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<sst xmlns="http://schemas.openxmlformats.org/spreadsheetml/2006/main" count="12765" uniqueCount="2306">
  <si>
    <t>Country, province from</t>
  </si>
  <si>
    <t>Country, province to</t>
  </si>
  <si>
    <t>Route</t>
  </si>
  <si>
    <t>Link</t>
  </si>
  <si>
    <t>Class</t>
  </si>
  <si>
    <t>Armenia, Armavir Armenia</t>
  </si>
  <si>
    <t>Armenia, Gyumri</t>
  </si>
  <si>
    <t>Armavir Railway - Gyumri</t>
  </si>
  <si>
    <t>train | First Class Sleeper</t>
  </si>
  <si>
    <t>train | Second Class Sleeperette</t>
  </si>
  <si>
    <t>train | Third Class Sleeper</t>
  </si>
  <si>
    <t>Armenia, Vanadzor</t>
  </si>
  <si>
    <t>Armavir Railway - Vanadzor</t>
  </si>
  <si>
    <t>Armenia, Yerevan</t>
  </si>
  <si>
    <t>Armavir Railway - Yerevan Railway</t>
  </si>
  <si>
    <t>Georgia, Batumi</t>
  </si>
  <si>
    <t>Armavir Railway - Batumi Central</t>
  </si>
  <si>
    <t>Georgia, Khashuri</t>
  </si>
  <si>
    <t>Armavir Railway - Khashuri</t>
  </si>
  <si>
    <t>Georgia, Kobuleti</t>
  </si>
  <si>
    <t>Armavir Railway - Kobuleti</t>
  </si>
  <si>
    <t>Georgia, Samtredia</t>
  </si>
  <si>
    <t>Armavir Railway - Samtredia</t>
  </si>
  <si>
    <t>Georgia, Tbilisi</t>
  </si>
  <si>
    <t>Armavir Railway - Tbilisi Central</t>
  </si>
  <si>
    <t>Georgia, Ureki</t>
  </si>
  <si>
    <t>Armavir Railway - Ureki</t>
  </si>
  <si>
    <t>Georgia, Zestafoni</t>
  </si>
  <si>
    <t>Armavir Railway - Zestafoni</t>
  </si>
  <si>
    <t>Gyumri - Armavir Railway</t>
  </si>
  <si>
    <t>Gyumri - Vanadzor</t>
  </si>
  <si>
    <t>Gyumri - Yerevan Railway</t>
  </si>
  <si>
    <t>Gyumri - Batumi Central</t>
  </si>
  <si>
    <t>Gyumri - Khashuri</t>
  </si>
  <si>
    <t>Gyumri - Kobuleti</t>
  </si>
  <si>
    <t>Gyumri - Samtredia</t>
  </si>
  <si>
    <t>Gyumri - Tbilisi Central</t>
  </si>
  <si>
    <t>Gyumri - Ureki</t>
  </si>
  <si>
    <t>Gyumri - Zestafoni</t>
  </si>
  <si>
    <t>Vanadzor - Armavir Railway</t>
  </si>
  <si>
    <t>Vanadzor - Gyumri</t>
  </si>
  <si>
    <t>Vanadzor - Yerevan Railway</t>
  </si>
  <si>
    <t>Vanadzor - Batumi Central</t>
  </si>
  <si>
    <t>Vanadzor - Khashuri</t>
  </si>
  <si>
    <t>Vanadzor - Kobuleti</t>
  </si>
  <si>
    <t>Vanadzor - Samtredia</t>
  </si>
  <si>
    <t>Vanadzor - Tbilisi Central</t>
  </si>
  <si>
    <t>Vanadzor - Ureki</t>
  </si>
  <si>
    <t>Vanadzor - Zestafoni</t>
  </si>
  <si>
    <t>Yerevan Railway - Armavir Railway</t>
  </si>
  <si>
    <t>Yerevan Railway - Gyumri</t>
  </si>
  <si>
    <t>Yerevan Railway - Vanadzor</t>
  </si>
  <si>
    <t>Yerevan Railway - Batumi Central</t>
  </si>
  <si>
    <t>Yerevan Railway - Khashuri</t>
  </si>
  <si>
    <t>Yerevan Railway - Kobuleti</t>
  </si>
  <si>
    <t>Yerevan Railway - Samtredia</t>
  </si>
  <si>
    <t>Yerevan Railway - Tbilisi Central</t>
  </si>
  <si>
    <t>Yerevan Railway - Ureki</t>
  </si>
  <si>
    <t>Yerevan Railway - Zestafoni</t>
  </si>
  <si>
    <t>Australia, Arthurs Seat</t>
  </si>
  <si>
    <t>Arthurs Seat Base Station - Arthurs Seat Summit Station</t>
  </si>
  <si>
    <t>train | One Way</t>
  </si>
  <si>
    <t>Arthurs Seat Summit Station - Arthurs Seat Base Station</t>
  </si>
  <si>
    <t>Australia, Bilinga</t>
  </si>
  <si>
    <t>Australia, Surfers Paradise</t>
  </si>
  <si>
    <t>Bilinga - Surfers Paradise Blvd</t>
  </si>
  <si>
    <t>bus</t>
  </si>
  <si>
    <t>Australia, Chatswood</t>
  </si>
  <si>
    <t>Australia, Anna Bay</t>
  </si>
  <si>
    <t>Railway St at Chatswood Station - Anna Bay Port Stephens Coaches Depot</t>
  </si>
  <si>
    <t>bus | Coach</t>
  </si>
  <si>
    <t>Australia, Corlette</t>
  </si>
  <si>
    <t>Railway St at Chatswood Station - Sandy Point Rd at Corlette Shops</t>
  </si>
  <si>
    <t>Australia, Fingal Bay</t>
  </si>
  <si>
    <t>Railway St at Chatswood Station - Farm Rd at Harbourside Fingal Bay</t>
  </si>
  <si>
    <t>Railway St at Chatswood Station - Market St at Fingal Bay Shops</t>
  </si>
  <si>
    <t>Australia, Nelson Bay</t>
  </si>
  <si>
    <t>Railway St at Chatswood Station - Donald St at Stockton St</t>
  </si>
  <si>
    <t>Railway St at Chatswood Station - Magnus St before Donald St</t>
  </si>
  <si>
    <t>Railway St at Chatswood Station - Shoal Bay Rd at Gowrie Ave</t>
  </si>
  <si>
    <t>Australia, Salamander Bay</t>
  </si>
  <si>
    <t>Railway St at Chatswood Station - Foreshore Dr opp Wanda Ave</t>
  </si>
  <si>
    <t>Railway St at Chatswood Station - Salamander Bay Square</t>
  </si>
  <si>
    <t>Railway St at Chatswood Station - Sandy Point Rd at Oaks Pacific Blue Resort</t>
  </si>
  <si>
    <t>Railway St at Chatswood Station - Soldiers Point Rd at Wanda Beach Shops</t>
  </si>
  <si>
    <t>Australia, Salt Ash</t>
  </si>
  <si>
    <t>Railway St at Chatswood Station - Nelson Bay Rd opp Salt Ash Ave</t>
  </si>
  <si>
    <t>Australia, Shoal Bay</t>
  </si>
  <si>
    <t>Railway St at Chatswood Station - Government Rd at Peterie St</t>
  </si>
  <si>
    <t>Railway St at Chatswood Station - Shoal Bay Rd after Beach Rd</t>
  </si>
  <si>
    <t>Railway St at Chatswood Station - Shoal Bay Rd at Bay Village Shops</t>
  </si>
  <si>
    <t>Australia, Williamtown</t>
  </si>
  <si>
    <t>Railway St at Chatswood Station - Nelson Bay Rd before Lavis Lane</t>
  </si>
  <si>
    <t>Australia, Coles Bay</t>
  </si>
  <si>
    <t>Australia, Freycinet</t>
  </si>
  <si>
    <t>Coles Bay - Cooks Beach</t>
  </si>
  <si>
    <t>ferry | One way</t>
  </si>
  <si>
    <t>Coles Bay - Hazard Beach</t>
  </si>
  <si>
    <t>Cooks Beach - Coles Bay</t>
  </si>
  <si>
    <t>Hazard Beach - Coles Bay</t>
  </si>
  <si>
    <t>Australia, Gold Coast</t>
  </si>
  <si>
    <t>Australia, Broadbeach</t>
  </si>
  <si>
    <t>Gold Coast - Broadbeach</t>
  </si>
  <si>
    <t>Australia, Great Keppel Island</t>
  </si>
  <si>
    <t>Australia, Rosslyn</t>
  </si>
  <si>
    <t>Great Keppel Island - Keppel Bay Marina</t>
  </si>
  <si>
    <t>ferry | Ferry</t>
  </si>
  <si>
    <t>Great Keppel Island - Rosslyn Bay</t>
  </si>
  <si>
    <t>ferry | Catamaran</t>
  </si>
  <si>
    <t>Australia, Hobart Tasmania</t>
  </si>
  <si>
    <t>Australia, Port Arthur</t>
  </si>
  <si>
    <t>Hobart - Port Arthur</t>
  </si>
  <si>
    <t>bus | One Way</t>
  </si>
  <si>
    <t>bus | Same day Return at 4:45pm</t>
  </si>
  <si>
    <t>Australia, Home Hill</t>
  </si>
  <si>
    <t>Australia, Bowen</t>
  </si>
  <si>
    <t>Home Hill - Bowen</t>
  </si>
  <si>
    <t>Australia, Melbourne</t>
  </si>
  <si>
    <t>Australia, Williamstown</t>
  </si>
  <si>
    <t>Melbourne Berth 2 - Gem Pier</t>
  </si>
  <si>
    <t>Port Arthur - Hobart</t>
  </si>
  <si>
    <t>Keppel Bay Marina - Great Keppel Island</t>
  </si>
  <si>
    <t>Rosslyn Bay - Great Keppel Island</t>
  </si>
  <si>
    <t>Surfers Paradise Blvd - Bilinga</t>
  </si>
  <si>
    <t>Australia, Brisbane Airport</t>
  </si>
  <si>
    <t>Surfers Paradise Blvd - Brisbane Domestic Airport</t>
  </si>
  <si>
    <t>Surfers Paradise Blvd - Brisbane International Airport</t>
  </si>
  <si>
    <t>Australia, Sydney</t>
  </si>
  <si>
    <t>Central Station Forecourt - Anna Bay Port Stephens Coaches Depot</t>
  </si>
  <si>
    <t>Central Station Forecourt - Sandy Point Rd at Corlette Shops</t>
  </si>
  <si>
    <t>Central Station Forecourt - Farm Rd at Harbourside Fingal Bay</t>
  </si>
  <si>
    <t>Central Station Forecourt - Market St at Fingal Bay Shops</t>
  </si>
  <si>
    <t>Central Station Forecourt - Donald St at Stockton St</t>
  </si>
  <si>
    <t>Central Station Forecourt - Magnus St before Donald St</t>
  </si>
  <si>
    <t>Central Station Forecourt - Shoal Bay Rd at Gowrie Ave</t>
  </si>
  <si>
    <t>Central Station Forecourt - Foreshore Dr opp Wanda Ave</t>
  </si>
  <si>
    <t>Central Station Forecourt - Salamander Bay Square</t>
  </si>
  <si>
    <t>Central Station Forecourt - Sandy Point Rd at Oaks Pacific Blue Resort</t>
  </si>
  <si>
    <t>Central Station Forecourt - Soldiers Point Rd at Wanda Beach Shops</t>
  </si>
  <si>
    <t>Central Station Forecourt - Nelson Bay Rd opp Salt Ash Ave</t>
  </si>
  <si>
    <t>Central Station Forecourt - Government Rd at Peterie St</t>
  </si>
  <si>
    <t>Central Station Forecourt - Shoal Bay Rd after Beach Rd</t>
  </si>
  <si>
    <t>Central Station Forecourt - Shoal Bay Rd at Bay Village Shops</t>
  </si>
  <si>
    <t>Central Station Forecourt - Nelson Bay Rd before Lavis Lane</t>
  </si>
  <si>
    <t>Gem Pier - Melbourne Berth 2</t>
  </si>
  <si>
    <t>Cambodia, Banlung</t>
  </si>
  <si>
    <t>Cambodia, Siem Reap</t>
  </si>
  <si>
    <t>Banlung - Pure Coffee Krong Siem Reap</t>
  </si>
  <si>
    <t>van | Minivan</t>
  </si>
  <si>
    <t>Laos, Don Det</t>
  </si>
  <si>
    <t>Banlung - Mr Mo Guesthouse</t>
  </si>
  <si>
    <t>Cambodia, Kampot</t>
  </si>
  <si>
    <t>Cambodia, Phnom Penh</t>
  </si>
  <si>
    <t>Kep Express Kampot - eBooking Express Phnom Penh</t>
  </si>
  <si>
    <t>van | Minivan + Bus</t>
  </si>
  <si>
    <t>Kep Express Kampot - eBooking Express Siem Reap</t>
  </si>
  <si>
    <t>Vietnam, Cao Lanh</t>
  </si>
  <si>
    <t>Kep Express Kampot - Long Xuyen Bus Station</t>
  </si>
  <si>
    <t>Vietnam, Ha Tien</t>
  </si>
  <si>
    <t>Kep Express Kampot - Ha Tien Border</t>
  </si>
  <si>
    <t>Cambodia, Kep</t>
  </si>
  <si>
    <t>Kep Outbound Bus Stop - Giant Ibis Main Terminal</t>
  </si>
  <si>
    <t>Cambodia, Koh Rong</t>
  </si>
  <si>
    <t>Cambodia, Koh Rong Samloem</t>
  </si>
  <si>
    <t>Koh Toch Pier Boat Trip - MPai Bay</t>
  </si>
  <si>
    <t>ferry | Taxi Slow Boat</t>
  </si>
  <si>
    <t>Koh Toch Pier Boat Trip - Soon Noeng Port</t>
  </si>
  <si>
    <t>Long Set Pier - MPai Bay</t>
  </si>
  <si>
    <t>Long Set Pier - Soon Noeng Port</t>
  </si>
  <si>
    <t>ferry | Boat Trip</t>
  </si>
  <si>
    <t>Vietnam, Ho Chi Minh City</t>
  </si>
  <si>
    <t>Koh Rong - Western Bus Station Ho Chi Mihn</t>
  </si>
  <si>
    <t>bus | Sleeper Bus + Minivan + Ferry</t>
  </si>
  <si>
    <t>MPai Bay - Koh Toch Pier Boat Trip</t>
  </si>
  <si>
    <t>MPai Bay - Long Set Pier</t>
  </si>
  <si>
    <t>Soon Noeng Port - Koh Toch Pier Boat Trip</t>
  </si>
  <si>
    <t>Soon Noeng Port - Long Set Pier</t>
  </si>
  <si>
    <t>MPai Bay - Soon Noeng Port</t>
  </si>
  <si>
    <t>Soon Noeng Port - MPai Bay</t>
  </si>
  <si>
    <t>Cambodia, Banteay Meanchey</t>
  </si>
  <si>
    <t>Phnom Penh - Poi Pet Border</t>
  </si>
  <si>
    <t>charter | Luxury VIP Mini Van (EV)</t>
  </si>
  <si>
    <t>charter | Luxury VIP Mini Van (GAC)</t>
  </si>
  <si>
    <t>charter | VIP Luxury Car (EV)</t>
  </si>
  <si>
    <t>charter | VIP Mini Car (EV)</t>
  </si>
  <si>
    <t>Cambodia, Battambang</t>
  </si>
  <si>
    <t>Phnom Penh - Battambang</t>
  </si>
  <si>
    <t>Giant Ibis Bus Terminal - Kep Express Kampot</t>
  </si>
  <si>
    <t>Phnom Penh - Kampot</t>
  </si>
  <si>
    <t>Phnom Penh - Kep</t>
  </si>
  <si>
    <t>Phnom Penh - KTI Airport</t>
  </si>
  <si>
    <t>Phnom Penh - Siem Reap</t>
  </si>
  <si>
    <t>charter | River Boat + Mini Van</t>
  </si>
  <si>
    <t>Cambodia, Siem Reap Airport</t>
  </si>
  <si>
    <t>Phnom Penh - Siem Reap Angkor International Airport</t>
  </si>
  <si>
    <t>Cambodia, Sihanoukville</t>
  </si>
  <si>
    <t>Phnom Penh - Sihanoukville</t>
  </si>
  <si>
    <t>Rith Mony Bus Chroy Chorngva Branch - Mr Mo Guesthouse</t>
  </si>
  <si>
    <t>bus | Sleeper Bus + Minivan</t>
  </si>
  <si>
    <t>Laos, Pakse</t>
  </si>
  <si>
    <t>Rith Mony Bus Chroy Chorngva Branch - GreenParadise Tours and Travel Laos</t>
  </si>
  <si>
    <t>Laos, Vang Vieng</t>
  </si>
  <si>
    <t>Rith Mony Bus Chroy Chorngva Branch - VLT Natural tours</t>
  </si>
  <si>
    <t>bus | Sleeper Bus + Minivan + Sleeper Bus</t>
  </si>
  <si>
    <t>van | Minivan + Sleeper Bus</t>
  </si>
  <si>
    <t>Laos, Vientiane</t>
  </si>
  <si>
    <t>Rith Mony Bus Chroy Chorngva Branch - Vientiane Southern Bus Terminal</t>
  </si>
  <si>
    <t>Vietnam, Chau Doc</t>
  </si>
  <si>
    <t>Phnom Penh - Chau Doc</t>
  </si>
  <si>
    <t>bus | Minivan</t>
  </si>
  <si>
    <t>Kumho Samco Buslines Phnom Penh - ke 261 D Hong Bang</t>
  </si>
  <si>
    <t>bus | Seating Bus</t>
  </si>
  <si>
    <t>bus | Sleeper Bus</t>
  </si>
  <si>
    <t>Vietnam, Phu Quoc</t>
  </si>
  <si>
    <t>Phnom Penh - Phu Quoc</t>
  </si>
  <si>
    <t>bus | Minivan + Ferry</t>
  </si>
  <si>
    <t>Pure Coffee Krong Siem Reap - Banlung</t>
  </si>
  <si>
    <t>Siem Reap - Poi Pet Border</t>
  </si>
  <si>
    <t>Siem Reap - Battambang</t>
  </si>
  <si>
    <t>Cambodia, Bavet</t>
  </si>
  <si>
    <t>Siem Reap - Bavet Border</t>
  </si>
  <si>
    <t>eBooking Express Siem Reap - Kep Express Kampot</t>
  </si>
  <si>
    <t>Siem Reap - Kampot</t>
  </si>
  <si>
    <t>Siem Reap - Kep</t>
  </si>
  <si>
    <t>Siem Reap - KTI Airport</t>
  </si>
  <si>
    <t>Siem Reap - Phnom Penh</t>
  </si>
  <si>
    <t>Siem Reap - Siem Reap Angkor International Airport</t>
  </si>
  <si>
    <t>Siem Reap - Sihanoukville</t>
  </si>
  <si>
    <t>Pure Coffee Krong Siem Reap - VLT Natural tours</t>
  </si>
  <si>
    <t>Pure Coffee Krong Siem Reap - Vientiane Southern Bus Terminal</t>
  </si>
  <si>
    <t>Kampot Transports Sihanoukville - Kep Express Kampot</t>
  </si>
  <si>
    <t>Kampot Transports Sihanoukville - Kep Outbound Bus Stop</t>
  </si>
  <si>
    <t>Sihanoukville - KTI Airport</t>
  </si>
  <si>
    <t>Sihanoukville - Siem Reap</t>
  </si>
  <si>
    <t>Kampot Transports Sihanoukville - Cang Bai Vong Phu Quoc Express Port</t>
  </si>
  <si>
    <t>van | Mini Van 14 + Ferry</t>
  </si>
  <si>
    <t>China, Chengdu</t>
  </si>
  <si>
    <t>China, Bijie</t>
  </si>
  <si>
    <t>Chengdu East - Bijie</t>
  </si>
  <si>
    <t>train</t>
  </si>
  <si>
    <t>Chengdu South - Bijie</t>
  </si>
  <si>
    <t>Chengdu - Bijie</t>
  </si>
  <si>
    <t>China, Binyang</t>
  </si>
  <si>
    <t>Chengdu East - Binyang</t>
  </si>
  <si>
    <t>Chengdu - Binyang</t>
  </si>
  <si>
    <t>China, Dingzhou</t>
  </si>
  <si>
    <t>Chengdu - Dingzhou</t>
  </si>
  <si>
    <t>China, Fangchenggang</t>
  </si>
  <si>
    <t>Chengdu East - Fangchenggang North</t>
  </si>
  <si>
    <t>Chengdu - Fangchenggang</t>
  </si>
  <si>
    <t>China, Fuling</t>
  </si>
  <si>
    <t>Chengdu East - Fuling North</t>
  </si>
  <si>
    <t>Chengdu South - Fuling North</t>
  </si>
  <si>
    <t>Chengdu - Fuling</t>
  </si>
  <si>
    <t>China, Haidong</t>
  </si>
  <si>
    <t>Chengdu East - Haidongxi</t>
  </si>
  <si>
    <t>Chengdu - Haidong</t>
  </si>
  <si>
    <t>China, Mianning</t>
  </si>
  <si>
    <t>Chengdu East - Guanzhaishan South</t>
  </si>
  <si>
    <t>Chengdu - Mianning</t>
  </si>
  <si>
    <t>China, Qufu</t>
  </si>
  <si>
    <t>Chengdu - Qufu</t>
  </si>
  <si>
    <t>China, Ruichang</t>
  </si>
  <si>
    <t>Chengdu East - Ruichang West</t>
  </si>
  <si>
    <t>Chengdu West - Ruichang</t>
  </si>
  <si>
    <t>China, Sanming</t>
  </si>
  <si>
    <t>Chengdu East - Sanming</t>
  </si>
  <si>
    <t>Chengdu East - Sanming North</t>
  </si>
  <si>
    <t>Chengdu - Sanming</t>
  </si>
  <si>
    <t>China, Shandong</t>
  </si>
  <si>
    <t>Chengdu East - Qufu East</t>
  </si>
  <si>
    <t>China, Sonid Left Banner</t>
  </si>
  <si>
    <t>Chengdu - Sonid Left Banner</t>
  </si>
  <si>
    <t>China, Taicang</t>
  </si>
  <si>
    <t>Chengdu East - Taicang</t>
  </si>
  <si>
    <t>Chengdu - Taicang</t>
  </si>
  <si>
    <t>China, Xiangyun</t>
  </si>
  <si>
    <t>Chengdu - Xiangyun</t>
  </si>
  <si>
    <t>China, Xigu</t>
  </si>
  <si>
    <t>Chengdu - Xigu</t>
  </si>
  <si>
    <t>China, Yuanyang</t>
  </si>
  <si>
    <t>Chengdu East - Xinyi South</t>
  </si>
  <si>
    <t>Chengdu - Yuanyang</t>
  </si>
  <si>
    <t>China, Zhangzhou Fujian</t>
  </si>
  <si>
    <t>Chengdu East - Zhangzhou</t>
  </si>
  <si>
    <t>Chengdu - Zhangzhou Fujian</t>
  </si>
  <si>
    <t>China, Chengdu Airport</t>
  </si>
  <si>
    <t>Chengdu Airport - Bijie</t>
  </si>
  <si>
    <t>Shuangliu Airport - Bijie</t>
  </si>
  <si>
    <t>China, Chengdu Tianfu Airport</t>
  </si>
  <si>
    <t>Chengdu Tianfu Airport - Bijie</t>
  </si>
  <si>
    <t>Tianfu Airport - Bijie</t>
  </si>
  <si>
    <t>China, Dongxihu</t>
  </si>
  <si>
    <t>Chengdu Tianfu Airport - Dongxihu</t>
  </si>
  <si>
    <t>China, Jiaocheng</t>
  </si>
  <si>
    <t>Chengdu Tianfu Airport - Jiaocheng</t>
  </si>
  <si>
    <t>China, Wuhan</t>
  </si>
  <si>
    <t>Tianfu Airport - Hankou</t>
  </si>
  <si>
    <t>Tianfu Airport - Wuhan</t>
  </si>
  <si>
    <t>China, Yibin</t>
  </si>
  <si>
    <t>Chengdu Tianfu Airport - Yibin</t>
  </si>
  <si>
    <t>Tianfu Airport - Yibin</t>
  </si>
  <si>
    <t>Tianfu Airport - Yibin East</t>
  </si>
  <si>
    <t>Tianfu Airport - Yibin West</t>
  </si>
  <si>
    <t>China, Chenggu</t>
  </si>
  <si>
    <t>China, Chongqing</t>
  </si>
  <si>
    <t>Chenggu North - Chongqing North</t>
  </si>
  <si>
    <t>China, Guiyang</t>
  </si>
  <si>
    <t>Chenggu North - Guiyang</t>
  </si>
  <si>
    <t>Chenggu North - Guiyang North</t>
  </si>
  <si>
    <t>Chenggu - Guiyang</t>
  </si>
  <si>
    <t>China, Guizhou</t>
  </si>
  <si>
    <t>Chenggu - Guizhou</t>
  </si>
  <si>
    <t>China, Jiaxiang</t>
  </si>
  <si>
    <t>Chenggu North - Jiangbei Airport</t>
  </si>
  <si>
    <t>Chenggu - Jiaxiang</t>
  </si>
  <si>
    <t>China, Kunming</t>
  </si>
  <si>
    <t>Chenggu North - Kunming South</t>
  </si>
  <si>
    <t>Chenggu - Kunming</t>
  </si>
  <si>
    <t>China, Shanghai</t>
  </si>
  <si>
    <t>Chenggu North - Shanghai Hongqiao</t>
  </si>
  <si>
    <t>Chenggu - Shanghai</t>
  </si>
  <si>
    <t>China, Shanghai Hongqiao Airport</t>
  </si>
  <si>
    <t>Chenggu - Shanghai Hongqiao Airport</t>
  </si>
  <si>
    <t>China, Sichuan</t>
  </si>
  <si>
    <t>Chenggu - Sichuan</t>
  </si>
  <si>
    <t>China, Xishui</t>
  </si>
  <si>
    <t>Chenggu - Xishui</t>
  </si>
  <si>
    <t>China, Zhangjiajie</t>
  </si>
  <si>
    <t>Chenggu North - Zhangjiajie West</t>
  </si>
  <si>
    <t>Chenggu - Zhangjiajie</t>
  </si>
  <si>
    <t>China, Chengyang</t>
  </si>
  <si>
    <t>China, Heze</t>
  </si>
  <si>
    <t>Chengyang - Heze</t>
  </si>
  <si>
    <t>Chengyang - Heze East Railway Station</t>
  </si>
  <si>
    <t>China, Jiaozhou city</t>
  </si>
  <si>
    <t>Chengyang - Jiaozhou City</t>
  </si>
  <si>
    <t>Chengyang - Jiaozhou North</t>
  </si>
  <si>
    <t>Chengyang - Qufu</t>
  </si>
  <si>
    <t>Chengyang - Qufu East</t>
  </si>
  <si>
    <t>Chengyang - Taicang</t>
  </si>
  <si>
    <t>China, Tongzhou Jiangsu</t>
  </si>
  <si>
    <t>Chengyang - Nantong West</t>
  </si>
  <si>
    <t>Chengyang - Tongzhou Jiangsu</t>
  </si>
  <si>
    <t>China, Chenzhou</t>
  </si>
  <si>
    <t>Chenzhou - Dongxihu</t>
  </si>
  <si>
    <t>China, Hong Kong West Kowloon</t>
  </si>
  <si>
    <t>Chenzhou West - Hong Kong West Kowloon</t>
  </si>
  <si>
    <t>Chenzhou - Hong Kong West Kowloon</t>
  </si>
  <si>
    <t>Hong Kong, Kowloon</t>
  </si>
  <si>
    <t>Chenzhou - Kowloon</t>
  </si>
  <si>
    <t>China, Hainan</t>
  </si>
  <si>
    <t>Meilan - Lingshui</t>
  </si>
  <si>
    <t>China, Suzhou</t>
  </si>
  <si>
    <t>China, Hangzhou</t>
  </si>
  <si>
    <t>Suzhou South - Hangzhou West</t>
  </si>
  <si>
    <t>Batumi Central - Armavir Railway</t>
  </si>
  <si>
    <t>Batumi Central - Gyumri</t>
  </si>
  <si>
    <t>Batumi Central - Vanadzor</t>
  </si>
  <si>
    <t>Batumi Central - Yerevan Railway</t>
  </si>
  <si>
    <t>Batumi Central - Khashuri</t>
  </si>
  <si>
    <t>Batumi Central - Kobuleti</t>
  </si>
  <si>
    <t>Batumi Central - Samtredia</t>
  </si>
  <si>
    <t>Batumi Central - Tbilisi Central</t>
  </si>
  <si>
    <t>Batumi Central - Ureki</t>
  </si>
  <si>
    <t>Batumi Central - Zestafoni</t>
  </si>
  <si>
    <t>Khashuri - Armavir Railway</t>
  </si>
  <si>
    <t>Khashuri - Gyumri</t>
  </si>
  <si>
    <t>Khashuri - Vanadzor</t>
  </si>
  <si>
    <t>Khashuri - Yerevan Railway</t>
  </si>
  <si>
    <t>Khashuri - Batumi Central</t>
  </si>
  <si>
    <t>Khashuri - Kobuleti</t>
  </si>
  <si>
    <t>Khashuri - Samtredia</t>
  </si>
  <si>
    <t>Khashuri - Tbilisi Central</t>
  </si>
  <si>
    <t>Khashuri - Ureki</t>
  </si>
  <si>
    <t>Khashuri - Zestafoni</t>
  </si>
  <si>
    <t>Kobuleti - Armavir Railway</t>
  </si>
  <si>
    <t>Kobuleti - Gyumri</t>
  </si>
  <si>
    <t>Kobuleti - Vanadzor</t>
  </si>
  <si>
    <t>Kobuleti - Yerevan Railway</t>
  </si>
  <si>
    <t>Kobuleti - Batumi Central</t>
  </si>
  <si>
    <t>Kobuleti - Khashuri</t>
  </si>
  <si>
    <t>Kobuleti - Samtredia</t>
  </si>
  <si>
    <t>Kobuleti - Tbilisi Central</t>
  </si>
  <si>
    <t>Kobuleti - Ureki</t>
  </si>
  <si>
    <t>Kobuleti - Zestafoni</t>
  </si>
  <si>
    <t>Samtredia - Armavir Railway</t>
  </si>
  <si>
    <t>Samtredia - Gyumri</t>
  </si>
  <si>
    <t>Samtredia - Vanadzor</t>
  </si>
  <si>
    <t>Samtredia - Yerevan Railway</t>
  </si>
  <si>
    <t>Samtredia - Batumi Central</t>
  </si>
  <si>
    <t>Samtredia - Khashuri</t>
  </si>
  <si>
    <t>Samtredia - Kobuleti</t>
  </si>
  <si>
    <t>Samtredia - Tbilisi Central</t>
  </si>
  <si>
    <t>Samtredia - Ureki</t>
  </si>
  <si>
    <t>Samtredia - Zestafoni</t>
  </si>
  <si>
    <t>Tbilisi Central - Armavir Railway</t>
  </si>
  <si>
    <t>Tbilisi Central - Gyumri</t>
  </si>
  <si>
    <t>Tbilisi Central - Vanadzor</t>
  </si>
  <si>
    <t>Tbilisi Central - Yerevan Railway</t>
  </si>
  <si>
    <t>Tbilisi Central - Batumi Central</t>
  </si>
  <si>
    <t>Tbilisi Central - Khashuri</t>
  </si>
  <si>
    <t>Tbilisi Central - Kobuleti</t>
  </si>
  <si>
    <t>Tbilisi Central - Samtredia</t>
  </si>
  <si>
    <t>Tbilisi Central - Ureki</t>
  </si>
  <si>
    <t>Tbilisi Central - Zestafoni</t>
  </si>
  <si>
    <t>Ureki - Armavir Railway</t>
  </si>
  <si>
    <t>Ureki - Gyumri</t>
  </si>
  <si>
    <t>Ureki - Vanadzor</t>
  </si>
  <si>
    <t>Ureki - Yerevan Railway</t>
  </si>
  <si>
    <t>Ureki - Batumi Central</t>
  </si>
  <si>
    <t>Ureki - Khashuri</t>
  </si>
  <si>
    <t>Ureki - Kobuleti</t>
  </si>
  <si>
    <t>Ureki - Samtredia</t>
  </si>
  <si>
    <t>Ureki - Tbilisi Central</t>
  </si>
  <si>
    <t>Ureki - Zestafoni</t>
  </si>
  <si>
    <t>Zestafoni - Armavir Railway</t>
  </si>
  <si>
    <t>Zestafoni - Gyumri</t>
  </si>
  <si>
    <t>Zestafoni - Vanadzor</t>
  </si>
  <si>
    <t>Zestafoni - Yerevan Railway</t>
  </si>
  <si>
    <t>Zestafoni - Batumi Central</t>
  </si>
  <si>
    <t>Zestafoni - Khashuri</t>
  </si>
  <si>
    <t>Zestafoni - Kobuleti</t>
  </si>
  <si>
    <t>Zestafoni - Samtredia</t>
  </si>
  <si>
    <t>Zestafoni - Tbilisi Central</t>
  </si>
  <si>
    <t>Zestafoni - Ureki</t>
  </si>
  <si>
    <t>India, Aluva</t>
  </si>
  <si>
    <t>India, Gandhi Puram</t>
  </si>
  <si>
    <t>Aluva - Gandhi Puram</t>
  </si>
  <si>
    <t>India, Delhi</t>
  </si>
  <si>
    <t>India, Shahganj Utar Pradesh</t>
  </si>
  <si>
    <t>Delhi - Shahganj Utar Pradesh</t>
  </si>
  <si>
    <t>India, Zafarabad</t>
  </si>
  <si>
    <t>Anand Vihar Trm - Zafarabad Junction</t>
  </si>
  <si>
    <t>Delhi - Zafarabad</t>
  </si>
  <si>
    <t>India, Gudur</t>
  </si>
  <si>
    <t>India, Kasibugga</t>
  </si>
  <si>
    <t>Gudur - Kasibugga</t>
  </si>
  <si>
    <t>India, Palasa</t>
  </si>
  <si>
    <t>Gudur Junction - Palasa</t>
  </si>
  <si>
    <t>Gudur - Palasa</t>
  </si>
  <si>
    <t>India, Haridwar</t>
  </si>
  <si>
    <t>India, Bareilly</t>
  </si>
  <si>
    <t>Haridwar Jn - Bareilly</t>
  </si>
  <si>
    <t>India, Kochi India</t>
  </si>
  <si>
    <t>Kochi India - Gandhi Puram</t>
  </si>
  <si>
    <t>India, Krishnarajapuram</t>
  </si>
  <si>
    <t>India, Puducherry</t>
  </si>
  <si>
    <t>Krishnarajapuram - Pondicherry</t>
  </si>
  <si>
    <t>India, Mau</t>
  </si>
  <si>
    <t>India, Bihar</t>
  </si>
  <si>
    <t>Mau - Bihar</t>
  </si>
  <si>
    <t>India, Hajipur</t>
  </si>
  <si>
    <t>Mau Junction - Hajipur Junction</t>
  </si>
  <si>
    <t>Mau - Hajipur</t>
  </si>
  <si>
    <t>India, New Delhi</t>
  </si>
  <si>
    <t>India, Birgunj Nepal Border</t>
  </si>
  <si>
    <t>New Delhi - Birgunj Nepal Border</t>
  </si>
  <si>
    <t>India, Tundla</t>
  </si>
  <si>
    <t>India, Ranthambore National Park</t>
  </si>
  <si>
    <t>Tundla - Ranthambore National Park</t>
  </si>
  <si>
    <t>Indonesia, Bandar Lampung</t>
  </si>
  <si>
    <t>Indonesia, Tanjung Priok</t>
  </si>
  <si>
    <t>Bandar Lampung - Tanjung Priok</t>
  </si>
  <si>
    <t>avia</t>
  </si>
  <si>
    <t>Indonesia, East Bali</t>
  </si>
  <si>
    <t>Indonesia, Kualalupak</t>
  </si>
  <si>
    <t>East Bali - Kualalupak</t>
  </si>
  <si>
    <t>Indonesia, East Java</t>
  </si>
  <si>
    <t>East Java - Kualalupak</t>
  </si>
  <si>
    <t>Indonesia, Jatibening</t>
  </si>
  <si>
    <t>Indonesia, Padang Pariaman</t>
  </si>
  <si>
    <t>Jatibening - Padang Pariaman</t>
  </si>
  <si>
    <t>Indonesia, Riau</t>
  </si>
  <si>
    <t>Jatibening - Riau</t>
  </si>
  <si>
    <t>Indonesia, Kuta</t>
  </si>
  <si>
    <t>Indonesia, Sanur</t>
  </si>
  <si>
    <t>Kuta Beachwalk Mall - Denpasar Sanur Grand Lucky Supermarket</t>
  </si>
  <si>
    <t>bus | Minibus</t>
  </si>
  <si>
    <t>Indonesia, Ubud</t>
  </si>
  <si>
    <t>Kuta Beachwalk Mall - Ubud Puri Lukisan Museum</t>
  </si>
  <si>
    <t>Indonesia, Lombok</t>
  </si>
  <si>
    <t>Indonesia, West Manggarai</t>
  </si>
  <si>
    <t>Kayangan Sea Port - Pelabuhan Labuan Bajo</t>
  </si>
  <si>
    <t>ferry | Deluxe Class Phinisi Boat</t>
  </si>
  <si>
    <t>ferry | Standard Class Phinisi Boat</t>
  </si>
  <si>
    <t>Indonesia, Makassar</t>
  </si>
  <si>
    <t>Indonesia, Mimika</t>
  </si>
  <si>
    <t>Makassar - Mimika</t>
  </si>
  <si>
    <t>Indonesia, Nusa Penida</t>
  </si>
  <si>
    <t>Indonesia, Gili Trawangan</t>
  </si>
  <si>
    <t>Banjar Nyuh Idola - Gili Trawangan Pier</t>
  </si>
  <si>
    <t>ferry | Speedboat</t>
  </si>
  <si>
    <t>Banjar Nyuh Idola - Bangsal Lombok</t>
  </si>
  <si>
    <t>Indonesia, Depok</t>
  </si>
  <si>
    <t>Riau - Depok</t>
  </si>
  <si>
    <t>Indonesia, South Tangerang</t>
  </si>
  <si>
    <t>Riau - South Tangerang</t>
  </si>
  <si>
    <t>Idola Express Sanur - Bangsal Lombok</t>
  </si>
  <si>
    <t>Denpasar Sanur Grand Lucky Supermarket - Ubud Puri Lukisan Museum</t>
  </si>
  <si>
    <t>Indonesia, Bali</t>
  </si>
  <si>
    <t>Ubud Transfer - Busung Biu Transfer</t>
  </si>
  <si>
    <t>charter | SUV 4pax</t>
  </si>
  <si>
    <t>Japan, Fukuoka</t>
  </si>
  <si>
    <t>Japan, Fukuoka Airport</t>
  </si>
  <si>
    <t>Nishitetsu Tenjin Expressway Bus Terminal - Fukuoka Airport International Terminal</t>
  </si>
  <si>
    <t>bus | Express</t>
  </si>
  <si>
    <t>Japan, Nagasaki</t>
  </si>
  <si>
    <t>Hakata Bus Terminal - Nagasaki station</t>
  </si>
  <si>
    <t>Japan, Kameoka</t>
  </si>
  <si>
    <t>Japan, Arashiyama</t>
  </si>
  <si>
    <t>Hozugawa Rafting - Togetsukyo Bridge</t>
  </si>
  <si>
    <t>ferry | River Boat</t>
  </si>
  <si>
    <t>Japan, Kanazawa</t>
  </si>
  <si>
    <t>Japan, Tokyo</t>
  </si>
  <si>
    <t>Kanazawa - Tokyo</t>
  </si>
  <si>
    <t>train | Gran Class</t>
  </si>
  <si>
    <t>train | Green Car</t>
  </si>
  <si>
    <t>train | Standard Class</t>
  </si>
  <si>
    <t>train | Unreserved seat</t>
  </si>
  <si>
    <t>Japan, Karuizawa</t>
  </si>
  <si>
    <t>Japan, Kusatsu Onsen Gunma</t>
  </si>
  <si>
    <t>Karuizawa Station - Kusatsu Onsen</t>
  </si>
  <si>
    <t>bus | 1 Day Pass</t>
  </si>
  <si>
    <t>Kusatsu Onsen - Karuizawa Station</t>
  </si>
  <si>
    <t>Japan, Kyoto</t>
  </si>
  <si>
    <t>Kyoto Station Karasuma Exit - Gojo Ohashi Bridge</t>
  </si>
  <si>
    <t>bus | Sightseeing Bus</t>
  </si>
  <si>
    <t>Kyoto Station Karasuma Exit - Minamiza Theater</t>
  </si>
  <si>
    <t>Kyoto Station Karasuma Exit - Nishi Honganji Temple</t>
  </si>
  <si>
    <t>Kyoto Station Karasuma Exit - Shijo dori</t>
  </si>
  <si>
    <t>Japan, Osaka</t>
  </si>
  <si>
    <t>Kyoto - Shin Osaka</t>
  </si>
  <si>
    <t>train | Standard</t>
  </si>
  <si>
    <t>Kyoto - Tokyo</t>
  </si>
  <si>
    <t>Japan, Yamashina</t>
  </si>
  <si>
    <t>Kyoto Station Karasuma Exit - Yasaka Shrine</t>
  </si>
  <si>
    <t>Japan, Nagano</t>
  </si>
  <si>
    <t>Nagano station - Kanazawa</t>
  </si>
  <si>
    <t>Nagano station - Tokyo</t>
  </si>
  <si>
    <t>Nagasaki station - Hakata Bus Terminal</t>
  </si>
  <si>
    <t>Japan, Nagoya</t>
  </si>
  <si>
    <t>Japan, Takayama</t>
  </si>
  <si>
    <t>Mini Stop Meieki Tsubakicho Store - Takayama Old Townscape</t>
  </si>
  <si>
    <t>bus | 1 Day Tour</t>
  </si>
  <si>
    <t>Japan, New Chitose Airport</t>
  </si>
  <si>
    <t>Japan, Tomamu</t>
  </si>
  <si>
    <t>New Chitose Airport Domestic Terminal - Hoshino Resorts RISONARE Tomamu</t>
  </si>
  <si>
    <t>bus | Liner Standard</t>
  </si>
  <si>
    <t>New Chitose Airport Domestic Terminal - Hoshino Resorts Tomamu The Tower</t>
  </si>
  <si>
    <t>Japan, Hiroshima</t>
  </si>
  <si>
    <t>Shin Osaka - Hiroshima</t>
  </si>
  <si>
    <t>Shin Osaka - Tokyo</t>
  </si>
  <si>
    <t>Japan, Sapporo</t>
  </si>
  <si>
    <t>New Otani Inn Sapporo - Hoshino Resorts RISONARE Tomamu</t>
  </si>
  <si>
    <t>New Otani Inn Sapporo - Hoshino Resorts Tomamu The Tower</t>
  </si>
  <si>
    <t>Tokyo - Kanazawa</t>
  </si>
  <si>
    <t>Tokyo - Kyoto</t>
  </si>
  <si>
    <t>Tokyo - Nagano station</t>
  </si>
  <si>
    <t>Tokyo - Shin Osaka</t>
  </si>
  <si>
    <t>Hoshino Resorts RISONARE Tomamu - New Chitose Airport Domestic Terminal</t>
  </si>
  <si>
    <t>Hoshino Resorts Tomamu The Tower - New Chitose Airport Domestic Terminal</t>
  </si>
  <si>
    <t>Hoshino Resorts RISONARE Tomamu - New Otani Inn Sapporo</t>
  </si>
  <si>
    <t>Hoshino Resorts Tomamu The Tower - New Otani Inn Sapporo</t>
  </si>
  <si>
    <t>Kazakhstan, Almaty</t>
  </si>
  <si>
    <t>Kyrgyzstan, Bishkek</t>
  </si>
  <si>
    <t>Almaty Any Hotel Transfer - Bishkek Hotel Transfer</t>
  </si>
  <si>
    <t>charter | Comfort 3pax</t>
  </si>
  <si>
    <t>charter | Minivan 6pax</t>
  </si>
  <si>
    <t>charter | Standard 3pax</t>
  </si>
  <si>
    <t>Bishkek Hotel Transfer - Almaty Any Hotel Transfer</t>
  </si>
  <si>
    <t>Kyrgyzstan, Cholpon Ata</t>
  </si>
  <si>
    <t>Uzbekistan, Tashkent</t>
  </si>
  <si>
    <t>Cholpon Ata Bus Station - Tashkent Bus Terminal</t>
  </si>
  <si>
    <t>Laos, Bokeo</t>
  </si>
  <si>
    <t>Bokeo Airport - Vientiane Airport</t>
  </si>
  <si>
    <t>avia | Standard</t>
  </si>
  <si>
    <t>Mr Mo Guesthouse - Banlung</t>
  </si>
  <si>
    <t>Mr Mo Guesthouse - Rith Mony Bus Chroy Chorngva Branch</t>
  </si>
  <si>
    <t>Laos, Houeisay</t>
  </si>
  <si>
    <t>Laos, Huay Xai</t>
  </si>
  <si>
    <t>Huay Xai - Bokeo Airport</t>
  </si>
  <si>
    <t>charter | Minivan 3pax</t>
  </si>
  <si>
    <t>Laos, Luang Namtha</t>
  </si>
  <si>
    <t>Huay Xai - Luang Namtha</t>
  </si>
  <si>
    <t>charter | Van 8pax</t>
  </si>
  <si>
    <t>Huay Xai - Vieng Phou Kha</t>
  </si>
  <si>
    <t>Laos, Luang Prabang</t>
  </si>
  <si>
    <t>Huay Xai - Luang Prabang Transfer</t>
  </si>
  <si>
    <t>Laos, Nateuy</t>
  </si>
  <si>
    <t>Huay Xai - Nateuy Train Station</t>
  </si>
  <si>
    <t>Laos, Nong Khiaw</t>
  </si>
  <si>
    <t>Huay Xai - Nong Khiaw</t>
  </si>
  <si>
    <t>Laos, Oudomxay</t>
  </si>
  <si>
    <t>Huay Xai - Oudomxay</t>
  </si>
  <si>
    <t>Huay Xai - Vang Vieng Transfer</t>
  </si>
  <si>
    <t>Huay Xai - Vientiane Transfer</t>
  </si>
  <si>
    <t>Huay Xai - Ban Don Pier</t>
  </si>
  <si>
    <t>van | Van + Slow Boat</t>
  </si>
  <si>
    <t>Huay Xai - Joma Bakery Cafe</t>
  </si>
  <si>
    <t>van | Van + Luxury Slow Boat + Van</t>
  </si>
  <si>
    <t>Huay Xai - Luang Prabang</t>
  </si>
  <si>
    <t>ferry | Slow Boat 12pax</t>
  </si>
  <si>
    <t>Huay Xai - Luang Prabang Railway Station</t>
  </si>
  <si>
    <t>van | Van + 2nd Class Train</t>
  </si>
  <si>
    <t>Huay Xai Pier - Ban Don Pier</t>
  </si>
  <si>
    <t>ferry | Slow Boat</t>
  </si>
  <si>
    <t>Huay Xai - Nateuy Railway Station</t>
  </si>
  <si>
    <t>van | Van</t>
  </si>
  <si>
    <t>Huay Xai - Vang Vieng Railway Station</t>
  </si>
  <si>
    <t>Huay Xai - Vientiane Airport</t>
  </si>
  <si>
    <t>van | Van + Flight</t>
  </si>
  <si>
    <t>Huay Xai - Vientiane Railway Station</t>
  </si>
  <si>
    <t>Thailand, Chiang Khong</t>
  </si>
  <si>
    <t>Huay Xai Transfer - Chiang Khong City center</t>
  </si>
  <si>
    <t>van | Song Taew+Shuttle Bus+Tuk Tuk</t>
  </si>
  <si>
    <t>Huay Xai Transfer - Chiang Khong Transfer</t>
  </si>
  <si>
    <t>van | Song Taew+Shuttle Bus+Van</t>
  </si>
  <si>
    <t>Thailand, Chiang Mai</t>
  </si>
  <si>
    <t>Huay Xai - Chiang Mai</t>
  </si>
  <si>
    <t>van | Van + Truck</t>
  </si>
  <si>
    <t>van | Van + Van 8pax</t>
  </si>
  <si>
    <t>Huay Xai Transfer - Chiang Mai Thapae</t>
  </si>
  <si>
    <t>Huay Xai Transfer - Chiang Mai Train Station</t>
  </si>
  <si>
    <t>Huay Xai Transfer - Chiang Mai Transfer</t>
  </si>
  <si>
    <t>Thailand, Chiang Rai</t>
  </si>
  <si>
    <t>Huay Xai - Chiang Rai</t>
  </si>
  <si>
    <t>Huay Xai Transfer - Chiang Rai Central Plaza</t>
  </si>
  <si>
    <t>Laos, Muang Khua</t>
  </si>
  <si>
    <t>Luang Namtha Bus Station - Muang Khua Bus Station</t>
  </si>
  <si>
    <t>Luang Prabang Transfer - Nateuy Railway Station</t>
  </si>
  <si>
    <t>train | High Speed First Class</t>
  </si>
  <si>
    <t>train | High Speed Second Class</t>
  </si>
  <si>
    <t>Luang Prabang Transfer - Mueang Xai</t>
  </si>
  <si>
    <t>Luang Prabang Transfer - Vang Vieng Railway Station</t>
  </si>
  <si>
    <t>Luang Prabang Transfer - Vang Vieng Transfer</t>
  </si>
  <si>
    <t>train | Transfer+First Class+Transfer</t>
  </si>
  <si>
    <t>train | Transfer+hard seat+Transfer</t>
  </si>
  <si>
    <t>train | Transfer+Second Class+Transfer</t>
  </si>
  <si>
    <t>train | Transfer+Soft sleeper+Transfer</t>
  </si>
  <si>
    <t>Luang Prabang Transfer - Vientiane Railway Station</t>
  </si>
  <si>
    <t>Luang Prabang Transfer - Vientiane Transfer</t>
  </si>
  <si>
    <t>NK Tiger Tours - Vang Vieng Bus Terminal</t>
  </si>
  <si>
    <t>NK Tiger Tours - Vientiane Northern Bus Stop</t>
  </si>
  <si>
    <t>Oudomxay Railway Station - Luang Prabang Railway Station</t>
  </si>
  <si>
    <t>train | First Class</t>
  </si>
  <si>
    <t>train | Hard Seat</t>
  </si>
  <si>
    <t>train | Second Class Reserved Seats</t>
  </si>
  <si>
    <t>Oudomxay Bus Station - Doinouboun Guesthouse</t>
  </si>
  <si>
    <t>Oudomxay Railway Station - Vientiane Railway Station</t>
  </si>
  <si>
    <t>Vietnam, Hanoi</t>
  </si>
  <si>
    <t>Oudomxay Bus Station - My Dinh Bus Station</t>
  </si>
  <si>
    <t>Vietnam, Sapa</t>
  </si>
  <si>
    <t>Oudomxay Bus Station - Sa Pa Night Market</t>
  </si>
  <si>
    <t>GreenParadise Tours and Travel Laos - Rith Mony Bus Chroy Chorngva Branch</t>
  </si>
  <si>
    <t>VLT Natural tours - Rith Mony Bus Chroy Chorngva Branch</t>
  </si>
  <si>
    <t>VLT Natural tours - Pure Coffee Krong Siem Reap</t>
  </si>
  <si>
    <t>China, Jinghong</t>
  </si>
  <si>
    <t>Vang Vieng Railway Station - Xishuangbanna Railway Station</t>
  </si>
  <si>
    <t>Vang Vieng Railway Station - Kunming Railway Station</t>
  </si>
  <si>
    <t>China, Mohan Yunnan</t>
  </si>
  <si>
    <t>Vang Vieng Railway Station - Mohan Railway Station</t>
  </si>
  <si>
    <t>Vang Vieng Railway Station - Luang Prabang Railway Station</t>
  </si>
  <si>
    <t>train | 2nd Class Seat</t>
  </si>
  <si>
    <t>Vang Vieng Transfer - Luang Prabang Railway Station</t>
  </si>
  <si>
    <t>Vang Vieng Transfer - Luang Prabang Transfer</t>
  </si>
  <si>
    <t>Vang Vieng Transfer - Nateuy Railway Station</t>
  </si>
  <si>
    <t>Vang Vieng Transfer - Mueang Xai</t>
  </si>
  <si>
    <t>Vientiane Southern Bus Terminal - Rith Mony Bus Chroy Chorngva Branch</t>
  </si>
  <si>
    <t>Vientiane Southern Bus Terminal - Pure Coffee Krong Siem Reap</t>
  </si>
  <si>
    <t>Vientiane Railway Station - Xishuangbanna Railway Station</t>
  </si>
  <si>
    <t>Vientiane Railway Station - Kunming Railway Station</t>
  </si>
  <si>
    <t>Vientiane Railway Station - Mohan Railway Station</t>
  </si>
  <si>
    <t>Vientiane Transfer - Luang Prabang Railway Station</t>
  </si>
  <si>
    <t>Vientiane Transfer - Luang Prabang Transfer</t>
  </si>
  <si>
    <t>Vientiane Transfer - Mueang Xai</t>
  </si>
  <si>
    <t>Vientiane Railway Station - Vang Vieng Railway Station</t>
  </si>
  <si>
    <t>Vientiane Transfer - Vang Vieng Railway Station</t>
  </si>
  <si>
    <t>Vientiane Transfer - Vang Vieng Transfer</t>
  </si>
  <si>
    <t>Thailand, Khon Kaen</t>
  </si>
  <si>
    <t>Vientiane Hotel Transfer - Khon Kaen Bus Terminal 3</t>
  </si>
  <si>
    <t>bus | Taxi + Bus 45</t>
  </si>
  <si>
    <t>Malaysia, Bidong Island</t>
  </si>
  <si>
    <t>Malaysia, Terengganu</t>
  </si>
  <si>
    <t>Bidong Island - Merang Jetty</t>
  </si>
  <si>
    <t>charter | Private Speedboat 10pax</t>
  </si>
  <si>
    <t>charter | Private Speedboat 15pax</t>
  </si>
  <si>
    <t>charter | Private Speedboat 18pax</t>
  </si>
  <si>
    <t>charter | Private Speedboat 20pax</t>
  </si>
  <si>
    <t>charter | Private Speedboat 36pax</t>
  </si>
  <si>
    <t>Malaysia, Butterworth</t>
  </si>
  <si>
    <t>Malaysia, Kuala Lumpur</t>
  </si>
  <si>
    <t>Butterworth - Kuala Lumpur Hotel Transfer</t>
  </si>
  <si>
    <t>van | Train + Private Car 2pax</t>
  </si>
  <si>
    <t>Malaysia, Johor Bahru</t>
  </si>
  <si>
    <t>Johor Bahru - Kuala Lumpur Hotel Transfer</t>
  </si>
  <si>
    <t>Malaysia, Baling</t>
  </si>
  <si>
    <t>Tbs Kuala Lumpur - Baling</t>
  </si>
  <si>
    <t>Kuala Lumpur Hotel Transfer - Butterworth</t>
  </si>
  <si>
    <t>van | Private Car 2pax + Train</t>
  </si>
  <si>
    <t>Kuala Lumpur Hotel Transfer - Johor Bahru</t>
  </si>
  <si>
    <t>Malaysia, Penang</t>
  </si>
  <si>
    <t>Kuala Lumpur Hotel Transfer - Bukit Mertajam</t>
  </si>
  <si>
    <t>Malaysia, Lang Tengah</t>
  </si>
  <si>
    <t>Malaysia, Perhentian</t>
  </si>
  <si>
    <t>Lang Tengah Island - Perhentian Island</t>
  </si>
  <si>
    <t>Lang Tengah Island - Merang Jetty</t>
  </si>
  <si>
    <t>Bukit Mertajam - Kuala Lumpur Hotel Transfer</t>
  </si>
  <si>
    <t>Perhentian Island - Lang Tengah Island</t>
  </si>
  <si>
    <t>Malaysia, Redang</t>
  </si>
  <si>
    <t>Perhentian Island - Redang Island</t>
  </si>
  <si>
    <t>Redang Island - Perhentian Island</t>
  </si>
  <si>
    <t>Redang Island - Merang Jetty</t>
  </si>
  <si>
    <t>Malaysia, Taman Negara</t>
  </si>
  <si>
    <t>Taman Negara - Merang Jetty</t>
  </si>
  <si>
    <t>charter | Van 10pax</t>
  </si>
  <si>
    <t>Merang Jetty - Bidong Island</t>
  </si>
  <si>
    <t>Merang Jetty - Lang Tengah Island</t>
  </si>
  <si>
    <t>Merang Jetty - Redang Island</t>
  </si>
  <si>
    <t>Merang Jetty - Taman Negara</t>
  </si>
  <si>
    <t>Kuala Terengganu Airport - Taman Tamadun Islam Jetty</t>
  </si>
  <si>
    <t>charter | Standard 4pax</t>
  </si>
  <si>
    <t>Taman Tamadun Islam Jetty - Kuala Terengganu Airport</t>
  </si>
  <si>
    <t>Namibia, Etosha National Park</t>
  </si>
  <si>
    <t>Namibia, Windhoek</t>
  </si>
  <si>
    <t>Ethosa National Park East - Hosea Kutako International Airport</t>
  </si>
  <si>
    <t>charter | Corolla Cross 2 pax</t>
  </si>
  <si>
    <t>charter | Double Cab 4x4 3 pax</t>
  </si>
  <si>
    <t>charter | Fortuner 4x4 3 pax</t>
  </si>
  <si>
    <t>charter | Nissan Trail 4x4 3pax</t>
  </si>
  <si>
    <t>charter | Volkswagen Kombi 7 pax</t>
  </si>
  <si>
    <t>Ethosa National Park East - Windhoek Hotel Transfer</t>
  </si>
  <si>
    <t>Ethosa National Park South - Hosea Kutako International Airport</t>
  </si>
  <si>
    <t>Ethosa National Park South - Windhoek Hotel Transfer</t>
  </si>
  <si>
    <t>Namibia, Sossusvlei</t>
  </si>
  <si>
    <t>Sossusvlei Transfer - Hosea Kutako International Airport</t>
  </si>
  <si>
    <t>Sossusvlei Transfer - Windhoek Hotel Transfer</t>
  </si>
  <si>
    <t>Namibia, Swakopmund</t>
  </si>
  <si>
    <t>Swakopmund Hotel Transfer - Hosea Kutako International Airport</t>
  </si>
  <si>
    <t>Swakopmund Hotel Transfer - Windhoek Hotel Transfer</t>
  </si>
  <si>
    <t>Hosea Kutako International Airport - Ethosa National Park East</t>
  </si>
  <si>
    <t>Hosea Kutako International Airport - Ethosa National Park South</t>
  </si>
  <si>
    <t>Windhoek Hotel Transfer - Ethosa National Park East</t>
  </si>
  <si>
    <t>Windhoek Hotel Transfer - Ethosa National Park South</t>
  </si>
  <si>
    <t>Hosea Kutako International Airport - Sossusvlei Transfer</t>
  </si>
  <si>
    <t>Windhoek Hotel Transfer - Sossusvlei Transfer</t>
  </si>
  <si>
    <t>Hosea Kutako International Airport - Swakopmund Hotel Transfer</t>
  </si>
  <si>
    <t>Windhoek Hotel Transfer - Swakopmund Hotel Transfer</t>
  </si>
  <si>
    <t>Nepal, Chitwan</t>
  </si>
  <si>
    <t>Nepal, Kathmandu</t>
  </si>
  <si>
    <t>Chitwan - Kathmandu</t>
  </si>
  <si>
    <t>charter | Standard 3 pax</t>
  </si>
  <si>
    <t>charter | Standard 6 pax</t>
  </si>
  <si>
    <t>Tourist Bus Park Sauraha - New Road Travels and Tour Office</t>
  </si>
  <si>
    <t>bus | Premium Sofa</t>
  </si>
  <si>
    <t>Nepal, Pokhara</t>
  </si>
  <si>
    <t>Chitwan - Pokhara</t>
  </si>
  <si>
    <t>charter | Standard 12 Pax</t>
  </si>
  <si>
    <t>charter | Standard 28 pax</t>
  </si>
  <si>
    <t>Kathmandu - Chitwan</t>
  </si>
  <si>
    <t>Nepal, Lumbini</t>
  </si>
  <si>
    <t>Kathmandu - Lumbini</t>
  </si>
  <si>
    <t>Nepal, Muktinath</t>
  </si>
  <si>
    <t>Kathmandu - Muktinath</t>
  </si>
  <si>
    <t>Kathmandu - Pokhara</t>
  </si>
  <si>
    <t>Pokhara - Chitwan</t>
  </si>
  <si>
    <t>Pokhara - Kathmandu</t>
  </si>
  <si>
    <t>Pokhara - Lumbini</t>
  </si>
  <si>
    <t>Pokhara - Muktinath</t>
  </si>
  <si>
    <t>Philippines, Cebu</t>
  </si>
  <si>
    <t>Cebu City - Cebu Safari and Adventure Park</t>
  </si>
  <si>
    <t>charter | Sedan 3pax</t>
  </si>
  <si>
    <t>charter | SUV 5pax</t>
  </si>
  <si>
    <t>Cebu City - Cordova</t>
  </si>
  <si>
    <t>Cebu City - Hagnaya Port</t>
  </si>
  <si>
    <t>Cebu City - Maya New Roro Port</t>
  </si>
  <si>
    <t>Cebu City - Oslob</t>
  </si>
  <si>
    <t>Cebu City - San Remigio</t>
  </si>
  <si>
    <t>Mactan Cebu Airport - Cordova</t>
  </si>
  <si>
    <t>Mactan Cebu Airport - Hagnaya Port</t>
  </si>
  <si>
    <t>Mactan Cebu Airport - Maya New Roro Port</t>
  </si>
  <si>
    <t>Mactan Cebu Airport - Oslob</t>
  </si>
  <si>
    <t>Philippines, City of Toledo</t>
  </si>
  <si>
    <t>Cebu City - Toledo City</t>
  </si>
  <si>
    <t>Philippines, Daanbantayan</t>
  </si>
  <si>
    <t>Cebu City - Daanbantayan</t>
  </si>
  <si>
    <t>Philippines, Danao City</t>
  </si>
  <si>
    <t>Cebu City - Danao</t>
  </si>
  <si>
    <t>Philippines, Moalboal</t>
  </si>
  <si>
    <t>Cebu City - Moalboal</t>
  </si>
  <si>
    <t>Mactan Cebu Airport - Moalboal</t>
  </si>
  <si>
    <t>Philippines, Claver</t>
  </si>
  <si>
    <t>Philippines, Socorro Surigao del Norte</t>
  </si>
  <si>
    <t>Hayanggabon Port - Socorro Port</t>
  </si>
  <si>
    <t>ferry | Economy</t>
  </si>
  <si>
    <t>Philippines, Dapa</t>
  </si>
  <si>
    <t>Port of Dapa - Socorro Port</t>
  </si>
  <si>
    <t>Philippines, Roxas City</t>
  </si>
  <si>
    <t>Philippines, Romblon</t>
  </si>
  <si>
    <t>Roxas City Capiz Port - Cajidiocan Port</t>
  </si>
  <si>
    <t>ferry</t>
  </si>
  <si>
    <t>Socorro Port - Hayanggabon Port</t>
  </si>
  <si>
    <t>Socorro Port - Port of Dapa</t>
  </si>
  <si>
    <t>South Africa, Durban</t>
  </si>
  <si>
    <t>South Africa, Ballito</t>
  </si>
  <si>
    <t>Durban International Airport - Ballito Transfer</t>
  </si>
  <si>
    <t>charter | Mercedes C Class 3 pax</t>
  </si>
  <si>
    <t>charter | Mercedes Vito 7 pax</t>
  </si>
  <si>
    <t>charter | Standard 13pax</t>
  </si>
  <si>
    <t>charter | Standard 7pax</t>
  </si>
  <si>
    <t>Durban International Airport - Zimbali Estate Transfer</t>
  </si>
  <si>
    <t>Durban International Airport - Durban Central Transfer</t>
  </si>
  <si>
    <t>South Africa, Hluhluwe iMfolozi Park</t>
  </si>
  <si>
    <t>Durban International Airport - Hluhluwe-iMfolozi Park Transfer</t>
  </si>
  <si>
    <t>South Africa, Howick</t>
  </si>
  <si>
    <t>Durban International Airport - Howick Transfer</t>
  </si>
  <si>
    <t>South Africa, Margate South Africa</t>
  </si>
  <si>
    <t>Durban International Airport - Margate Transfer</t>
  </si>
  <si>
    <t>South Africa, Pietermaritzburg</t>
  </si>
  <si>
    <t>Durban International Airport - Pietermaritzburg Transfer</t>
  </si>
  <si>
    <t>South Africa, Port Shepstone</t>
  </si>
  <si>
    <t>Durban International Airport - Port Shepstone Transfer</t>
  </si>
  <si>
    <t>South Africa, Richards Bay</t>
  </si>
  <si>
    <t>Durban International Airport - Richards Bay Transfer</t>
  </si>
  <si>
    <t>Durban International Airport - University of Zulu Land</t>
  </si>
  <si>
    <t>South Africa, St Lucia</t>
  </si>
  <si>
    <t>Durban International Airport - St Lucia Transfer</t>
  </si>
  <si>
    <t>South Africa, Umhlanga Rocks</t>
  </si>
  <si>
    <t>Durban International Airport - Umhlanga Rocks Transfer</t>
  </si>
  <si>
    <t>South Africa, Underberg</t>
  </si>
  <si>
    <t>Durban International Airport - Underberg Transfer</t>
  </si>
  <si>
    <t>South Africa, Johannesburg</t>
  </si>
  <si>
    <t>South Africa, Madhikwe Game Reserve</t>
  </si>
  <si>
    <t>OR Tambo International Airport - Madhikwe Game Reserve Transfer</t>
  </si>
  <si>
    <t>charter | Hyundai Staria Minivan 2 pax</t>
  </si>
  <si>
    <t>charter | Hyundai Staria Minivan 4 pax</t>
  </si>
  <si>
    <t>charter | Hyundai Staria Minivan 7 pax</t>
  </si>
  <si>
    <t>South Africa, Skukuza</t>
  </si>
  <si>
    <t>OR Tambo International Airport - Skukuza Transfer</t>
  </si>
  <si>
    <t>South Africa, Sun City</t>
  </si>
  <si>
    <t>OR Tambo International Airport - Sun City Resort</t>
  </si>
  <si>
    <t>South Africa, Waterberg Estate</t>
  </si>
  <si>
    <t>OR Tambo International Airport - Waterberg Estate Transfer</t>
  </si>
  <si>
    <t>Madhikwe Game Reserve Transfer - OR Tambo International Airport</t>
  </si>
  <si>
    <t>Skukuza Transfer - OR Tambo International Airport</t>
  </si>
  <si>
    <t>Sun City Resort - OR Tambo International Airport</t>
  </si>
  <si>
    <t>Waterberg Estate Transfer - OR Tambo International Airport</t>
  </si>
  <si>
    <t>South Korea, Incheon</t>
  </si>
  <si>
    <t>South Korea, Seoul</t>
  </si>
  <si>
    <t>Incheon Airport - Seoul City</t>
  </si>
  <si>
    <t>charter | Luxury 5pax</t>
  </si>
  <si>
    <t>charter | Luxury Minivan 5pax</t>
  </si>
  <si>
    <t>charter | Minivan 5pax</t>
  </si>
  <si>
    <t>charter | Minivan 7pax</t>
  </si>
  <si>
    <t>charter | Minivan 8pax</t>
  </si>
  <si>
    <t>charter | Premium Minivan 5pax</t>
  </si>
  <si>
    <t>Seoul City - Incheon Airport</t>
  </si>
  <si>
    <t>Gimpo Airport - Seoul City</t>
  </si>
  <si>
    <t>Seoul City - Gimpo Airport</t>
  </si>
  <si>
    <t>South Korea, Yongin</t>
  </si>
  <si>
    <t>Dongdaemun History and Culture Park - Everland</t>
  </si>
  <si>
    <t>bus | Shuttle Bus (Round Trip)</t>
  </si>
  <si>
    <t>Hapjeong Station - Everland</t>
  </si>
  <si>
    <t>Hongik University Station Exit 4 - Everland</t>
  </si>
  <si>
    <t>Jongno 3 ga Station - Everland</t>
  </si>
  <si>
    <t>Myeongdong - Everland</t>
  </si>
  <si>
    <t>Seoul Station - Everland</t>
  </si>
  <si>
    <t>Sri Lanka, Ambanpola</t>
  </si>
  <si>
    <t>Sri Lanka, Ambepussa</t>
  </si>
  <si>
    <t>Ambanpola - Ambepussa</t>
  </si>
  <si>
    <t>train | 1st Class Seat</t>
  </si>
  <si>
    <t>Sri Lanka, Anuradhapura</t>
  </si>
  <si>
    <t>Ambanpola - Anuradhapura</t>
  </si>
  <si>
    <t>Ambanpola - Shrawasthipura</t>
  </si>
  <si>
    <t>Sri Lanka, Colombo</t>
  </si>
  <si>
    <t>Ambanpola - Colombo Fort</t>
  </si>
  <si>
    <t>Ambanpola - Mount Lavinia</t>
  </si>
  <si>
    <t>Ambanpola - Wellawatta</t>
  </si>
  <si>
    <t>Sri Lanka, Gampaha</t>
  </si>
  <si>
    <t>Ambanpola - Gampaha</t>
  </si>
  <si>
    <t>Sri Lanka, Ganewatta</t>
  </si>
  <si>
    <t>Ambanpola - Ganewatta</t>
  </si>
  <si>
    <t>Sri Lanka, Jaffna</t>
  </si>
  <si>
    <t>Ambanpola - Jaffna Train Station</t>
  </si>
  <si>
    <t>Sri Lanka, Kankesanthurai</t>
  </si>
  <si>
    <t>Ambanpola - Kankesanthurai</t>
  </si>
  <si>
    <t>Sri Lanka, Kilinochchi</t>
  </si>
  <si>
    <t>Ambanpola - Kilinochchi</t>
  </si>
  <si>
    <t>Sri Lanka, Kodikamam</t>
  </si>
  <si>
    <t>Ambanpola - Kodikamam</t>
  </si>
  <si>
    <t>Sri Lanka, Kurunegala</t>
  </si>
  <si>
    <t>Ambanpola - Alawwa</t>
  </si>
  <si>
    <t>Ambanpola - Kurunegala</t>
  </si>
  <si>
    <t>Ambanpola - Wellawa</t>
  </si>
  <si>
    <t>Sri Lanka, Maho</t>
  </si>
  <si>
    <t>Ambanpola - Galgamuwa</t>
  </si>
  <si>
    <t>Ambanpola - Maho</t>
  </si>
  <si>
    <t>Ambanpola - Nagollagama</t>
  </si>
  <si>
    <t>Sri Lanka, Mirigama</t>
  </si>
  <si>
    <t>Ambanpola - Mirigama</t>
  </si>
  <si>
    <t>Sri Lanka, North Western Province</t>
  </si>
  <si>
    <t>Ambanpola - Senarathgama</t>
  </si>
  <si>
    <t>Sri Lanka, Polgahawela</t>
  </si>
  <si>
    <t>Ambanpola - Polgahawela</t>
  </si>
  <si>
    <t>Sri Lanka, Talawa</t>
  </si>
  <si>
    <t>Ambanpola - Talawa</t>
  </si>
  <si>
    <t>Sri Lanka, Tambuttegama</t>
  </si>
  <si>
    <t>Ambanpola - Thambuttegama</t>
  </si>
  <si>
    <t>Sri Lanka, Vavuniya</t>
  </si>
  <si>
    <t>Ambanpola - Vavuniya</t>
  </si>
  <si>
    <t>Sri Lanka, Veyangoda</t>
  </si>
  <si>
    <t>Ambanpola - Veyangoda</t>
  </si>
  <si>
    <t>Ambepussa - Ambanpola</t>
  </si>
  <si>
    <t>Ambepussa - Anuradhapura</t>
  </si>
  <si>
    <t>Ambepussa - Shrawasthipura</t>
  </si>
  <si>
    <t>Ambepussa - Colombo Fort</t>
  </si>
  <si>
    <t>Ambepussa - Mount Lavinia</t>
  </si>
  <si>
    <t>Ambepussa - Wellawatta</t>
  </si>
  <si>
    <t>Ambepussa - Gampaha</t>
  </si>
  <si>
    <t>Ambepussa - Ganewatta</t>
  </si>
  <si>
    <t>Ambepussa - Jaffna Train Station</t>
  </si>
  <si>
    <t>Ambepussa - Kankesanthurai</t>
  </si>
  <si>
    <t>Ambepussa - Kilinochchi</t>
  </si>
  <si>
    <t>Ambepussa - Kodikamam</t>
  </si>
  <si>
    <t>Ambepussa - Alawwa</t>
  </si>
  <si>
    <t>Ambepussa - Kurunegala</t>
  </si>
  <si>
    <t>Ambepussa - Wellawa</t>
  </si>
  <si>
    <t>Ambepussa - Galgamuwa</t>
  </si>
  <si>
    <t>Ambepussa - Maho</t>
  </si>
  <si>
    <t>Ambepussa - Nagollagama</t>
  </si>
  <si>
    <t>Ambepussa - Mirigama</t>
  </si>
  <si>
    <t>Ambepussa - Senarathgama</t>
  </si>
  <si>
    <t>Ambepussa - Polgahawela</t>
  </si>
  <si>
    <t>Ambepussa - Talawa</t>
  </si>
  <si>
    <t>Ambepussa - Thambuttegama</t>
  </si>
  <si>
    <t>Ambepussa - Vavuniya</t>
  </si>
  <si>
    <t>Ambepussa - Veyangoda</t>
  </si>
  <si>
    <t>Anuradhapura - Ambanpola</t>
  </si>
  <si>
    <t>Shrawasthipura - Ambanpola</t>
  </si>
  <si>
    <t>Anuradhapura - Ambepussa</t>
  </si>
  <si>
    <t>Shrawasthipura - Ambepussa</t>
  </si>
  <si>
    <t>Anuradhapura - Shrawasthipura</t>
  </si>
  <si>
    <t>Shrawasthipura - Anuradhapura</t>
  </si>
  <si>
    <t>Anuradhapura - Colombo Fort</t>
  </si>
  <si>
    <t>Anuradhapura - Mount Lavinia</t>
  </si>
  <si>
    <t>Anuradhapura - Wellawatta</t>
  </si>
  <si>
    <t>Shrawasthipura - Colombo Fort</t>
  </si>
  <si>
    <t>Shrawasthipura - Mount Lavinia</t>
  </si>
  <si>
    <t>Shrawasthipura - Wellawatta</t>
  </si>
  <si>
    <t>Anuradhapura - Gampaha</t>
  </si>
  <si>
    <t>Shrawasthipura - Gampaha</t>
  </si>
  <si>
    <t>Anuradhapura - Ganewatta</t>
  </si>
  <si>
    <t>Shrawasthipura - Ganewatta</t>
  </si>
  <si>
    <t>Anuradhapura - Jaffna Train Station</t>
  </si>
  <si>
    <t>Shrawasthipura - Jaffna Train Station</t>
  </si>
  <si>
    <t>Anuradhapura - Kankesanthurai</t>
  </si>
  <si>
    <t>Shrawasthipura - Kankesanthurai</t>
  </si>
  <si>
    <t>Anuradhapura - Kilinochchi</t>
  </si>
  <si>
    <t>Shrawasthipura - Kilinochchi</t>
  </si>
  <si>
    <t>Anuradhapura - Kodikamam</t>
  </si>
  <si>
    <t>Shrawasthipura - Kodikamam</t>
  </si>
  <si>
    <t>Anuradhapura - Alawwa</t>
  </si>
  <si>
    <t>Anuradhapura - Kurunegala</t>
  </si>
  <si>
    <t>Anuradhapura - Wellawa</t>
  </si>
  <si>
    <t>Shrawasthipura - Alawwa</t>
  </si>
  <si>
    <t>Shrawasthipura - Kurunegala</t>
  </si>
  <si>
    <t>Shrawasthipura - Wellawa</t>
  </si>
  <si>
    <t>Anuradhapura - Galgamuwa</t>
  </si>
  <si>
    <t>Anuradhapura - Maho</t>
  </si>
  <si>
    <t>Anuradhapura - Nagollagama</t>
  </si>
  <si>
    <t>Shrawasthipura - Galgamuwa</t>
  </si>
  <si>
    <t>Shrawasthipura - Maho</t>
  </si>
  <si>
    <t>Shrawasthipura - Nagollagama</t>
  </si>
  <si>
    <t>Anuradhapura - Mirigama</t>
  </si>
  <si>
    <t>Shrawasthipura - Mirigama</t>
  </si>
  <si>
    <t>Anuradhapura - Senarathgama</t>
  </si>
  <si>
    <t>Shrawasthipura - Senarathgama</t>
  </si>
  <si>
    <t>Anuradhapura - Polgahawela</t>
  </si>
  <si>
    <t>Shrawasthipura - Polgahawela</t>
  </si>
  <si>
    <t>Anuradhapura - Talawa</t>
  </si>
  <si>
    <t>Shrawasthipura - Talawa</t>
  </si>
  <si>
    <t>Anuradhapura - Thambuttegama</t>
  </si>
  <si>
    <t>Shrawasthipura - Thambuttegama</t>
  </si>
  <si>
    <t>Anuradhapura - Vavuniya</t>
  </si>
  <si>
    <t>Shrawasthipura - Vavuniya</t>
  </si>
  <si>
    <t>Anuradhapura - Veyangoda</t>
  </si>
  <si>
    <t>Shrawasthipura - Veyangoda</t>
  </si>
  <si>
    <t>Sri Lanka, Arugam Bay</t>
  </si>
  <si>
    <t>Sri Lanka, Colombo Airport</t>
  </si>
  <si>
    <t>Arugam Bay - Bandaranaike Airport</t>
  </si>
  <si>
    <t>Sri Lanka, Ella</t>
  </si>
  <si>
    <t>Arugam Bay - Ella Hotel Transfer</t>
  </si>
  <si>
    <t>Sri Lanka, Sigiriya</t>
  </si>
  <si>
    <t>Arugam Bay - Sigiriya</t>
  </si>
  <si>
    <t>Colombo Fort - Ambanpola</t>
  </si>
  <si>
    <t>Mount Lavinia - Ambanpola</t>
  </si>
  <si>
    <t>Colombo Fort - Ambepussa</t>
  </si>
  <si>
    <t>Mount Lavinia - Ambepussa</t>
  </si>
  <si>
    <t>Colombo Fort - Anuradhapura</t>
  </si>
  <si>
    <t>Colombo Fort - Shrawasthipura</t>
  </si>
  <si>
    <t>Mount Lavinia - Anuradhapura</t>
  </si>
  <si>
    <t>Mount Lavinia - Shrawasthipura</t>
  </si>
  <si>
    <t>Colombo Bandaranaike Airport - Arugam Bay Transfer</t>
  </si>
  <si>
    <t>Colombo Fort - Mount Lavinia</t>
  </si>
  <si>
    <t>Colombo Fort - Wellawatta</t>
  </si>
  <si>
    <t>Mount Lavinia - Colombo Fort</t>
  </si>
  <si>
    <t>Wellawatta - Mount Lavinia</t>
  </si>
  <si>
    <t>Colombo - Ella</t>
  </si>
  <si>
    <t>van | Van + Bus + Van</t>
  </si>
  <si>
    <t>Sri Lanka, Galle</t>
  </si>
  <si>
    <t>Colombo - Galle</t>
  </si>
  <si>
    <t>Colombo Fort - Gampaha</t>
  </si>
  <si>
    <t>Mount Lavinia - Gampaha</t>
  </si>
  <si>
    <t>Colombo Fort - Ganewatta</t>
  </si>
  <si>
    <t>Mount Lavinia - Ganewatta</t>
  </si>
  <si>
    <t>Colombo Fort - Jaffna Train Station</t>
  </si>
  <si>
    <t>Mount Lavinia - Jaffna Train Station</t>
  </si>
  <si>
    <t>Sri Lanka, Kandy</t>
  </si>
  <si>
    <t>Colombo Transfer - Kandy Transfer</t>
  </si>
  <si>
    <t>charter | Kandy Kumbal Perahera festival</t>
  </si>
  <si>
    <t>Colombo Fort - Kankesanthurai</t>
  </si>
  <si>
    <t>Mount Lavinia - Kankesanthurai</t>
  </si>
  <si>
    <t>Colombo Fort - Kilinochchi</t>
  </si>
  <si>
    <t>Mount Lavinia - Kilinochchi</t>
  </si>
  <si>
    <t>Colombo Fort - Kodikamam</t>
  </si>
  <si>
    <t>Mount Lavinia - Kodikamam</t>
  </si>
  <si>
    <t>Colombo Fort - Alawwa</t>
  </si>
  <si>
    <t>Colombo Fort - Kurunegala</t>
  </si>
  <si>
    <t>Colombo Fort - Wellawa</t>
  </si>
  <si>
    <t>Mount Lavinia - Alawwa</t>
  </si>
  <si>
    <t>Mount Lavinia - Kurunegala</t>
  </si>
  <si>
    <t>Mount Lavinia - Wellawa</t>
  </si>
  <si>
    <t>Colombo Fort - Galgamuwa</t>
  </si>
  <si>
    <t>Colombo Fort - Maho</t>
  </si>
  <si>
    <t>Colombo Fort - Nagollagama</t>
  </si>
  <si>
    <t>Mount Lavinia - Galgamuwa</t>
  </si>
  <si>
    <t>Mount Lavinia - Maho</t>
  </si>
  <si>
    <t>Mount Lavinia - Nagollagama</t>
  </si>
  <si>
    <t>Sri Lanka, Matara</t>
  </si>
  <si>
    <t>Colombo - Matara</t>
  </si>
  <si>
    <t>Colombo Fort - Mirigama</t>
  </si>
  <si>
    <t>Mount Lavinia - Mirigama</t>
  </si>
  <si>
    <t>Colombo Fort - Senarathgama</t>
  </si>
  <si>
    <t>Mount Lavinia - Senarathgama</t>
  </si>
  <si>
    <t>Sri Lanka, Nuwara Eliya</t>
  </si>
  <si>
    <t>Pettah Bus Station - Nuwara Eliya Main Bus Station</t>
  </si>
  <si>
    <t>Pettah Bus Station - Nuwara Eliya Post Office</t>
  </si>
  <si>
    <t>Colombo Fort - Polgahawela</t>
  </si>
  <si>
    <t>Mount Lavinia - Polgahawela</t>
  </si>
  <si>
    <t>Sri Lanka, Pottuvil</t>
  </si>
  <si>
    <t>Wellawatte 42Ln - Food City Pottuvil</t>
  </si>
  <si>
    <t>Colombo Fort - Talawa</t>
  </si>
  <si>
    <t>Mount Lavinia - Talawa</t>
  </si>
  <si>
    <t>Colombo Fort - Thambuttegama</t>
  </si>
  <si>
    <t>Mount Lavinia - Thambuttegama</t>
  </si>
  <si>
    <t>Sri Lanka, Tangalle</t>
  </si>
  <si>
    <t>Colombo - Tangalle</t>
  </si>
  <si>
    <t>Sri Lanka, Trincomalee</t>
  </si>
  <si>
    <t>Colombo Bandaranaike Airport - Trincomalee Transfer</t>
  </si>
  <si>
    <t>Pettah Bus Station - Trincomalee Post Office</t>
  </si>
  <si>
    <t>Colombo Fort - Vavuniya</t>
  </si>
  <si>
    <t>Mount Lavinia - Vavuniya</t>
  </si>
  <si>
    <t>Colombo Fort - Veyangoda</t>
  </si>
  <si>
    <t>Mount Lavinia - Veyangoda</t>
  </si>
  <si>
    <t>Bandaranaike Airport - Arugam Bay</t>
  </si>
  <si>
    <t>Colombo Airport - Ella</t>
  </si>
  <si>
    <t>bus | Bus + Van</t>
  </si>
  <si>
    <t>Colombo Airport - Galle</t>
  </si>
  <si>
    <t>Bandaranaike Airport - Kandy Transfer</t>
  </si>
  <si>
    <t>Colombo Airport - Kandy</t>
  </si>
  <si>
    <t>Colombo Airport - Tangalle</t>
  </si>
  <si>
    <t>Ella Hotel Transfer - Arugam Bay</t>
  </si>
  <si>
    <t>Ella - Kandy Transfer</t>
  </si>
  <si>
    <t>Ella Hotel Transfer - Trincomalee Hotel Transfer</t>
  </si>
  <si>
    <t>Gampaha - Ambanpola</t>
  </si>
  <si>
    <t>Gampaha - Ambepussa</t>
  </si>
  <si>
    <t>Gampaha - Anuradhapura</t>
  </si>
  <si>
    <t>Gampaha - Shrawasthipura</t>
  </si>
  <si>
    <t>Gampaha - Colombo Fort</t>
  </si>
  <si>
    <t>Gampaha - Mount Lavinia</t>
  </si>
  <si>
    <t>Gampaha - Wellawatta</t>
  </si>
  <si>
    <t>Gampaha - Ganewatta</t>
  </si>
  <si>
    <t>Gampaha - Jaffna Train Station</t>
  </si>
  <si>
    <t>Gampaha - Kankesanthurai</t>
  </si>
  <si>
    <t>Gampaha - Kilinochchi</t>
  </si>
  <si>
    <t>Gampaha - Kodikamam</t>
  </si>
  <si>
    <t>Gampaha - Alawwa</t>
  </si>
  <si>
    <t>Gampaha - Kurunegala</t>
  </si>
  <si>
    <t>Gampaha - Wellawa</t>
  </si>
  <si>
    <t>Gampaha - Galgamuwa</t>
  </si>
  <si>
    <t>Gampaha - Maho</t>
  </si>
  <si>
    <t>Gampaha - Nagollagama</t>
  </si>
  <si>
    <t>Gampaha - Mirigama</t>
  </si>
  <si>
    <t>Gampaha - Senarathgama</t>
  </si>
  <si>
    <t>Gampaha - Polgahawela</t>
  </si>
  <si>
    <t>Gampaha - Talawa</t>
  </si>
  <si>
    <t>Gampaha - Thambuttegama</t>
  </si>
  <si>
    <t>Gampaha - Vavuniya</t>
  </si>
  <si>
    <t>Gampaha - Veyangoda</t>
  </si>
  <si>
    <t>Ganewatta - Ambanpola</t>
  </si>
  <si>
    <t>Ganewatta - Ambepussa</t>
  </si>
  <si>
    <t>Ganewatta - Anuradhapura</t>
  </si>
  <si>
    <t>Ganewatta - Shrawasthipura</t>
  </si>
  <si>
    <t>Ganewatta - Colombo Fort</t>
  </si>
  <si>
    <t>Ganewatta - Mount Lavinia</t>
  </si>
  <si>
    <t>Ganewatta - Wellawatta</t>
  </si>
  <si>
    <t>Ganewatta - Gampaha</t>
  </si>
  <si>
    <t>Ganewatta - Jaffna Train Station</t>
  </si>
  <si>
    <t>Ganewatta - Kankesanthurai</t>
  </si>
  <si>
    <t>Ganewatta - Kilinochchi</t>
  </si>
  <si>
    <t>Ganewatta - Kodikamam</t>
  </si>
  <si>
    <t>Ganewatta - Alawwa</t>
  </si>
  <si>
    <t>Ganewatta - Kurunegala</t>
  </si>
  <si>
    <t>Ganewatta - Wellawa</t>
  </si>
  <si>
    <t>Ganewatta - Galgamuwa</t>
  </si>
  <si>
    <t>Ganewatta - Maho</t>
  </si>
  <si>
    <t>Ganewatta - Nagollagama</t>
  </si>
  <si>
    <t>Ganewatta - Mirigama</t>
  </si>
  <si>
    <t>Ganewatta - Senarathgama</t>
  </si>
  <si>
    <t>Ganewatta - Polgahawela</t>
  </si>
  <si>
    <t>Ganewatta - Talawa</t>
  </si>
  <si>
    <t>Ganewatta - Thambuttegama</t>
  </si>
  <si>
    <t>Ganewatta - Vavuniya</t>
  </si>
  <si>
    <t>Ganewatta - Veyangoda</t>
  </si>
  <si>
    <t>Sri Lanka, Habarana</t>
  </si>
  <si>
    <t>Habarana - Kandy Transfer</t>
  </si>
  <si>
    <t>Jaffna Train Station - Ambanpola</t>
  </si>
  <si>
    <t>Jaffna Train Station - Ambepussa</t>
  </si>
  <si>
    <t>Jaffna Train Station - Anuradhapura</t>
  </si>
  <si>
    <t>Jaffna Train Station - Shrawasthipura</t>
  </si>
  <si>
    <t>Jaffna Train Station - Colombo Fort</t>
  </si>
  <si>
    <t>Jaffna Train Station - Mount Lavinia</t>
  </si>
  <si>
    <t>Jaffna Train Station - Wellawatta</t>
  </si>
  <si>
    <t>Jaffna Train Station - Gampaha</t>
  </si>
  <si>
    <t>Jaffna Train Station - Ganewatta</t>
  </si>
  <si>
    <t>Jaffna Train Station - Kankesanthurai</t>
  </si>
  <si>
    <t>Jaffna Train Station - Kilinochchi</t>
  </si>
  <si>
    <t>Jaffna Train Station - Kodikamam</t>
  </si>
  <si>
    <t>Jaffna Train Station - Alawwa</t>
  </si>
  <si>
    <t>Jaffna Train Station - Kurunegala</t>
  </si>
  <si>
    <t>Jaffna Train Station - Wellawa</t>
  </si>
  <si>
    <t>Jaffna Train Station - Galgamuwa</t>
  </si>
  <si>
    <t>Jaffna Train Station - Maho</t>
  </si>
  <si>
    <t>Jaffna Train Station - Nagollagama</t>
  </si>
  <si>
    <t>Jaffna Train Station - Mirigama</t>
  </si>
  <si>
    <t>Jaffna Train Station - Senarathgama</t>
  </si>
  <si>
    <t>Jaffna Train Station - Polgahawela</t>
  </si>
  <si>
    <t>Jaffna Train Station - Talawa</t>
  </si>
  <si>
    <t>Jaffna Train Station - Thambuttegama</t>
  </si>
  <si>
    <t>Jaffna Train Station - Vavuniya</t>
  </si>
  <si>
    <t>Jaffna Train Station - Veyangoda</t>
  </si>
  <si>
    <t>Kankesanthurai - Ambanpola</t>
  </si>
  <si>
    <t>Kankesanthurai - Ambepussa</t>
  </si>
  <si>
    <t>Kankesanthurai - Anuradhapura</t>
  </si>
  <si>
    <t>Kankesanthurai - Shrawasthipura</t>
  </si>
  <si>
    <t>Kankesanthurai - Colombo Fort</t>
  </si>
  <si>
    <t>Kankesanthurai - Mount Lavinia</t>
  </si>
  <si>
    <t>Kankesanthurai - Wellawatta</t>
  </si>
  <si>
    <t>Kankesanthurai - Gampaha</t>
  </si>
  <si>
    <t>Kankesanthurai - Ganewatta</t>
  </si>
  <si>
    <t>Kankesanthurai - Jaffna Train Station</t>
  </si>
  <si>
    <t>Kankesanthurai - Kilinochchi</t>
  </si>
  <si>
    <t>Kankesanthurai - Kodikamam</t>
  </si>
  <si>
    <t>Kankesanthurai - Alawwa</t>
  </si>
  <si>
    <t>Kankesanthurai - Kurunegala</t>
  </si>
  <si>
    <t>Kankesanthurai - Wellawa</t>
  </si>
  <si>
    <t>Kankesanthurai - Galgamuwa</t>
  </si>
  <si>
    <t>Kankesanthurai - Maho</t>
  </si>
  <si>
    <t>Kankesanthurai - Nagollagama</t>
  </si>
  <si>
    <t>Kankesanthurai - Mirigama</t>
  </si>
  <si>
    <t>Kankesanthurai - Senarathgama</t>
  </si>
  <si>
    <t>Kankesanthurai - Polgahawela</t>
  </si>
  <si>
    <t>Kankesanthurai - Talawa</t>
  </si>
  <si>
    <t>Kankesanthurai - Thambuttegama</t>
  </si>
  <si>
    <t>Kankesanthurai - Vavuniya</t>
  </si>
  <si>
    <t>Kankesanthurai - Veyangoda</t>
  </si>
  <si>
    <t>Kilinochchi - Ambanpola</t>
  </si>
  <si>
    <t>Kilinochchi - Ambepussa</t>
  </si>
  <si>
    <t>Kilinochchi - Anuradhapura</t>
  </si>
  <si>
    <t>Kilinochchi - Shrawasthipura</t>
  </si>
  <si>
    <t>Kilinochchi - Colombo Fort</t>
  </si>
  <si>
    <t>Kilinochchi - Mount Lavinia</t>
  </si>
  <si>
    <t>Kilinochchi - Wellawatta</t>
  </si>
  <si>
    <t>Kilinochchi - Gampaha</t>
  </si>
  <si>
    <t>Kilinochchi - Ganewatta</t>
  </si>
  <si>
    <t>Kilinochchi - Jaffna Train Station</t>
  </si>
  <si>
    <t>Kilinochchi - Kankesanthurai</t>
  </si>
  <si>
    <t>Kilinochchi - Kodikamam</t>
  </si>
  <si>
    <t>Kilinochchi - Alawwa</t>
  </si>
  <si>
    <t>Kilinochchi - Kurunegala</t>
  </si>
  <si>
    <t>Kilinochchi - Wellawa</t>
  </si>
  <si>
    <t>Kilinochchi - Galgamuwa</t>
  </si>
  <si>
    <t>Kilinochchi - Maho</t>
  </si>
  <si>
    <t>Kilinochchi - Nagollagama</t>
  </si>
  <si>
    <t>Kilinochchi - Mirigama</t>
  </si>
  <si>
    <t>Kilinochchi - Senarathgama</t>
  </si>
  <si>
    <t>Kilinochchi - Polgahawela</t>
  </si>
  <si>
    <t>Kilinochchi - Talawa</t>
  </si>
  <si>
    <t>Kilinochchi - Thambuttegama</t>
  </si>
  <si>
    <t>Kilinochchi - Vavuniya</t>
  </si>
  <si>
    <t>Kilinochchi - Veyangoda</t>
  </si>
  <si>
    <t>Kodikamam - Ambanpola</t>
  </si>
  <si>
    <t>Kodikamam - Ambepussa</t>
  </si>
  <si>
    <t>Kodikamam - Anuradhapura</t>
  </si>
  <si>
    <t>Kodikamam - Shrawasthipura</t>
  </si>
  <si>
    <t>Kodikamam - Colombo Fort</t>
  </si>
  <si>
    <t>Kodikamam - Mount Lavinia</t>
  </si>
  <si>
    <t>Kodikamam - Wellawatta</t>
  </si>
  <si>
    <t>Kodikamam - Gampaha</t>
  </si>
  <si>
    <t>Kodikamam - Ganewatta</t>
  </si>
  <si>
    <t>Kodikamam - Jaffna Train Station</t>
  </si>
  <si>
    <t>Kodikamam - Kankesanthurai</t>
  </si>
  <si>
    <t>Kodikamam - Kilinochchi</t>
  </si>
  <si>
    <t>Kodikamam - Alawwa</t>
  </si>
  <si>
    <t>Kodikamam - Kurunegala</t>
  </si>
  <si>
    <t>Kodikamam - Wellawa</t>
  </si>
  <si>
    <t>Kodikamam - Galgamuwa</t>
  </si>
  <si>
    <t>Kodikamam - Maho</t>
  </si>
  <si>
    <t>Kodikamam - Nagollagama</t>
  </si>
  <si>
    <t>Kodikamam - Mirigama</t>
  </si>
  <si>
    <t>Kodikamam - Senarathgama</t>
  </si>
  <si>
    <t>Kodikamam - Polgahawela</t>
  </si>
  <si>
    <t>Kodikamam - Talawa</t>
  </si>
  <si>
    <t>Kodikamam - Thambuttegama</t>
  </si>
  <si>
    <t>Kodikamam - Vavuniya</t>
  </si>
  <si>
    <t>Kodikamam - Veyangoda</t>
  </si>
  <si>
    <t>Alawwa - Ambanpola</t>
  </si>
  <si>
    <t>Kurunegala - Ambanpola</t>
  </si>
  <si>
    <t>Wellawa - Ambanpola</t>
  </si>
  <si>
    <t>Alawwa - Ambepussa</t>
  </si>
  <si>
    <t>Kurunegala - Ambepussa</t>
  </si>
  <si>
    <t>Wellawa - Ambepussa</t>
  </si>
  <si>
    <t>Alawwa - Anuradhapura</t>
  </si>
  <si>
    <t>Alawwa - Shrawasthipura</t>
  </si>
  <si>
    <t>Kurunegala - Anuradhapura</t>
  </si>
  <si>
    <t>Kurunegala - Shrawasthipura</t>
  </si>
  <si>
    <t>Wellawa - Anuradhapura</t>
  </si>
  <si>
    <t>Wellawa - Shrawasthipura</t>
  </si>
  <si>
    <t>Alawwa - Colombo Fort</t>
  </si>
  <si>
    <t>Alawwa - Mount Lavinia</t>
  </si>
  <si>
    <t>Alawwa - Wellawatta</t>
  </si>
  <si>
    <t>Kurunegala - Colombo Fort</t>
  </si>
  <si>
    <t>Kurunegala - Mount Lavinia</t>
  </si>
  <si>
    <t>Kurunegala - Wellawatta</t>
  </si>
  <si>
    <t>Wellawa - Colombo Fort</t>
  </si>
  <si>
    <t>Wellawa - Mount Lavinia</t>
  </si>
  <si>
    <t>Wellawa - Wellawatta</t>
  </si>
  <si>
    <t>Alawwa - Gampaha</t>
  </si>
  <si>
    <t>Kurunegala - Gampaha</t>
  </si>
  <si>
    <t>Wellawa - Gampaha</t>
  </si>
  <si>
    <t>Alawwa - Ganewatta</t>
  </si>
  <si>
    <t>Kurunegala - Ganewatta</t>
  </si>
  <si>
    <t>Wellawa - Ganewatta</t>
  </si>
  <si>
    <t>Alawwa - Jaffna Train Station</t>
  </si>
  <si>
    <t>Kurunegala - Jaffna Train Station</t>
  </si>
  <si>
    <t>Wellawa - Jaffna Train Station</t>
  </si>
  <si>
    <t>Alawwa - Kankesanthurai</t>
  </si>
  <si>
    <t>Kurunegala - Kankesanthurai</t>
  </si>
  <si>
    <t>Wellawa - Kankesanthurai</t>
  </si>
  <si>
    <t>Alawwa - Kilinochchi</t>
  </si>
  <si>
    <t>Kurunegala - Kilinochchi</t>
  </si>
  <si>
    <t>Wellawa - Kilinochchi</t>
  </si>
  <si>
    <t>Alawwa - Kodikamam</t>
  </si>
  <si>
    <t>Kurunegala - Kodikamam</t>
  </si>
  <si>
    <t>Wellawa - Kodikamam</t>
  </si>
  <si>
    <t>Alawwa - Kurunegala</t>
  </si>
  <si>
    <t>Alawwa - Wellawa</t>
  </si>
  <si>
    <t>Kurunegala - Alawwa</t>
  </si>
  <si>
    <t>Kurunegala - Wellawa</t>
  </si>
  <si>
    <t>Wellawa - Alawwa</t>
  </si>
  <si>
    <t>Wellawa - Kurunegala</t>
  </si>
  <si>
    <t>Alawwa - Galgamuwa</t>
  </si>
  <si>
    <t>Alawwa - Maho</t>
  </si>
  <si>
    <t>Alawwa - Nagollagama</t>
  </si>
  <si>
    <t>Kurunegala - Galgamuwa</t>
  </si>
  <si>
    <t>Kurunegala - Maho</t>
  </si>
  <si>
    <t>Kurunegala - Nagollagama</t>
  </si>
  <si>
    <t>Wellawa - Galgamuwa</t>
  </si>
  <si>
    <t>Wellawa - Maho</t>
  </si>
  <si>
    <t>Wellawa - Nagollagama</t>
  </si>
  <si>
    <t>Alawwa - Mirigama</t>
  </si>
  <si>
    <t>Kurunegala - Mirigama</t>
  </si>
  <si>
    <t>Wellawa - Mirigama</t>
  </si>
  <si>
    <t>Alawwa - Senarathgama</t>
  </si>
  <si>
    <t>Kurunegala - Senarathgama</t>
  </si>
  <si>
    <t>Wellawa - Senarathgama</t>
  </si>
  <si>
    <t>Alawwa - Polgahawela</t>
  </si>
  <si>
    <t>Kurunegala - Polgahawela</t>
  </si>
  <si>
    <t>Wellawa - Polgahawela</t>
  </si>
  <si>
    <t>Alawwa - Talawa</t>
  </si>
  <si>
    <t>Kurunegala - Talawa</t>
  </si>
  <si>
    <t>Wellawa - Talawa</t>
  </si>
  <si>
    <t>Alawwa - Thambuttegama</t>
  </si>
  <si>
    <t>Kurunegala - Thambuttegama</t>
  </si>
  <si>
    <t>Wellawa - Thambuttegama</t>
  </si>
  <si>
    <t>Alawwa - Vavuniya</t>
  </si>
  <si>
    <t>Kurunegala - Vavuniya</t>
  </si>
  <si>
    <t>Wellawa - Vavuniya</t>
  </si>
  <si>
    <t>Alawwa - Veyangoda</t>
  </si>
  <si>
    <t>Kurunegala - Veyangoda</t>
  </si>
  <si>
    <t>Wellawa - Veyangoda</t>
  </si>
  <si>
    <t>Galgamuwa - Ambanpola</t>
  </si>
  <si>
    <t>Maho - Ambanpola</t>
  </si>
  <si>
    <t>Nagollagama - Ambanpola</t>
  </si>
  <si>
    <t>Galgamuwa - Ambepussa</t>
  </si>
  <si>
    <t>Maho - Ambepussa</t>
  </si>
  <si>
    <t>Nagollagama - Ambepussa</t>
  </si>
  <si>
    <t>Galgamuwa - Anuradhapura</t>
  </si>
  <si>
    <t>Galgamuwa - Shrawasthipura</t>
  </si>
  <si>
    <t>Maho - Anuradhapura</t>
  </si>
  <si>
    <t>Maho - Shrawasthipura</t>
  </si>
  <si>
    <t>Nagollagama - Anuradhapura</t>
  </si>
  <si>
    <t>Nagollagama - Shrawasthipura</t>
  </si>
  <si>
    <t>Galgamuwa - Colombo Fort</t>
  </si>
  <si>
    <t>Galgamuwa - Mount Lavinia</t>
  </si>
  <si>
    <t>Galgamuwa - Wellawatta</t>
  </si>
  <si>
    <t>Maho - Colombo Fort</t>
  </si>
  <si>
    <t>Maho - Mount Lavinia</t>
  </si>
  <si>
    <t>Maho - Wellawatta</t>
  </si>
  <si>
    <t>Nagollagama - Colombo Fort</t>
  </si>
  <si>
    <t>Nagollagama - Mount Lavinia</t>
  </si>
  <si>
    <t>Nagollagama - Wellawatta</t>
  </si>
  <si>
    <t>Galgamuwa - Gampaha</t>
  </si>
  <si>
    <t>Maho - Gampaha</t>
  </si>
  <si>
    <t>Nagollagama - Gampaha</t>
  </si>
  <si>
    <t>Galgamuwa - Ganewatta</t>
  </si>
  <si>
    <t>Maho - Ganewatta</t>
  </si>
  <si>
    <t>Nagollagama - Ganewatta</t>
  </si>
  <si>
    <t>Galgamuwa - Jaffna Train Station</t>
  </si>
  <si>
    <t>Maho - Jaffna Train Station</t>
  </si>
  <si>
    <t>Nagollagama - Jaffna Train Station</t>
  </si>
  <si>
    <t>Galgamuwa - Kankesanthurai</t>
  </si>
  <si>
    <t>Maho - Kankesanthurai</t>
  </si>
  <si>
    <t>Nagollagama - Kankesanthurai</t>
  </si>
  <si>
    <t>Galgamuwa - Kilinochchi</t>
  </si>
  <si>
    <t>Maho - Kilinochchi</t>
  </si>
  <si>
    <t>Nagollagama - Kilinochchi</t>
  </si>
  <si>
    <t>Galgamuwa - Kodikamam</t>
  </si>
  <si>
    <t>Maho - Kodikamam</t>
  </si>
  <si>
    <t>Nagollagama - Kodikamam</t>
  </si>
  <si>
    <t>Galgamuwa - Alawwa</t>
  </si>
  <si>
    <t>Galgamuwa - Kurunegala</t>
  </si>
  <si>
    <t>Galgamuwa - Wellawa</t>
  </si>
  <si>
    <t>Maho - Alawwa</t>
  </si>
  <si>
    <t>Maho - Kurunegala</t>
  </si>
  <si>
    <t>Maho - Wellawa</t>
  </si>
  <si>
    <t>Nagollagama - Alawwa</t>
  </si>
  <si>
    <t>Nagollagama - Kurunegala</t>
  </si>
  <si>
    <t>Nagollagama - Wellawa</t>
  </si>
  <si>
    <t>Galgamuwa - Maho</t>
  </si>
  <si>
    <t>Galgamuwa - Nagollagama</t>
  </si>
  <si>
    <t>Maho - Galgamuwa</t>
  </si>
  <si>
    <t>Maho - Nagollagama</t>
  </si>
  <si>
    <t>Nagollagama - Galgamuwa</t>
  </si>
  <si>
    <t>Nagollagama - Maho</t>
  </si>
  <si>
    <t>Galgamuwa - Mirigama</t>
  </si>
  <si>
    <t>Maho - Mirigama</t>
  </si>
  <si>
    <t>Nagollagama - Mirigama</t>
  </si>
  <si>
    <t>Galgamuwa - Senarathgama</t>
  </si>
  <si>
    <t>Maho - Senarathgama</t>
  </si>
  <si>
    <t>Nagollagama - Senarathgama</t>
  </si>
  <si>
    <t>Galgamuwa - Polgahawela</t>
  </si>
  <si>
    <t>Maho - Polgahawela</t>
  </si>
  <si>
    <t>Nagollagama - Polgahawela</t>
  </si>
  <si>
    <t>Galgamuwa - Talawa</t>
  </si>
  <si>
    <t>Maho - Talawa</t>
  </si>
  <si>
    <t>Nagollagama - Talawa</t>
  </si>
  <si>
    <t>Galgamuwa - Thambuttegama</t>
  </si>
  <si>
    <t>Maho - Thambuttegama</t>
  </si>
  <si>
    <t>Nagollagama - Thambuttegama</t>
  </si>
  <si>
    <t>Galgamuwa - Vavuniya</t>
  </si>
  <si>
    <t>Maho - Vavuniya</t>
  </si>
  <si>
    <t>Nagollagama - Vavuniya</t>
  </si>
  <si>
    <t>Galgamuwa - Veyangoda</t>
  </si>
  <si>
    <t>Maho - Veyangoda</t>
  </si>
  <si>
    <t>Nagollagama - Veyangoda</t>
  </si>
  <si>
    <t>Mirigama - Ambanpola</t>
  </si>
  <si>
    <t>Mirigama - Ambepussa</t>
  </si>
  <si>
    <t>Mirigama - Anuradhapura</t>
  </si>
  <si>
    <t>Mirigama - Shrawasthipura</t>
  </si>
  <si>
    <t>Mirigama - Colombo Fort</t>
  </si>
  <si>
    <t>Mirigama - Mount Lavinia</t>
  </si>
  <si>
    <t>Mirigama - Wellawatta</t>
  </si>
  <si>
    <t>Mirigama - Gampaha</t>
  </si>
  <si>
    <t>Mirigama - Ganewatta</t>
  </si>
  <si>
    <t>Mirigama - Jaffna Train Station</t>
  </si>
  <si>
    <t>Mirigama - Kankesanthurai</t>
  </si>
  <si>
    <t>Mirigama - Kilinochchi</t>
  </si>
  <si>
    <t>Mirigama - Kodikamam</t>
  </si>
  <si>
    <t>Mirigama - Alawwa</t>
  </si>
  <si>
    <t>Mirigama - Kurunegala</t>
  </si>
  <si>
    <t>Mirigama - Wellawa</t>
  </si>
  <si>
    <t>Mirigama - Galgamuwa</t>
  </si>
  <si>
    <t>Mirigama - Maho</t>
  </si>
  <si>
    <t>Mirigama - Nagollagama</t>
  </si>
  <si>
    <t>Mirigama - Senarathgama</t>
  </si>
  <si>
    <t>Mirigama - Polgahawela</t>
  </si>
  <si>
    <t>Mirigama - Talawa</t>
  </si>
  <si>
    <t>Mirigama - Thambuttegama</t>
  </si>
  <si>
    <t>Mirigama - Vavuniya</t>
  </si>
  <si>
    <t>Mirigama - Veyangoda</t>
  </si>
  <si>
    <t>Sri Lanka, Mirissa</t>
  </si>
  <si>
    <t>Mirissa Hotel Transfer - Arugam Bay</t>
  </si>
  <si>
    <t>Mirissa Hotel Transfer - Trincomalee Hotel Transfer</t>
  </si>
  <si>
    <t>Sri Lanka, Negombo</t>
  </si>
  <si>
    <t>Negombo Transfer - Ella</t>
  </si>
  <si>
    <t>Negombo Transfer - Kandy Transfer</t>
  </si>
  <si>
    <t>Negombo Transfer - Sigiriya Transfer</t>
  </si>
  <si>
    <t>Senarathgama - Ambanpola</t>
  </si>
  <si>
    <t>Senarathgama - Ambepussa</t>
  </si>
  <si>
    <t>Senarathgama - Anuradhapura</t>
  </si>
  <si>
    <t>Senarathgama - Shrawasthipura</t>
  </si>
  <si>
    <t>Senarathgama - Colombo Fort</t>
  </si>
  <si>
    <t>Senarathgama - Mount Lavinia</t>
  </si>
  <si>
    <t>Senarathgama - Wellawatta</t>
  </si>
  <si>
    <t>Senarathgama - Gampaha</t>
  </si>
  <si>
    <t>Senarathgama - Ganewatta</t>
  </si>
  <si>
    <t>Senarathgama - Jaffna Train Station</t>
  </si>
  <si>
    <t>Senarathgama - Kankesanthurai</t>
  </si>
  <si>
    <t>Senarathgama - Kilinochchi</t>
  </si>
  <si>
    <t>Senarathgama - Kodikamam</t>
  </si>
  <si>
    <t>Senarathgama - Alawwa</t>
  </si>
  <si>
    <t>Senarathgama - Kurunegala</t>
  </si>
  <si>
    <t>Senarathgama - Wellawa</t>
  </si>
  <si>
    <t>Senarathgama - Galgamuwa</t>
  </si>
  <si>
    <t>Senarathgama - Maho</t>
  </si>
  <si>
    <t>Senarathgama - Nagollagama</t>
  </si>
  <si>
    <t>Senarathgama - Mirigama</t>
  </si>
  <si>
    <t>Senarathgama - Polgahawela</t>
  </si>
  <si>
    <t>Senarathgama - Talawa</t>
  </si>
  <si>
    <t>Senarathgama - Thambuttegama</t>
  </si>
  <si>
    <t>Senarathgama - Vavuniya</t>
  </si>
  <si>
    <t>Senarathgama - Veyangoda</t>
  </si>
  <si>
    <t>Nuwara Eliya - Kandy Transfer</t>
  </si>
  <si>
    <t>Polgahawela - Ambanpola</t>
  </si>
  <si>
    <t>Polgahawela - Ambepussa</t>
  </si>
  <si>
    <t>Polgahawela - Anuradhapura</t>
  </si>
  <si>
    <t>Polgahawela - Shrawasthipura</t>
  </si>
  <si>
    <t>Polgahawela - Colombo Fort</t>
  </si>
  <si>
    <t>Polgahawela - Mount Lavinia</t>
  </si>
  <si>
    <t>Polgahawela - Wellawatta</t>
  </si>
  <si>
    <t>Polgahawela - Gampaha</t>
  </si>
  <si>
    <t>Polgahawela - Ganewatta</t>
  </si>
  <si>
    <t>Polgahawela - Jaffna Train Station</t>
  </si>
  <si>
    <t>Polgahawela - Kankesanthurai</t>
  </si>
  <si>
    <t>Polgahawela - Kilinochchi</t>
  </si>
  <si>
    <t>Polgahawela - Kodikamam</t>
  </si>
  <si>
    <t>Polgahawela - Alawwa</t>
  </si>
  <si>
    <t>Polgahawela - Kurunegala</t>
  </si>
  <si>
    <t>Polgahawela - Wellawa</t>
  </si>
  <si>
    <t>Polgahawela - Galgamuwa</t>
  </si>
  <si>
    <t>Polgahawela - Maho</t>
  </si>
  <si>
    <t>Polgahawela - Nagollagama</t>
  </si>
  <si>
    <t>Polgahawela - Mirigama</t>
  </si>
  <si>
    <t>Polgahawela - Senarathgama</t>
  </si>
  <si>
    <t>Polgahawela - Talawa</t>
  </si>
  <si>
    <t>Polgahawela - Thambuttegama</t>
  </si>
  <si>
    <t>Polgahawela - Vavuniya</t>
  </si>
  <si>
    <t>Polgahawela - Veyangoda</t>
  </si>
  <si>
    <t>Food City Pottuvil - Wellawatte 42Ln</t>
  </si>
  <si>
    <t>Sigiriya - Arugam Bay</t>
  </si>
  <si>
    <t>Sigiriya - Kandy Transfer</t>
  </si>
  <si>
    <t>Sigiriya Transfer - Negombo Transfer</t>
  </si>
  <si>
    <t>Talawa - Ambanpola</t>
  </si>
  <si>
    <t>Talawa - Ambepussa</t>
  </si>
  <si>
    <t>Talawa - Anuradhapura</t>
  </si>
  <si>
    <t>Talawa - Shrawasthipura</t>
  </si>
  <si>
    <t>Talawa - Colombo Fort</t>
  </si>
  <si>
    <t>Talawa - Mount Lavinia</t>
  </si>
  <si>
    <t>Talawa - Wellawatta</t>
  </si>
  <si>
    <t>Talawa - Gampaha</t>
  </si>
  <si>
    <t>Talawa - Ganewatta</t>
  </si>
  <si>
    <t>Talawa - Jaffna Train Station</t>
  </si>
  <si>
    <t>Talawa - Kankesanthurai</t>
  </si>
  <si>
    <t>Talawa - Kilinochchi</t>
  </si>
  <si>
    <t>Talawa - Kodikamam</t>
  </si>
  <si>
    <t>Talawa - Alawwa</t>
  </si>
  <si>
    <t>Talawa - Kurunegala</t>
  </si>
  <si>
    <t>Talawa - Wellawa</t>
  </si>
  <si>
    <t>Talawa - Galgamuwa</t>
  </si>
  <si>
    <t>Talawa - Maho</t>
  </si>
  <si>
    <t>Talawa - Nagollagama</t>
  </si>
  <si>
    <t>Talawa - Mirigama</t>
  </si>
  <si>
    <t>Talawa - Senarathgama</t>
  </si>
  <si>
    <t>Talawa - Polgahawela</t>
  </si>
  <si>
    <t>Talawa - Thambuttegama</t>
  </si>
  <si>
    <t>Talawa - Vavuniya</t>
  </si>
  <si>
    <t>Talawa - Veyangoda</t>
  </si>
  <si>
    <t>Thambuttegama - Ambanpola</t>
  </si>
  <si>
    <t>Thambuttegama - Ambepussa</t>
  </si>
  <si>
    <t>Thambuttegama - Anuradhapura</t>
  </si>
  <si>
    <t>Thambuttegama - Shrawasthipura</t>
  </si>
  <si>
    <t>Thambuttegama - Colombo Fort</t>
  </si>
  <si>
    <t>Thambuttegama - Mount Lavinia</t>
  </si>
  <si>
    <t>Thambuttegama - Wellawatta</t>
  </si>
  <si>
    <t>Thambuttegama - Gampaha</t>
  </si>
  <si>
    <t>Thambuttegama - Ganewatta</t>
  </si>
  <si>
    <t>Thambuttegama - Jaffna Train Station</t>
  </si>
  <si>
    <t>Thambuttegama - Kankesanthurai</t>
  </si>
  <si>
    <t>Thambuttegama - Kilinochchi</t>
  </si>
  <si>
    <t>Thambuttegama - Kodikamam</t>
  </si>
  <si>
    <t>Thambuttegama - Alawwa</t>
  </si>
  <si>
    <t>Thambuttegama - Kurunegala</t>
  </si>
  <si>
    <t>Thambuttegama - Wellawa</t>
  </si>
  <si>
    <t>Thambuttegama - Galgamuwa</t>
  </si>
  <si>
    <t>Thambuttegama - Maho</t>
  </si>
  <si>
    <t>Thambuttegama - Nagollagama</t>
  </si>
  <si>
    <t>Thambuttegama - Mirigama</t>
  </si>
  <si>
    <t>Thambuttegama - Senarathgama</t>
  </si>
  <si>
    <t>Thambuttegama - Polgahawela</t>
  </si>
  <si>
    <t>Thambuttegama - Talawa</t>
  </si>
  <si>
    <t>Thambuttegama - Vavuniya</t>
  </si>
  <si>
    <t>Thambuttegama - Veyangoda</t>
  </si>
  <si>
    <t>Trincomalee Post Office - Pettah Bus Station</t>
  </si>
  <si>
    <t>Trincomalee Hotel Transfer - Ella Hotel Transfer</t>
  </si>
  <si>
    <t>Trincomalee - Kandy Transfer</t>
  </si>
  <si>
    <t>Vavuniya - Ambanpola</t>
  </si>
  <si>
    <t>Vavuniya - Ambepussa</t>
  </si>
  <si>
    <t>Vavuniya - Anuradhapura</t>
  </si>
  <si>
    <t>Vavuniya - Shrawasthipura</t>
  </si>
  <si>
    <t>Vavuniya - Colombo Fort</t>
  </si>
  <si>
    <t>Vavuniya - Mount Lavinia</t>
  </si>
  <si>
    <t>Vavuniya - Wellawatta</t>
  </si>
  <si>
    <t>Vavuniya - Gampaha</t>
  </si>
  <si>
    <t>Vavuniya - Ganewatta</t>
  </si>
  <si>
    <t>Vavuniya - Jaffna Train Station</t>
  </si>
  <si>
    <t>Vavuniya - Kankesanthurai</t>
  </si>
  <si>
    <t>Vavuniya - Kilinochchi</t>
  </si>
  <si>
    <t>Vavuniya - Kodikamam</t>
  </si>
  <si>
    <t>Vavuniya - Alawwa</t>
  </si>
  <si>
    <t>Vavuniya - Kurunegala</t>
  </si>
  <si>
    <t>Vavuniya - Wellawa</t>
  </si>
  <si>
    <t>Vavuniya - Galgamuwa</t>
  </si>
  <si>
    <t>Vavuniya - Maho</t>
  </si>
  <si>
    <t>Vavuniya - Nagollagama</t>
  </si>
  <si>
    <t>Vavuniya - Mirigama</t>
  </si>
  <si>
    <t>Vavuniya - Senarathgama</t>
  </si>
  <si>
    <t>Vavuniya - Polgahawela</t>
  </si>
  <si>
    <t>Vavuniya - Talawa</t>
  </si>
  <si>
    <t>Vavuniya - Thambuttegama</t>
  </si>
  <si>
    <t>Vavuniya - Veyangoda</t>
  </si>
  <si>
    <t>Veyangoda - Ambanpola</t>
  </si>
  <si>
    <t>Veyangoda - Ambepussa</t>
  </si>
  <si>
    <t>Veyangoda - Anuradhapura</t>
  </si>
  <si>
    <t>Veyangoda - Shrawasthipura</t>
  </si>
  <si>
    <t>Veyangoda - Colombo Fort</t>
  </si>
  <si>
    <t>Veyangoda - Mount Lavinia</t>
  </si>
  <si>
    <t>Veyangoda - Wellawatta</t>
  </si>
  <si>
    <t>Veyangoda - Gampaha</t>
  </si>
  <si>
    <t>Veyangoda - Ganewatta</t>
  </si>
  <si>
    <t>Veyangoda - Jaffna Train Station</t>
  </si>
  <si>
    <t>Veyangoda - Kankesanthurai</t>
  </si>
  <si>
    <t>Veyangoda - Kilinochchi</t>
  </si>
  <si>
    <t>Veyangoda - Kodikamam</t>
  </si>
  <si>
    <t>Veyangoda - Alawwa</t>
  </si>
  <si>
    <t>Veyangoda - Kurunegala</t>
  </si>
  <si>
    <t>Veyangoda - Wellawa</t>
  </si>
  <si>
    <t>Veyangoda - Galgamuwa</t>
  </si>
  <si>
    <t>Veyangoda - Maho</t>
  </si>
  <si>
    <t>Veyangoda - Nagollagama</t>
  </si>
  <si>
    <t>Veyangoda - Mirigama</t>
  </si>
  <si>
    <t>Veyangoda - Senarathgama</t>
  </si>
  <si>
    <t>Veyangoda - Polgahawela</t>
  </si>
  <si>
    <t>Veyangoda - Talawa</t>
  </si>
  <si>
    <t>Veyangoda - Thambuttegama</t>
  </si>
  <si>
    <t>Veyangoda - Vavuniya</t>
  </si>
  <si>
    <t>Taiwan, Beigang</t>
  </si>
  <si>
    <t>Taiwan, Pingtung</t>
  </si>
  <si>
    <t>Beigang - Pingtung</t>
  </si>
  <si>
    <t>Taiwan, Huwei</t>
  </si>
  <si>
    <t>Huwei - Pingtung</t>
  </si>
  <si>
    <t>Taiwan, Taichung</t>
  </si>
  <si>
    <t>Taiwan, Hsinchu</t>
  </si>
  <si>
    <t>Taichung Hsr - Hsinchu Hsr</t>
  </si>
  <si>
    <t>Thailand, Ao Nang</t>
  </si>
  <si>
    <t>Thailand, Donsak</t>
  </si>
  <si>
    <t>Ao Nang Transfer Except Krabi Town And Railay - Seatran Donsak Pier</t>
  </si>
  <si>
    <t>bus+charter</t>
  </si>
  <si>
    <t>Thailand, Bangkok</t>
  </si>
  <si>
    <t>Thailand, Chumphon</t>
  </si>
  <si>
    <t>Mochit - Chumphon Bus Terminal</t>
  </si>
  <si>
    <t>Pratu Tha Phae Park - Ban Don Pier</t>
  </si>
  <si>
    <t>van | Van + Boat</t>
  </si>
  <si>
    <t>Starbucks Maya Shopping Mall - Chiang Khong Border</t>
  </si>
  <si>
    <t>Starbucks Maya Shopping Mall - Chiang Rai Central Plaza ATM Krungthai Bank</t>
  </si>
  <si>
    <t>Starbucks Maya Shopping Mall - Wat Rong Khun</t>
  </si>
  <si>
    <t>Chiang Rai - Ban Don Pier</t>
  </si>
  <si>
    <t>van | Van + Boat + Accommodation in Huay Xai</t>
  </si>
  <si>
    <t>Chiang Khong Border - Starbucks Maya Shopping Mall</t>
  </si>
  <si>
    <t>Chiang Rai Central Plaza ATM Krungthai Bank - Starbucks Maya Shopping Mall</t>
  </si>
  <si>
    <t>Chiang Rai Town Transfer - Chiang Mai Bus Terminal 2</t>
  </si>
  <si>
    <t>Jed Yod Cafe - Chiang Mai Bus Terminal 2</t>
  </si>
  <si>
    <t>van | VIP Minivan</t>
  </si>
  <si>
    <t>Jed Yod Cafe - Chiang Mai Town Hotel Transfer</t>
  </si>
  <si>
    <t>Jed Yod Cafe - Chiang Mai Train Station</t>
  </si>
  <si>
    <t>Jed Yod Cafe - Tha Phae Gate</t>
  </si>
  <si>
    <t>Chiang Khong Border - Chiang Rai Central Plaza</t>
  </si>
  <si>
    <t>Chiang Khong Border - Chiang Rai Central Plaza ATM Krungthai Bank</t>
  </si>
  <si>
    <t>Thailand, Pai</t>
  </si>
  <si>
    <t>Jed Yod Cafe - Pai Hotel Transfer</t>
  </si>
  <si>
    <t>Thailand, Trang</t>
  </si>
  <si>
    <t>Donsak Piers - Hat Yao pier</t>
  </si>
  <si>
    <t>Donsak Piers - Khuan Tung Ku Pier</t>
  </si>
  <si>
    <t>Thailand, Hat Yai</t>
  </si>
  <si>
    <t>Hat Yai Town Transfer - Hat Yao pier</t>
  </si>
  <si>
    <t>Hat Yai Town Transfer - Khuan Tung Ku Pier</t>
  </si>
  <si>
    <t>Thailand, Khao Lak</t>
  </si>
  <si>
    <t>Khao Lak Transfer - Hat Yao pier</t>
  </si>
  <si>
    <t>Khao Lak Transfer - Khuan Tung Ku Pier</t>
  </si>
  <si>
    <t>Thailand, Koh Lanta</t>
  </si>
  <si>
    <t>Koh Lanta Hotel Transfer - Hat Yao pier</t>
  </si>
  <si>
    <t>Koh Lanta Hotel Transfer - Khuan Tung Ku Pier</t>
  </si>
  <si>
    <t>Thailand, Koh Phangan</t>
  </si>
  <si>
    <t>Thailand, Koh Samui</t>
  </si>
  <si>
    <t>Baan Tai Pier - Samui Airport</t>
  </si>
  <si>
    <t>Thailand, Koh Tao</t>
  </si>
  <si>
    <t>Thong Sala Koh Phangan - Mae Haad Pier Koh Tao</t>
  </si>
  <si>
    <t>Thailand, Koh Phi Phi</t>
  </si>
  <si>
    <t>Thailand, Phuket</t>
  </si>
  <si>
    <t>Koh Phi Phi Ton Sai Pier - Bangtao Transfer</t>
  </si>
  <si>
    <t>ferry | Van + Ferry (1st Class Round Trip)</t>
  </si>
  <si>
    <t>ferry | Van + Ferry (1st Class)</t>
  </si>
  <si>
    <t>ferry | Van + Ferry (Premium Class Round Trip)</t>
  </si>
  <si>
    <t>ferry | Van + Ferry (Premium)</t>
  </si>
  <si>
    <t>ferry | Van + Ferry (Standard Class Round Trip)</t>
  </si>
  <si>
    <t>ferry | Van + Ferry (Standard)</t>
  </si>
  <si>
    <t>Koh Phi Phi Ton Sai Pier - Boat Lagoon Transfer</t>
  </si>
  <si>
    <t>Koh Phi Phi Ton Sai Pier - Cape Panwa Hotel Transfer</t>
  </si>
  <si>
    <t>Koh Phi Phi Ton Sai Pier - Kamala Beach Transfer</t>
  </si>
  <si>
    <t>Koh Phi Phi Ton Sai Pier - Karon Beach Hotel Transfer</t>
  </si>
  <si>
    <t>Koh Phi Phi Ton Sai Pier - Kata Beach Hotel Transfer</t>
  </si>
  <si>
    <t>Koh Phi Phi Ton Sai Pier - Layan Transfer</t>
  </si>
  <si>
    <t>Koh Phi Phi Ton Sai Pier - Mai Khao Beach</t>
  </si>
  <si>
    <t>Koh Phi Phi Ton Sai Pier - Nai Thon Transfer</t>
  </si>
  <si>
    <t>Koh Phi Phi Ton Sai Pier - Naihan Transfer</t>
  </si>
  <si>
    <t>Koh Phi Phi Ton Sai Pier - Naiyang Transfer</t>
  </si>
  <si>
    <t>Koh Phi Phi Ton Sai Pier - Patong Beach Hotel Transfer</t>
  </si>
  <si>
    <t>Koh Phi Phi Ton Sai Pier - Phuket Airport</t>
  </si>
  <si>
    <t>Koh Phi Phi Ton Sai Pier - Phuket Chalong Hotel Transfer</t>
  </si>
  <si>
    <t>Koh Phi Phi Ton Sai Pier - Phuket Kalim Hotel Transfer</t>
  </si>
  <si>
    <t>Koh Phi Phi Ton Sai Pier - Phuket Town Hotel Transfer</t>
  </si>
  <si>
    <t>Koh Phi Phi Ton Sai Pier - Rawai Transfer</t>
  </si>
  <si>
    <t>Koh Phi Phi Ton Sai Pier - Surin Transfer</t>
  </si>
  <si>
    <t>Koh Phi Phi Ton Sai Pier - Thalang Hotel Transfer</t>
  </si>
  <si>
    <t>Koh Phi Phi Ton Sai Pier - Tri Trang Beach Transfer</t>
  </si>
  <si>
    <t>Laemtong Pier Koh Phi Phi - Bangtao Transfer</t>
  </si>
  <si>
    <t>Laemtong Pier Koh Phi Phi - Boat Lagoon Transfer</t>
  </si>
  <si>
    <t>Laemtong Pier Koh Phi Phi - Cape Panwa Hotel Transfer</t>
  </si>
  <si>
    <t>Laemtong Pier Koh Phi Phi - Kamala Beach Transfer</t>
  </si>
  <si>
    <t>Laemtong Pier Koh Phi Phi - Karon Beach Hotel Transfer</t>
  </si>
  <si>
    <t>Laemtong Pier Koh Phi Phi - Kata Beach Hotel Transfer</t>
  </si>
  <si>
    <t>Laemtong Pier Koh Phi Phi - Layan Transfer</t>
  </si>
  <si>
    <t>Laemtong Pier Koh Phi Phi - Mai Khao Beach</t>
  </si>
  <si>
    <t>Laemtong Pier Koh Phi Phi - Nai Thon Transfer</t>
  </si>
  <si>
    <t>Laemtong Pier Koh Phi Phi - Naihan Transfer</t>
  </si>
  <si>
    <t>Laemtong Pier Koh Phi Phi - Naiyang Transfer</t>
  </si>
  <si>
    <t>Laemtong Pier Koh Phi Phi - Patong Beach Hotel Transfer</t>
  </si>
  <si>
    <t>Laemtong Pier Koh Phi Phi - Phuket Airport</t>
  </si>
  <si>
    <t>Laemtong Pier Koh Phi Phi - Phuket Chalong Hotel Transfer</t>
  </si>
  <si>
    <t>Laemtong Pier Koh Phi Phi - Phuket Kalim Hotel Transfer</t>
  </si>
  <si>
    <t>Laemtong Pier Koh Phi Phi - Phuket Town Hotel Transfer</t>
  </si>
  <si>
    <t>Laemtong Pier Koh Phi Phi - Rawai Transfer</t>
  </si>
  <si>
    <t>Laemtong Pier Koh Phi Phi - Surin Transfer</t>
  </si>
  <si>
    <t>Laemtong Pier Koh Phi Phi - Thalang Hotel Transfer</t>
  </si>
  <si>
    <t>Laemtong Pier Koh Phi Phi - Tri Trang Beach Transfer</t>
  </si>
  <si>
    <t>Thailand, Rassada Pier</t>
  </si>
  <si>
    <t>Koh Phi Phi Ton Sai Pier - Rassada Pier</t>
  </si>
  <si>
    <t>ferry | Ferry (1st Class Round Trip)</t>
  </si>
  <si>
    <t>ferry | Ferry (1st Class)</t>
  </si>
  <si>
    <t>ferry | Ferry (Premium Class Round Trip)</t>
  </si>
  <si>
    <t>ferry | Ferry (Premium)</t>
  </si>
  <si>
    <t>ferry | Ferry (Standard Class Round Trip)</t>
  </si>
  <si>
    <t>ferry | Ferry (Standard)</t>
  </si>
  <si>
    <t>Laemtong Pier Koh Phi Phi - Rassada Pier</t>
  </si>
  <si>
    <t>Na Thon Koh Samui Songserm - Mae Haad Pier Koh Tao</t>
  </si>
  <si>
    <t>Petcherat Marina Bangrak - Mae Haad Pier Koh Tao</t>
  </si>
  <si>
    <t>Thailand, Surat Thani Train Station</t>
  </si>
  <si>
    <t>Koh Samui Town Transfer - Surat Thani Train Station</t>
  </si>
  <si>
    <t>ferry | Taxi + Ferry + Taxi</t>
  </si>
  <si>
    <t>van | Van + Ferry + Van</t>
  </si>
  <si>
    <t>Mae Haad Pier Koh Tao - Koh Phangan Hotel Transfer</t>
  </si>
  <si>
    <t>ferry+van</t>
  </si>
  <si>
    <t>Mae Haad Pier Koh Tao - Thong Sala Koh Phangan</t>
  </si>
  <si>
    <t>Mae Haad Pier Koh Tao - Na Thon Koh Samui Songserm</t>
  </si>
  <si>
    <t>Mae Haad Pier Koh Tao - Petcherat Marina Bangrak</t>
  </si>
  <si>
    <t>Thailand, Krabi</t>
  </si>
  <si>
    <t>Ao Nam Mao Pier - Seatran Donsak Pier</t>
  </si>
  <si>
    <t>Ao Nam Mao Pier - Hat Yao pier</t>
  </si>
  <si>
    <t>Ao Nam Mao Pier - Khuan Tung Ku Pier</t>
  </si>
  <si>
    <t>Ao Nang Noppharat Thara Klong Muang Tubkaek - Hat Yao pier</t>
  </si>
  <si>
    <t>Ao Nang Noppharat Thara Klong Muang Tubkaek - Khuan Tung Ku Pier</t>
  </si>
  <si>
    <t>Krabi Town Hotel Transfer - Hat Yao pier</t>
  </si>
  <si>
    <t>Krabi Town Hotel Transfer - Khuan Tung Ku Pier</t>
  </si>
  <si>
    <t>Laem Kruat Pier - Hat Yao pier</t>
  </si>
  <si>
    <t>Laem Kruat Pier - Khuan Tung Ku Pier</t>
  </si>
  <si>
    <t>Talen Pier - Hat Yao pier</t>
  </si>
  <si>
    <t>Talen Pier - Khuan Tung Ku Pier</t>
  </si>
  <si>
    <t>Thailand, Nakhon Si Thammarat</t>
  </si>
  <si>
    <t>Nakhon Si Thammarat Airport - Nakhon Si Thammarat Bus Station</t>
  </si>
  <si>
    <t>Nakhon Si Thammarat Airport - Wat Chedi Ai Khai</t>
  </si>
  <si>
    <t>Sri Khanom Hotel Transfer - Nakhon Si Thammarat Airport</t>
  </si>
  <si>
    <t>Thailand, Surat Thani</t>
  </si>
  <si>
    <t>Nakhon Si Thammarat Airport - Seatran Ferry</t>
  </si>
  <si>
    <t>Pai Indian Restaurant - Tha Phae Gate</t>
  </si>
  <si>
    <t>Thailand, Phang Nga</t>
  </si>
  <si>
    <t>Khao Sok Town Transfer - Hat Yao pier</t>
  </si>
  <si>
    <t>Khao Sok Town Transfer - Khuan Tung Ku Pier</t>
  </si>
  <si>
    <t>Bangtao Transfer - Koh Phi Phi Ton Sai Pier</t>
  </si>
  <si>
    <t>Bangtao Transfer - Laemtong Pier Koh Phi Phi</t>
  </si>
  <si>
    <t>Boat Lagoon Transfer - Koh Phi Phi Ton Sai Pier</t>
  </si>
  <si>
    <t>Boat Lagoon Transfer - Laemtong Pier Koh Phi Phi</t>
  </si>
  <si>
    <t>Cape Panwa Hotel Transfer - Koh Phi Phi Ton Sai Pier</t>
  </si>
  <si>
    <t>Cape Panwa Hotel Transfer - Laemtong Pier Koh Phi Phi</t>
  </si>
  <si>
    <t>Kamala Beach Transfer - Koh Phi Phi Ton Sai Pier</t>
  </si>
  <si>
    <t>Kamala Beach Transfer - Laemtong Pier Koh Phi Phi</t>
  </si>
  <si>
    <t>Karon Beach Hotel Transfer - Koh Phi Phi Ton Sai Pier</t>
  </si>
  <si>
    <t>Karon Beach Hotel Transfer - Laemtong Pier Koh Phi Phi</t>
  </si>
  <si>
    <t>Kata Beach Hotel Transfer - Koh Phi Phi Ton Sai Pier</t>
  </si>
  <si>
    <t>Kata Beach Hotel Transfer - Laemtong Pier Koh Phi Phi</t>
  </si>
  <si>
    <t>Layan Transfer - Koh Phi Phi Ton Sai Pier</t>
  </si>
  <si>
    <t>Layan Transfer - Laemtong Pier Koh Phi Phi</t>
  </si>
  <si>
    <t>Mai Khao Beach - Koh Phi Phi Ton Sai Pier</t>
  </si>
  <si>
    <t>Mai Khao Beach - Laemtong Pier Koh Phi Phi</t>
  </si>
  <si>
    <t>Nai Thon Transfer - Koh Phi Phi Ton Sai Pier</t>
  </si>
  <si>
    <t>Nai Thon Transfer - Laemtong Pier Koh Phi Phi</t>
  </si>
  <si>
    <t>Naihan Transfer - Koh Phi Phi Ton Sai Pier</t>
  </si>
  <si>
    <t>Naihan Transfer - Laemtong Pier Koh Phi Phi</t>
  </si>
  <si>
    <t>Naiyang Transfer - Koh Phi Phi Ton Sai Pier</t>
  </si>
  <si>
    <t>Naiyang Transfer - Laemtong Pier Koh Phi Phi</t>
  </si>
  <si>
    <t>Patong Beach Hotel Transfer - Koh Phi Phi Ton Sai Pier</t>
  </si>
  <si>
    <t>Patong Beach Hotel Transfer - Laemtong Pier Koh Phi Phi</t>
  </si>
  <si>
    <t>Phuket Airport - Koh Phi Phi Ton Sai Pier</t>
  </si>
  <si>
    <t>Phuket Airport - Laemtong Pier Koh Phi Phi</t>
  </si>
  <si>
    <t>Phuket Chalong Hotel Transfer - Koh Phi Phi Ton Sai Pier</t>
  </si>
  <si>
    <t>Phuket Chalong Hotel Transfer - Laemtong Pier Koh Phi Phi</t>
  </si>
  <si>
    <t>Phuket Kalim Hotel Transfer - Koh Phi Phi Ton Sai Pier</t>
  </si>
  <si>
    <t>Phuket Kalim Hotel Transfer - Laemtong Pier Koh Phi Phi</t>
  </si>
  <si>
    <t>Phuket Town Hotel Transfer - Koh Phi Phi Ton Sai Pier</t>
  </si>
  <si>
    <t>Phuket Town Hotel Transfer - Laemtong Pier Koh Phi Phi</t>
  </si>
  <si>
    <t>Rawai Transfer - Koh Phi Phi Ton Sai Pier</t>
  </si>
  <si>
    <t>Rawai Transfer - Laemtong Pier Koh Phi Phi</t>
  </si>
  <si>
    <t>Surin Transfer - Koh Phi Phi Ton Sai Pier</t>
  </si>
  <si>
    <t>Surin Transfer - Laemtong Pier Koh Phi Phi</t>
  </si>
  <si>
    <t>Thalang Hotel Transfer - Koh Phi Phi Ton Sai Pier</t>
  </si>
  <si>
    <t>Thalang Hotel Transfer - Laemtong Pier Koh Phi Phi</t>
  </si>
  <si>
    <t>Tri Trang Beach Transfer - Koh Phi Phi Ton Sai Pier</t>
  </si>
  <si>
    <t>Tri Trang Beach Transfer - Laemtong Pier Koh Phi Phi</t>
  </si>
  <si>
    <t>Patong Beach Phuket - Hat Yao pier</t>
  </si>
  <si>
    <t>Patong Beach Phuket - Khuan Tung Ku Pier</t>
  </si>
  <si>
    <t>Phuket Town Transfer - Hat Yao pier</t>
  </si>
  <si>
    <t>Phuket Town Transfer - Khuan Tung Ku Pier</t>
  </si>
  <si>
    <t>Rawai Beach Phuket - Hat Yao pier</t>
  </si>
  <si>
    <t>Rawai Beach Phuket - Khuan Tung Ku Pier</t>
  </si>
  <si>
    <t>Thailand, Ranong</t>
  </si>
  <si>
    <t>Ranong Town Transfer - Hat Yao pier</t>
  </si>
  <si>
    <t>Ranong Town Transfer - Khuan Tung Ku Pier</t>
  </si>
  <si>
    <t>Rassada Pier - Koh Phi Phi Ton Sai Pier</t>
  </si>
  <si>
    <t>Rassada Pier - Laemtong Pier Koh Phi Phi</t>
  </si>
  <si>
    <t>Thailand, Satun</t>
  </si>
  <si>
    <t>Pak Bara Pier - Hat Yao pier</t>
  </si>
  <si>
    <t>Pak Bara Pier - Khuan Tung Ku Pier</t>
  </si>
  <si>
    <t>Seatran Ferry - Nakhon Si Thammarat Airport</t>
  </si>
  <si>
    <t>Seatran Ferry - Sri Khanom Hotel Transfer</t>
  </si>
  <si>
    <t>Surat Thani Town Transfer - Hat Yao pier</t>
  </si>
  <si>
    <t>Surat Thani Town Transfer - Khuan Tung Ku Pier</t>
  </si>
  <si>
    <t>Surat Thani Train Station - Koh Samui Town Transfer</t>
  </si>
  <si>
    <t>Hat Yao pier - Donsak Piers</t>
  </si>
  <si>
    <t>Khuan Tung Ku Pier - Donsak Piers</t>
  </si>
  <si>
    <t>Hat Yao pier - Hat Yai Town Transfer</t>
  </si>
  <si>
    <t>Khuan Tung Ku Pier - Hat Yai Town Transfer</t>
  </si>
  <si>
    <t>Hat Yao pier - Khao Lak Transfer</t>
  </si>
  <si>
    <t>Khuan Tung Ku Pier - Khao Lak Transfer</t>
  </si>
  <si>
    <t>Hat Yao pier - Koh Lanta Hotel Transfer</t>
  </si>
  <si>
    <t>Khuan Tung Ku Pier - Koh Lanta Hotel Transfer</t>
  </si>
  <si>
    <t>Trang Hotel Transfer - Koh Lanta Transfer</t>
  </si>
  <si>
    <t>Hat Yao pier - Ao Nam Mao Pier</t>
  </si>
  <si>
    <t>Hat Yao pier - Ao Nang Noppharat Thara Klong Muang Tubkaek</t>
  </si>
  <si>
    <t>Hat Yao pier - Krabi Town Hotel Transfer</t>
  </si>
  <si>
    <t>Hat Yao pier - Laem Kruat Pier</t>
  </si>
  <si>
    <t>Hat Yao pier - Talen Pier</t>
  </si>
  <si>
    <t>Khuan Tung Ku Pier - Ao Nam Mao Pier</t>
  </si>
  <si>
    <t>Khuan Tung Ku Pier - Ao Nang Noppharat Thara Klong Muang Tubkaek</t>
  </si>
  <si>
    <t>Khuan Tung Ku Pier - Krabi Town Hotel Transfer</t>
  </si>
  <si>
    <t>Khuan Tung Ku Pier - Laem Kruat Pier</t>
  </si>
  <si>
    <t>Khuan Tung Ku Pier - Talen Pier</t>
  </si>
  <si>
    <t>Hat Yao pier - Khao Sok Town Transfer</t>
  </si>
  <si>
    <t>Khuan Tung Ku Pier - Khao Sok Town Transfer</t>
  </si>
  <si>
    <t>Hat Yao pier - Patong Beach Phuket</t>
  </si>
  <si>
    <t>Hat Yao pier - Phuket Town Transfer</t>
  </si>
  <si>
    <t>Hat Yao pier - Rawai Beach Phuket</t>
  </si>
  <si>
    <t>Khuan Tung Ku Pier - Patong Beach Phuket</t>
  </si>
  <si>
    <t>Khuan Tung Ku Pier - Phuket Town Transfer</t>
  </si>
  <si>
    <t>Khuan Tung Ku Pier - Rawai Beach Phuket</t>
  </si>
  <si>
    <t>Hat Yao pier - Ranong Town Transfer</t>
  </si>
  <si>
    <t>Khuan Tung Ku Pier - Ranong Town Transfer</t>
  </si>
  <si>
    <t>Hat Yao pier - Pak Bara Pier</t>
  </si>
  <si>
    <t>Khuan Tung Ku Pier - Pak Bara Pier</t>
  </si>
  <si>
    <t>Hat Yao pier - Surat Thani Town Transfer</t>
  </si>
  <si>
    <t>Khuan Tung Ku Pier - Surat Thani Town Transfer</t>
  </si>
  <si>
    <t>Hat Yao pier - Laem Tase Pier</t>
  </si>
  <si>
    <t>Hat Yao Pier - Trang Airport</t>
  </si>
  <si>
    <t>Hat Yao pier - Trang Bus Terminal</t>
  </si>
  <si>
    <t>Hat Yao Pier - Trang Railway Station</t>
  </si>
  <si>
    <t>Hat Yao Pier - Trang Town</t>
  </si>
  <si>
    <t>Khuan Tung Ku Pier - Laem Tase Pier</t>
  </si>
  <si>
    <t>Khuan Tung Ku Pier - Trang Bus Terminal</t>
  </si>
  <si>
    <t>Laem Tase Pier - Hat Yao pier</t>
  </si>
  <si>
    <t>Laem Tase Pier - Khuan Tung Ku Pier</t>
  </si>
  <si>
    <t>Trang Airport - Hat Yao Pier</t>
  </si>
  <si>
    <t>Trang Bus Terminal - Hat Yao pier</t>
  </si>
  <si>
    <t>Trang Bus Terminal - Khuan Tung Ku Pier</t>
  </si>
  <si>
    <t>Trang Railway Station - Hat Yao Pier</t>
  </si>
  <si>
    <t>Trang Town - Hat Yao Pier</t>
  </si>
  <si>
    <t>Thailand, Udon Thani</t>
  </si>
  <si>
    <t>Nakhonchaiair Bus Station - Mochit</t>
  </si>
  <si>
    <t>Turkey, Akyaka</t>
  </si>
  <si>
    <t>Turkey, Dalaman</t>
  </si>
  <si>
    <t>Akyaka Hotel Transfer - Dalaman Airport</t>
  </si>
  <si>
    <t>charter | Business 3pax</t>
  </si>
  <si>
    <t>charter | VIP Van 5pax</t>
  </si>
  <si>
    <t>Turkey, Cesme</t>
  </si>
  <si>
    <t>Turkey, Izmir</t>
  </si>
  <si>
    <t>Reisdere Hotel Transfer - Adnan Menderes Airport</t>
  </si>
  <si>
    <t>Yali Hotel Transfer - Adnan Menderes Airport</t>
  </si>
  <si>
    <t>Dalaman Airport - Akyaka Hotel Transfer</t>
  </si>
  <si>
    <t>Turkey, Fethiye</t>
  </si>
  <si>
    <t>Dalaman Airport - Fethiye Hotel Transfer</t>
  </si>
  <si>
    <t>Turkey, Didim</t>
  </si>
  <si>
    <t>Fevzipasa Hotel Transfer - Adnan Menderes Airport</t>
  </si>
  <si>
    <t>Fethiye Hotel Transfer - Dalaman Airport</t>
  </si>
  <si>
    <t>Turkey, Foca</t>
  </si>
  <si>
    <t>Cumhuriyet Hotel Transfer - Adnan Menderes Airport</t>
  </si>
  <si>
    <t>Fatih Hotel Transfer - Adnan Menderes Airport</t>
  </si>
  <si>
    <t>Kozbeyli Hotel Transfer - Adnan Menderes Airport</t>
  </si>
  <si>
    <t>Turkey, Gaziemir</t>
  </si>
  <si>
    <t>Gaziemir Hotel Transfer - Adnan Menderes Airport</t>
  </si>
  <si>
    <t>Turkey, Gumuldur</t>
  </si>
  <si>
    <t>Gumuldur Cumhuriyet Hotel Transfer - Adnan Menderes Airport</t>
  </si>
  <si>
    <t>Adnan Menderes Airport - Reisdere Hotel Transfer</t>
  </si>
  <si>
    <t>Adnan Menderes Airport - Yali Hotel Transfer</t>
  </si>
  <si>
    <t>Adnan Menderes Airport - Fevzipasa Hotel Transfer</t>
  </si>
  <si>
    <t>Adnan Menderes Airport - Cumhuriyet Hotel Transfer</t>
  </si>
  <si>
    <t>Adnan Menderes Airport - Fatih Hotel Transfer</t>
  </si>
  <si>
    <t>Adnan Menderes Airport - Kozbeyli Hotel Transfer</t>
  </si>
  <si>
    <t>Adnan Menderes Airport - Gaziemir Hotel Transfer</t>
  </si>
  <si>
    <t>Adnan Menderes Airport - Gumuldur Cumhuriyet Hotel Transfer</t>
  </si>
  <si>
    <t>Adnan Menderes Airport - Ciftlik Koyu Ciftlikkoy Hotel Transfer</t>
  </si>
  <si>
    <t>Adnan Menderes Airport - Izmir Hotel Transfer</t>
  </si>
  <si>
    <t>Ciftlik Koyu Ciftlikkoy Hotel Transfer - Adnan Menderes Airport</t>
  </si>
  <si>
    <t>Izmir Hotel Transfer - Adnan Menderes Airport</t>
  </si>
  <si>
    <t>Turkey, Kusadasi</t>
  </si>
  <si>
    <t>Adnan Menderes Airport - Bayraklidede Hotel Transfer</t>
  </si>
  <si>
    <t>Adnan Menderes Airport - Kirazli Hotel Transfer</t>
  </si>
  <si>
    <t>Adnan Menderes Airport - Yenikoy Hotel Transfer</t>
  </si>
  <si>
    <t>Turkey, Menderes</t>
  </si>
  <si>
    <t>Adnan Menderes Airport - Menderes Hotel Transfer</t>
  </si>
  <si>
    <t>Adnan Menderes Airport - Orta Hotel Transfer</t>
  </si>
  <si>
    <t>Turkey, Ozdere</t>
  </si>
  <si>
    <t>Adnan Menderes Airport - Cukuralti Hotel Transfer</t>
  </si>
  <si>
    <t>Turkey, Selcuk</t>
  </si>
  <si>
    <t>Adnan Menderes Airport - Gokcealan Hotel Transfer</t>
  </si>
  <si>
    <t>Turkey, Sirince</t>
  </si>
  <si>
    <t>Adnan Menderes Airport - Sirince Hotel Transfer</t>
  </si>
  <si>
    <t>Turkey, Sogucak</t>
  </si>
  <si>
    <t>Adnan Menderes Airport - Sogucak Hotel Transfer</t>
  </si>
  <si>
    <t>Turkey, Soke</t>
  </si>
  <si>
    <t>Adnan Menderes Airport - Doganbey Hotel Transfer</t>
  </si>
  <si>
    <t>Turkey, Urla</t>
  </si>
  <si>
    <t>Adnan Menderes Airport - Gulbahce Hotel Transfer</t>
  </si>
  <si>
    <t>Adnan Menderes Airport - Guvendik Transfer</t>
  </si>
  <si>
    <t>Adnan Menderes Airport - Icmeler Hotel Transfer</t>
  </si>
  <si>
    <t>Adnan Menderes Airport - Ozbek Hotel Transfer</t>
  </si>
  <si>
    <t>Bayraklidede Hotel Transfer - Adnan Menderes Airport</t>
  </si>
  <si>
    <t>Kirazli Hotel Transfer - Adnan Menderes Airport</t>
  </si>
  <si>
    <t>Yenikoy Hotel Transfer - Adnan Menderes Airport</t>
  </si>
  <si>
    <t>Menderes Hotel Transfer - Adnan Menderes Airport</t>
  </si>
  <si>
    <t>Orta Hotel Transfer - Adnan Menderes Airport</t>
  </si>
  <si>
    <t>Cukuralti Hotel Transfer - Adnan Menderes Airport</t>
  </si>
  <si>
    <t>Gokcealan Hotel Transfer - Adnan Menderes Airport</t>
  </si>
  <si>
    <t>Sirince Hotel Transfer - Adnan Menderes Airport</t>
  </si>
  <si>
    <t>Sogucak Hotel Transfer - Adnan Menderes Airport</t>
  </si>
  <si>
    <t>Doganbey Hotel Transfer - Adnan Menderes Airport</t>
  </si>
  <si>
    <t>Gulbahce Hotel Transfer - Adnan Menderes Airport</t>
  </si>
  <si>
    <t>Guvendik Transfer - Adnan Menderes Airport</t>
  </si>
  <si>
    <t>Icmeler Hotel Transfer - Adnan Menderes Airport</t>
  </si>
  <si>
    <t>Ozbek Hotel Transfer - Adnan Menderes Airport</t>
  </si>
  <si>
    <t>UK, Aldershot</t>
  </si>
  <si>
    <t>Canada, St Catharines</t>
  </si>
  <si>
    <t>Aldershot - St Catharines</t>
  </si>
  <si>
    <t>Tashkent Hotel Transfer - Cholpon Ata Bus Station</t>
  </si>
  <si>
    <t>Vietnam, Binh Dinh</t>
  </si>
  <si>
    <t>Vietnam, Cam Ranh</t>
  </si>
  <si>
    <t>Quy Nhon City - Cam Ranh Airport</t>
  </si>
  <si>
    <t>Vietnam, Kon Tum</t>
  </si>
  <si>
    <t>Quy Nhon City - Mang Den</t>
  </si>
  <si>
    <t>Vietnam, Binh Thuan</t>
  </si>
  <si>
    <t>Vietnam, Da Lat</t>
  </si>
  <si>
    <t>Phan Thiet North Bus Station - Da Lat Bus Station</t>
  </si>
  <si>
    <t>bus | VIP 19</t>
  </si>
  <si>
    <t>Vietnam, Da Nang</t>
  </si>
  <si>
    <t>Bac Phan Thiet Roundabout - 166 Dien Bien Phu</t>
  </si>
  <si>
    <t>bus | Cabin 32</t>
  </si>
  <si>
    <t>bus | Lower Cabin 22</t>
  </si>
  <si>
    <t>bus | Upper Cabin 22</t>
  </si>
  <si>
    <t>Vietnam, Hoi An</t>
  </si>
  <si>
    <t>Bac Phan Thiet Roundabout - 109 Ton Duc Thang</t>
  </si>
  <si>
    <t>Vietnam, Hue</t>
  </si>
  <si>
    <t>Bac Phan Thiet Roundabout - 54 Le Duan</t>
  </si>
  <si>
    <t>Cam Ranh Airport - Quy Nhon City</t>
  </si>
  <si>
    <t>Cam Ranh Airport - Da Lat Hotel Transfer</t>
  </si>
  <si>
    <t>Cam Ranh Airport - Da Lat Transfer</t>
  </si>
  <si>
    <t>bus | Electric Limo</t>
  </si>
  <si>
    <t>Cam Ranh Airport - Ho Chi Minh Hotel Transfer</t>
  </si>
  <si>
    <t>Vietnam, Can Tho</t>
  </si>
  <si>
    <t>Can Tho - Koh Rong</t>
  </si>
  <si>
    <t>Can Tho - Koh Rong Samloem</t>
  </si>
  <si>
    <t>Can Tho - Phnom Penh</t>
  </si>
  <si>
    <t>bus | Minivan + Sleeper Bus</t>
  </si>
  <si>
    <t>Can Tho - Sihanoukville</t>
  </si>
  <si>
    <t>Can Tho - Cang Bai Vong Phu Quoc</t>
  </si>
  <si>
    <t>bus | Sleeper Bus + Ferry</t>
  </si>
  <si>
    <t>Vietnam, Cao Bang</t>
  </si>
  <si>
    <t>Cao Bang - Sapa</t>
  </si>
  <si>
    <t>Chau Doc - Koh Rong</t>
  </si>
  <si>
    <t>Chau Doc - Koh Rong Samloem</t>
  </si>
  <si>
    <t>Chau Doc - Sihanoukville</t>
  </si>
  <si>
    <t>Da Lat Hotel Transfer - Cam Ranh Airport</t>
  </si>
  <si>
    <t>Da Lat Transfer - Cam Ranh Airport</t>
  </si>
  <si>
    <t>Lo H1 KQH Pham Hong Thai - Sieu Thi Dac San Huong Da</t>
  </si>
  <si>
    <t>bus | Cabin 24</t>
  </si>
  <si>
    <t>Vietnam, Mui Ne</t>
  </si>
  <si>
    <t>257 Phu Dong Thien Vuong - 117 Nguyen Dinh Chieu</t>
  </si>
  <si>
    <t>bus | Luxury 19</t>
  </si>
  <si>
    <t>Vietnam, Nha Trang</t>
  </si>
  <si>
    <t>Lo H1 KQH Pham Hong Thai - 5 To Huu</t>
  </si>
  <si>
    <t>166 Dien Bien Phu - Bac Phan Thiet Roundabout</t>
  </si>
  <si>
    <t>Sieu Thi Dac San Huong Da - Lo H1 KQH Pham Hong Thai</t>
  </si>
  <si>
    <t>133 Hoang Thi Loan - 218 Do Muoi</t>
  </si>
  <si>
    <t>bus | Cabin 24 Double</t>
  </si>
  <si>
    <t>bus | Cabin 24 Single</t>
  </si>
  <si>
    <t>166 Dien Bien Phu - 306A Hong Lac</t>
  </si>
  <si>
    <t>166 Dien Bien Phu - 39 National Highway 1A</t>
  </si>
  <si>
    <t>190 Le Dai Hanh - 292 Dinh Bo Linh</t>
  </si>
  <si>
    <t>bus | VIP 22</t>
  </si>
  <si>
    <t>190 Le Dai Hanh - 332 Go Dau</t>
  </si>
  <si>
    <t>200 Vo Nguyen Giap My Khe Beach - 35 Ben Nghe</t>
  </si>
  <si>
    <t>bus | Limousine</t>
  </si>
  <si>
    <t>200 Vo Nguyen Giap My Khe Beach - Highlands Coffee Le Loi</t>
  </si>
  <si>
    <t>233 Nguyen Van Thoai - 35 Ben Nghe</t>
  </si>
  <si>
    <t>233 Nguyen Van Thoai - Highlands Coffee Le Loi</t>
  </si>
  <si>
    <t>Da Nang - Hue</t>
  </si>
  <si>
    <t>train | VIP Seat</t>
  </si>
  <si>
    <t>GO Da Nang - GO Hue</t>
  </si>
  <si>
    <t>van | Shared Car</t>
  </si>
  <si>
    <t>Vincom Plaza Da Nang - TTTM Vincom Plaza</t>
  </si>
  <si>
    <t>166 Dien Bien Phu - 245 Nguyen Dinh Chieu</t>
  </si>
  <si>
    <t>79 Nguyen Tuong Pho - 5 To Huu</t>
  </si>
  <si>
    <t>Sieu Thi Dac San Huong Da - Coopmart Supermarket Nha Trang</t>
  </si>
  <si>
    <t>Vietnam, Ninh Binh</t>
  </si>
  <si>
    <t>133 Hoang Thi Loan - Tam Coc</t>
  </si>
  <si>
    <t>Da Nang - Ninh Binh</t>
  </si>
  <si>
    <t>train | The Tonkin Berth 4x</t>
  </si>
  <si>
    <t>train | The Tonkin Suite Twin</t>
  </si>
  <si>
    <t>train | The Tonkin VIP Cabin</t>
  </si>
  <si>
    <t>Vietnam, Phong Nha</t>
  </si>
  <si>
    <t>79 Nguyen Tuong Pho - Phong Nha Hung Thanh Bus Office</t>
  </si>
  <si>
    <t>Vietnam, Quang Binh</t>
  </si>
  <si>
    <t>Da Nang City - Dong Hoi</t>
  </si>
  <si>
    <t>Vietnam, Quy Nhon</t>
  </si>
  <si>
    <t>Sieu Thi Dac San Huong Da - Lan Anh Hotel</t>
  </si>
  <si>
    <t>Vietnam, Thu Duc City</t>
  </si>
  <si>
    <t>166 Dien Bien Phu - Dinh Nhan Bus VP Binh Phuoc</t>
  </si>
  <si>
    <t>190 Le Dai Hanh - 720 Do Muoi</t>
  </si>
  <si>
    <t>Vietnam, Dien Bien</t>
  </si>
  <si>
    <t>Dien Bien - Sapa</t>
  </si>
  <si>
    <t>Vietnam, Dong Ha</t>
  </si>
  <si>
    <t>Dong Ha - Hanoi</t>
  </si>
  <si>
    <t>Dong Ha - Ninh Binh</t>
  </si>
  <si>
    <t>Vietnam, Dong Hoi</t>
  </si>
  <si>
    <t>Dong Hoi - Hanoi</t>
  </si>
  <si>
    <t>Dong Hoi - Ninh Binh</t>
  </si>
  <si>
    <t>Vietnam, Dong Nai</t>
  </si>
  <si>
    <t>Nam Cat Tien Hotel Transfer - Nha Trang Hotel Transfer</t>
  </si>
  <si>
    <t>Vietnam, Gia Lam</t>
  </si>
  <si>
    <t>204 Tran Quang Khai - Tam Coc Boat Station</t>
  </si>
  <si>
    <t>Vietnam, Quang Ninh</t>
  </si>
  <si>
    <t>204 Tran Quang Khai - Tuan Chau International Port</t>
  </si>
  <si>
    <t>204 Tran Quang Khai - Sa Pa SapaExpress</t>
  </si>
  <si>
    <t>Vietnam, Ha Giang</t>
  </si>
  <si>
    <t>10 Nguyen Trai - 3 Tran Phu</t>
  </si>
  <si>
    <t>bus | VIP 18</t>
  </si>
  <si>
    <t>10 Nguyen Trai - Hanoi Opera House</t>
  </si>
  <si>
    <t>bus | VIP 9</t>
  </si>
  <si>
    <t>29 Nguyen Trung Truc - Ha Noi Railway Station</t>
  </si>
  <si>
    <t>49 Minh Khai - 160 Tran Quang Khai</t>
  </si>
  <si>
    <t>49 Minh Khai - Hanoi Opera House</t>
  </si>
  <si>
    <t>Ha Giang - Hanoi</t>
  </si>
  <si>
    <t>charter | SUV 3pax</t>
  </si>
  <si>
    <t>charter | VIP 11pax</t>
  </si>
  <si>
    <t>charter | VIP 18pax</t>
  </si>
  <si>
    <t>charter | VIP 9pax</t>
  </si>
  <si>
    <t>Ha Giang Bus Terminal - 160 Tran Quang Khai</t>
  </si>
  <si>
    <t>Ha Giang Bus Terminal - Daily Limousine Office</t>
  </si>
  <si>
    <t>Ha Giang Hostel - 3 Tran Phu</t>
  </si>
  <si>
    <t>Ha Giang Hostel - Daily Limousine Office</t>
  </si>
  <si>
    <t>Rocks Hagiang Hostel Tours - 11 Hang Ruoi</t>
  </si>
  <si>
    <t>van | Limousine</t>
  </si>
  <si>
    <t>Vietnam, Noi Bai Airport</t>
  </si>
  <si>
    <t>10 Nguyen Trai - Hanoi Airport</t>
  </si>
  <si>
    <t>Ha Giang Bus Terminal - Hanoi Airport</t>
  </si>
  <si>
    <t>Ha Giang Hostel - Hanoi Airport</t>
  </si>
  <si>
    <t>Vietnam, Hai Phong</t>
  </si>
  <si>
    <t>Cat Ba Island - Ninh Binh Hotel Transfer</t>
  </si>
  <si>
    <t>Hai Phong - Ninh Binh Hotel Transfer</t>
  </si>
  <si>
    <t>Vietnam, Halong Bay</t>
  </si>
  <si>
    <t>Van Don Cai Rong Port Stop - 28 Dinh Nup</t>
  </si>
  <si>
    <t>bus | Cabin 22</t>
  </si>
  <si>
    <t>bus | Limousine 11</t>
  </si>
  <si>
    <t>bus | Limousine 9</t>
  </si>
  <si>
    <t>Van Don Cai Rong Port Stop - Aeon Mall Long Bien</t>
  </si>
  <si>
    <t>Van Don Cai Rong Port Stop - Gate R6 Royal City</t>
  </si>
  <si>
    <t>Van Don Cai Rong Port Stop - Minh Chau Limousine Office</t>
  </si>
  <si>
    <t>Van Don Cai Rong Port Stop - Time City</t>
  </si>
  <si>
    <t>Van Don Cai Rong Port Stop - Vinhomes Ocean Park 1</t>
  </si>
  <si>
    <t>Van Don Cai Rong Port Stop - Vinhomes Ocean Park 2 3</t>
  </si>
  <si>
    <t>Halong Bay Transfer - Ninh Binh Hotel Transfer</t>
  </si>
  <si>
    <t>Hanoi - Dong Ha</t>
  </si>
  <si>
    <t>Hanoi - Dong Hoi</t>
  </si>
  <si>
    <t>11 Hang Ruoi - Rocks Hagiang Hostel Tours</t>
  </si>
  <si>
    <t>160 Tran Quang Khai - 49 Minh Khai</t>
  </si>
  <si>
    <t>3 Tran Phu - Ha Giang Hostel</t>
  </si>
  <si>
    <t>Daily Limousine Office - Ha Giang Bus Terminal</t>
  </si>
  <si>
    <t>Ha Noi Railway Station - 29 Nguyen Trung Truc</t>
  </si>
  <si>
    <t>Hanoi - Ha Giang</t>
  </si>
  <si>
    <t>Hanoi Opera House - 10 Nguyen Trai</t>
  </si>
  <si>
    <t>28 Dinh Nup - Van Don Cai Rong Port Stop</t>
  </si>
  <si>
    <t>Aeon Mall Long Bien - Van Don Cai Rong Port Stop</t>
  </si>
  <si>
    <t>Gate R6 Royal City - Van Don Cai Rong Port Stop</t>
  </si>
  <si>
    <t>Minh Chau Limousine Office - Van Don Cai Rong Port Stop</t>
  </si>
  <si>
    <t>Time City - Van Don Cai Rong Port Stop</t>
  </si>
  <si>
    <t>Vinhomes Ocean Park 1 - Van Don Cai Rong Port Stop</t>
  </si>
  <si>
    <t>Vinhomes Ocean Park 2 3 - Van Don Cai Rong Port Stop</t>
  </si>
  <si>
    <t>Hanoi - Hue</t>
  </si>
  <si>
    <t>Vietnam, Lao Cai</t>
  </si>
  <si>
    <t>Hanoi - Sapa Lao Cai</t>
  </si>
  <si>
    <t>train | Dzao Suite Twin</t>
  </si>
  <si>
    <t>train | H'mong Suite Queen</t>
  </si>
  <si>
    <t>train | Indigo Berth 4x</t>
  </si>
  <si>
    <t>Hanoi GreenLion - Sapa GreenLion</t>
  </si>
  <si>
    <t>van | Front and Back seats</t>
  </si>
  <si>
    <t>van | Middle seats</t>
  </si>
  <si>
    <t>Vietnam, Mu Cang Chai</t>
  </si>
  <si>
    <t>Hanoi Transfer - Mu Cang Chai Hotel Transfer</t>
  </si>
  <si>
    <t>72 P Vong - 251 Luong Van Thang</t>
  </si>
  <si>
    <t>72 P Vong - Dong Gung Bus Station</t>
  </si>
  <si>
    <t>bus | Limousine 11 + SUV</t>
  </si>
  <si>
    <t>72 P Vong - Trang An Boat Station</t>
  </si>
  <si>
    <t>72 Tran Nhan Tong - 251 Luong Van Thang</t>
  </si>
  <si>
    <t>72 Tran Nhan Tong - Dong Gung Bus Station</t>
  </si>
  <si>
    <t>72 Tran Nhan Tong - Trang An Boat Station</t>
  </si>
  <si>
    <t>Hanoi Transfer - Ninh Binh Hotel Transfer</t>
  </si>
  <si>
    <t>Kiot 1 N7 KDT Dong Tau - 298 Luong Van Thang</t>
  </si>
  <si>
    <t>van | Limousine 11</t>
  </si>
  <si>
    <t>Kiot 1 N7 KDT Dong Tau - Tam Coc Boat Station</t>
  </si>
  <si>
    <t>Noi Bai International Airport - 251 Luong Van Thang</t>
  </si>
  <si>
    <t>Noi Bai International Airport - Dong Gung Bus Station</t>
  </si>
  <si>
    <t>Noi Bai International Airport - Trang An Boat Station</t>
  </si>
  <si>
    <t>Hanoi Old Quarter - Noi Bai International Airport</t>
  </si>
  <si>
    <t>28 Dinh Nup - Ao Tien Cruise Terminal</t>
  </si>
  <si>
    <t>28 Dinh Nup - Tuan Chau Welcome Gate</t>
  </si>
  <si>
    <t>Aeon Mall Long Bien - Ao Tien Cruise Terminal</t>
  </si>
  <si>
    <t>Aeon Mall Long Bien - Tuan Chau Welcome Gate</t>
  </si>
  <si>
    <t>Gate R6 Royal City - Ao Tien Cruise Terminal</t>
  </si>
  <si>
    <t>Gate R6 Royal City - Tuan Chau Welcome Gate</t>
  </si>
  <si>
    <t>Minh Chau Limousine Office - Ao Tien Cruise Terminal</t>
  </si>
  <si>
    <t>Minh Chau Limousine Office - Tuan Chau Welcome Gate</t>
  </si>
  <si>
    <t>Time City - Ao Tien Cruise Terminal</t>
  </si>
  <si>
    <t>Time City - Tuan Chau Welcome Gate</t>
  </si>
  <si>
    <t>Vinhomes Ocean Park 1 - Ao Tien Cruise Terminal</t>
  </si>
  <si>
    <t>Vinhomes Ocean Park 1 - Tuan Chau Welcome Gate</t>
  </si>
  <si>
    <t>Vinhomes Ocean Park 2 3 - Ao Tien Cruise Terminal</t>
  </si>
  <si>
    <t>Vinhomes Ocean Park 2 3 - Tuan Chau Welcome Gate</t>
  </si>
  <si>
    <t>16 Tran Nhat Duat - Sapa Market</t>
  </si>
  <si>
    <t>bus | VIP Cabin 22</t>
  </si>
  <si>
    <t>Vietnam, Tam Coc</t>
  </si>
  <si>
    <t>Hanoi Noi Bai Airport - Buu Dien Bich Dong</t>
  </si>
  <si>
    <t>Kiot 1 N7 KDT Dong Tau - Trang An Boat Station Ninh Binh</t>
  </si>
  <si>
    <t>Kumho Samco Buslines Ho Chi Minh - Kumho Samco Buslines Phnom Penh</t>
  </si>
  <si>
    <t>229 Pham Ngu Lao - 10 Nguyen Dinh Chieu</t>
  </si>
  <si>
    <t>bus | Cabin 34</t>
  </si>
  <si>
    <t>bus | Seater 19</t>
  </si>
  <si>
    <t>229 Pham Ngu Lao - 79 Nguyen Dinh Chieu</t>
  </si>
  <si>
    <t>Ho Chi Minh Hotel Transfer - Cam Ranh Airport</t>
  </si>
  <si>
    <t>292 Dinh Bo Linh - 190 Le Dai Hanh</t>
  </si>
  <si>
    <t>306A Hong Lac - 166 Dien Bien Phu</t>
  </si>
  <si>
    <t>332 Go Dau - 190 Le Dai Hanh</t>
  </si>
  <si>
    <t>39 National Highway 1A - 166 Dien Bien Phu</t>
  </si>
  <si>
    <t>292 Dinh Bo Linh - 181 Ton Duc Thang</t>
  </si>
  <si>
    <t>306A Hong Lac - 109 Ton Duc Thang</t>
  </si>
  <si>
    <t>332 Go Dau - 181 Ton Duc Thang</t>
  </si>
  <si>
    <t>39 National Highway 1A - 109 Ton Duc Thang</t>
  </si>
  <si>
    <t>292 Dinh Bo Linh - 55 Vo Van Kiet</t>
  </si>
  <si>
    <t>292 Dinh Bo Linh - 97 An Duong Vuong</t>
  </si>
  <si>
    <t>306A Hong Lac - 54 Le Duan</t>
  </si>
  <si>
    <t>332 Go Dau - 55 Vo Van Kiet</t>
  </si>
  <si>
    <t>332 Go Dau - 97 An Duong Vuong</t>
  </si>
  <si>
    <t>39 National Highway 1A - 54 Le Duan</t>
  </si>
  <si>
    <t>229 Pham Ngu Lao - 185 Ton Duc Thang</t>
  </si>
  <si>
    <t>229 Pham Ngu Lao - 356 Huynh Thuc Khang</t>
  </si>
  <si>
    <t>229 Pham Ngu Lao - iHome Backpacker Resort</t>
  </si>
  <si>
    <t>Tan Son Nhat Airport - Mui Ne Hotel Transfer</t>
  </si>
  <si>
    <t>229 Pham Ngu Lao - Panorama Nha Trang Hotel</t>
  </si>
  <si>
    <t>Vietnam, Phan Thiet</t>
  </si>
  <si>
    <t>Tan Son Nhat Airport - Phan Thiet Hotel Transfer</t>
  </si>
  <si>
    <t>109 Ton Duc Thang - Bac Phan Thiet Roundabout</t>
  </si>
  <si>
    <t>109 Ton Duc Thang - 306A Hong Lac</t>
  </si>
  <si>
    <t>109 Ton Duc Thang - 39 National Highway 1A</t>
  </si>
  <si>
    <t>181 Ton Duc Thang - 292 Dinh Bo Linh</t>
  </si>
  <si>
    <t>181 Ton Duc Thang - 332 Go Dau</t>
  </si>
  <si>
    <t>548 Hai Ba Trung - 35 Ben Nghe</t>
  </si>
  <si>
    <t>548 Hai Ba Trung - Highlands Coffee Le Loi</t>
  </si>
  <si>
    <t>109 Ton Duc Thang - 245 Nguyen Dinh Chieu</t>
  </si>
  <si>
    <t>105 Ton Duc Thang - 5 To Huu</t>
  </si>
  <si>
    <t>97 Nguyen Tat Thanh - 5 To Huu</t>
  </si>
  <si>
    <t>97 Nguyen Tat Thanh - Phong Nha Hung Thanh Bus Office</t>
  </si>
  <si>
    <t>Hoi An Hotel Transfer - Dong Hoi</t>
  </si>
  <si>
    <t>109 Ton Duc Thang - Dinh Nhan Bus VP Binh Phuoc</t>
  </si>
  <si>
    <t>181 Ton Duc Thang - 720 Do Muoi</t>
  </si>
  <si>
    <t>54 Le Duan - Bac Phan Thiet Roundabout</t>
  </si>
  <si>
    <t>35 Ben Nghe - 200 Vo Nguyen Giap My Khe Beach</t>
  </si>
  <si>
    <t>35 Ben Nghe - 233 Nguyen Van Thoai</t>
  </si>
  <si>
    <t>54 Le Duan - 166 Dien Bien Phu</t>
  </si>
  <si>
    <t>GO Hue - GO Da Nang</t>
  </si>
  <si>
    <t>Highlands Coffee Le Loi - 200 Vo Nguyen Giap My Khe Beach</t>
  </si>
  <si>
    <t>Highlands Coffee Le Loi - 233 Nguyen Van Thoai</t>
  </si>
  <si>
    <t>Hue - Da Nang</t>
  </si>
  <si>
    <t>TTTM Vincom Plaza - Vincom Plaza Da Nang</t>
  </si>
  <si>
    <t>Hue - Hanoi</t>
  </si>
  <si>
    <t>54 Le Duan - 306A Hong Lac</t>
  </si>
  <si>
    <t>54 Le Duan - 39 National Highway 1A</t>
  </si>
  <si>
    <t>55 Vo Van Kiet - 292 Dinh Bo Linh</t>
  </si>
  <si>
    <t>55 Vo Van Kiet - 332 Go Dau</t>
  </si>
  <si>
    <t>97 An Duong Vuong - 292 Dinh Bo Linh</t>
  </si>
  <si>
    <t>97 An Duong Vuong - 332 Go Dau</t>
  </si>
  <si>
    <t>35 Ben Nghe - 548 Hai Ba Trung</t>
  </si>
  <si>
    <t>54 Le Duan - 109 Ton Duc Thang</t>
  </si>
  <si>
    <t>Highlands Coffee Le Loi - 548 Hai Ba Trung</t>
  </si>
  <si>
    <t>54 Le Duan - 245 Nguyen Dinh Chieu</t>
  </si>
  <si>
    <t>Nguyen Hoang Bus Station - 5 To Huu</t>
  </si>
  <si>
    <t>Hue - Ninh Binh</t>
  </si>
  <si>
    <t>Hue City - Ninh Binh Hotel Transfer</t>
  </si>
  <si>
    <t>Hue City - Dong Hoi</t>
  </si>
  <si>
    <t>Vietnam, Quang Nam</t>
  </si>
  <si>
    <t>35 Ben Nghe - Hoi An Ivy Hotel</t>
  </si>
  <si>
    <t>Highlands Coffee Le Loi - Hoi An Ivy Hotel</t>
  </si>
  <si>
    <t>Vietnam, Thanh Hoa</t>
  </si>
  <si>
    <t>Hue City - Pu Luong</t>
  </si>
  <si>
    <t>54 Le Duan - Dinh Nhan Bus VP Binh Phuoc</t>
  </si>
  <si>
    <t>55 Vo Van Kiet - 720 Do Muoi</t>
  </si>
  <si>
    <t>97 An Duong Vuong - 720 Do Muoi</t>
  </si>
  <si>
    <t>Mang Den - Quy Nhon City</t>
  </si>
  <si>
    <t>Vietnam, Lai Chau</t>
  </si>
  <si>
    <t>Lai Chau - Sapa</t>
  </si>
  <si>
    <t>Sapa GreenLion - Hanoi GreenLion</t>
  </si>
  <si>
    <t>Sapa Lao Cai - Hanoi</t>
  </si>
  <si>
    <t>Vietnam, Mai Chau</t>
  </si>
  <si>
    <t>Mai Chau - Ninh Binh Hotel Transfer</t>
  </si>
  <si>
    <t>Mai Chau - Pu Luong</t>
  </si>
  <si>
    <t>Mu Cang Chai Hotel Transfer - Hanoi Transfer</t>
  </si>
  <si>
    <t>Mu Cang Chai Hotel Transfer - Noi Bai International Airport</t>
  </si>
  <si>
    <t>Mu Cang Chai Hotel Transfer - Sapa</t>
  </si>
  <si>
    <t>117 Nguyen Dinh Chieu - 257 Phu Dong Thien Vuong</t>
  </si>
  <si>
    <t>245 Nguyen Dinh Chieu - 166 Dien Bien Phu</t>
  </si>
  <si>
    <t>185 Ton Duc Thang - 229 Pham Ngu Lao</t>
  </si>
  <si>
    <t>93 Nguyen Dinh Chieu - 229 Pham Ngu Lao</t>
  </si>
  <si>
    <t>Mui Ne Hotel Transfer - Tan Son Nhat Airport</t>
  </si>
  <si>
    <t>245 Nguyen Dinh Chieu - 109 Ton Duc Thang</t>
  </si>
  <si>
    <t>245 Nguyen Dinh Chieu - 54 Le Duan</t>
  </si>
  <si>
    <t>185 Ton Duc Thang - Panorama Nha Trang Hotel</t>
  </si>
  <si>
    <t>93 Nguyen Dinh Chieu - Nam Hai STH35A 24</t>
  </si>
  <si>
    <t>93 Nguyen Dinh Chieu - Panorama Nha Trang Hotel</t>
  </si>
  <si>
    <t>5 To Huu - Lo H1 KQH Pham Hong Thai</t>
  </si>
  <si>
    <t>5 To Huu - 79 Nguyen Tuong Pho</t>
  </si>
  <si>
    <t>Coopmart Supermarket Nha Trang - Sieu Thi Dac San Huong Da</t>
  </si>
  <si>
    <t>Nha Trang Hotel Transfer - Nam Cat Tien Hotel Transfer</t>
  </si>
  <si>
    <t>Nha Trang Northern Bus Station - Mien Dong Bus Station</t>
  </si>
  <si>
    <t>bus | Luxury</t>
  </si>
  <si>
    <t>Nha Trang Northern Bus Station - New Mien Dong Bus Station</t>
  </si>
  <si>
    <t>5 To Huu - 105 Ton Duc Thang</t>
  </si>
  <si>
    <t>5 To Huu - 97 Nguyen Tat Thanh</t>
  </si>
  <si>
    <t>5 To Huu - Nguyen Hoang Bus Station</t>
  </si>
  <si>
    <t>Nam Hai STH35A 24 - 185 Ton Duc Thang</t>
  </si>
  <si>
    <t>Nam Hai STH35A 24 - 93 Nguyen Dinh Chieu</t>
  </si>
  <si>
    <t>Nam Hai STH35A 24 - iHome Backpacker Resort</t>
  </si>
  <si>
    <t>5 To Huu - Phong Nha Hung Thanh Bus Office</t>
  </si>
  <si>
    <t>Vietnam, Phu Yen</t>
  </si>
  <si>
    <t>Twosome Coffee - Vincom Plaza Tuy Hoa</t>
  </si>
  <si>
    <t>Vietnam, Quang Tri</t>
  </si>
  <si>
    <t>5 To Huu - 187 Le Duan</t>
  </si>
  <si>
    <t>5 To Huu - Lan Anh Hotel</t>
  </si>
  <si>
    <t>Ninh Binh - Da Nang</t>
  </si>
  <si>
    <t>Ninh Binh Railway Station - 51 D3 Thang 2</t>
  </si>
  <si>
    <t>bus | VIP 34</t>
  </si>
  <si>
    <t>Ninh Binh Railway Station - Da Nang Central Bus Station</t>
  </si>
  <si>
    <t>bus | VIP 32</t>
  </si>
  <si>
    <t>Tam Coc - 133 Hoang Thi Loan</t>
  </si>
  <si>
    <t>Ninh Binh - Dong Ha</t>
  </si>
  <si>
    <t>Ninh Binh - Dong Hoi</t>
  </si>
  <si>
    <t>Ninh Binh Railway Station - Dong Hoi Post Office</t>
  </si>
  <si>
    <t>Ninh Binh Hotel Transfer - Cat Ba Island</t>
  </si>
  <si>
    <t>Ninh Binh Hotel Transfer - Hai Phong</t>
  </si>
  <si>
    <t>Ninh Binh Hotel Transfer - Halong Bay Transfer</t>
  </si>
  <si>
    <t>251 Luong Van Thang - 72 P Vong</t>
  </si>
  <si>
    <t>251 Luong Van Thang - 72 Tran Nhan Tong</t>
  </si>
  <si>
    <t>251 Luong Van Thang - Noi Bai International Airport</t>
  </si>
  <si>
    <t>298 Luong Van Thang - Kiot 1 N7 KDT Dong Tau</t>
  </si>
  <si>
    <t>Dong Gung Bus Station - 72 P Vong</t>
  </si>
  <si>
    <t>Dong Gung Bus Station - 72 Tran Nhan Tong</t>
  </si>
  <si>
    <t>Dong Gung Bus Station - Noi Bai International Airport</t>
  </si>
  <si>
    <t>Ninh Binh Hotel Transfer - Hanoi Transfer</t>
  </si>
  <si>
    <t>Tam Coc Boat Station - Kiot 1 N7 KDT Dong Tau</t>
  </si>
  <si>
    <t>Trang An Boat Station - 72 P Vong</t>
  </si>
  <si>
    <t>Trang An Boat Station - 72 Tran Nhan Tong</t>
  </si>
  <si>
    <t>Trang An Boat Station - Noi Bai International Airport</t>
  </si>
  <si>
    <t>Ninh Binh Railway Station - 131 Tran Nhan Tong</t>
  </si>
  <si>
    <t>Ninh Binh Railway Station - 35 Ly Thai To</t>
  </si>
  <si>
    <t>Ninh Binh - Hue</t>
  </si>
  <si>
    <t>Ninh Binh Hotel Transfer - Hue City</t>
  </si>
  <si>
    <t>Ninh Binh Railway Station - 80 Nguyen Sinh Cung</t>
  </si>
  <si>
    <t>Ninh Binh Railway Station - Hue Northern Bus Station</t>
  </si>
  <si>
    <t>Ninh Binh Hotel Transfer - Mai Chau</t>
  </si>
  <si>
    <t>Ninh Binh Hotel Transfer - Hanoi Airport</t>
  </si>
  <si>
    <t>Ninh Binh Hotel Transfer - Phong Nha</t>
  </si>
  <si>
    <t>Ninh Binh Railway Station - Nam Anh Hotel</t>
  </si>
  <si>
    <t>Ninh Binh Bus Terminal - Sapa Bus Station</t>
  </si>
  <si>
    <t>Ninh Binh Hotel Transfer - Sapa</t>
  </si>
  <si>
    <t>Vietnam, Son La</t>
  </si>
  <si>
    <t>Ninh Binh Hotel Transfer - Moc Chau</t>
  </si>
  <si>
    <t>Ninh Binh Hotel Transfer - Pu Luong</t>
  </si>
  <si>
    <t>Hanoi Airport - 10 Nguyen Trai</t>
  </si>
  <si>
    <t>Hanoi Airport - Ha Giang Bus Terminal</t>
  </si>
  <si>
    <t>Hanoi Airport - Ha Giang Hostel</t>
  </si>
  <si>
    <t>Noi Bai International Airport - Hanoi Old Quarter</t>
  </si>
  <si>
    <t>Noi Bai International Airport - Mu Cang Chai Hotel Transfer</t>
  </si>
  <si>
    <t>Hanoi Airport - Ninh Binh Hotel Transfer</t>
  </si>
  <si>
    <t>Phan Thiet Hotel Transfer - Tan Son Nhat Airport</t>
  </si>
  <si>
    <t>Phong Nha Hung Thanh Bus Office - 105 Ton Duc Thang</t>
  </si>
  <si>
    <t>Phong Nha Hung Thanh Bus Office - 5 To Huu</t>
  </si>
  <si>
    <t>Phong Nha - Ninh Binh Hotel Transfer</t>
  </si>
  <si>
    <t>Cang Bai Vong Phu Quoc - Koh Rong</t>
  </si>
  <si>
    <t>Cang Bai Vong Phu Quoc - Koh Rong Samloem</t>
  </si>
  <si>
    <t>Vincom Plaza Tuy Hoa - Twosome Coffee</t>
  </si>
  <si>
    <t>Dong Hoi - Da Nang City</t>
  </si>
  <si>
    <t>Phong Nha Central Backpackers Hostel - 90 Hoang Thi Loan</t>
  </si>
  <si>
    <t>bus | Lower Cabin 24</t>
  </si>
  <si>
    <t>bus | Upper Cabin 24</t>
  </si>
  <si>
    <t>Dong Hoi - Hoi An Hotel Transfer</t>
  </si>
  <si>
    <t>Phong Nha Central Backpackers Hostel - 61 Nguyen Tat Thanh</t>
  </si>
  <si>
    <t>Dong Hoi - Hue City</t>
  </si>
  <si>
    <t>Phong Nha Central Backpackers Hostel - 5 Le Quang Dao</t>
  </si>
  <si>
    <t>Hoi An Ivy Hotel - 35 Ben Nghe</t>
  </si>
  <si>
    <t>Hoi An Ivy Hotel - Highlands Coffee Le Loi</t>
  </si>
  <si>
    <t>Ao Tien Cruise Terminal - 28 Dinh Nup</t>
  </si>
  <si>
    <t>Ao Tien Cruise Terminal - Aeon Mall Long Bien</t>
  </si>
  <si>
    <t>Ao Tien Cruise Terminal - Gate R6 Royal City</t>
  </si>
  <si>
    <t>Ao Tien Cruise Terminal - Minh Chau Limousine Office</t>
  </si>
  <si>
    <t>Ao Tien Cruise Terminal - Time City</t>
  </si>
  <si>
    <t>Ao Tien Cruise Terminal - Vinhomes Ocean Park 1</t>
  </si>
  <si>
    <t>Ao Tien Cruise Terminal - Vinhomes Ocean Park 2 3</t>
  </si>
  <si>
    <t>Tuan Chau Welcome Gate - 28 Dinh Nup</t>
  </si>
  <si>
    <t>Tuan Chau Welcome Gate - Aeon Mall Long Bien</t>
  </si>
  <si>
    <t>Tuan Chau Welcome Gate - Gate R6 Royal City</t>
  </si>
  <si>
    <t>Tuan Chau Welcome Gate - Minh Chau Limousine Office</t>
  </si>
  <si>
    <t>Tuan Chau Welcome Gate - Time City</t>
  </si>
  <si>
    <t>Tuan Chau Welcome Gate - Vinhomes Ocean Park 1</t>
  </si>
  <si>
    <t>Tuan Chau Welcome Gate - Vinhomes Ocean Park 2 3</t>
  </si>
  <si>
    <t>187 Le Duan - 5 To Huu</t>
  </si>
  <si>
    <t>Lan Anh Hotel - Sieu Thi Dac San Huong Da</t>
  </si>
  <si>
    <t>Lan Anh Hotel - 5 To Huu</t>
  </si>
  <si>
    <t>Sapa - Cao Bang</t>
  </si>
  <si>
    <t>Sapa - Dien Bien</t>
  </si>
  <si>
    <t>Sa Pa SapaExpress - 204 Tran Quang Khai</t>
  </si>
  <si>
    <t>Sapa - Lai Chau</t>
  </si>
  <si>
    <t>Sapa - Mu Cang Chai Hotel Transfer</t>
  </si>
  <si>
    <t>Sa Pa SapaExpress - Tam Coc Boat Station</t>
  </si>
  <si>
    <t>Sapa - Ninh Binh Hotel Transfer</t>
  </si>
  <si>
    <t>Sa Pa SapaExpress - Tuan Chau International Port</t>
  </si>
  <si>
    <t>Sapa - Son La</t>
  </si>
  <si>
    <t>Sapa - Pu Luong</t>
  </si>
  <si>
    <t>Moc Chau - Ninh Binh Hotel Transfer</t>
  </si>
  <si>
    <t>Son La - Sapa</t>
  </si>
  <si>
    <t>Moc Chau - Pu Luong</t>
  </si>
  <si>
    <t>Buu Dien Bich Dong - Hanoi Noi Bai Airport</t>
  </si>
  <si>
    <t>Trang An Boat Station Ninh Binh - Kiot 1 N7 KDT Dong Tau</t>
  </si>
  <si>
    <t>Pu Luong - Hue City</t>
  </si>
  <si>
    <t>Pu Luong - Mai Chau</t>
  </si>
  <si>
    <t>Pu Luong - Ninh Binh Hotel Transfer</t>
  </si>
  <si>
    <t>Pu Luong - Sapa</t>
  </si>
  <si>
    <t>Pu Luong - Moc Chau</t>
  </si>
  <si>
    <t>720 Do Muoi - 190 Le Dai Hanh</t>
  </si>
  <si>
    <t>Dinh Nhan Bus VP Binh Phuoc - 166 Dien Bien Phu</t>
  </si>
  <si>
    <t>720 Do Muoi - 181 Ton Duc Thang</t>
  </si>
  <si>
    <t>Dinh Nhan Bus VP Binh Phuoc - 109 Ton Duc Thang</t>
  </si>
  <si>
    <t>720 Do Muoi - 55 Vo Van Kiet</t>
  </si>
  <si>
    <t>720 Do Muoi - 97 An Duong Vuong</t>
  </si>
  <si>
    <t>Dinh Nhan Bus VP Binh Phuoc - 54 Le Duan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</si>
</sst>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</fonts>
  <fills count="7">
    <fill>
      <patternFill patternType="none"/>
    </fill>
    <fill>
      <patternFill patternType="lightGray"/>
    </fill>
    <fill>
      <patternFill patternType="solid">
        <fgColor rgb="FF76A5AF"/>
        <bgColor rgb="FF76A5AF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9FC5E8"/>
        <bgColor rgb="FF9FC5E8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0" fillId="3" fontId="2" numFmtId="0" xfId="0" applyAlignment="1" applyFill="1" applyFont="1">
      <alignment vertical="bottom"/>
    </xf>
    <xf borderId="0" fillId="3" fontId="3" numFmtId="0" xfId="0" applyAlignment="1" applyFont="1">
      <alignment vertical="bottom"/>
    </xf>
    <xf borderId="0" fillId="4" fontId="2" numFmtId="0" xfId="0" applyAlignment="1" applyFill="1" applyFont="1">
      <alignment vertical="bottom"/>
    </xf>
    <xf borderId="0" fillId="4" fontId="4" numFmtId="0" xfId="0" applyAlignment="1" applyFont="1">
      <alignment vertical="bottom"/>
    </xf>
    <xf borderId="0" fillId="5" fontId="2" numFmtId="0" xfId="0" applyAlignment="1" applyFill="1" applyFont="1">
      <alignment vertical="bottom"/>
    </xf>
    <xf borderId="0" fillId="5" fontId="5" numFmtId="0" xfId="0" applyAlignment="1" applyFont="1">
      <alignment vertical="bottom"/>
    </xf>
    <xf borderId="0" fillId="6" fontId="2" numFmtId="0" xfId="0" applyAlignment="1" applyFill="1" applyFont="1">
      <alignment vertical="bottom"/>
    </xf>
    <xf borderId="0" fillId="6" fontId="6" numFmtId="0" xfId="0" applyAlignment="1" applyFont="1">
      <alignment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75"/>
    <col customWidth="1" min="2" max="2" width="25.38"/>
    <col customWidth="1" min="3" max="3" width="33.0"/>
    <col customWidth="1" min="5" max="5" width="44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 t="s">
        <v>6</v>
      </c>
      <c r="C2" s="2" t="s">
        <v>7</v>
      </c>
      <c r="D2" s="3" t="str">
        <f t="shared" ref="D2:D4" si="1">HYPERLINK("https://12go.asia/en/travel/Armavir-Railway/Gyumri", "12Go Link")</f>
        <v>12Go Link</v>
      </c>
      <c r="E2" s="2" t="s">
        <v>8</v>
      </c>
    </row>
    <row r="3">
      <c r="A3" s="2" t="s">
        <v>5</v>
      </c>
      <c r="B3" s="2" t="s">
        <v>6</v>
      </c>
      <c r="C3" s="2" t="s">
        <v>7</v>
      </c>
      <c r="D3" s="3" t="str">
        <f t="shared" si="1"/>
        <v>12Go Link</v>
      </c>
      <c r="E3" s="2" t="s">
        <v>9</v>
      </c>
    </row>
    <row r="4">
      <c r="A4" s="2" t="s">
        <v>5</v>
      </c>
      <c r="B4" s="2" t="s">
        <v>6</v>
      </c>
      <c r="C4" s="2" t="s">
        <v>7</v>
      </c>
      <c r="D4" s="3" t="str">
        <f t="shared" si="1"/>
        <v>12Go Link</v>
      </c>
      <c r="E4" s="2" t="s">
        <v>10</v>
      </c>
    </row>
    <row r="5">
      <c r="A5" s="2" t="s">
        <v>5</v>
      </c>
      <c r="B5" s="2" t="s">
        <v>11</v>
      </c>
      <c r="C5" s="2" t="s">
        <v>12</v>
      </c>
      <c r="D5" s="3" t="str">
        <f t="shared" ref="D5:D7" si="2">HYPERLINK("https://12go.asia/en/travel/Armavir-Railway/Vanadzor", "12Go Link")</f>
        <v>12Go Link</v>
      </c>
      <c r="E5" s="2" t="s">
        <v>8</v>
      </c>
    </row>
    <row r="6">
      <c r="A6" s="2" t="s">
        <v>5</v>
      </c>
      <c r="B6" s="2" t="s">
        <v>11</v>
      </c>
      <c r="C6" s="2" t="s">
        <v>12</v>
      </c>
      <c r="D6" s="3" t="str">
        <f t="shared" si="2"/>
        <v>12Go Link</v>
      </c>
      <c r="E6" s="2" t="s">
        <v>9</v>
      </c>
    </row>
    <row r="7">
      <c r="A7" s="2" t="s">
        <v>5</v>
      </c>
      <c r="B7" s="2" t="s">
        <v>11</v>
      </c>
      <c r="C7" s="2" t="s">
        <v>12</v>
      </c>
      <c r="D7" s="3" t="str">
        <f t="shared" si="2"/>
        <v>12Go Link</v>
      </c>
      <c r="E7" s="2" t="s">
        <v>10</v>
      </c>
    </row>
    <row r="8">
      <c r="A8" s="2" t="s">
        <v>5</v>
      </c>
      <c r="B8" s="2" t="s">
        <v>13</v>
      </c>
      <c r="C8" s="2" t="s">
        <v>14</v>
      </c>
      <c r="D8" s="3" t="str">
        <f t="shared" ref="D8:D10" si="3">HYPERLINK("https://12go.asia/en/travel/Armavir-Railway/Yerevan-Railway", "12Go Link")</f>
        <v>12Go Link</v>
      </c>
      <c r="E8" s="2" t="s">
        <v>8</v>
      </c>
    </row>
    <row r="9">
      <c r="A9" s="2" t="s">
        <v>5</v>
      </c>
      <c r="B9" s="2" t="s">
        <v>13</v>
      </c>
      <c r="C9" s="2" t="s">
        <v>14</v>
      </c>
      <c r="D9" s="3" t="str">
        <f t="shared" si="3"/>
        <v>12Go Link</v>
      </c>
      <c r="E9" s="2" t="s">
        <v>9</v>
      </c>
    </row>
    <row r="10">
      <c r="A10" s="2" t="s">
        <v>5</v>
      </c>
      <c r="B10" s="2" t="s">
        <v>13</v>
      </c>
      <c r="C10" s="2" t="s">
        <v>14</v>
      </c>
      <c r="D10" s="3" t="str">
        <f t="shared" si="3"/>
        <v>12Go Link</v>
      </c>
      <c r="E10" s="2" t="s">
        <v>10</v>
      </c>
    </row>
    <row r="11">
      <c r="A11" s="2" t="s">
        <v>5</v>
      </c>
      <c r="B11" s="2" t="s">
        <v>15</v>
      </c>
      <c r="C11" s="2" t="s">
        <v>16</v>
      </c>
      <c r="D11" s="3" t="str">
        <f t="shared" ref="D11:D13" si="4">HYPERLINK("https://12go.asia/en/travel/Armavir-Railway/Batumi-Central", "12Go Link")</f>
        <v>12Go Link</v>
      </c>
      <c r="E11" s="2" t="s">
        <v>8</v>
      </c>
    </row>
    <row r="12">
      <c r="A12" s="2" t="s">
        <v>5</v>
      </c>
      <c r="B12" s="2" t="s">
        <v>15</v>
      </c>
      <c r="C12" s="2" t="s">
        <v>16</v>
      </c>
      <c r="D12" s="3" t="str">
        <f t="shared" si="4"/>
        <v>12Go Link</v>
      </c>
      <c r="E12" s="2" t="s">
        <v>9</v>
      </c>
    </row>
    <row r="13">
      <c r="A13" s="2" t="s">
        <v>5</v>
      </c>
      <c r="B13" s="2" t="s">
        <v>15</v>
      </c>
      <c r="C13" s="2" t="s">
        <v>16</v>
      </c>
      <c r="D13" s="3" t="str">
        <f t="shared" si="4"/>
        <v>12Go Link</v>
      </c>
      <c r="E13" s="2" t="s">
        <v>10</v>
      </c>
    </row>
    <row r="14">
      <c r="A14" s="2" t="s">
        <v>5</v>
      </c>
      <c r="B14" s="2" t="s">
        <v>17</v>
      </c>
      <c r="C14" s="2" t="s">
        <v>18</v>
      </c>
      <c r="D14" s="3" t="str">
        <f t="shared" ref="D14:D16" si="5">HYPERLINK("https://12go.asia/en/travel/Armavir-Railway/Khashuri", "12Go Link")</f>
        <v>12Go Link</v>
      </c>
      <c r="E14" s="2" t="s">
        <v>8</v>
      </c>
    </row>
    <row r="15">
      <c r="A15" s="2" t="s">
        <v>5</v>
      </c>
      <c r="B15" s="2" t="s">
        <v>17</v>
      </c>
      <c r="C15" s="2" t="s">
        <v>18</v>
      </c>
      <c r="D15" s="3" t="str">
        <f t="shared" si="5"/>
        <v>12Go Link</v>
      </c>
      <c r="E15" s="2" t="s">
        <v>9</v>
      </c>
    </row>
    <row r="16">
      <c r="A16" s="2" t="s">
        <v>5</v>
      </c>
      <c r="B16" s="2" t="s">
        <v>17</v>
      </c>
      <c r="C16" s="2" t="s">
        <v>18</v>
      </c>
      <c r="D16" s="3" t="str">
        <f t="shared" si="5"/>
        <v>12Go Link</v>
      </c>
      <c r="E16" s="2" t="s">
        <v>10</v>
      </c>
    </row>
    <row r="17">
      <c r="A17" s="2" t="s">
        <v>5</v>
      </c>
      <c r="B17" s="2" t="s">
        <v>19</v>
      </c>
      <c r="C17" s="2" t="s">
        <v>20</v>
      </c>
      <c r="D17" s="3" t="str">
        <f t="shared" ref="D17:D19" si="6">HYPERLINK("https://12go.asia/en/travel/Armavir-Railway/Kobuleti", "12Go Link")</f>
        <v>12Go Link</v>
      </c>
      <c r="E17" s="2" t="s">
        <v>8</v>
      </c>
    </row>
    <row r="18">
      <c r="A18" s="2" t="s">
        <v>5</v>
      </c>
      <c r="B18" s="2" t="s">
        <v>19</v>
      </c>
      <c r="C18" s="2" t="s">
        <v>20</v>
      </c>
      <c r="D18" s="3" t="str">
        <f t="shared" si="6"/>
        <v>12Go Link</v>
      </c>
      <c r="E18" s="2" t="s">
        <v>9</v>
      </c>
    </row>
    <row r="19">
      <c r="A19" s="2" t="s">
        <v>5</v>
      </c>
      <c r="B19" s="2" t="s">
        <v>19</v>
      </c>
      <c r="C19" s="2" t="s">
        <v>20</v>
      </c>
      <c r="D19" s="3" t="str">
        <f t="shared" si="6"/>
        <v>12Go Link</v>
      </c>
      <c r="E19" s="2" t="s">
        <v>10</v>
      </c>
    </row>
    <row r="20">
      <c r="A20" s="2" t="s">
        <v>5</v>
      </c>
      <c r="B20" s="2" t="s">
        <v>21</v>
      </c>
      <c r="C20" s="2" t="s">
        <v>22</v>
      </c>
      <c r="D20" s="3" t="str">
        <f t="shared" ref="D20:D22" si="7">HYPERLINK("https://12go.asia/en/travel/Armavir-Railway/Samtredia", "12Go Link")</f>
        <v>12Go Link</v>
      </c>
      <c r="E20" s="2" t="s">
        <v>8</v>
      </c>
    </row>
    <row r="21">
      <c r="A21" s="2" t="s">
        <v>5</v>
      </c>
      <c r="B21" s="2" t="s">
        <v>21</v>
      </c>
      <c r="C21" s="2" t="s">
        <v>22</v>
      </c>
      <c r="D21" s="3" t="str">
        <f t="shared" si="7"/>
        <v>12Go Link</v>
      </c>
      <c r="E21" s="2" t="s">
        <v>9</v>
      </c>
    </row>
    <row r="22">
      <c r="A22" s="2" t="s">
        <v>5</v>
      </c>
      <c r="B22" s="2" t="s">
        <v>21</v>
      </c>
      <c r="C22" s="2" t="s">
        <v>22</v>
      </c>
      <c r="D22" s="3" t="str">
        <f t="shared" si="7"/>
        <v>12Go Link</v>
      </c>
      <c r="E22" s="2" t="s">
        <v>10</v>
      </c>
    </row>
    <row r="23">
      <c r="A23" s="2" t="s">
        <v>5</v>
      </c>
      <c r="B23" s="2" t="s">
        <v>23</v>
      </c>
      <c r="C23" s="2" t="s">
        <v>24</v>
      </c>
      <c r="D23" s="3" t="str">
        <f t="shared" ref="D23:D25" si="8">HYPERLINK("https://12go.asia/en/travel/Armavir-Railway/Tbilisi-Central", "12Go Link")</f>
        <v>12Go Link</v>
      </c>
      <c r="E23" s="2" t="s">
        <v>8</v>
      </c>
    </row>
    <row r="24">
      <c r="A24" s="2" t="s">
        <v>5</v>
      </c>
      <c r="B24" s="2" t="s">
        <v>23</v>
      </c>
      <c r="C24" s="2" t="s">
        <v>24</v>
      </c>
      <c r="D24" s="3" t="str">
        <f t="shared" si="8"/>
        <v>12Go Link</v>
      </c>
      <c r="E24" s="2" t="s">
        <v>9</v>
      </c>
    </row>
    <row r="25">
      <c r="A25" s="2" t="s">
        <v>5</v>
      </c>
      <c r="B25" s="2" t="s">
        <v>23</v>
      </c>
      <c r="C25" s="2" t="s">
        <v>24</v>
      </c>
      <c r="D25" s="3" t="str">
        <f t="shared" si="8"/>
        <v>12Go Link</v>
      </c>
      <c r="E25" s="2" t="s">
        <v>10</v>
      </c>
    </row>
    <row r="26">
      <c r="A26" s="2" t="s">
        <v>5</v>
      </c>
      <c r="B26" s="2" t="s">
        <v>25</v>
      </c>
      <c r="C26" s="2" t="s">
        <v>26</v>
      </c>
      <c r="D26" s="3" t="str">
        <f t="shared" ref="D26:D28" si="9">HYPERLINK("https://12go.asia/en/travel/Armavir-Railway/Ureki", "12Go Link")</f>
        <v>12Go Link</v>
      </c>
      <c r="E26" s="2" t="s">
        <v>8</v>
      </c>
    </row>
    <row r="27">
      <c r="A27" s="2" t="s">
        <v>5</v>
      </c>
      <c r="B27" s="2" t="s">
        <v>25</v>
      </c>
      <c r="C27" s="2" t="s">
        <v>26</v>
      </c>
      <c r="D27" s="3" t="str">
        <f t="shared" si="9"/>
        <v>12Go Link</v>
      </c>
      <c r="E27" s="2" t="s">
        <v>9</v>
      </c>
    </row>
    <row r="28">
      <c r="A28" s="2" t="s">
        <v>5</v>
      </c>
      <c r="B28" s="2" t="s">
        <v>25</v>
      </c>
      <c r="C28" s="2" t="s">
        <v>26</v>
      </c>
      <c r="D28" s="3" t="str">
        <f t="shared" si="9"/>
        <v>12Go Link</v>
      </c>
      <c r="E28" s="2" t="s">
        <v>10</v>
      </c>
    </row>
    <row r="29">
      <c r="A29" s="2" t="s">
        <v>5</v>
      </c>
      <c r="B29" s="2" t="s">
        <v>27</v>
      </c>
      <c r="C29" s="2" t="s">
        <v>28</v>
      </c>
      <c r="D29" s="3" t="str">
        <f t="shared" ref="D29:D31" si="10">HYPERLINK("https://12go.asia/en/travel/Armavir-Railway/Zestafoni", "12Go Link")</f>
        <v>12Go Link</v>
      </c>
      <c r="E29" s="2" t="s">
        <v>8</v>
      </c>
    </row>
    <row r="30">
      <c r="A30" s="2" t="s">
        <v>5</v>
      </c>
      <c r="B30" s="2" t="s">
        <v>27</v>
      </c>
      <c r="C30" s="2" t="s">
        <v>28</v>
      </c>
      <c r="D30" s="3" t="str">
        <f t="shared" si="10"/>
        <v>12Go Link</v>
      </c>
      <c r="E30" s="2" t="s">
        <v>9</v>
      </c>
    </row>
    <row r="31">
      <c r="A31" s="2" t="s">
        <v>5</v>
      </c>
      <c r="B31" s="2" t="s">
        <v>27</v>
      </c>
      <c r="C31" s="2" t="s">
        <v>28</v>
      </c>
      <c r="D31" s="3" t="str">
        <f t="shared" si="10"/>
        <v>12Go Link</v>
      </c>
      <c r="E31" s="2" t="s">
        <v>10</v>
      </c>
    </row>
    <row r="32">
      <c r="A32" s="4" t="s">
        <v>6</v>
      </c>
      <c r="B32" s="4" t="s">
        <v>5</v>
      </c>
      <c r="C32" s="4" t="s">
        <v>29</v>
      </c>
      <c r="D32" s="5" t="str">
        <f t="shared" ref="D32:D34" si="11">HYPERLINK("https://12go.asia/en/travel/Gyumri/Armavir-Railway", "12Go Link")</f>
        <v>12Go Link</v>
      </c>
      <c r="E32" s="4" t="s">
        <v>8</v>
      </c>
    </row>
    <row r="33">
      <c r="A33" s="4" t="s">
        <v>6</v>
      </c>
      <c r="B33" s="4" t="s">
        <v>5</v>
      </c>
      <c r="C33" s="4" t="s">
        <v>29</v>
      </c>
      <c r="D33" s="5" t="str">
        <f t="shared" si="11"/>
        <v>12Go Link</v>
      </c>
      <c r="E33" s="4" t="s">
        <v>9</v>
      </c>
    </row>
    <row r="34">
      <c r="A34" s="4" t="s">
        <v>6</v>
      </c>
      <c r="B34" s="4" t="s">
        <v>5</v>
      </c>
      <c r="C34" s="4" t="s">
        <v>29</v>
      </c>
      <c r="D34" s="5" t="str">
        <f t="shared" si="11"/>
        <v>12Go Link</v>
      </c>
      <c r="E34" s="4" t="s">
        <v>10</v>
      </c>
    </row>
    <row r="35">
      <c r="A35" s="4" t="s">
        <v>6</v>
      </c>
      <c r="B35" s="4" t="s">
        <v>11</v>
      </c>
      <c r="C35" s="4" t="s">
        <v>30</v>
      </c>
      <c r="D35" s="5" t="str">
        <f t="shared" ref="D35:D37" si="12">HYPERLINK("https://12go.asia/en/travel/Gyumri/Vanadzor", "12Go Link")</f>
        <v>12Go Link</v>
      </c>
      <c r="E35" s="4" t="s">
        <v>8</v>
      </c>
    </row>
    <row r="36">
      <c r="A36" s="4" t="s">
        <v>6</v>
      </c>
      <c r="B36" s="4" t="s">
        <v>11</v>
      </c>
      <c r="C36" s="4" t="s">
        <v>30</v>
      </c>
      <c r="D36" s="5" t="str">
        <f t="shared" si="12"/>
        <v>12Go Link</v>
      </c>
      <c r="E36" s="4" t="s">
        <v>9</v>
      </c>
    </row>
    <row r="37">
      <c r="A37" s="4" t="s">
        <v>6</v>
      </c>
      <c r="B37" s="4" t="s">
        <v>11</v>
      </c>
      <c r="C37" s="4" t="s">
        <v>30</v>
      </c>
      <c r="D37" s="5" t="str">
        <f t="shared" si="12"/>
        <v>12Go Link</v>
      </c>
      <c r="E37" s="4" t="s">
        <v>10</v>
      </c>
    </row>
    <row r="38">
      <c r="A38" s="4" t="s">
        <v>6</v>
      </c>
      <c r="B38" s="4" t="s">
        <v>13</v>
      </c>
      <c r="C38" s="4" t="s">
        <v>31</v>
      </c>
      <c r="D38" s="5" t="str">
        <f t="shared" ref="D38:D40" si="13">HYPERLINK("https://12go.asia/en/travel/Gyumri/Yerevan-Railway", "12Go Link")</f>
        <v>12Go Link</v>
      </c>
      <c r="E38" s="4" t="s">
        <v>8</v>
      </c>
    </row>
    <row r="39">
      <c r="A39" s="4" t="s">
        <v>6</v>
      </c>
      <c r="B39" s="4" t="s">
        <v>13</v>
      </c>
      <c r="C39" s="4" t="s">
        <v>31</v>
      </c>
      <c r="D39" s="5" t="str">
        <f t="shared" si="13"/>
        <v>12Go Link</v>
      </c>
      <c r="E39" s="4" t="s">
        <v>9</v>
      </c>
    </row>
    <row r="40">
      <c r="A40" s="4" t="s">
        <v>6</v>
      </c>
      <c r="B40" s="4" t="s">
        <v>13</v>
      </c>
      <c r="C40" s="4" t="s">
        <v>31</v>
      </c>
      <c r="D40" s="5" t="str">
        <f t="shared" si="13"/>
        <v>12Go Link</v>
      </c>
      <c r="E40" s="4" t="s">
        <v>10</v>
      </c>
    </row>
    <row r="41">
      <c r="A41" s="4" t="s">
        <v>6</v>
      </c>
      <c r="B41" s="4" t="s">
        <v>15</v>
      </c>
      <c r="C41" s="4" t="s">
        <v>32</v>
      </c>
      <c r="D41" s="5" t="str">
        <f t="shared" ref="D41:D43" si="14">HYPERLINK("https://12go.asia/en/travel/Gyumri/Batumi-Central", "12Go Link")</f>
        <v>12Go Link</v>
      </c>
      <c r="E41" s="4" t="s">
        <v>8</v>
      </c>
    </row>
    <row r="42">
      <c r="A42" s="4" t="s">
        <v>6</v>
      </c>
      <c r="B42" s="4" t="s">
        <v>15</v>
      </c>
      <c r="C42" s="4" t="s">
        <v>32</v>
      </c>
      <c r="D42" s="5" t="str">
        <f t="shared" si="14"/>
        <v>12Go Link</v>
      </c>
      <c r="E42" s="4" t="s">
        <v>9</v>
      </c>
    </row>
    <row r="43">
      <c r="A43" s="4" t="s">
        <v>6</v>
      </c>
      <c r="B43" s="4" t="s">
        <v>15</v>
      </c>
      <c r="C43" s="4" t="s">
        <v>32</v>
      </c>
      <c r="D43" s="5" t="str">
        <f t="shared" si="14"/>
        <v>12Go Link</v>
      </c>
      <c r="E43" s="4" t="s">
        <v>10</v>
      </c>
    </row>
    <row r="44">
      <c r="A44" s="4" t="s">
        <v>6</v>
      </c>
      <c r="B44" s="4" t="s">
        <v>17</v>
      </c>
      <c r="C44" s="4" t="s">
        <v>33</v>
      </c>
      <c r="D44" s="5" t="str">
        <f t="shared" ref="D44:D46" si="15">HYPERLINK("https://12go.asia/en/travel/Gyumri/Khashuri", "12Go Link")</f>
        <v>12Go Link</v>
      </c>
      <c r="E44" s="4" t="s">
        <v>8</v>
      </c>
    </row>
    <row r="45">
      <c r="A45" s="4" t="s">
        <v>6</v>
      </c>
      <c r="B45" s="4" t="s">
        <v>17</v>
      </c>
      <c r="C45" s="4" t="s">
        <v>33</v>
      </c>
      <c r="D45" s="5" t="str">
        <f t="shared" si="15"/>
        <v>12Go Link</v>
      </c>
      <c r="E45" s="4" t="s">
        <v>9</v>
      </c>
    </row>
    <row r="46">
      <c r="A46" s="4" t="s">
        <v>6</v>
      </c>
      <c r="B46" s="4" t="s">
        <v>17</v>
      </c>
      <c r="C46" s="4" t="s">
        <v>33</v>
      </c>
      <c r="D46" s="5" t="str">
        <f t="shared" si="15"/>
        <v>12Go Link</v>
      </c>
      <c r="E46" s="4" t="s">
        <v>10</v>
      </c>
    </row>
    <row r="47">
      <c r="A47" s="4" t="s">
        <v>6</v>
      </c>
      <c r="B47" s="4" t="s">
        <v>19</v>
      </c>
      <c r="C47" s="4" t="s">
        <v>34</v>
      </c>
      <c r="D47" s="5" t="str">
        <f t="shared" ref="D47:D49" si="16">HYPERLINK("https://12go.asia/en/travel/Gyumri/Kobuleti", "12Go Link")</f>
        <v>12Go Link</v>
      </c>
      <c r="E47" s="4" t="s">
        <v>8</v>
      </c>
    </row>
    <row r="48">
      <c r="A48" s="4" t="s">
        <v>6</v>
      </c>
      <c r="B48" s="4" t="s">
        <v>19</v>
      </c>
      <c r="C48" s="4" t="s">
        <v>34</v>
      </c>
      <c r="D48" s="5" t="str">
        <f t="shared" si="16"/>
        <v>12Go Link</v>
      </c>
      <c r="E48" s="4" t="s">
        <v>9</v>
      </c>
    </row>
    <row r="49">
      <c r="A49" s="4" t="s">
        <v>6</v>
      </c>
      <c r="B49" s="4" t="s">
        <v>19</v>
      </c>
      <c r="C49" s="4" t="s">
        <v>34</v>
      </c>
      <c r="D49" s="5" t="str">
        <f t="shared" si="16"/>
        <v>12Go Link</v>
      </c>
      <c r="E49" s="4" t="s">
        <v>10</v>
      </c>
    </row>
    <row r="50">
      <c r="A50" s="4" t="s">
        <v>6</v>
      </c>
      <c r="B50" s="4" t="s">
        <v>21</v>
      </c>
      <c r="C50" s="4" t="s">
        <v>35</v>
      </c>
      <c r="D50" s="5" t="str">
        <f t="shared" ref="D50:D52" si="17">HYPERLINK("https://12go.asia/en/travel/Gyumri/Samtredia", "12Go Link")</f>
        <v>12Go Link</v>
      </c>
      <c r="E50" s="4" t="s">
        <v>8</v>
      </c>
    </row>
    <row r="51">
      <c r="A51" s="4" t="s">
        <v>6</v>
      </c>
      <c r="B51" s="4" t="s">
        <v>21</v>
      </c>
      <c r="C51" s="4" t="s">
        <v>35</v>
      </c>
      <c r="D51" s="5" t="str">
        <f t="shared" si="17"/>
        <v>12Go Link</v>
      </c>
      <c r="E51" s="4" t="s">
        <v>9</v>
      </c>
    </row>
    <row r="52">
      <c r="A52" s="4" t="s">
        <v>6</v>
      </c>
      <c r="B52" s="4" t="s">
        <v>21</v>
      </c>
      <c r="C52" s="4" t="s">
        <v>35</v>
      </c>
      <c r="D52" s="5" t="str">
        <f t="shared" si="17"/>
        <v>12Go Link</v>
      </c>
      <c r="E52" s="4" t="s">
        <v>10</v>
      </c>
    </row>
    <row r="53">
      <c r="A53" s="4" t="s">
        <v>6</v>
      </c>
      <c r="B53" s="4" t="s">
        <v>23</v>
      </c>
      <c r="C53" s="4" t="s">
        <v>36</v>
      </c>
      <c r="D53" s="5" t="str">
        <f t="shared" ref="D53:D55" si="18">HYPERLINK("https://12go.asia/en/travel/Gyumri/Tbilisi-Central", "12Go Link")</f>
        <v>12Go Link</v>
      </c>
      <c r="E53" s="4" t="s">
        <v>8</v>
      </c>
    </row>
    <row r="54">
      <c r="A54" s="4" t="s">
        <v>6</v>
      </c>
      <c r="B54" s="4" t="s">
        <v>23</v>
      </c>
      <c r="C54" s="4" t="s">
        <v>36</v>
      </c>
      <c r="D54" s="5" t="str">
        <f t="shared" si="18"/>
        <v>12Go Link</v>
      </c>
      <c r="E54" s="4" t="s">
        <v>9</v>
      </c>
    </row>
    <row r="55">
      <c r="A55" s="4" t="s">
        <v>6</v>
      </c>
      <c r="B55" s="4" t="s">
        <v>23</v>
      </c>
      <c r="C55" s="4" t="s">
        <v>36</v>
      </c>
      <c r="D55" s="5" t="str">
        <f t="shared" si="18"/>
        <v>12Go Link</v>
      </c>
      <c r="E55" s="4" t="s">
        <v>10</v>
      </c>
    </row>
    <row r="56">
      <c r="A56" s="4" t="s">
        <v>6</v>
      </c>
      <c r="B56" s="4" t="s">
        <v>25</v>
      </c>
      <c r="C56" s="4" t="s">
        <v>37</v>
      </c>
      <c r="D56" s="5" t="str">
        <f t="shared" ref="D56:D58" si="19">HYPERLINK("https://12go.asia/en/travel/Gyumri/Ureki", "12Go Link")</f>
        <v>12Go Link</v>
      </c>
      <c r="E56" s="4" t="s">
        <v>8</v>
      </c>
    </row>
    <row r="57">
      <c r="A57" s="4" t="s">
        <v>6</v>
      </c>
      <c r="B57" s="4" t="s">
        <v>25</v>
      </c>
      <c r="C57" s="4" t="s">
        <v>37</v>
      </c>
      <c r="D57" s="5" t="str">
        <f t="shared" si="19"/>
        <v>12Go Link</v>
      </c>
      <c r="E57" s="4" t="s">
        <v>9</v>
      </c>
    </row>
    <row r="58">
      <c r="A58" s="4" t="s">
        <v>6</v>
      </c>
      <c r="B58" s="4" t="s">
        <v>25</v>
      </c>
      <c r="C58" s="4" t="s">
        <v>37</v>
      </c>
      <c r="D58" s="5" t="str">
        <f t="shared" si="19"/>
        <v>12Go Link</v>
      </c>
      <c r="E58" s="4" t="s">
        <v>10</v>
      </c>
    </row>
    <row r="59">
      <c r="A59" s="4" t="s">
        <v>6</v>
      </c>
      <c r="B59" s="4" t="s">
        <v>27</v>
      </c>
      <c r="C59" s="4" t="s">
        <v>38</v>
      </c>
      <c r="D59" s="5" t="str">
        <f t="shared" ref="D59:D61" si="20">HYPERLINK("https://12go.asia/en/travel/Gyumri/Zestafoni", "12Go Link")</f>
        <v>12Go Link</v>
      </c>
      <c r="E59" s="4" t="s">
        <v>8</v>
      </c>
    </row>
    <row r="60">
      <c r="A60" s="4" t="s">
        <v>6</v>
      </c>
      <c r="B60" s="4" t="s">
        <v>27</v>
      </c>
      <c r="C60" s="4" t="s">
        <v>38</v>
      </c>
      <c r="D60" s="5" t="str">
        <f t="shared" si="20"/>
        <v>12Go Link</v>
      </c>
      <c r="E60" s="4" t="s">
        <v>9</v>
      </c>
    </row>
    <row r="61">
      <c r="A61" s="4" t="s">
        <v>6</v>
      </c>
      <c r="B61" s="4" t="s">
        <v>27</v>
      </c>
      <c r="C61" s="4" t="s">
        <v>38</v>
      </c>
      <c r="D61" s="5" t="str">
        <f t="shared" si="20"/>
        <v>12Go Link</v>
      </c>
      <c r="E61" s="4" t="s">
        <v>10</v>
      </c>
    </row>
    <row r="62">
      <c r="A62" s="2" t="s">
        <v>11</v>
      </c>
      <c r="B62" s="2" t="s">
        <v>5</v>
      </c>
      <c r="C62" s="2" t="s">
        <v>39</v>
      </c>
      <c r="D62" s="3" t="str">
        <f t="shared" ref="D62:D64" si="21">HYPERLINK("https://12go.asia/en/travel/Vanadzor/Armavir-Railway", "12Go Link")</f>
        <v>12Go Link</v>
      </c>
      <c r="E62" s="2" t="s">
        <v>8</v>
      </c>
    </row>
    <row r="63">
      <c r="A63" s="2" t="s">
        <v>11</v>
      </c>
      <c r="B63" s="2" t="s">
        <v>5</v>
      </c>
      <c r="C63" s="2" t="s">
        <v>39</v>
      </c>
      <c r="D63" s="3" t="str">
        <f t="shared" si="21"/>
        <v>12Go Link</v>
      </c>
      <c r="E63" s="2" t="s">
        <v>9</v>
      </c>
    </row>
    <row r="64">
      <c r="A64" s="2" t="s">
        <v>11</v>
      </c>
      <c r="B64" s="2" t="s">
        <v>5</v>
      </c>
      <c r="C64" s="2" t="s">
        <v>39</v>
      </c>
      <c r="D64" s="3" t="str">
        <f t="shared" si="21"/>
        <v>12Go Link</v>
      </c>
      <c r="E64" s="2" t="s">
        <v>10</v>
      </c>
    </row>
    <row r="65">
      <c r="A65" s="2" t="s">
        <v>11</v>
      </c>
      <c r="B65" s="2" t="s">
        <v>6</v>
      </c>
      <c r="C65" s="2" t="s">
        <v>40</v>
      </c>
      <c r="D65" s="3" t="str">
        <f t="shared" ref="D65:D67" si="22">HYPERLINK("https://12go.asia/en/travel/Vanadzor/Gyumri", "12Go Link")</f>
        <v>12Go Link</v>
      </c>
      <c r="E65" s="2" t="s">
        <v>8</v>
      </c>
    </row>
    <row r="66">
      <c r="A66" s="2" t="s">
        <v>11</v>
      </c>
      <c r="B66" s="2" t="s">
        <v>6</v>
      </c>
      <c r="C66" s="2" t="s">
        <v>40</v>
      </c>
      <c r="D66" s="3" t="str">
        <f t="shared" si="22"/>
        <v>12Go Link</v>
      </c>
      <c r="E66" s="2" t="s">
        <v>9</v>
      </c>
    </row>
    <row r="67">
      <c r="A67" s="2" t="s">
        <v>11</v>
      </c>
      <c r="B67" s="2" t="s">
        <v>6</v>
      </c>
      <c r="C67" s="2" t="s">
        <v>40</v>
      </c>
      <c r="D67" s="3" t="str">
        <f t="shared" si="22"/>
        <v>12Go Link</v>
      </c>
      <c r="E67" s="2" t="s">
        <v>10</v>
      </c>
    </row>
    <row r="68">
      <c r="A68" s="2" t="s">
        <v>11</v>
      </c>
      <c r="B68" s="2" t="s">
        <v>13</v>
      </c>
      <c r="C68" s="2" t="s">
        <v>41</v>
      </c>
      <c r="D68" s="3" t="str">
        <f t="shared" ref="D68:D70" si="23">HYPERLINK("https://12go.asia/en/travel/Vanadzor/Yerevan-Railway", "12Go Link")</f>
        <v>12Go Link</v>
      </c>
      <c r="E68" s="2" t="s">
        <v>8</v>
      </c>
    </row>
    <row r="69">
      <c r="A69" s="2" t="s">
        <v>11</v>
      </c>
      <c r="B69" s="2" t="s">
        <v>13</v>
      </c>
      <c r="C69" s="2" t="s">
        <v>41</v>
      </c>
      <c r="D69" s="3" t="str">
        <f t="shared" si="23"/>
        <v>12Go Link</v>
      </c>
      <c r="E69" s="2" t="s">
        <v>9</v>
      </c>
    </row>
    <row r="70">
      <c r="A70" s="2" t="s">
        <v>11</v>
      </c>
      <c r="B70" s="2" t="s">
        <v>13</v>
      </c>
      <c r="C70" s="2" t="s">
        <v>41</v>
      </c>
      <c r="D70" s="3" t="str">
        <f t="shared" si="23"/>
        <v>12Go Link</v>
      </c>
      <c r="E70" s="2" t="s">
        <v>10</v>
      </c>
    </row>
    <row r="71">
      <c r="A71" s="2" t="s">
        <v>11</v>
      </c>
      <c r="B71" s="2" t="s">
        <v>15</v>
      </c>
      <c r="C71" s="2" t="s">
        <v>42</v>
      </c>
      <c r="D71" s="3" t="str">
        <f t="shared" ref="D71:D73" si="24">HYPERLINK("https://12go.asia/en/travel/Vanadzor/Batumi-Central", "12Go Link")</f>
        <v>12Go Link</v>
      </c>
      <c r="E71" s="2" t="s">
        <v>8</v>
      </c>
    </row>
    <row r="72">
      <c r="A72" s="2" t="s">
        <v>11</v>
      </c>
      <c r="B72" s="2" t="s">
        <v>15</v>
      </c>
      <c r="C72" s="2" t="s">
        <v>42</v>
      </c>
      <c r="D72" s="3" t="str">
        <f t="shared" si="24"/>
        <v>12Go Link</v>
      </c>
      <c r="E72" s="2" t="s">
        <v>9</v>
      </c>
    </row>
    <row r="73">
      <c r="A73" s="2" t="s">
        <v>11</v>
      </c>
      <c r="B73" s="2" t="s">
        <v>15</v>
      </c>
      <c r="C73" s="2" t="s">
        <v>42</v>
      </c>
      <c r="D73" s="3" t="str">
        <f t="shared" si="24"/>
        <v>12Go Link</v>
      </c>
      <c r="E73" s="2" t="s">
        <v>10</v>
      </c>
    </row>
    <row r="74">
      <c r="A74" s="2" t="s">
        <v>11</v>
      </c>
      <c r="B74" s="2" t="s">
        <v>17</v>
      </c>
      <c r="C74" s="2" t="s">
        <v>43</v>
      </c>
      <c r="D74" s="3" t="str">
        <f t="shared" ref="D74:D76" si="25">HYPERLINK("https://12go.asia/en/travel/Vanadzor/Khashuri", "12Go Link")</f>
        <v>12Go Link</v>
      </c>
      <c r="E74" s="2" t="s">
        <v>8</v>
      </c>
    </row>
    <row r="75">
      <c r="A75" s="2" t="s">
        <v>11</v>
      </c>
      <c r="B75" s="2" t="s">
        <v>17</v>
      </c>
      <c r="C75" s="2" t="s">
        <v>43</v>
      </c>
      <c r="D75" s="3" t="str">
        <f t="shared" si="25"/>
        <v>12Go Link</v>
      </c>
      <c r="E75" s="2" t="s">
        <v>9</v>
      </c>
    </row>
    <row r="76">
      <c r="A76" s="2" t="s">
        <v>11</v>
      </c>
      <c r="B76" s="2" t="s">
        <v>17</v>
      </c>
      <c r="C76" s="2" t="s">
        <v>43</v>
      </c>
      <c r="D76" s="3" t="str">
        <f t="shared" si="25"/>
        <v>12Go Link</v>
      </c>
      <c r="E76" s="2" t="s">
        <v>10</v>
      </c>
    </row>
    <row r="77">
      <c r="A77" s="2" t="s">
        <v>11</v>
      </c>
      <c r="B77" s="2" t="s">
        <v>19</v>
      </c>
      <c r="C77" s="2" t="s">
        <v>44</v>
      </c>
      <c r="D77" s="3" t="str">
        <f t="shared" ref="D77:D79" si="26">HYPERLINK("https://12go.asia/en/travel/Vanadzor/Kobuleti", "12Go Link")</f>
        <v>12Go Link</v>
      </c>
      <c r="E77" s="2" t="s">
        <v>8</v>
      </c>
    </row>
    <row r="78">
      <c r="A78" s="2" t="s">
        <v>11</v>
      </c>
      <c r="B78" s="2" t="s">
        <v>19</v>
      </c>
      <c r="C78" s="2" t="s">
        <v>44</v>
      </c>
      <c r="D78" s="3" t="str">
        <f t="shared" si="26"/>
        <v>12Go Link</v>
      </c>
      <c r="E78" s="2" t="s">
        <v>9</v>
      </c>
    </row>
    <row r="79">
      <c r="A79" s="2" t="s">
        <v>11</v>
      </c>
      <c r="B79" s="2" t="s">
        <v>19</v>
      </c>
      <c r="C79" s="2" t="s">
        <v>44</v>
      </c>
      <c r="D79" s="3" t="str">
        <f t="shared" si="26"/>
        <v>12Go Link</v>
      </c>
      <c r="E79" s="2" t="s">
        <v>10</v>
      </c>
    </row>
    <row r="80">
      <c r="A80" s="2" t="s">
        <v>11</v>
      </c>
      <c r="B80" s="2" t="s">
        <v>21</v>
      </c>
      <c r="C80" s="2" t="s">
        <v>45</v>
      </c>
      <c r="D80" s="3" t="str">
        <f t="shared" ref="D80:D82" si="27">HYPERLINK("https://12go.asia/en/travel/Vanadzor/Samtredia", "12Go Link")</f>
        <v>12Go Link</v>
      </c>
      <c r="E80" s="2" t="s">
        <v>8</v>
      </c>
    </row>
    <row r="81">
      <c r="A81" s="2" t="s">
        <v>11</v>
      </c>
      <c r="B81" s="2" t="s">
        <v>21</v>
      </c>
      <c r="C81" s="2" t="s">
        <v>45</v>
      </c>
      <c r="D81" s="3" t="str">
        <f t="shared" si="27"/>
        <v>12Go Link</v>
      </c>
      <c r="E81" s="2" t="s">
        <v>9</v>
      </c>
    </row>
    <row r="82">
      <c r="A82" s="2" t="s">
        <v>11</v>
      </c>
      <c r="B82" s="2" t="s">
        <v>21</v>
      </c>
      <c r="C82" s="2" t="s">
        <v>45</v>
      </c>
      <c r="D82" s="3" t="str">
        <f t="shared" si="27"/>
        <v>12Go Link</v>
      </c>
      <c r="E82" s="2" t="s">
        <v>10</v>
      </c>
    </row>
    <row r="83">
      <c r="A83" s="2" t="s">
        <v>11</v>
      </c>
      <c r="B83" s="2" t="s">
        <v>23</v>
      </c>
      <c r="C83" s="2" t="s">
        <v>46</v>
      </c>
      <c r="D83" s="3" t="str">
        <f t="shared" ref="D83:D85" si="28">HYPERLINK("https://12go.asia/en/travel/Vanadzor/Tbilisi-Central", "12Go Link")</f>
        <v>12Go Link</v>
      </c>
      <c r="E83" s="2" t="s">
        <v>8</v>
      </c>
    </row>
    <row r="84">
      <c r="A84" s="2" t="s">
        <v>11</v>
      </c>
      <c r="B84" s="2" t="s">
        <v>23</v>
      </c>
      <c r="C84" s="2" t="s">
        <v>46</v>
      </c>
      <c r="D84" s="3" t="str">
        <f t="shared" si="28"/>
        <v>12Go Link</v>
      </c>
      <c r="E84" s="2" t="s">
        <v>9</v>
      </c>
    </row>
    <row r="85">
      <c r="A85" s="2" t="s">
        <v>11</v>
      </c>
      <c r="B85" s="2" t="s">
        <v>23</v>
      </c>
      <c r="C85" s="2" t="s">
        <v>46</v>
      </c>
      <c r="D85" s="3" t="str">
        <f t="shared" si="28"/>
        <v>12Go Link</v>
      </c>
      <c r="E85" s="2" t="s">
        <v>10</v>
      </c>
    </row>
    <row r="86">
      <c r="A86" s="2" t="s">
        <v>11</v>
      </c>
      <c r="B86" s="2" t="s">
        <v>25</v>
      </c>
      <c r="C86" s="2" t="s">
        <v>47</v>
      </c>
      <c r="D86" s="3" t="str">
        <f t="shared" ref="D86:D88" si="29">HYPERLINK("https://12go.asia/en/travel/Vanadzor/Ureki", "12Go Link")</f>
        <v>12Go Link</v>
      </c>
      <c r="E86" s="2" t="s">
        <v>8</v>
      </c>
    </row>
    <row r="87">
      <c r="A87" s="2" t="s">
        <v>11</v>
      </c>
      <c r="B87" s="2" t="s">
        <v>25</v>
      </c>
      <c r="C87" s="2" t="s">
        <v>47</v>
      </c>
      <c r="D87" s="3" t="str">
        <f t="shared" si="29"/>
        <v>12Go Link</v>
      </c>
      <c r="E87" s="2" t="s">
        <v>9</v>
      </c>
    </row>
    <row r="88">
      <c r="A88" s="2" t="s">
        <v>11</v>
      </c>
      <c r="B88" s="2" t="s">
        <v>25</v>
      </c>
      <c r="C88" s="2" t="s">
        <v>47</v>
      </c>
      <c r="D88" s="3" t="str">
        <f t="shared" si="29"/>
        <v>12Go Link</v>
      </c>
      <c r="E88" s="2" t="s">
        <v>10</v>
      </c>
    </row>
    <row r="89">
      <c r="A89" s="2" t="s">
        <v>11</v>
      </c>
      <c r="B89" s="2" t="s">
        <v>27</v>
      </c>
      <c r="C89" s="2" t="s">
        <v>48</v>
      </c>
      <c r="D89" s="3" t="str">
        <f t="shared" ref="D89:D91" si="30">HYPERLINK("https://12go.asia/en/travel/Vanadzor/Zestafoni", "12Go Link")</f>
        <v>12Go Link</v>
      </c>
      <c r="E89" s="2" t="s">
        <v>8</v>
      </c>
    </row>
    <row r="90">
      <c r="A90" s="2" t="s">
        <v>11</v>
      </c>
      <c r="B90" s="2" t="s">
        <v>27</v>
      </c>
      <c r="C90" s="2" t="s">
        <v>48</v>
      </c>
      <c r="D90" s="3" t="str">
        <f t="shared" si="30"/>
        <v>12Go Link</v>
      </c>
      <c r="E90" s="2" t="s">
        <v>9</v>
      </c>
    </row>
    <row r="91">
      <c r="A91" s="2" t="s">
        <v>11</v>
      </c>
      <c r="B91" s="2" t="s">
        <v>27</v>
      </c>
      <c r="C91" s="2" t="s">
        <v>48</v>
      </c>
      <c r="D91" s="3" t="str">
        <f t="shared" si="30"/>
        <v>12Go Link</v>
      </c>
      <c r="E91" s="2" t="s">
        <v>10</v>
      </c>
    </row>
    <row r="92">
      <c r="A92" s="4" t="s">
        <v>13</v>
      </c>
      <c r="B92" s="4" t="s">
        <v>5</v>
      </c>
      <c r="C92" s="4" t="s">
        <v>49</v>
      </c>
      <c r="D92" s="5" t="str">
        <f t="shared" ref="D92:D94" si="31">HYPERLINK("https://12go.asia/en/travel/Yerevan-Railway/Armavir-Railway", "12Go Link")</f>
        <v>12Go Link</v>
      </c>
      <c r="E92" s="4" t="s">
        <v>8</v>
      </c>
    </row>
    <row r="93">
      <c r="A93" s="4" t="s">
        <v>13</v>
      </c>
      <c r="B93" s="4" t="s">
        <v>5</v>
      </c>
      <c r="C93" s="4" t="s">
        <v>49</v>
      </c>
      <c r="D93" s="5" t="str">
        <f t="shared" si="31"/>
        <v>12Go Link</v>
      </c>
      <c r="E93" s="4" t="s">
        <v>9</v>
      </c>
    </row>
    <row r="94">
      <c r="A94" s="4" t="s">
        <v>13</v>
      </c>
      <c r="B94" s="4" t="s">
        <v>5</v>
      </c>
      <c r="C94" s="4" t="s">
        <v>49</v>
      </c>
      <c r="D94" s="5" t="str">
        <f t="shared" si="31"/>
        <v>12Go Link</v>
      </c>
      <c r="E94" s="4" t="s">
        <v>10</v>
      </c>
    </row>
    <row r="95">
      <c r="A95" s="4" t="s">
        <v>13</v>
      </c>
      <c r="B95" s="4" t="s">
        <v>6</v>
      </c>
      <c r="C95" s="4" t="s">
        <v>50</v>
      </c>
      <c r="D95" s="5" t="str">
        <f t="shared" ref="D95:D97" si="32">HYPERLINK("https://12go.asia/en/travel/Yerevan-Railway/Gyumri", "12Go Link")</f>
        <v>12Go Link</v>
      </c>
      <c r="E95" s="4" t="s">
        <v>8</v>
      </c>
    </row>
    <row r="96">
      <c r="A96" s="4" t="s">
        <v>13</v>
      </c>
      <c r="B96" s="4" t="s">
        <v>6</v>
      </c>
      <c r="C96" s="4" t="s">
        <v>50</v>
      </c>
      <c r="D96" s="5" t="str">
        <f t="shared" si="32"/>
        <v>12Go Link</v>
      </c>
      <c r="E96" s="4" t="s">
        <v>9</v>
      </c>
    </row>
    <row r="97">
      <c r="A97" s="4" t="s">
        <v>13</v>
      </c>
      <c r="B97" s="4" t="s">
        <v>6</v>
      </c>
      <c r="C97" s="4" t="s">
        <v>50</v>
      </c>
      <c r="D97" s="5" t="str">
        <f t="shared" si="32"/>
        <v>12Go Link</v>
      </c>
      <c r="E97" s="4" t="s">
        <v>10</v>
      </c>
    </row>
    <row r="98">
      <c r="A98" s="4" t="s">
        <v>13</v>
      </c>
      <c r="B98" s="4" t="s">
        <v>11</v>
      </c>
      <c r="C98" s="4" t="s">
        <v>51</v>
      </c>
      <c r="D98" s="5" t="str">
        <f t="shared" ref="D98:D100" si="33">HYPERLINK("https://12go.asia/en/travel/Yerevan-Railway/Vanadzor", "12Go Link")</f>
        <v>12Go Link</v>
      </c>
      <c r="E98" s="4" t="s">
        <v>8</v>
      </c>
    </row>
    <row r="99">
      <c r="A99" s="4" t="s">
        <v>13</v>
      </c>
      <c r="B99" s="4" t="s">
        <v>11</v>
      </c>
      <c r="C99" s="4" t="s">
        <v>51</v>
      </c>
      <c r="D99" s="5" t="str">
        <f t="shared" si="33"/>
        <v>12Go Link</v>
      </c>
      <c r="E99" s="4" t="s">
        <v>9</v>
      </c>
    </row>
    <row r="100">
      <c r="A100" s="4" t="s">
        <v>13</v>
      </c>
      <c r="B100" s="4" t="s">
        <v>11</v>
      </c>
      <c r="C100" s="4" t="s">
        <v>51</v>
      </c>
      <c r="D100" s="5" t="str">
        <f t="shared" si="33"/>
        <v>12Go Link</v>
      </c>
      <c r="E100" s="4" t="s">
        <v>10</v>
      </c>
    </row>
    <row r="101">
      <c r="A101" s="4" t="s">
        <v>13</v>
      </c>
      <c r="B101" s="4" t="s">
        <v>15</v>
      </c>
      <c r="C101" s="4" t="s">
        <v>52</v>
      </c>
      <c r="D101" s="5" t="str">
        <f t="shared" ref="D101:D103" si="34">HYPERLINK("https://12go.asia/en/travel/Yerevan-Railway/Batumi-Central", "12Go Link")</f>
        <v>12Go Link</v>
      </c>
      <c r="E101" s="4" t="s">
        <v>8</v>
      </c>
    </row>
    <row r="102">
      <c r="A102" s="4" t="s">
        <v>13</v>
      </c>
      <c r="B102" s="4" t="s">
        <v>15</v>
      </c>
      <c r="C102" s="4" t="s">
        <v>52</v>
      </c>
      <c r="D102" s="5" t="str">
        <f t="shared" si="34"/>
        <v>12Go Link</v>
      </c>
      <c r="E102" s="4" t="s">
        <v>9</v>
      </c>
    </row>
    <row r="103">
      <c r="A103" s="4" t="s">
        <v>13</v>
      </c>
      <c r="B103" s="4" t="s">
        <v>15</v>
      </c>
      <c r="C103" s="4" t="s">
        <v>52</v>
      </c>
      <c r="D103" s="5" t="str">
        <f t="shared" si="34"/>
        <v>12Go Link</v>
      </c>
      <c r="E103" s="4" t="s">
        <v>10</v>
      </c>
    </row>
    <row r="104">
      <c r="A104" s="4" t="s">
        <v>13</v>
      </c>
      <c r="B104" s="4" t="s">
        <v>17</v>
      </c>
      <c r="C104" s="4" t="s">
        <v>53</v>
      </c>
      <c r="D104" s="5" t="str">
        <f t="shared" ref="D104:D106" si="35">HYPERLINK("https://12go.asia/en/travel/Yerevan-Railway/Khashuri", "12Go Link")</f>
        <v>12Go Link</v>
      </c>
      <c r="E104" s="4" t="s">
        <v>8</v>
      </c>
    </row>
    <row r="105">
      <c r="A105" s="4" t="s">
        <v>13</v>
      </c>
      <c r="B105" s="4" t="s">
        <v>17</v>
      </c>
      <c r="C105" s="4" t="s">
        <v>53</v>
      </c>
      <c r="D105" s="5" t="str">
        <f t="shared" si="35"/>
        <v>12Go Link</v>
      </c>
      <c r="E105" s="4" t="s">
        <v>9</v>
      </c>
    </row>
    <row r="106">
      <c r="A106" s="4" t="s">
        <v>13</v>
      </c>
      <c r="B106" s="4" t="s">
        <v>17</v>
      </c>
      <c r="C106" s="4" t="s">
        <v>53</v>
      </c>
      <c r="D106" s="5" t="str">
        <f t="shared" si="35"/>
        <v>12Go Link</v>
      </c>
      <c r="E106" s="4" t="s">
        <v>10</v>
      </c>
    </row>
    <row r="107">
      <c r="A107" s="4" t="s">
        <v>13</v>
      </c>
      <c r="B107" s="4" t="s">
        <v>19</v>
      </c>
      <c r="C107" s="4" t="s">
        <v>54</v>
      </c>
      <c r="D107" s="5" t="str">
        <f t="shared" ref="D107:D109" si="36">HYPERLINK("https://12go.asia/en/travel/Yerevan-Railway/Kobuleti", "12Go Link")</f>
        <v>12Go Link</v>
      </c>
      <c r="E107" s="4" t="s">
        <v>8</v>
      </c>
    </row>
    <row r="108">
      <c r="A108" s="4" t="s">
        <v>13</v>
      </c>
      <c r="B108" s="4" t="s">
        <v>19</v>
      </c>
      <c r="C108" s="4" t="s">
        <v>54</v>
      </c>
      <c r="D108" s="5" t="str">
        <f t="shared" si="36"/>
        <v>12Go Link</v>
      </c>
      <c r="E108" s="4" t="s">
        <v>9</v>
      </c>
    </row>
    <row r="109">
      <c r="A109" s="4" t="s">
        <v>13</v>
      </c>
      <c r="B109" s="4" t="s">
        <v>19</v>
      </c>
      <c r="C109" s="4" t="s">
        <v>54</v>
      </c>
      <c r="D109" s="5" t="str">
        <f t="shared" si="36"/>
        <v>12Go Link</v>
      </c>
      <c r="E109" s="4" t="s">
        <v>10</v>
      </c>
    </row>
    <row r="110">
      <c r="A110" s="4" t="s">
        <v>13</v>
      </c>
      <c r="B110" s="4" t="s">
        <v>21</v>
      </c>
      <c r="C110" s="4" t="s">
        <v>55</v>
      </c>
      <c r="D110" s="5" t="str">
        <f t="shared" ref="D110:D112" si="37">HYPERLINK("https://12go.asia/en/travel/Yerevan-Railway/Samtredia", "12Go Link")</f>
        <v>12Go Link</v>
      </c>
      <c r="E110" s="4" t="s">
        <v>8</v>
      </c>
    </row>
    <row r="111">
      <c r="A111" s="4" t="s">
        <v>13</v>
      </c>
      <c r="B111" s="4" t="s">
        <v>21</v>
      </c>
      <c r="C111" s="4" t="s">
        <v>55</v>
      </c>
      <c r="D111" s="5" t="str">
        <f t="shared" si="37"/>
        <v>12Go Link</v>
      </c>
      <c r="E111" s="4" t="s">
        <v>9</v>
      </c>
    </row>
    <row r="112">
      <c r="A112" s="4" t="s">
        <v>13</v>
      </c>
      <c r="B112" s="4" t="s">
        <v>21</v>
      </c>
      <c r="C112" s="4" t="s">
        <v>55</v>
      </c>
      <c r="D112" s="5" t="str">
        <f t="shared" si="37"/>
        <v>12Go Link</v>
      </c>
      <c r="E112" s="4" t="s">
        <v>10</v>
      </c>
    </row>
    <row r="113">
      <c r="A113" s="4" t="s">
        <v>13</v>
      </c>
      <c r="B113" s="4" t="s">
        <v>23</v>
      </c>
      <c r="C113" s="4" t="s">
        <v>56</v>
      </c>
      <c r="D113" s="5" t="str">
        <f t="shared" ref="D113:D115" si="38">HYPERLINK("https://12go.asia/en/travel/Yerevan-Railway/Tbilisi-Central", "12Go Link")</f>
        <v>12Go Link</v>
      </c>
      <c r="E113" s="4" t="s">
        <v>8</v>
      </c>
    </row>
    <row r="114">
      <c r="A114" s="4" t="s">
        <v>13</v>
      </c>
      <c r="B114" s="4" t="s">
        <v>23</v>
      </c>
      <c r="C114" s="4" t="s">
        <v>56</v>
      </c>
      <c r="D114" s="5" t="str">
        <f t="shared" si="38"/>
        <v>12Go Link</v>
      </c>
      <c r="E114" s="4" t="s">
        <v>9</v>
      </c>
    </row>
    <row r="115">
      <c r="A115" s="4" t="s">
        <v>13</v>
      </c>
      <c r="B115" s="4" t="s">
        <v>23</v>
      </c>
      <c r="C115" s="4" t="s">
        <v>56</v>
      </c>
      <c r="D115" s="5" t="str">
        <f t="shared" si="38"/>
        <v>12Go Link</v>
      </c>
      <c r="E115" s="4" t="s">
        <v>10</v>
      </c>
    </row>
    <row r="116">
      <c r="A116" s="4" t="s">
        <v>13</v>
      </c>
      <c r="B116" s="4" t="s">
        <v>25</v>
      </c>
      <c r="C116" s="4" t="s">
        <v>57</v>
      </c>
      <c r="D116" s="5" t="str">
        <f t="shared" ref="D116:D118" si="39">HYPERLINK("https://12go.asia/en/travel/Yerevan-Railway/Ureki", "12Go Link")</f>
        <v>12Go Link</v>
      </c>
      <c r="E116" s="4" t="s">
        <v>8</v>
      </c>
    </row>
    <row r="117">
      <c r="A117" s="4" t="s">
        <v>13</v>
      </c>
      <c r="B117" s="4" t="s">
        <v>25</v>
      </c>
      <c r="C117" s="4" t="s">
        <v>57</v>
      </c>
      <c r="D117" s="5" t="str">
        <f t="shared" si="39"/>
        <v>12Go Link</v>
      </c>
      <c r="E117" s="4" t="s">
        <v>9</v>
      </c>
    </row>
    <row r="118">
      <c r="A118" s="4" t="s">
        <v>13</v>
      </c>
      <c r="B118" s="4" t="s">
        <v>25</v>
      </c>
      <c r="C118" s="4" t="s">
        <v>57</v>
      </c>
      <c r="D118" s="5" t="str">
        <f t="shared" si="39"/>
        <v>12Go Link</v>
      </c>
      <c r="E118" s="4" t="s">
        <v>10</v>
      </c>
    </row>
    <row r="119">
      <c r="A119" s="4" t="s">
        <v>13</v>
      </c>
      <c r="B119" s="4" t="s">
        <v>27</v>
      </c>
      <c r="C119" s="4" t="s">
        <v>58</v>
      </c>
      <c r="D119" s="5" t="str">
        <f t="shared" ref="D119:D121" si="40">HYPERLINK("https://12go.asia/en/travel/Yerevan-Railway/Zestafoni", "12Go Link")</f>
        <v>12Go Link</v>
      </c>
      <c r="E119" s="4" t="s">
        <v>8</v>
      </c>
    </row>
    <row r="120">
      <c r="A120" s="4" t="s">
        <v>13</v>
      </c>
      <c r="B120" s="4" t="s">
        <v>27</v>
      </c>
      <c r="C120" s="4" t="s">
        <v>58</v>
      </c>
      <c r="D120" s="5" t="str">
        <f t="shared" si="40"/>
        <v>12Go Link</v>
      </c>
      <c r="E120" s="4" t="s">
        <v>9</v>
      </c>
    </row>
    <row r="121">
      <c r="A121" s="4" t="s">
        <v>13</v>
      </c>
      <c r="B121" s="4" t="s">
        <v>27</v>
      </c>
      <c r="C121" s="4" t="s">
        <v>58</v>
      </c>
      <c r="D121" s="5" t="str">
        <f t="shared" si="40"/>
        <v>12Go Link</v>
      </c>
      <c r="E121" s="4" t="s">
        <v>10</v>
      </c>
    </row>
    <row r="122">
      <c r="A122" s="6" t="s">
        <v>59</v>
      </c>
      <c r="B122" s="6" t="s">
        <v>59</v>
      </c>
      <c r="C122" s="6" t="s">
        <v>60</v>
      </c>
      <c r="D122" s="7" t="str">
        <f>HYPERLINK("https://12go.asia/en/travel/Arthurs-Seat-Base-Station/Arthurs-Seat-Summit-Station", "12Go Link")</f>
        <v>12Go Link</v>
      </c>
      <c r="E122" s="6" t="s">
        <v>61</v>
      </c>
    </row>
    <row r="123">
      <c r="A123" s="6" t="s">
        <v>59</v>
      </c>
      <c r="B123" s="6" t="s">
        <v>59</v>
      </c>
      <c r="C123" s="6" t="s">
        <v>62</v>
      </c>
      <c r="D123" s="7" t="str">
        <f>HYPERLINK("https://12go.asia/en/travel/Arthurs-Seat-Summit-Station/Arthurs-Seat-Base-Station", "12Go Link")</f>
        <v>12Go Link</v>
      </c>
      <c r="E123" s="6" t="s">
        <v>61</v>
      </c>
    </row>
    <row r="124">
      <c r="A124" s="8" t="s">
        <v>63</v>
      </c>
      <c r="B124" s="8" t="s">
        <v>64</v>
      </c>
      <c r="C124" s="8" t="s">
        <v>65</v>
      </c>
      <c r="D124" s="9" t="str">
        <f>HYPERLINK("https://12go.asia/en/travel/bilinga/surfers-paradise-blvd", "12Go Link")</f>
        <v>12Go Link</v>
      </c>
      <c r="E124" s="8" t="s">
        <v>66</v>
      </c>
    </row>
    <row r="125">
      <c r="A125" s="6" t="s">
        <v>67</v>
      </c>
      <c r="B125" s="6" t="s">
        <v>68</v>
      </c>
      <c r="C125" s="6" t="s">
        <v>69</v>
      </c>
      <c r="D125" s="7" t="str">
        <f>HYPERLINK("https://12go.asia/en/travel/Railway-St-at-Chatswood-Station/Anna-Bay-Port-Stephens-Coaches-Depot", "12Go Link")</f>
        <v>12Go Link</v>
      </c>
      <c r="E125" s="6" t="s">
        <v>70</v>
      </c>
    </row>
    <row r="126">
      <c r="A126" s="6" t="s">
        <v>67</v>
      </c>
      <c r="B126" s="6" t="s">
        <v>71</v>
      </c>
      <c r="C126" s="6" t="s">
        <v>72</v>
      </c>
      <c r="D126" s="7" t="str">
        <f>HYPERLINK("https://12go.asia/en/travel/Railway-St-at-Chatswood-Station/Sandy-Point-Rd-at-Corlette-Shops", "12Go Link")</f>
        <v>12Go Link</v>
      </c>
      <c r="E126" s="6" t="s">
        <v>70</v>
      </c>
    </row>
    <row r="127">
      <c r="A127" s="6" t="s">
        <v>67</v>
      </c>
      <c r="B127" s="6" t="s">
        <v>73</v>
      </c>
      <c r="C127" s="6" t="s">
        <v>74</v>
      </c>
      <c r="D127" s="7" t="str">
        <f>HYPERLINK("https://12go.asia/en/travel/Railway-St-at-Chatswood-Station/Farm-Rd-at-Harbourside-Fingal-Bay", "12Go Link")</f>
        <v>12Go Link</v>
      </c>
      <c r="E127" s="6" t="s">
        <v>70</v>
      </c>
    </row>
    <row r="128">
      <c r="A128" s="6" t="s">
        <v>67</v>
      </c>
      <c r="B128" s="6" t="s">
        <v>73</v>
      </c>
      <c r="C128" s="6" t="s">
        <v>75</v>
      </c>
      <c r="D128" s="7" t="str">
        <f>HYPERLINK("https://12go.asia/en/travel/Railway-St-at-Chatswood-Station/Market-St-at-Fingal-Bay-Shops", "12Go Link")</f>
        <v>12Go Link</v>
      </c>
      <c r="E128" s="6" t="s">
        <v>70</v>
      </c>
    </row>
    <row r="129">
      <c r="A129" s="6" t="s">
        <v>67</v>
      </c>
      <c r="B129" s="6" t="s">
        <v>76</v>
      </c>
      <c r="C129" s="6" t="s">
        <v>77</v>
      </c>
      <c r="D129" s="7" t="str">
        <f>HYPERLINK("https://12go.asia/en/travel/Railway-St-at-Chatswood-Station/Donald-St-at-Stockton-St", "12Go Link")</f>
        <v>12Go Link</v>
      </c>
      <c r="E129" s="6" t="s">
        <v>70</v>
      </c>
    </row>
    <row r="130">
      <c r="A130" s="6" t="s">
        <v>67</v>
      </c>
      <c r="B130" s="6" t="s">
        <v>76</v>
      </c>
      <c r="C130" s="6" t="s">
        <v>78</v>
      </c>
      <c r="D130" s="7" t="str">
        <f>HYPERLINK("https://12go.asia/en/travel/Railway-St-at-Chatswood-Station/Magnus-St-before-Donald-St", "12Go Link")</f>
        <v>12Go Link</v>
      </c>
      <c r="E130" s="6" t="s">
        <v>70</v>
      </c>
    </row>
    <row r="131">
      <c r="A131" s="6" t="s">
        <v>67</v>
      </c>
      <c r="B131" s="6" t="s">
        <v>76</v>
      </c>
      <c r="C131" s="6" t="s">
        <v>79</v>
      </c>
      <c r="D131" s="7" t="str">
        <f>HYPERLINK("https://12go.asia/en/travel/Railway-St-at-Chatswood-Station/Shoal-Bay-Rd-at-Gowrie-Ave", "12Go Link")</f>
        <v>12Go Link</v>
      </c>
      <c r="E131" s="6" t="s">
        <v>70</v>
      </c>
    </row>
    <row r="132">
      <c r="A132" s="6" t="s">
        <v>67</v>
      </c>
      <c r="B132" s="6" t="s">
        <v>80</v>
      </c>
      <c r="C132" s="6" t="s">
        <v>81</v>
      </c>
      <c r="D132" s="7" t="str">
        <f>HYPERLINK("https://12go.asia/en/travel/Railway-St-at-Chatswood-Station/Foreshore-Dr-opp-Wanda-Ave", "12Go Link")</f>
        <v>12Go Link</v>
      </c>
      <c r="E132" s="6" t="s">
        <v>70</v>
      </c>
    </row>
    <row r="133">
      <c r="A133" s="6" t="s">
        <v>67</v>
      </c>
      <c r="B133" s="6" t="s">
        <v>80</v>
      </c>
      <c r="C133" s="6" t="s">
        <v>82</v>
      </c>
      <c r="D133" s="7" t="str">
        <f>HYPERLINK("https://12go.asia/en/travel/Railway-St-at-Chatswood-Station/Salamander-Bay-Square", "12Go Link")</f>
        <v>12Go Link</v>
      </c>
      <c r="E133" s="6" t="s">
        <v>70</v>
      </c>
    </row>
    <row r="134">
      <c r="A134" s="6" t="s">
        <v>67</v>
      </c>
      <c r="B134" s="6" t="s">
        <v>80</v>
      </c>
      <c r="C134" s="6" t="s">
        <v>83</v>
      </c>
      <c r="D134" s="7" t="str">
        <f>HYPERLINK("https://12go.asia/en/travel/Railway-St-at-Chatswood-Station/Sandy-Point-Rd-at-Oaks-Pacific-Blue-Resort", "12Go Link")</f>
        <v>12Go Link</v>
      </c>
      <c r="E134" s="6" t="s">
        <v>70</v>
      </c>
    </row>
    <row r="135">
      <c r="A135" s="6" t="s">
        <v>67</v>
      </c>
      <c r="B135" s="6" t="s">
        <v>80</v>
      </c>
      <c r="C135" s="6" t="s">
        <v>84</v>
      </c>
      <c r="D135" s="7" t="str">
        <f>HYPERLINK("https://12go.asia/en/travel/Railway-St-at-Chatswood-Station/Soldiers-Point-Rd-at-Wanda-Beach-Shops", "12Go Link")</f>
        <v>12Go Link</v>
      </c>
      <c r="E135" s="6" t="s">
        <v>70</v>
      </c>
    </row>
    <row r="136">
      <c r="A136" s="6" t="s">
        <v>67</v>
      </c>
      <c r="B136" s="6" t="s">
        <v>85</v>
      </c>
      <c r="C136" s="6" t="s">
        <v>86</v>
      </c>
      <c r="D136" s="7" t="str">
        <f>HYPERLINK("https://12go.asia/en/travel/Railway-St-at-Chatswood-Station/Nelson-Bay-Rd-opp-Salt-Ash-Ave", "12Go Link")</f>
        <v>12Go Link</v>
      </c>
      <c r="E136" s="6" t="s">
        <v>70</v>
      </c>
    </row>
    <row r="137">
      <c r="A137" s="6" t="s">
        <v>67</v>
      </c>
      <c r="B137" s="6" t="s">
        <v>87</v>
      </c>
      <c r="C137" s="6" t="s">
        <v>88</v>
      </c>
      <c r="D137" s="7" t="str">
        <f>HYPERLINK("https://12go.asia/en/travel/Railway-St-at-Chatswood-Station/Government-Rd-at-Peterie-St", "12Go Link")</f>
        <v>12Go Link</v>
      </c>
      <c r="E137" s="6" t="s">
        <v>70</v>
      </c>
    </row>
    <row r="138">
      <c r="A138" s="6" t="s">
        <v>67</v>
      </c>
      <c r="B138" s="6" t="s">
        <v>87</v>
      </c>
      <c r="C138" s="6" t="s">
        <v>89</v>
      </c>
      <c r="D138" s="7" t="str">
        <f>HYPERLINK("https://12go.asia/en/travel/Railway-St-at-Chatswood-Station/Shoal-Bay-Rd-after-Beach-Rd", "12Go Link")</f>
        <v>12Go Link</v>
      </c>
      <c r="E138" s="6" t="s">
        <v>70</v>
      </c>
    </row>
    <row r="139">
      <c r="A139" s="6" t="s">
        <v>67</v>
      </c>
      <c r="B139" s="6" t="s">
        <v>87</v>
      </c>
      <c r="C139" s="6" t="s">
        <v>90</v>
      </c>
      <c r="D139" s="7" t="str">
        <f>HYPERLINK("https://12go.asia/en/travel/Railway-St-at-Chatswood-Station/Shoal-Bay-Rd-at-Bay-Village-Shops", "12Go Link")</f>
        <v>12Go Link</v>
      </c>
      <c r="E139" s="6" t="s">
        <v>70</v>
      </c>
    </row>
    <row r="140">
      <c r="A140" s="6" t="s">
        <v>67</v>
      </c>
      <c r="B140" s="6" t="s">
        <v>91</v>
      </c>
      <c r="C140" s="6" t="s">
        <v>92</v>
      </c>
      <c r="D140" s="7" t="str">
        <f>HYPERLINK("https://12go.asia/en/travel/Railway-St-at-Chatswood-Station/Nelson-Bay-Rd-before-Lavis-Lane", "12Go Link")</f>
        <v>12Go Link</v>
      </c>
      <c r="E140" s="6" t="s">
        <v>70</v>
      </c>
    </row>
    <row r="141">
      <c r="A141" s="8" t="s">
        <v>93</v>
      </c>
      <c r="B141" s="8" t="s">
        <v>94</v>
      </c>
      <c r="C141" s="8" t="s">
        <v>95</v>
      </c>
      <c r="D141" s="9" t="str">
        <f>HYPERLINK("https://12go.asia/en/travel/Coles-Bay/Cooks-Beach", "12Go Link")</f>
        <v>12Go Link</v>
      </c>
      <c r="E141" s="8" t="s">
        <v>96</v>
      </c>
    </row>
    <row r="142">
      <c r="A142" s="8" t="s">
        <v>93</v>
      </c>
      <c r="B142" s="8" t="s">
        <v>94</v>
      </c>
      <c r="C142" s="8" t="s">
        <v>97</v>
      </c>
      <c r="D142" s="9" t="str">
        <f>HYPERLINK("https://12go.asia/en/travel/Coles-Bay/Hazard-Beach", "12Go Link")</f>
        <v>12Go Link</v>
      </c>
      <c r="E142" s="8" t="s">
        <v>96</v>
      </c>
    </row>
    <row r="143">
      <c r="A143" s="6" t="s">
        <v>94</v>
      </c>
      <c r="B143" s="6" t="s">
        <v>93</v>
      </c>
      <c r="C143" s="6" t="s">
        <v>98</v>
      </c>
      <c r="D143" s="7" t="str">
        <f>HYPERLINK("https://12go.asia/en/travel/Cooks-Beach/Coles-Bay", "12Go Link")</f>
        <v>12Go Link</v>
      </c>
      <c r="E143" s="6" t="s">
        <v>96</v>
      </c>
    </row>
    <row r="144">
      <c r="A144" s="6" t="s">
        <v>94</v>
      </c>
      <c r="B144" s="6" t="s">
        <v>93</v>
      </c>
      <c r="C144" s="6" t="s">
        <v>99</v>
      </c>
      <c r="D144" s="7" t="str">
        <f>HYPERLINK("https://12go.asia/en/travel/Hazard-Beach/Coles-Bay", "12Go Link")</f>
        <v>12Go Link</v>
      </c>
      <c r="E144" s="6" t="s">
        <v>96</v>
      </c>
    </row>
    <row r="145">
      <c r="A145" s="8" t="s">
        <v>100</v>
      </c>
      <c r="B145" s="8" t="s">
        <v>101</v>
      </c>
      <c r="C145" s="8" t="s">
        <v>102</v>
      </c>
      <c r="D145" s="9" t="str">
        <f>HYPERLINK("https://12go.asia/en/travel/gold-coast/broadbeach", "12Go Link")</f>
        <v>12Go Link</v>
      </c>
      <c r="E145" s="8" t="s">
        <v>66</v>
      </c>
    </row>
    <row r="146">
      <c r="A146" s="6" t="s">
        <v>103</v>
      </c>
      <c r="B146" s="6" t="s">
        <v>104</v>
      </c>
      <c r="C146" s="6" t="s">
        <v>105</v>
      </c>
      <c r="D146" s="7" t="str">
        <f>HYPERLINK("https://12go.asia/en/travel/Great-Keppel-Island/Keppel-Bay-Marina", "12Go Link")</f>
        <v>12Go Link</v>
      </c>
      <c r="E146" s="6" t="s">
        <v>106</v>
      </c>
    </row>
    <row r="147">
      <c r="A147" s="6" t="s">
        <v>103</v>
      </c>
      <c r="B147" s="6" t="s">
        <v>104</v>
      </c>
      <c r="C147" s="6" t="s">
        <v>107</v>
      </c>
      <c r="D147" s="7" t="str">
        <f>HYPERLINK("https://12go.asia/en/travel/Great-Keppel-Island/Rosslyn-Bay", "12Go Link")</f>
        <v>12Go Link</v>
      </c>
      <c r="E147" s="6" t="s">
        <v>108</v>
      </c>
    </row>
    <row r="148">
      <c r="A148" s="8" t="s">
        <v>109</v>
      </c>
      <c r="B148" s="8" t="s">
        <v>110</v>
      </c>
      <c r="C148" s="8" t="s">
        <v>111</v>
      </c>
      <c r="D148" s="9" t="str">
        <f t="shared" ref="D148:D149" si="41">HYPERLINK("https://12go.asia/en/travel/Hobart/Port-Arthur", "12Go Link")</f>
        <v>12Go Link</v>
      </c>
      <c r="E148" s="8" t="s">
        <v>112</v>
      </c>
    </row>
    <row r="149">
      <c r="A149" s="8" t="s">
        <v>109</v>
      </c>
      <c r="B149" s="8" t="s">
        <v>110</v>
      </c>
      <c r="C149" s="8" t="s">
        <v>111</v>
      </c>
      <c r="D149" s="9" t="str">
        <f t="shared" si="41"/>
        <v>12Go Link</v>
      </c>
      <c r="E149" s="8" t="s">
        <v>113</v>
      </c>
    </row>
    <row r="150">
      <c r="A150" s="6" t="s">
        <v>114</v>
      </c>
      <c r="B150" s="6" t="s">
        <v>115</v>
      </c>
      <c r="C150" s="6" t="s">
        <v>116</v>
      </c>
      <c r="D150" s="7" t="str">
        <f>HYPERLINK("https://12go.asia/en/travel/home-hill/bowen", "12Go Link")</f>
        <v>12Go Link</v>
      </c>
      <c r="E150" s="6" t="s">
        <v>66</v>
      </c>
    </row>
    <row r="151">
      <c r="A151" s="8" t="s">
        <v>117</v>
      </c>
      <c r="B151" s="8" t="s">
        <v>118</v>
      </c>
      <c r="C151" s="8" t="s">
        <v>119</v>
      </c>
      <c r="D151" s="9" t="str">
        <f>HYPERLINK("https://12go.asia/en/travel/Melbourne-Berth-2/Gem-Pier", "12Go Link")</f>
        <v>12Go Link</v>
      </c>
      <c r="E151" s="8" t="s">
        <v>106</v>
      </c>
    </row>
    <row r="152">
      <c r="A152" s="6" t="s">
        <v>110</v>
      </c>
      <c r="B152" s="6" t="s">
        <v>109</v>
      </c>
      <c r="C152" s="6" t="s">
        <v>120</v>
      </c>
      <c r="D152" s="7" t="str">
        <f>HYPERLINK("https://12go.asia/en/travel/Port-Arthur/Hobart", "12Go Link")</f>
        <v>12Go Link</v>
      </c>
      <c r="E152" s="6" t="s">
        <v>112</v>
      </c>
    </row>
    <row r="153">
      <c r="A153" s="8" t="s">
        <v>104</v>
      </c>
      <c r="B153" s="8" t="s">
        <v>103</v>
      </c>
      <c r="C153" s="8" t="s">
        <v>121</v>
      </c>
      <c r="D153" s="9" t="str">
        <f>HYPERLINK("https://12go.asia/en/travel/Keppel-Bay-Marina/Great-Keppel-Island", "12Go Link")</f>
        <v>12Go Link</v>
      </c>
      <c r="E153" s="8" t="s">
        <v>106</v>
      </c>
    </row>
    <row r="154">
      <c r="A154" s="8" t="s">
        <v>104</v>
      </c>
      <c r="B154" s="8" t="s">
        <v>103</v>
      </c>
      <c r="C154" s="8" t="s">
        <v>122</v>
      </c>
      <c r="D154" s="9" t="str">
        <f>HYPERLINK("https://12go.asia/en/travel/Rosslyn-Bay/Great-Keppel-Island", "12Go Link")</f>
        <v>12Go Link</v>
      </c>
      <c r="E154" s="8" t="s">
        <v>108</v>
      </c>
    </row>
    <row r="155">
      <c r="A155" s="6" t="s">
        <v>64</v>
      </c>
      <c r="B155" s="6" t="s">
        <v>63</v>
      </c>
      <c r="C155" s="6" t="s">
        <v>123</v>
      </c>
      <c r="D155" s="7" t="str">
        <f>HYPERLINK("https://12go.asia/en/travel/surfers-paradise-blvd/bilinga", "12Go Link")</f>
        <v>12Go Link</v>
      </c>
      <c r="E155" s="6" t="s">
        <v>66</v>
      </c>
    </row>
    <row r="156">
      <c r="A156" s="6" t="s">
        <v>64</v>
      </c>
      <c r="B156" s="6" t="s">
        <v>124</v>
      </c>
      <c r="C156" s="6" t="s">
        <v>125</v>
      </c>
      <c r="D156" s="7" t="str">
        <f>HYPERLINK("https://12go.asia/en/travel/surfers-paradise-blvd/brisbane-domestic-airport", "12Go Link")</f>
        <v>12Go Link</v>
      </c>
      <c r="E156" s="6" t="s">
        <v>66</v>
      </c>
    </row>
    <row r="157">
      <c r="A157" s="6" t="s">
        <v>64</v>
      </c>
      <c r="B157" s="6" t="s">
        <v>124</v>
      </c>
      <c r="C157" s="6" t="s">
        <v>126</v>
      </c>
      <c r="D157" s="7" t="str">
        <f>HYPERLINK("https://12go.asia/en/travel/surfers-paradise-blvd/brisbane-international-airport", "12Go Link")</f>
        <v>12Go Link</v>
      </c>
      <c r="E157" s="6" t="s">
        <v>66</v>
      </c>
    </row>
    <row r="158">
      <c r="A158" s="8" t="s">
        <v>127</v>
      </c>
      <c r="B158" s="8" t="s">
        <v>68</v>
      </c>
      <c r="C158" s="8" t="s">
        <v>128</v>
      </c>
      <c r="D158" s="9" t="str">
        <f>HYPERLINK("https://12go.asia/en/travel/Central-Station-Forecourt/Anna-Bay-Port-Stephens-Coaches-Depot", "12Go Link")</f>
        <v>12Go Link</v>
      </c>
      <c r="E158" s="8" t="s">
        <v>70</v>
      </c>
    </row>
    <row r="159">
      <c r="A159" s="8" t="s">
        <v>127</v>
      </c>
      <c r="B159" s="8" t="s">
        <v>71</v>
      </c>
      <c r="C159" s="8" t="s">
        <v>129</v>
      </c>
      <c r="D159" s="9" t="str">
        <f>HYPERLINK("https://12go.asia/en/travel/Central-Station-Forecourt/Sandy-Point-Rd-at-Corlette-Shops", "12Go Link")</f>
        <v>12Go Link</v>
      </c>
      <c r="E159" s="8" t="s">
        <v>70</v>
      </c>
    </row>
    <row r="160">
      <c r="A160" s="8" t="s">
        <v>127</v>
      </c>
      <c r="B160" s="8" t="s">
        <v>73</v>
      </c>
      <c r="C160" s="8" t="s">
        <v>130</v>
      </c>
      <c r="D160" s="9" t="str">
        <f>HYPERLINK("https://12go.asia/en/travel/Central-Station-Forecourt/Farm-Rd-at-Harbourside-Fingal-Bay", "12Go Link")</f>
        <v>12Go Link</v>
      </c>
      <c r="E160" s="8" t="s">
        <v>70</v>
      </c>
    </row>
    <row r="161">
      <c r="A161" s="8" t="s">
        <v>127</v>
      </c>
      <c r="B161" s="8" t="s">
        <v>73</v>
      </c>
      <c r="C161" s="8" t="s">
        <v>131</v>
      </c>
      <c r="D161" s="9" t="str">
        <f>HYPERLINK("https://12go.asia/en/travel/Central-Station-Forecourt/Market-St-at-Fingal-Bay-Shops", "12Go Link")</f>
        <v>12Go Link</v>
      </c>
      <c r="E161" s="8" t="s">
        <v>70</v>
      </c>
    </row>
    <row r="162">
      <c r="A162" s="8" t="s">
        <v>127</v>
      </c>
      <c r="B162" s="8" t="s">
        <v>76</v>
      </c>
      <c r="C162" s="8" t="s">
        <v>132</v>
      </c>
      <c r="D162" s="9" t="str">
        <f>HYPERLINK("https://12go.asia/en/travel/Central-Station-Forecourt/Donald-St-at-Stockton-St", "12Go Link")</f>
        <v>12Go Link</v>
      </c>
      <c r="E162" s="8" t="s">
        <v>70</v>
      </c>
    </row>
    <row r="163">
      <c r="A163" s="8" t="s">
        <v>127</v>
      </c>
      <c r="B163" s="8" t="s">
        <v>76</v>
      </c>
      <c r="C163" s="8" t="s">
        <v>133</v>
      </c>
      <c r="D163" s="9" t="str">
        <f>HYPERLINK("https://12go.asia/en/travel/Central-Station-Forecourt/Magnus-St-before-Donald-St", "12Go Link")</f>
        <v>12Go Link</v>
      </c>
      <c r="E163" s="8" t="s">
        <v>70</v>
      </c>
    </row>
    <row r="164">
      <c r="A164" s="8" t="s">
        <v>127</v>
      </c>
      <c r="B164" s="8" t="s">
        <v>76</v>
      </c>
      <c r="C164" s="8" t="s">
        <v>134</v>
      </c>
      <c r="D164" s="9" t="str">
        <f>HYPERLINK("https://12go.asia/en/travel/Central-Station-Forecourt/Shoal-Bay-Rd-at-Gowrie-Ave", "12Go Link")</f>
        <v>12Go Link</v>
      </c>
      <c r="E164" s="8" t="s">
        <v>70</v>
      </c>
    </row>
    <row r="165">
      <c r="A165" s="8" t="s">
        <v>127</v>
      </c>
      <c r="B165" s="8" t="s">
        <v>80</v>
      </c>
      <c r="C165" s="8" t="s">
        <v>135</v>
      </c>
      <c r="D165" s="9" t="str">
        <f>HYPERLINK("https://12go.asia/en/travel/Central-Station-Forecourt/Foreshore-Dr-opp-Wanda-Ave", "12Go Link")</f>
        <v>12Go Link</v>
      </c>
      <c r="E165" s="8" t="s">
        <v>70</v>
      </c>
    </row>
    <row r="166">
      <c r="A166" s="8" t="s">
        <v>127</v>
      </c>
      <c r="B166" s="8" t="s">
        <v>80</v>
      </c>
      <c r="C166" s="8" t="s">
        <v>136</v>
      </c>
      <c r="D166" s="9" t="str">
        <f>HYPERLINK("https://12go.asia/en/travel/Central-Station-Forecourt/Salamander-Bay-Square", "12Go Link")</f>
        <v>12Go Link</v>
      </c>
      <c r="E166" s="8" t="s">
        <v>70</v>
      </c>
    </row>
    <row r="167">
      <c r="A167" s="8" t="s">
        <v>127</v>
      </c>
      <c r="B167" s="8" t="s">
        <v>80</v>
      </c>
      <c r="C167" s="8" t="s">
        <v>137</v>
      </c>
      <c r="D167" s="9" t="str">
        <f>HYPERLINK("https://12go.asia/en/travel/Central-Station-Forecourt/Sandy-Point-Rd-at-Oaks-Pacific-Blue-Resort", "12Go Link")</f>
        <v>12Go Link</v>
      </c>
      <c r="E167" s="8" t="s">
        <v>70</v>
      </c>
    </row>
    <row r="168">
      <c r="A168" s="8" t="s">
        <v>127</v>
      </c>
      <c r="B168" s="8" t="s">
        <v>80</v>
      </c>
      <c r="C168" s="8" t="s">
        <v>138</v>
      </c>
      <c r="D168" s="9" t="str">
        <f>HYPERLINK("https://12go.asia/en/travel/Central-Station-Forecourt/Soldiers-Point-Rd-at-Wanda-Beach-Shops", "12Go Link")</f>
        <v>12Go Link</v>
      </c>
      <c r="E168" s="8" t="s">
        <v>70</v>
      </c>
    </row>
    <row r="169">
      <c r="A169" s="8" t="s">
        <v>127</v>
      </c>
      <c r="B169" s="8" t="s">
        <v>85</v>
      </c>
      <c r="C169" s="8" t="s">
        <v>139</v>
      </c>
      <c r="D169" s="9" t="str">
        <f>HYPERLINK("https://12go.asia/en/travel/Central-Station-Forecourt/Nelson-Bay-Rd-opp-Salt-Ash-Ave", "12Go Link")</f>
        <v>12Go Link</v>
      </c>
      <c r="E169" s="8" t="s">
        <v>70</v>
      </c>
    </row>
    <row r="170">
      <c r="A170" s="8" t="s">
        <v>127</v>
      </c>
      <c r="B170" s="8" t="s">
        <v>87</v>
      </c>
      <c r="C170" s="8" t="s">
        <v>140</v>
      </c>
      <c r="D170" s="9" t="str">
        <f>HYPERLINK("https://12go.asia/en/travel/Central-Station-Forecourt/Government-Rd-at-Peterie-St", "12Go Link")</f>
        <v>12Go Link</v>
      </c>
      <c r="E170" s="8" t="s">
        <v>70</v>
      </c>
    </row>
    <row r="171">
      <c r="A171" s="8" t="s">
        <v>127</v>
      </c>
      <c r="B171" s="8" t="s">
        <v>87</v>
      </c>
      <c r="C171" s="8" t="s">
        <v>141</v>
      </c>
      <c r="D171" s="9" t="str">
        <f>HYPERLINK("https://12go.asia/en/travel/Central-Station-Forecourt/Shoal-Bay-Rd-after-Beach-Rd", "12Go Link")</f>
        <v>12Go Link</v>
      </c>
      <c r="E171" s="8" t="s">
        <v>70</v>
      </c>
    </row>
    <row r="172">
      <c r="A172" s="8" t="s">
        <v>127</v>
      </c>
      <c r="B172" s="8" t="s">
        <v>87</v>
      </c>
      <c r="C172" s="8" t="s">
        <v>142</v>
      </c>
      <c r="D172" s="9" t="str">
        <f>HYPERLINK("https://12go.asia/en/travel/Central-Station-Forecourt/Shoal-Bay-Rd-at-Bay-Village-Shops", "12Go Link")</f>
        <v>12Go Link</v>
      </c>
      <c r="E172" s="8" t="s">
        <v>70</v>
      </c>
    </row>
    <row r="173">
      <c r="A173" s="8" t="s">
        <v>127</v>
      </c>
      <c r="B173" s="8" t="s">
        <v>91</v>
      </c>
      <c r="C173" s="8" t="s">
        <v>143</v>
      </c>
      <c r="D173" s="9" t="str">
        <f>HYPERLINK("https://12go.asia/en/travel/Central-Station-Forecourt/Nelson-Bay-Rd-before-Lavis-Lane", "12Go Link")</f>
        <v>12Go Link</v>
      </c>
      <c r="E173" s="8" t="s">
        <v>70</v>
      </c>
    </row>
    <row r="174">
      <c r="A174" s="6" t="s">
        <v>118</v>
      </c>
      <c r="B174" s="6" t="s">
        <v>117</v>
      </c>
      <c r="C174" s="6" t="s">
        <v>144</v>
      </c>
      <c r="D174" s="7" t="str">
        <f>HYPERLINK("https://12go.asia/en/travel/Gem-Pier/Melbourne-Berth-2", "12Go Link")</f>
        <v>12Go Link</v>
      </c>
      <c r="E174" s="6" t="s">
        <v>106</v>
      </c>
    </row>
    <row r="175">
      <c r="A175" s="4" t="s">
        <v>145</v>
      </c>
      <c r="B175" s="4" t="s">
        <v>146</v>
      </c>
      <c r="C175" s="4" t="s">
        <v>147</v>
      </c>
      <c r="D175" s="5" t="str">
        <f>HYPERLINK("https://12go.asia/en/travel/Banlung/Pure-Coffee-Krong-Siem-Reap", "12Go Link")</f>
        <v>12Go Link</v>
      </c>
      <c r="E175" s="4" t="s">
        <v>148</v>
      </c>
    </row>
    <row r="176">
      <c r="A176" s="4" t="s">
        <v>145</v>
      </c>
      <c r="B176" s="4" t="s">
        <v>149</v>
      </c>
      <c r="C176" s="4" t="s">
        <v>150</v>
      </c>
      <c r="D176" s="5" t="str">
        <f>HYPERLINK("https://12go.asia/en/travel/Banlung/Mr-Mo-Guesthouse", "12Go Link")</f>
        <v>12Go Link</v>
      </c>
      <c r="E176" s="4" t="s">
        <v>148</v>
      </c>
    </row>
    <row r="177">
      <c r="A177" s="2" t="s">
        <v>151</v>
      </c>
      <c r="B177" s="2" t="s">
        <v>152</v>
      </c>
      <c r="C177" s="2" t="s">
        <v>153</v>
      </c>
      <c r="D177" s="3" t="str">
        <f>HYPERLINK("https://12go.asia/en/travel/Kep-Express-Kampot/eBooking-Express-Phnom-Penh", "12Go Link")</f>
        <v>12Go Link</v>
      </c>
      <c r="E177" s="2" t="s">
        <v>154</v>
      </c>
    </row>
    <row r="178">
      <c r="A178" s="2" t="s">
        <v>151</v>
      </c>
      <c r="B178" s="2" t="s">
        <v>146</v>
      </c>
      <c r="C178" s="2" t="s">
        <v>155</v>
      </c>
      <c r="D178" s="3" t="str">
        <f>HYPERLINK("https://12go.asia/en/travel/Kep-Express-Kampot/eBooking-Express-Siem-Reap", "12Go Link")</f>
        <v>12Go Link</v>
      </c>
      <c r="E178" s="2" t="s">
        <v>154</v>
      </c>
    </row>
    <row r="179">
      <c r="A179" s="2" t="s">
        <v>151</v>
      </c>
      <c r="B179" s="2" t="s">
        <v>156</v>
      </c>
      <c r="C179" s="2" t="s">
        <v>157</v>
      </c>
      <c r="D179" s="3" t="str">
        <f>HYPERLINK("https://12go.asia/en/travel/Kep-Express-Kampot/Long-Xuyen-Bus-Station", "12Go Link")</f>
        <v>12Go Link</v>
      </c>
      <c r="E179" s="2" t="s">
        <v>154</v>
      </c>
    </row>
    <row r="180">
      <c r="A180" s="2" t="s">
        <v>151</v>
      </c>
      <c r="B180" s="2" t="s">
        <v>158</v>
      </c>
      <c r="C180" s="2" t="s">
        <v>159</v>
      </c>
      <c r="D180" s="3" t="str">
        <f>HYPERLINK("https://12go.asia/en/travel/Kep-Express-Kampot/Ha-Tien-Border", "12Go Link")</f>
        <v>12Go Link</v>
      </c>
      <c r="E180" s="2" t="s">
        <v>154</v>
      </c>
    </row>
    <row r="181">
      <c r="A181" s="4" t="s">
        <v>160</v>
      </c>
      <c r="B181" s="4" t="s">
        <v>146</v>
      </c>
      <c r="C181" s="4" t="s">
        <v>161</v>
      </c>
      <c r="D181" s="5" t="str">
        <f>HYPERLINK("https://12go.asia/en/travel/Kep-Outbound-Bus-Stop/Giant-Ibis-Main-Terminal", "12Go Link")</f>
        <v>12Go Link</v>
      </c>
      <c r="E181" s="4" t="s">
        <v>154</v>
      </c>
    </row>
    <row r="182">
      <c r="A182" s="2" t="s">
        <v>162</v>
      </c>
      <c r="B182" s="2" t="s">
        <v>163</v>
      </c>
      <c r="C182" s="2" t="s">
        <v>164</v>
      </c>
      <c r="D182" s="3" t="str">
        <f>HYPERLINK("https://12go.asia/en/travel/Koh-Toch-Pier-Boat-Trip/MPai-Bay", "12Go Link")</f>
        <v>12Go Link</v>
      </c>
      <c r="E182" s="2" t="s">
        <v>165</v>
      </c>
    </row>
    <row r="183">
      <c r="A183" s="2" t="s">
        <v>162</v>
      </c>
      <c r="B183" s="2" t="s">
        <v>163</v>
      </c>
      <c r="C183" s="2" t="s">
        <v>166</v>
      </c>
      <c r="D183" s="3" t="str">
        <f>HYPERLINK("https://12go.asia/en/travel/Koh-Toch-Pier-Boat-Trip/Soon-Noeng-Port", "12Go Link")</f>
        <v>12Go Link</v>
      </c>
      <c r="E183" s="2" t="s">
        <v>165</v>
      </c>
    </row>
    <row r="184">
      <c r="A184" s="2" t="s">
        <v>162</v>
      </c>
      <c r="B184" s="2" t="s">
        <v>163</v>
      </c>
      <c r="C184" s="2" t="s">
        <v>167</v>
      </c>
      <c r="D184" s="3" t="str">
        <f>HYPERLINK("https://12go.asia/en/travel/Long-Set-Pier/MPai-Bay", "12Go Link")</f>
        <v>12Go Link</v>
      </c>
      <c r="E184" s="2" t="s">
        <v>165</v>
      </c>
    </row>
    <row r="185">
      <c r="A185" s="2" t="s">
        <v>162</v>
      </c>
      <c r="B185" s="2" t="s">
        <v>163</v>
      </c>
      <c r="C185" s="2" t="s">
        <v>168</v>
      </c>
      <c r="D185" s="3" t="str">
        <f t="shared" ref="D185:D186" si="42">HYPERLINK("https://12go.asia/en/travel/Long-Set-Pier/Soon-Noeng-Port", "12Go Link")</f>
        <v>12Go Link</v>
      </c>
      <c r="E185" s="2" t="s">
        <v>169</v>
      </c>
    </row>
    <row r="186">
      <c r="A186" s="2" t="s">
        <v>162</v>
      </c>
      <c r="B186" s="2" t="s">
        <v>163</v>
      </c>
      <c r="C186" s="2" t="s">
        <v>168</v>
      </c>
      <c r="D186" s="3" t="str">
        <f t="shared" si="42"/>
        <v>12Go Link</v>
      </c>
      <c r="E186" s="2" t="s">
        <v>165</v>
      </c>
    </row>
    <row r="187">
      <c r="A187" s="2" t="s">
        <v>162</v>
      </c>
      <c r="B187" s="2" t="s">
        <v>170</v>
      </c>
      <c r="C187" s="2" t="s">
        <v>171</v>
      </c>
      <c r="D187" s="3" t="str">
        <f>HYPERLINK("https://12go.asia/en/travel/Koh-Rong/Western-Bus-Station-Ho-Chi-Mihn", "12Go Link")</f>
        <v>12Go Link</v>
      </c>
      <c r="E187" s="2" t="s">
        <v>172</v>
      </c>
    </row>
    <row r="188">
      <c r="A188" s="4" t="s">
        <v>163</v>
      </c>
      <c r="B188" s="4" t="s">
        <v>162</v>
      </c>
      <c r="C188" s="4" t="s">
        <v>173</v>
      </c>
      <c r="D188" s="5" t="str">
        <f>HYPERLINK("https://12go.asia/en/travel/MPai-Bay/Koh-Toch-Pier-Boat-Trip", "12Go Link")</f>
        <v>12Go Link</v>
      </c>
      <c r="E188" s="4" t="s">
        <v>165</v>
      </c>
    </row>
    <row r="189">
      <c r="A189" s="4" t="s">
        <v>163</v>
      </c>
      <c r="B189" s="4" t="s">
        <v>162</v>
      </c>
      <c r="C189" s="4" t="s">
        <v>174</v>
      </c>
      <c r="D189" s="5" t="str">
        <f>HYPERLINK("https://12go.asia/en/travel/MPai-Bay/Long-Set-Pier", "12Go Link")</f>
        <v>12Go Link</v>
      </c>
      <c r="E189" s="4" t="s">
        <v>165</v>
      </c>
    </row>
    <row r="190">
      <c r="A190" s="4" t="s">
        <v>163</v>
      </c>
      <c r="B190" s="4" t="s">
        <v>162</v>
      </c>
      <c r="C190" s="4" t="s">
        <v>175</v>
      </c>
      <c r="D190" s="5" t="str">
        <f>HYPERLINK("https://12go.asia/en/travel/Soon-Noeng-Port/Koh-Toch-Pier-Boat-Trip", "12Go Link")</f>
        <v>12Go Link</v>
      </c>
      <c r="E190" s="4" t="s">
        <v>165</v>
      </c>
    </row>
    <row r="191">
      <c r="A191" s="4" t="s">
        <v>163</v>
      </c>
      <c r="B191" s="4" t="s">
        <v>162</v>
      </c>
      <c r="C191" s="4" t="s">
        <v>176</v>
      </c>
      <c r="D191" s="5" t="str">
        <f>HYPERLINK("https://12go.asia/en/travel/Soon-Noeng-Port/Long-Set-Pier", "12Go Link")</f>
        <v>12Go Link</v>
      </c>
      <c r="E191" s="4" t="s">
        <v>165</v>
      </c>
    </row>
    <row r="192">
      <c r="A192" s="4" t="s">
        <v>163</v>
      </c>
      <c r="B192" s="4" t="s">
        <v>163</v>
      </c>
      <c r="C192" s="4" t="s">
        <v>177</v>
      </c>
      <c r="D192" s="5" t="str">
        <f>HYPERLINK("https://12go.asia/en/travel/MPai-Bay/Soon-Noeng-Port", "12Go Link")</f>
        <v>12Go Link</v>
      </c>
      <c r="E192" s="4" t="s">
        <v>165</v>
      </c>
    </row>
    <row r="193">
      <c r="A193" s="4" t="s">
        <v>163</v>
      </c>
      <c r="B193" s="4" t="s">
        <v>163</v>
      </c>
      <c r="C193" s="4" t="s">
        <v>178</v>
      </c>
      <c r="D193" s="5" t="str">
        <f>HYPERLINK("https://12go.asia/en/travel/Soon-Noeng-Port/MPai-Bay", "12Go Link")</f>
        <v>12Go Link</v>
      </c>
      <c r="E193" s="4" t="s">
        <v>165</v>
      </c>
    </row>
    <row r="194">
      <c r="A194" s="2" t="s">
        <v>152</v>
      </c>
      <c r="B194" s="2" t="s">
        <v>179</v>
      </c>
      <c r="C194" s="2" t="s">
        <v>180</v>
      </c>
      <c r="D194" s="3" t="str">
        <f t="shared" ref="D194:D197" si="43">HYPERLINK("https://12go.asia/en/travel/Phnom-Penh/Poi-Pet-Border", "12Go Link")</f>
        <v>12Go Link</v>
      </c>
      <c r="E194" s="2" t="s">
        <v>181</v>
      </c>
    </row>
    <row r="195">
      <c r="A195" s="2" t="s">
        <v>152</v>
      </c>
      <c r="B195" s="2" t="s">
        <v>179</v>
      </c>
      <c r="C195" s="2" t="s">
        <v>180</v>
      </c>
      <c r="D195" s="3" t="str">
        <f t="shared" si="43"/>
        <v>12Go Link</v>
      </c>
      <c r="E195" s="2" t="s">
        <v>182</v>
      </c>
    </row>
    <row r="196">
      <c r="A196" s="2" t="s">
        <v>152</v>
      </c>
      <c r="B196" s="2" t="s">
        <v>179</v>
      </c>
      <c r="C196" s="2" t="s">
        <v>180</v>
      </c>
      <c r="D196" s="3" t="str">
        <f t="shared" si="43"/>
        <v>12Go Link</v>
      </c>
      <c r="E196" s="2" t="s">
        <v>183</v>
      </c>
    </row>
    <row r="197">
      <c r="A197" s="2" t="s">
        <v>152</v>
      </c>
      <c r="B197" s="2" t="s">
        <v>179</v>
      </c>
      <c r="C197" s="2" t="s">
        <v>180</v>
      </c>
      <c r="D197" s="3" t="str">
        <f t="shared" si="43"/>
        <v>12Go Link</v>
      </c>
      <c r="E197" s="2" t="s">
        <v>184</v>
      </c>
    </row>
    <row r="198">
      <c r="A198" s="2" t="s">
        <v>152</v>
      </c>
      <c r="B198" s="2" t="s">
        <v>185</v>
      </c>
      <c r="C198" s="2" t="s">
        <v>186</v>
      </c>
      <c r="D198" s="3" t="str">
        <f t="shared" ref="D198:D201" si="44">HYPERLINK("https://12go.asia/en/travel/Phnom-Penh/Battambang", "12Go Link")</f>
        <v>12Go Link</v>
      </c>
      <c r="E198" s="2" t="s">
        <v>181</v>
      </c>
    </row>
    <row r="199">
      <c r="A199" s="2" t="s">
        <v>152</v>
      </c>
      <c r="B199" s="2" t="s">
        <v>185</v>
      </c>
      <c r="C199" s="2" t="s">
        <v>186</v>
      </c>
      <c r="D199" s="3" t="str">
        <f t="shared" si="44"/>
        <v>12Go Link</v>
      </c>
      <c r="E199" s="2" t="s">
        <v>182</v>
      </c>
    </row>
    <row r="200">
      <c r="A200" s="2" t="s">
        <v>152</v>
      </c>
      <c r="B200" s="2" t="s">
        <v>185</v>
      </c>
      <c r="C200" s="2" t="s">
        <v>186</v>
      </c>
      <c r="D200" s="3" t="str">
        <f t="shared" si="44"/>
        <v>12Go Link</v>
      </c>
      <c r="E200" s="2" t="s">
        <v>183</v>
      </c>
    </row>
    <row r="201">
      <c r="A201" s="2" t="s">
        <v>152</v>
      </c>
      <c r="B201" s="2" t="s">
        <v>185</v>
      </c>
      <c r="C201" s="2" t="s">
        <v>186</v>
      </c>
      <c r="D201" s="3" t="str">
        <f t="shared" si="44"/>
        <v>12Go Link</v>
      </c>
      <c r="E201" s="2" t="s">
        <v>184</v>
      </c>
    </row>
    <row r="202">
      <c r="A202" s="2" t="s">
        <v>152</v>
      </c>
      <c r="B202" s="2" t="s">
        <v>151</v>
      </c>
      <c r="C202" s="2" t="s">
        <v>187</v>
      </c>
      <c r="D202" s="3" t="str">
        <f>HYPERLINK("https://12go.asia/en/travel/Giant-Ibis-Bus-Terminal/Kep-Express-Kampot", "12Go Link")</f>
        <v>12Go Link</v>
      </c>
      <c r="E202" s="2" t="s">
        <v>154</v>
      </c>
    </row>
    <row r="203">
      <c r="A203" s="2" t="s">
        <v>152</v>
      </c>
      <c r="B203" s="2" t="s">
        <v>151</v>
      </c>
      <c r="C203" s="2" t="s">
        <v>188</v>
      </c>
      <c r="D203" s="3" t="str">
        <f t="shared" ref="D203:D206" si="45">HYPERLINK("https://12go.asia/en/travel/Phnom-Penh/Kampot", "12Go Link")</f>
        <v>12Go Link</v>
      </c>
      <c r="E203" s="2" t="s">
        <v>181</v>
      </c>
    </row>
    <row r="204">
      <c r="A204" s="2" t="s">
        <v>152</v>
      </c>
      <c r="B204" s="2" t="s">
        <v>151</v>
      </c>
      <c r="C204" s="2" t="s">
        <v>188</v>
      </c>
      <c r="D204" s="3" t="str">
        <f t="shared" si="45"/>
        <v>12Go Link</v>
      </c>
      <c r="E204" s="2" t="s">
        <v>182</v>
      </c>
    </row>
    <row r="205">
      <c r="A205" s="2" t="s">
        <v>152</v>
      </c>
      <c r="B205" s="2" t="s">
        <v>151</v>
      </c>
      <c r="C205" s="2" t="s">
        <v>188</v>
      </c>
      <c r="D205" s="3" t="str">
        <f t="shared" si="45"/>
        <v>12Go Link</v>
      </c>
      <c r="E205" s="2" t="s">
        <v>183</v>
      </c>
    </row>
    <row r="206">
      <c r="A206" s="2" t="s">
        <v>152</v>
      </c>
      <c r="B206" s="2" t="s">
        <v>151</v>
      </c>
      <c r="C206" s="2" t="s">
        <v>188</v>
      </c>
      <c r="D206" s="3" t="str">
        <f t="shared" si="45"/>
        <v>12Go Link</v>
      </c>
      <c r="E206" s="2" t="s">
        <v>184</v>
      </c>
    </row>
    <row r="207">
      <c r="A207" s="2" t="s">
        <v>152</v>
      </c>
      <c r="B207" s="2" t="s">
        <v>160</v>
      </c>
      <c r="C207" s="2" t="s">
        <v>189</v>
      </c>
      <c r="D207" s="3" t="str">
        <f t="shared" ref="D207:D210" si="46">HYPERLINK("https://12go.asia/en/travel/Phnom-Penh/Kep", "12Go Link")</f>
        <v>12Go Link</v>
      </c>
      <c r="E207" s="2" t="s">
        <v>181</v>
      </c>
    </row>
    <row r="208">
      <c r="A208" s="2" t="s">
        <v>152</v>
      </c>
      <c r="B208" s="2" t="s">
        <v>160</v>
      </c>
      <c r="C208" s="2" t="s">
        <v>189</v>
      </c>
      <c r="D208" s="3" t="str">
        <f t="shared" si="46"/>
        <v>12Go Link</v>
      </c>
      <c r="E208" s="2" t="s">
        <v>182</v>
      </c>
    </row>
    <row r="209">
      <c r="A209" s="2" t="s">
        <v>152</v>
      </c>
      <c r="B209" s="2" t="s">
        <v>160</v>
      </c>
      <c r="C209" s="2" t="s">
        <v>189</v>
      </c>
      <c r="D209" s="3" t="str">
        <f t="shared" si="46"/>
        <v>12Go Link</v>
      </c>
      <c r="E209" s="2" t="s">
        <v>183</v>
      </c>
    </row>
    <row r="210">
      <c r="A210" s="2" t="s">
        <v>152</v>
      </c>
      <c r="B210" s="2" t="s">
        <v>160</v>
      </c>
      <c r="C210" s="2" t="s">
        <v>189</v>
      </c>
      <c r="D210" s="3" t="str">
        <f t="shared" si="46"/>
        <v>12Go Link</v>
      </c>
      <c r="E210" s="2" t="s">
        <v>184</v>
      </c>
    </row>
    <row r="211">
      <c r="A211" s="2" t="s">
        <v>152</v>
      </c>
      <c r="B211" s="2" t="s">
        <v>152</v>
      </c>
      <c r="C211" s="2" t="s">
        <v>190</v>
      </c>
      <c r="D211" s="3" t="str">
        <f t="shared" ref="D211:D214" si="47">HYPERLINK("https://12go.asia/en/travel/Phnom-Penh/KTI-Airport", "12Go Link")</f>
        <v>12Go Link</v>
      </c>
      <c r="E211" s="2" t="s">
        <v>181</v>
      </c>
    </row>
    <row r="212">
      <c r="A212" s="2" t="s">
        <v>152</v>
      </c>
      <c r="B212" s="2" t="s">
        <v>152</v>
      </c>
      <c r="C212" s="2" t="s">
        <v>190</v>
      </c>
      <c r="D212" s="3" t="str">
        <f t="shared" si="47"/>
        <v>12Go Link</v>
      </c>
      <c r="E212" s="2" t="s">
        <v>182</v>
      </c>
    </row>
    <row r="213">
      <c r="A213" s="2" t="s">
        <v>152</v>
      </c>
      <c r="B213" s="2" t="s">
        <v>152</v>
      </c>
      <c r="C213" s="2" t="s">
        <v>190</v>
      </c>
      <c r="D213" s="3" t="str">
        <f t="shared" si="47"/>
        <v>12Go Link</v>
      </c>
      <c r="E213" s="2" t="s">
        <v>183</v>
      </c>
    </row>
    <row r="214">
      <c r="A214" s="2" t="s">
        <v>152</v>
      </c>
      <c r="B214" s="2" t="s">
        <v>152</v>
      </c>
      <c r="C214" s="2" t="s">
        <v>190</v>
      </c>
      <c r="D214" s="3" t="str">
        <f t="shared" si="47"/>
        <v>12Go Link</v>
      </c>
      <c r="E214" s="2" t="s">
        <v>184</v>
      </c>
    </row>
    <row r="215">
      <c r="A215" s="2" t="s">
        <v>152</v>
      </c>
      <c r="B215" s="2" t="s">
        <v>146</v>
      </c>
      <c r="C215" s="2" t="s">
        <v>191</v>
      </c>
      <c r="D215" s="3" t="str">
        <f t="shared" ref="D215:D219" si="48">HYPERLINK("https://12go.asia/en/travel/Phnom-Penh/Siem-Reap", "12Go Link")</f>
        <v>12Go Link</v>
      </c>
      <c r="E215" s="2" t="s">
        <v>181</v>
      </c>
    </row>
    <row r="216">
      <c r="A216" s="2" t="s">
        <v>152</v>
      </c>
      <c r="B216" s="2" t="s">
        <v>146</v>
      </c>
      <c r="C216" s="2" t="s">
        <v>191</v>
      </c>
      <c r="D216" s="3" t="str">
        <f t="shared" si="48"/>
        <v>12Go Link</v>
      </c>
      <c r="E216" s="2" t="s">
        <v>182</v>
      </c>
    </row>
    <row r="217">
      <c r="A217" s="2" t="s">
        <v>152</v>
      </c>
      <c r="B217" s="2" t="s">
        <v>146</v>
      </c>
      <c r="C217" s="2" t="s">
        <v>191</v>
      </c>
      <c r="D217" s="3" t="str">
        <f t="shared" si="48"/>
        <v>12Go Link</v>
      </c>
      <c r="E217" s="2" t="s">
        <v>192</v>
      </c>
    </row>
    <row r="218">
      <c r="A218" s="2" t="s">
        <v>152</v>
      </c>
      <c r="B218" s="2" t="s">
        <v>146</v>
      </c>
      <c r="C218" s="2" t="s">
        <v>191</v>
      </c>
      <c r="D218" s="3" t="str">
        <f t="shared" si="48"/>
        <v>12Go Link</v>
      </c>
      <c r="E218" s="2" t="s">
        <v>183</v>
      </c>
    </row>
    <row r="219">
      <c r="A219" s="2" t="s">
        <v>152</v>
      </c>
      <c r="B219" s="2" t="s">
        <v>146</v>
      </c>
      <c r="C219" s="2" t="s">
        <v>191</v>
      </c>
      <c r="D219" s="3" t="str">
        <f t="shared" si="48"/>
        <v>12Go Link</v>
      </c>
      <c r="E219" s="2" t="s">
        <v>184</v>
      </c>
    </row>
    <row r="220">
      <c r="A220" s="2" t="s">
        <v>152</v>
      </c>
      <c r="B220" s="2" t="s">
        <v>193</v>
      </c>
      <c r="C220" s="2" t="s">
        <v>194</v>
      </c>
      <c r="D220" s="3" t="str">
        <f t="shared" ref="D220:D223" si="49">HYPERLINK("https://12go.asia/en/travel/Phnom-Penh/Siem-Reap-Angkor-International-Airport", "12Go Link")</f>
        <v>12Go Link</v>
      </c>
      <c r="E220" s="2" t="s">
        <v>181</v>
      </c>
    </row>
    <row r="221">
      <c r="A221" s="2" t="s">
        <v>152</v>
      </c>
      <c r="B221" s="2" t="s">
        <v>193</v>
      </c>
      <c r="C221" s="2" t="s">
        <v>194</v>
      </c>
      <c r="D221" s="3" t="str">
        <f t="shared" si="49"/>
        <v>12Go Link</v>
      </c>
      <c r="E221" s="2" t="s">
        <v>182</v>
      </c>
    </row>
    <row r="222">
      <c r="A222" s="2" t="s">
        <v>152</v>
      </c>
      <c r="B222" s="2" t="s">
        <v>193</v>
      </c>
      <c r="C222" s="2" t="s">
        <v>194</v>
      </c>
      <c r="D222" s="3" t="str">
        <f t="shared" si="49"/>
        <v>12Go Link</v>
      </c>
      <c r="E222" s="2" t="s">
        <v>183</v>
      </c>
    </row>
    <row r="223">
      <c r="A223" s="2" t="s">
        <v>152</v>
      </c>
      <c r="B223" s="2" t="s">
        <v>193</v>
      </c>
      <c r="C223" s="2" t="s">
        <v>194</v>
      </c>
      <c r="D223" s="3" t="str">
        <f t="shared" si="49"/>
        <v>12Go Link</v>
      </c>
      <c r="E223" s="2" t="s">
        <v>184</v>
      </c>
    </row>
    <row r="224">
      <c r="A224" s="2" t="s">
        <v>152</v>
      </c>
      <c r="B224" s="2" t="s">
        <v>195</v>
      </c>
      <c r="C224" s="2" t="s">
        <v>196</v>
      </c>
      <c r="D224" s="3" t="str">
        <f t="shared" ref="D224:D227" si="50">HYPERLINK("https://12go.asia/en/travel/Phnom-Penh/Sihanoukville", "12Go Link")</f>
        <v>12Go Link</v>
      </c>
      <c r="E224" s="2" t="s">
        <v>181</v>
      </c>
    </row>
    <row r="225">
      <c r="A225" s="2" t="s">
        <v>152</v>
      </c>
      <c r="B225" s="2" t="s">
        <v>195</v>
      </c>
      <c r="C225" s="2" t="s">
        <v>196</v>
      </c>
      <c r="D225" s="3" t="str">
        <f t="shared" si="50"/>
        <v>12Go Link</v>
      </c>
      <c r="E225" s="2" t="s">
        <v>182</v>
      </c>
    </row>
    <row r="226">
      <c r="A226" s="2" t="s">
        <v>152</v>
      </c>
      <c r="B226" s="2" t="s">
        <v>195</v>
      </c>
      <c r="C226" s="2" t="s">
        <v>196</v>
      </c>
      <c r="D226" s="3" t="str">
        <f t="shared" si="50"/>
        <v>12Go Link</v>
      </c>
      <c r="E226" s="2" t="s">
        <v>183</v>
      </c>
    </row>
    <row r="227">
      <c r="A227" s="2" t="s">
        <v>152</v>
      </c>
      <c r="B227" s="2" t="s">
        <v>195</v>
      </c>
      <c r="C227" s="2" t="s">
        <v>196</v>
      </c>
      <c r="D227" s="3" t="str">
        <f t="shared" si="50"/>
        <v>12Go Link</v>
      </c>
      <c r="E227" s="2" t="s">
        <v>184</v>
      </c>
    </row>
    <row r="228">
      <c r="A228" s="2" t="s">
        <v>152</v>
      </c>
      <c r="B228" s="2" t="s">
        <v>149</v>
      </c>
      <c r="C228" s="2" t="s">
        <v>197</v>
      </c>
      <c r="D228" s="3" t="str">
        <f t="shared" ref="D228:D229" si="51">HYPERLINK("https://12go.asia/en/travel/Rith-Mony-Bus-Chroy-Chorngva-Branch/Mr-Mo-Guesthouse", "12Go Link")</f>
        <v>12Go Link</v>
      </c>
      <c r="E228" s="2" t="s">
        <v>198</v>
      </c>
    </row>
    <row r="229">
      <c r="A229" s="2" t="s">
        <v>152</v>
      </c>
      <c r="B229" s="2" t="s">
        <v>149</v>
      </c>
      <c r="C229" s="2" t="s">
        <v>197</v>
      </c>
      <c r="D229" s="3" t="str">
        <f t="shared" si="51"/>
        <v>12Go Link</v>
      </c>
      <c r="E229" s="2" t="s">
        <v>148</v>
      </c>
    </row>
    <row r="230">
      <c r="A230" s="2" t="s">
        <v>152</v>
      </c>
      <c r="B230" s="2" t="s">
        <v>199</v>
      </c>
      <c r="C230" s="2" t="s">
        <v>200</v>
      </c>
      <c r="D230" s="3" t="str">
        <f t="shared" ref="D230:D231" si="52">HYPERLINK("https://12go.asia/en/travel/Rith-Mony-Bus-Chroy-Chorngva-Branch/GreenParadise-Tours-and-Travel-Laos", "12Go Link")</f>
        <v>12Go Link</v>
      </c>
      <c r="E230" s="2" t="s">
        <v>198</v>
      </c>
    </row>
    <row r="231">
      <c r="A231" s="2" t="s">
        <v>152</v>
      </c>
      <c r="B231" s="2" t="s">
        <v>199</v>
      </c>
      <c r="C231" s="2" t="s">
        <v>200</v>
      </c>
      <c r="D231" s="3" t="str">
        <f t="shared" si="52"/>
        <v>12Go Link</v>
      </c>
      <c r="E231" s="2" t="s">
        <v>148</v>
      </c>
    </row>
    <row r="232">
      <c r="A232" s="2" t="s">
        <v>152</v>
      </c>
      <c r="B232" s="2" t="s">
        <v>201</v>
      </c>
      <c r="C232" s="2" t="s">
        <v>202</v>
      </c>
      <c r="D232" s="3" t="str">
        <f t="shared" ref="D232:D233" si="53">HYPERLINK("https://12go.asia/en/travel/Rith-Mony-Bus-Chroy-Chorngva-Branch/VLT-Natural-tours", "12Go Link")</f>
        <v>12Go Link</v>
      </c>
      <c r="E232" s="2" t="s">
        <v>203</v>
      </c>
    </row>
    <row r="233">
      <c r="A233" s="2" t="s">
        <v>152</v>
      </c>
      <c r="B233" s="2" t="s">
        <v>201</v>
      </c>
      <c r="C233" s="2" t="s">
        <v>202</v>
      </c>
      <c r="D233" s="3" t="str">
        <f t="shared" si="53"/>
        <v>12Go Link</v>
      </c>
      <c r="E233" s="2" t="s">
        <v>204</v>
      </c>
    </row>
    <row r="234">
      <c r="A234" s="2" t="s">
        <v>152</v>
      </c>
      <c r="B234" s="2" t="s">
        <v>205</v>
      </c>
      <c r="C234" s="2" t="s">
        <v>206</v>
      </c>
      <c r="D234" s="3" t="str">
        <f t="shared" ref="D234:D235" si="54">HYPERLINK("https://12go.asia/en/travel/Rith-Mony-Bus-Chroy-Chorngva-Branch/Vientiane-Southern-Bus-Terminal", "12Go Link")</f>
        <v>12Go Link</v>
      </c>
      <c r="E234" s="2" t="s">
        <v>203</v>
      </c>
    </row>
    <row r="235">
      <c r="A235" s="2" t="s">
        <v>152</v>
      </c>
      <c r="B235" s="2" t="s">
        <v>205</v>
      </c>
      <c r="C235" s="2" t="s">
        <v>206</v>
      </c>
      <c r="D235" s="3" t="str">
        <f t="shared" si="54"/>
        <v>12Go Link</v>
      </c>
      <c r="E235" s="2" t="s">
        <v>204</v>
      </c>
    </row>
    <row r="236">
      <c r="A236" s="2" t="s">
        <v>152</v>
      </c>
      <c r="B236" s="2" t="s">
        <v>207</v>
      </c>
      <c r="C236" s="2" t="s">
        <v>208</v>
      </c>
      <c r="D236" s="3" t="str">
        <f>HYPERLINK("https://12go.asia/en/travel/Phnom-Penh/Chau-Doc", "12Go Link")</f>
        <v>12Go Link</v>
      </c>
      <c r="E236" s="2" t="s">
        <v>209</v>
      </c>
    </row>
    <row r="237">
      <c r="A237" s="2" t="s">
        <v>152</v>
      </c>
      <c r="B237" s="2" t="s">
        <v>170</v>
      </c>
      <c r="C237" s="2" t="s">
        <v>210</v>
      </c>
      <c r="D237" s="3" t="str">
        <f t="shared" ref="D237:D238" si="55">HYPERLINK("https://12go.asia/en/travel/Kumho-Samco-Buslines-Phnom-Penh/ke-261-D-Hong-Bang", "12Go Link")</f>
        <v>12Go Link</v>
      </c>
      <c r="E237" s="2" t="s">
        <v>211</v>
      </c>
    </row>
    <row r="238">
      <c r="A238" s="2" t="s">
        <v>152</v>
      </c>
      <c r="B238" s="2" t="s">
        <v>170</v>
      </c>
      <c r="C238" s="2" t="s">
        <v>210</v>
      </c>
      <c r="D238" s="3" t="str">
        <f t="shared" si="55"/>
        <v>12Go Link</v>
      </c>
      <c r="E238" s="2" t="s">
        <v>212</v>
      </c>
    </row>
    <row r="239">
      <c r="A239" s="2" t="s">
        <v>152</v>
      </c>
      <c r="B239" s="2" t="s">
        <v>213</v>
      </c>
      <c r="C239" s="2" t="s">
        <v>214</v>
      </c>
      <c r="D239" s="3" t="str">
        <f>HYPERLINK("https://12go.asia/en/travel/Phnom-Penh/Phu-Quoc", "12Go Link")</f>
        <v>12Go Link</v>
      </c>
      <c r="E239" s="2" t="s">
        <v>215</v>
      </c>
    </row>
    <row r="240">
      <c r="A240" s="4" t="s">
        <v>146</v>
      </c>
      <c r="B240" s="4" t="s">
        <v>145</v>
      </c>
      <c r="C240" s="4" t="s">
        <v>216</v>
      </c>
      <c r="D240" s="5" t="str">
        <f>HYPERLINK("https://12go.asia/en/travel/Pure-Coffee-Krong-Siem-Reap/Banlung", "12Go Link")</f>
        <v>12Go Link</v>
      </c>
      <c r="E240" s="4" t="s">
        <v>148</v>
      </c>
    </row>
    <row r="241">
      <c r="A241" s="4" t="s">
        <v>146</v>
      </c>
      <c r="B241" s="4" t="s">
        <v>179</v>
      </c>
      <c r="C241" s="4" t="s">
        <v>217</v>
      </c>
      <c r="D241" s="5" t="str">
        <f t="shared" ref="D241:D244" si="56">HYPERLINK("https://12go.asia/en/travel/Siem-Reap/Poi-Pet-Border", "12Go Link")</f>
        <v>12Go Link</v>
      </c>
      <c r="E241" s="4" t="s">
        <v>181</v>
      </c>
    </row>
    <row r="242">
      <c r="A242" s="4" t="s">
        <v>146</v>
      </c>
      <c r="B242" s="4" t="s">
        <v>179</v>
      </c>
      <c r="C242" s="4" t="s">
        <v>217</v>
      </c>
      <c r="D242" s="5" t="str">
        <f t="shared" si="56"/>
        <v>12Go Link</v>
      </c>
      <c r="E242" s="4" t="s">
        <v>182</v>
      </c>
    </row>
    <row r="243">
      <c r="A243" s="4" t="s">
        <v>146</v>
      </c>
      <c r="B243" s="4" t="s">
        <v>179</v>
      </c>
      <c r="C243" s="4" t="s">
        <v>217</v>
      </c>
      <c r="D243" s="5" t="str">
        <f t="shared" si="56"/>
        <v>12Go Link</v>
      </c>
      <c r="E243" s="4" t="s">
        <v>183</v>
      </c>
    </row>
    <row r="244">
      <c r="A244" s="4" t="s">
        <v>146</v>
      </c>
      <c r="B244" s="4" t="s">
        <v>179</v>
      </c>
      <c r="C244" s="4" t="s">
        <v>217</v>
      </c>
      <c r="D244" s="5" t="str">
        <f t="shared" si="56"/>
        <v>12Go Link</v>
      </c>
      <c r="E244" s="4" t="s">
        <v>184</v>
      </c>
    </row>
    <row r="245">
      <c r="A245" s="4" t="s">
        <v>146</v>
      </c>
      <c r="B245" s="4" t="s">
        <v>185</v>
      </c>
      <c r="C245" s="4" t="s">
        <v>218</v>
      </c>
      <c r="D245" s="5" t="str">
        <f t="shared" ref="D245:D248" si="57">HYPERLINK("https://12go.asia/en/travel/Siem-Reap/Battambang", "12Go Link")</f>
        <v>12Go Link</v>
      </c>
      <c r="E245" s="4" t="s">
        <v>181</v>
      </c>
    </row>
    <row r="246">
      <c r="A246" s="4" t="s">
        <v>146</v>
      </c>
      <c r="B246" s="4" t="s">
        <v>185</v>
      </c>
      <c r="C246" s="4" t="s">
        <v>218</v>
      </c>
      <c r="D246" s="5" t="str">
        <f t="shared" si="57"/>
        <v>12Go Link</v>
      </c>
      <c r="E246" s="4" t="s">
        <v>182</v>
      </c>
    </row>
    <row r="247">
      <c r="A247" s="4" t="s">
        <v>146</v>
      </c>
      <c r="B247" s="4" t="s">
        <v>185</v>
      </c>
      <c r="C247" s="4" t="s">
        <v>218</v>
      </c>
      <c r="D247" s="5" t="str">
        <f t="shared" si="57"/>
        <v>12Go Link</v>
      </c>
      <c r="E247" s="4" t="s">
        <v>183</v>
      </c>
    </row>
    <row r="248">
      <c r="A248" s="4" t="s">
        <v>146</v>
      </c>
      <c r="B248" s="4" t="s">
        <v>185</v>
      </c>
      <c r="C248" s="4" t="s">
        <v>218</v>
      </c>
      <c r="D248" s="5" t="str">
        <f t="shared" si="57"/>
        <v>12Go Link</v>
      </c>
      <c r="E248" s="4" t="s">
        <v>184</v>
      </c>
    </row>
    <row r="249">
      <c r="A249" s="4" t="s">
        <v>146</v>
      </c>
      <c r="B249" s="4" t="s">
        <v>219</v>
      </c>
      <c r="C249" s="4" t="s">
        <v>220</v>
      </c>
      <c r="D249" s="5" t="str">
        <f t="shared" ref="D249:D252" si="58">HYPERLINK("https://12go.asia/en/travel/Siem-Reap/Bavet-Border", "12Go Link")</f>
        <v>12Go Link</v>
      </c>
      <c r="E249" s="4" t="s">
        <v>181</v>
      </c>
    </row>
    <row r="250">
      <c r="A250" s="4" t="s">
        <v>146</v>
      </c>
      <c r="B250" s="4" t="s">
        <v>219</v>
      </c>
      <c r="C250" s="4" t="s">
        <v>220</v>
      </c>
      <c r="D250" s="5" t="str">
        <f t="shared" si="58"/>
        <v>12Go Link</v>
      </c>
      <c r="E250" s="4" t="s">
        <v>182</v>
      </c>
    </row>
    <row r="251">
      <c r="A251" s="4" t="s">
        <v>146</v>
      </c>
      <c r="B251" s="4" t="s">
        <v>219</v>
      </c>
      <c r="C251" s="4" t="s">
        <v>220</v>
      </c>
      <c r="D251" s="5" t="str">
        <f t="shared" si="58"/>
        <v>12Go Link</v>
      </c>
      <c r="E251" s="4" t="s">
        <v>183</v>
      </c>
    </row>
    <row r="252">
      <c r="A252" s="4" t="s">
        <v>146</v>
      </c>
      <c r="B252" s="4" t="s">
        <v>219</v>
      </c>
      <c r="C252" s="4" t="s">
        <v>220</v>
      </c>
      <c r="D252" s="5" t="str">
        <f t="shared" si="58"/>
        <v>12Go Link</v>
      </c>
      <c r="E252" s="4" t="s">
        <v>184</v>
      </c>
    </row>
    <row r="253">
      <c r="A253" s="4" t="s">
        <v>146</v>
      </c>
      <c r="B253" s="4" t="s">
        <v>151</v>
      </c>
      <c r="C253" s="4" t="s">
        <v>221</v>
      </c>
      <c r="D253" s="5" t="str">
        <f>HYPERLINK("https://12go.asia/en/travel/eBooking-Express-Siem-Reap/Kep-Express-Kampot", "12Go Link")</f>
        <v>12Go Link</v>
      </c>
      <c r="E253" s="4" t="s">
        <v>154</v>
      </c>
    </row>
    <row r="254">
      <c r="A254" s="4" t="s">
        <v>146</v>
      </c>
      <c r="B254" s="4" t="s">
        <v>151</v>
      </c>
      <c r="C254" s="4" t="s">
        <v>222</v>
      </c>
      <c r="D254" s="5" t="str">
        <f t="shared" ref="D254:D257" si="59">HYPERLINK("https://12go.asia/en/travel/Siem-Reap/Kampot", "12Go Link")</f>
        <v>12Go Link</v>
      </c>
      <c r="E254" s="4" t="s">
        <v>181</v>
      </c>
    </row>
    <row r="255">
      <c r="A255" s="4" t="s">
        <v>146</v>
      </c>
      <c r="B255" s="4" t="s">
        <v>151</v>
      </c>
      <c r="C255" s="4" t="s">
        <v>222</v>
      </c>
      <c r="D255" s="5" t="str">
        <f t="shared" si="59"/>
        <v>12Go Link</v>
      </c>
      <c r="E255" s="4" t="s">
        <v>182</v>
      </c>
    </row>
    <row r="256">
      <c r="A256" s="4" t="s">
        <v>146</v>
      </c>
      <c r="B256" s="4" t="s">
        <v>151</v>
      </c>
      <c r="C256" s="4" t="s">
        <v>222</v>
      </c>
      <c r="D256" s="5" t="str">
        <f t="shared" si="59"/>
        <v>12Go Link</v>
      </c>
      <c r="E256" s="4" t="s">
        <v>183</v>
      </c>
    </row>
    <row r="257">
      <c r="A257" s="4" t="s">
        <v>146</v>
      </c>
      <c r="B257" s="4" t="s">
        <v>151</v>
      </c>
      <c r="C257" s="4" t="s">
        <v>222</v>
      </c>
      <c r="D257" s="5" t="str">
        <f t="shared" si="59"/>
        <v>12Go Link</v>
      </c>
      <c r="E257" s="4" t="s">
        <v>184</v>
      </c>
    </row>
    <row r="258">
      <c r="A258" s="4" t="s">
        <v>146</v>
      </c>
      <c r="B258" s="4" t="s">
        <v>160</v>
      </c>
      <c r="C258" s="4" t="s">
        <v>223</v>
      </c>
      <c r="D258" s="5" t="str">
        <f t="shared" ref="D258:D261" si="60">HYPERLINK("https://12go.asia/en/travel/Siem-Reap/Kep", "12Go Link")</f>
        <v>12Go Link</v>
      </c>
      <c r="E258" s="4" t="s">
        <v>181</v>
      </c>
    </row>
    <row r="259">
      <c r="A259" s="4" t="s">
        <v>146</v>
      </c>
      <c r="B259" s="4" t="s">
        <v>160</v>
      </c>
      <c r="C259" s="4" t="s">
        <v>223</v>
      </c>
      <c r="D259" s="5" t="str">
        <f t="shared" si="60"/>
        <v>12Go Link</v>
      </c>
      <c r="E259" s="4" t="s">
        <v>182</v>
      </c>
    </row>
    <row r="260">
      <c r="A260" s="4" t="s">
        <v>146</v>
      </c>
      <c r="B260" s="4" t="s">
        <v>160</v>
      </c>
      <c r="C260" s="4" t="s">
        <v>223</v>
      </c>
      <c r="D260" s="5" t="str">
        <f t="shared" si="60"/>
        <v>12Go Link</v>
      </c>
      <c r="E260" s="4" t="s">
        <v>183</v>
      </c>
    </row>
    <row r="261">
      <c r="A261" s="4" t="s">
        <v>146</v>
      </c>
      <c r="B261" s="4" t="s">
        <v>160</v>
      </c>
      <c r="C261" s="4" t="s">
        <v>223</v>
      </c>
      <c r="D261" s="5" t="str">
        <f t="shared" si="60"/>
        <v>12Go Link</v>
      </c>
      <c r="E261" s="4" t="s">
        <v>184</v>
      </c>
    </row>
    <row r="262">
      <c r="A262" s="4" t="s">
        <v>146</v>
      </c>
      <c r="B262" s="4" t="s">
        <v>152</v>
      </c>
      <c r="C262" s="4" t="s">
        <v>224</v>
      </c>
      <c r="D262" s="5" t="str">
        <f t="shared" ref="D262:D265" si="61">HYPERLINK("https://12go.asia/en/travel/Siem-Reap/KTI-Airport", "12Go Link")</f>
        <v>12Go Link</v>
      </c>
      <c r="E262" s="4" t="s">
        <v>181</v>
      </c>
    </row>
    <row r="263">
      <c r="A263" s="4" t="s">
        <v>146</v>
      </c>
      <c r="B263" s="4" t="s">
        <v>152</v>
      </c>
      <c r="C263" s="4" t="s">
        <v>224</v>
      </c>
      <c r="D263" s="5" t="str">
        <f t="shared" si="61"/>
        <v>12Go Link</v>
      </c>
      <c r="E263" s="4" t="s">
        <v>182</v>
      </c>
    </row>
    <row r="264">
      <c r="A264" s="4" t="s">
        <v>146</v>
      </c>
      <c r="B264" s="4" t="s">
        <v>152</v>
      </c>
      <c r="C264" s="4" t="s">
        <v>224</v>
      </c>
      <c r="D264" s="5" t="str">
        <f t="shared" si="61"/>
        <v>12Go Link</v>
      </c>
      <c r="E264" s="4" t="s">
        <v>183</v>
      </c>
    </row>
    <row r="265">
      <c r="A265" s="4" t="s">
        <v>146</v>
      </c>
      <c r="B265" s="4" t="s">
        <v>152</v>
      </c>
      <c r="C265" s="4" t="s">
        <v>224</v>
      </c>
      <c r="D265" s="5" t="str">
        <f t="shared" si="61"/>
        <v>12Go Link</v>
      </c>
      <c r="E265" s="4" t="s">
        <v>184</v>
      </c>
    </row>
    <row r="266">
      <c r="A266" s="4" t="s">
        <v>146</v>
      </c>
      <c r="B266" s="4" t="s">
        <v>152</v>
      </c>
      <c r="C266" s="4" t="s">
        <v>225</v>
      </c>
      <c r="D266" s="5" t="str">
        <f t="shared" ref="D266:D270" si="62">HYPERLINK("https://12go.asia/en/travel/Siem-Reap/Phnom-Penh", "12Go Link")</f>
        <v>12Go Link</v>
      </c>
      <c r="E266" s="4" t="s">
        <v>181</v>
      </c>
    </row>
    <row r="267">
      <c r="A267" s="4" t="s">
        <v>146</v>
      </c>
      <c r="B267" s="4" t="s">
        <v>152</v>
      </c>
      <c r="C267" s="4" t="s">
        <v>225</v>
      </c>
      <c r="D267" s="5" t="str">
        <f t="shared" si="62"/>
        <v>12Go Link</v>
      </c>
      <c r="E267" s="4" t="s">
        <v>182</v>
      </c>
    </row>
    <row r="268">
      <c r="A268" s="4" t="s">
        <v>146</v>
      </c>
      <c r="B268" s="4" t="s">
        <v>152</v>
      </c>
      <c r="C268" s="4" t="s">
        <v>225</v>
      </c>
      <c r="D268" s="5" t="str">
        <f t="shared" si="62"/>
        <v>12Go Link</v>
      </c>
      <c r="E268" s="4" t="s">
        <v>192</v>
      </c>
    </row>
    <row r="269">
      <c r="A269" s="4" t="s">
        <v>146</v>
      </c>
      <c r="B269" s="4" t="s">
        <v>152</v>
      </c>
      <c r="C269" s="4" t="s">
        <v>225</v>
      </c>
      <c r="D269" s="5" t="str">
        <f t="shared" si="62"/>
        <v>12Go Link</v>
      </c>
      <c r="E269" s="4" t="s">
        <v>183</v>
      </c>
    </row>
    <row r="270">
      <c r="A270" s="4" t="s">
        <v>146</v>
      </c>
      <c r="B270" s="4" t="s">
        <v>152</v>
      </c>
      <c r="C270" s="4" t="s">
        <v>225</v>
      </c>
      <c r="D270" s="5" t="str">
        <f t="shared" si="62"/>
        <v>12Go Link</v>
      </c>
      <c r="E270" s="4" t="s">
        <v>184</v>
      </c>
    </row>
    <row r="271">
      <c r="A271" s="4" t="s">
        <v>146</v>
      </c>
      <c r="B271" s="4" t="s">
        <v>193</v>
      </c>
      <c r="C271" s="4" t="s">
        <v>226</v>
      </c>
      <c r="D271" s="5" t="str">
        <f t="shared" ref="D271:D274" si="63">HYPERLINK("https://12go.asia/en/travel/Siem-Reap/Siem-Reap-Angkor-International-Airport", "12Go Link")</f>
        <v>12Go Link</v>
      </c>
      <c r="E271" s="4" t="s">
        <v>181</v>
      </c>
    </row>
    <row r="272">
      <c r="A272" s="4" t="s">
        <v>146</v>
      </c>
      <c r="B272" s="4" t="s">
        <v>193</v>
      </c>
      <c r="C272" s="4" t="s">
        <v>226</v>
      </c>
      <c r="D272" s="5" t="str">
        <f t="shared" si="63"/>
        <v>12Go Link</v>
      </c>
      <c r="E272" s="4" t="s">
        <v>182</v>
      </c>
    </row>
    <row r="273">
      <c r="A273" s="4" t="s">
        <v>146</v>
      </c>
      <c r="B273" s="4" t="s">
        <v>193</v>
      </c>
      <c r="C273" s="4" t="s">
        <v>226</v>
      </c>
      <c r="D273" s="5" t="str">
        <f t="shared" si="63"/>
        <v>12Go Link</v>
      </c>
      <c r="E273" s="4" t="s">
        <v>183</v>
      </c>
    </row>
    <row r="274">
      <c r="A274" s="4" t="s">
        <v>146</v>
      </c>
      <c r="B274" s="4" t="s">
        <v>193</v>
      </c>
      <c r="C274" s="4" t="s">
        <v>226</v>
      </c>
      <c r="D274" s="5" t="str">
        <f t="shared" si="63"/>
        <v>12Go Link</v>
      </c>
      <c r="E274" s="4" t="s">
        <v>184</v>
      </c>
    </row>
    <row r="275">
      <c r="A275" s="4" t="s">
        <v>146</v>
      </c>
      <c r="B275" s="4" t="s">
        <v>195</v>
      </c>
      <c r="C275" s="4" t="s">
        <v>227</v>
      </c>
      <c r="D275" s="5" t="str">
        <f t="shared" ref="D275:D278" si="64">HYPERLINK("https://12go.asia/en/travel/Siem-Reap/Sihanoukville", "12Go Link")</f>
        <v>12Go Link</v>
      </c>
      <c r="E275" s="4" t="s">
        <v>181</v>
      </c>
    </row>
    <row r="276">
      <c r="A276" s="4" t="s">
        <v>146</v>
      </c>
      <c r="B276" s="4" t="s">
        <v>195</v>
      </c>
      <c r="C276" s="4" t="s">
        <v>227</v>
      </c>
      <c r="D276" s="5" t="str">
        <f t="shared" si="64"/>
        <v>12Go Link</v>
      </c>
      <c r="E276" s="4" t="s">
        <v>182</v>
      </c>
    </row>
    <row r="277">
      <c r="A277" s="4" t="s">
        <v>146</v>
      </c>
      <c r="B277" s="4" t="s">
        <v>195</v>
      </c>
      <c r="C277" s="4" t="s">
        <v>227</v>
      </c>
      <c r="D277" s="5" t="str">
        <f t="shared" si="64"/>
        <v>12Go Link</v>
      </c>
      <c r="E277" s="4" t="s">
        <v>183</v>
      </c>
    </row>
    <row r="278">
      <c r="A278" s="4" t="s">
        <v>146</v>
      </c>
      <c r="B278" s="4" t="s">
        <v>195</v>
      </c>
      <c r="C278" s="4" t="s">
        <v>227</v>
      </c>
      <c r="D278" s="5" t="str">
        <f t="shared" si="64"/>
        <v>12Go Link</v>
      </c>
      <c r="E278" s="4" t="s">
        <v>184</v>
      </c>
    </row>
    <row r="279">
      <c r="A279" s="4" t="s">
        <v>146</v>
      </c>
      <c r="B279" s="4" t="s">
        <v>201</v>
      </c>
      <c r="C279" s="4" t="s">
        <v>228</v>
      </c>
      <c r="D279" s="5" t="str">
        <f>HYPERLINK("https://12go.asia/en/travel/Pure-Coffee-Krong-Siem-Reap/VLT-Natural-tours", "12Go Link")</f>
        <v>12Go Link</v>
      </c>
      <c r="E279" s="4" t="s">
        <v>204</v>
      </c>
    </row>
    <row r="280">
      <c r="A280" s="4" t="s">
        <v>146</v>
      </c>
      <c r="B280" s="4" t="s">
        <v>205</v>
      </c>
      <c r="C280" s="4" t="s">
        <v>229</v>
      </c>
      <c r="D280" s="5" t="str">
        <f>HYPERLINK("https://12go.asia/en/travel/Pure-Coffee-Krong-Siem-Reap/Vientiane-Southern-Bus-Terminal", "12Go Link")</f>
        <v>12Go Link</v>
      </c>
      <c r="E280" s="4" t="s">
        <v>204</v>
      </c>
    </row>
    <row r="281">
      <c r="A281" s="2" t="s">
        <v>195</v>
      </c>
      <c r="B281" s="2" t="s">
        <v>151</v>
      </c>
      <c r="C281" s="2" t="s">
        <v>230</v>
      </c>
      <c r="D281" s="3" t="str">
        <f>HYPERLINK("https://12go.asia/en/travel/Kampot-Transports-Sihanoukville/Kep-Express-Kampot", "12Go Link")</f>
        <v>12Go Link</v>
      </c>
      <c r="E281" s="2" t="s">
        <v>154</v>
      </c>
    </row>
    <row r="282">
      <c r="A282" s="2" t="s">
        <v>195</v>
      </c>
      <c r="B282" s="2" t="s">
        <v>160</v>
      </c>
      <c r="C282" s="2" t="s">
        <v>231</v>
      </c>
      <c r="D282" s="3" t="str">
        <f>HYPERLINK("https://12go.asia/en/travel/Kampot-Transports-Sihanoukville/Kep-Outbound-Bus-Stop", "12Go Link")</f>
        <v>12Go Link</v>
      </c>
      <c r="E282" s="2" t="s">
        <v>154</v>
      </c>
    </row>
    <row r="283">
      <c r="A283" s="2" t="s">
        <v>195</v>
      </c>
      <c r="B283" s="2" t="s">
        <v>152</v>
      </c>
      <c r="C283" s="2" t="s">
        <v>232</v>
      </c>
      <c r="D283" s="3" t="str">
        <f t="shared" ref="D283:D286" si="65">HYPERLINK("https://12go.asia/en/travel/Sihanoukville/KTI-Airport", "12Go Link")</f>
        <v>12Go Link</v>
      </c>
      <c r="E283" s="2" t="s">
        <v>181</v>
      </c>
    </row>
    <row r="284">
      <c r="A284" s="2" t="s">
        <v>195</v>
      </c>
      <c r="B284" s="2" t="s">
        <v>152</v>
      </c>
      <c r="C284" s="2" t="s">
        <v>232</v>
      </c>
      <c r="D284" s="3" t="str">
        <f t="shared" si="65"/>
        <v>12Go Link</v>
      </c>
      <c r="E284" s="2" t="s">
        <v>182</v>
      </c>
    </row>
    <row r="285">
      <c r="A285" s="2" t="s">
        <v>195</v>
      </c>
      <c r="B285" s="2" t="s">
        <v>152</v>
      </c>
      <c r="C285" s="2" t="s">
        <v>232</v>
      </c>
      <c r="D285" s="3" t="str">
        <f t="shared" si="65"/>
        <v>12Go Link</v>
      </c>
      <c r="E285" s="2" t="s">
        <v>183</v>
      </c>
    </row>
    <row r="286">
      <c r="A286" s="2" t="s">
        <v>195</v>
      </c>
      <c r="B286" s="2" t="s">
        <v>152</v>
      </c>
      <c r="C286" s="2" t="s">
        <v>232</v>
      </c>
      <c r="D286" s="3" t="str">
        <f t="shared" si="65"/>
        <v>12Go Link</v>
      </c>
      <c r="E286" s="2" t="s">
        <v>184</v>
      </c>
    </row>
    <row r="287">
      <c r="A287" s="2" t="s">
        <v>195</v>
      </c>
      <c r="B287" s="2" t="s">
        <v>146</v>
      </c>
      <c r="C287" s="2" t="s">
        <v>233</v>
      </c>
      <c r="D287" s="3" t="str">
        <f t="shared" ref="D287:D290" si="66">HYPERLINK("https://12go.asia/en/travel/Sihanoukville/Siem-Reap", "12Go Link")</f>
        <v>12Go Link</v>
      </c>
      <c r="E287" s="2" t="s">
        <v>181</v>
      </c>
    </row>
    <row r="288">
      <c r="A288" s="2" t="s">
        <v>195</v>
      </c>
      <c r="B288" s="2" t="s">
        <v>146</v>
      </c>
      <c r="C288" s="2" t="s">
        <v>233</v>
      </c>
      <c r="D288" s="3" t="str">
        <f t="shared" si="66"/>
        <v>12Go Link</v>
      </c>
      <c r="E288" s="2" t="s">
        <v>182</v>
      </c>
    </row>
    <row r="289">
      <c r="A289" s="2" t="s">
        <v>195</v>
      </c>
      <c r="B289" s="2" t="s">
        <v>146</v>
      </c>
      <c r="C289" s="2" t="s">
        <v>233</v>
      </c>
      <c r="D289" s="3" t="str">
        <f t="shared" si="66"/>
        <v>12Go Link</v>
      </c>
      <c r="E289" s="2" t="s">
        <v>183</v>
      </c>
    </row>
    <row r="290">
      <c r="A290" s="2" t="s">
        <v>195</v>
      </c>
      <c r="B290" s="2" t="s">
        <v>146</v>
      </c>
      <c r="C290" s="2" t="s">
        <v>233</v>
      </c>
      <c r="D290" s="3" t="str">
        <f t="shared" si="66"/>
        <v>12Go Link</v>
      </c>
      <c r="E290" s="2" t="s">
        <v>184</v>
      </c>
    </row>
    <row r="291">
      <c r="A291" s="2" t="s">
        <v>195</v>
      </c>
      <c r="B291" s="2" t="s">
        <v>213</v>
      </c>
      <c r="C291" s="2" t="s">
        <v>234</v>
      </c>
      <c r="D291" s="3" t="str">
        <f>HYPERLINK("https://12go.asia/en/travel/Kampot-Transports-Sihanoukville/Cang-Bai-Vong-Phu-Quoc-Express-Port", "12Go Link")</f>
        <v>12Go Link</v>
      </c>
      <c r="E291" s="2" t="s">
        <v>235</v>
      </c>
    </row>
    <row r="292">
      <c r="A292" s="8" t="s">
        <v>236</v>
      </c>
      <c r="B292" s="8" t="s">
        <v>237</v>
      </c>
      <c r="C292" s="8" t="s">
        <v>238</v>
      </c>
      <c r="D292" s="9" t="str">
        <f>HYPERLINK("https://12go.asia/en/travel/chengdu-east/bijie", "12Go Link")</f>
        <v>12Go Link</v>
      </c>
      <c r="E292" s="8" t="s">
        <v>239</v>
      </c>
    </row>
    <row r="293">
      <c r="A293" s="8" t="s">
        <v>236</v>
      </c>
      <c r="B293" s="8" t="s">
        <v>237</v>
      </c>
      <c r="C293" s="8" t="s">
        <v>240</v>
      </c>
      <c r="D293" s="9" t="str">
        <f>HYPERLINK("https://12go.asia/en/travel/chengdu-south/bijie", "12Go Link")</f>
        <v>12Go Link</v>
      </c>
      <c r="E293" s="8" t="s">
        <v>239</v>
      </c>
    </row>
    <row r="294">
      <c r="A294" s="8" t="s">
        <v>236</v>
      </c>
      <c r="B294" s="8" t="s">
        <v>237</v>
      </c>
      <c r="C294" s="8" t="s">
        <v>241</v>
      </c>
      <c r="D294" s="9" t="str">
        <f>HYPERLINK("https://12go.asia/en/travel/chengdu/bijie", "12Go Link")</f>
        <v>12Go Link</v>
      </c>
      <c r="E294" s="8" t="s">
        <v>239</v>
      </c>
    </row>
    <row r="295">
      <c r="A295" s="8" t="s">
        <v>236</v>
      </c>
      <c r="B295" s="8" t="s">
        <v>242</v>
      </c>
      <c r="C295" s="8" t="s">
        <v>243</v>
      </c>
      <c r="D295" s="9" t="str">
        <f>HYPERLINK("https://12go.asia/en/travel/chengdu-east/binyang", "12Go Link")</f>
        <v>12Go Link</v>
      </c>
      <c r="E295" s="8" t="s">
        <v>239</v>
      </c>
    </row>
    <row r="296">
      <c r="A296" s="8" t="s">
        <v>236</v>
      </c>
      <c r="B296" s="8" t="s">
        <v>242</v>
      </c>
      <c r="C296" s="8" t="s">
        <v>244</v>
      </c>
      <c r="D296" s="9" t="str">
        <f>HYPERLINK("https://12go.asia/en/travel/chengdu/binyang", "12Go Link")</f>
        <v>12Go Link</v>
      </c>
      <c r="E296" s="8" t="s">
        <v>239</v>
      </c>
    </row>
    <row r="297">
      <c r="A297" s="8" t="s">
        <v>236</v>
      </c>
      <c r="B297" s="8" t="s">
        <v>245</v>
      </c>
      <c r="C297" s="8" t="s">
        <v>246</v>
      </c>
      <c r="D297" s="9" t="str">
        <f>HYPERLINK("https://12go.asia/en/travel/chengdu/dingzhou", "12Go Link")</f>
        <v>12Go Link</v>
      </c>
      <c r="E297" s="8" t="s">
        <v>239</v>
      </c>
    </row>
    <row r="298">
      <c r="A298" s="8" t="s">
        <v>236</v>
      </c>
      <c r="B298" s="8" t="s">
        <v>247</v>
      </c>
      <c r="C298" s="8" t="s">
        <v>248</v>
      </c>
      <c r="D298" s="9" t="str">
        <f>HYPERLINK("https://12go.asia/en/travel/chengdu-east/fangchenggang-north", "12Go Link")</f>
        <v>12Go Link</v>
      </c>
      <c r="E298" s="8" t="s">
        <v>239</v>
      </c>
    </row>
    <row r="299">
      <c r="A299" s="8" t="s">
        <v>236</v>
      </c>
      <c r="B299" s="8" t="s">
        <v>247</v>
      </c>
      <c r="C299" s="8" t="s">
        <v>249</v>
      </c>
      <c r="D299" s="9" t="str">
        <f>HYPERLINK("https://12go.asia/en/travel/chengdu/fangchenggang", "12Go Link")</f>
        <v>12Go Link</v>
      </c>
      <c r="E299" s="8" t="s">
        <v>239</v>
      </c>
    </row>
    <row r="300">
      <c r="A300" s="8" t="s">
        <v>236</v>
      </c>
      <c r="B300" s="8" t="s">
        <v>250</v>
      </c>
      <c r="C300" s="8" t="s">
        <v>251</v>
      </c>
      <c r="D300" s="9" t="str">
        <f>HYPERLINK("https://12go.asia/en/travel/chengdu-east/fuling-north", "12Go Link")</f>
        <v>12Go Link</v>
      </c>
      <c r="E300" s="8" t="s">
        <v>239</v>
      </c>
    </row>
    <row r="301">
      <c r="A301" s="8" t="s">
        <v>236</v>
      </c>
      <c r="B301" s="8" t="s">
        <v>250</v>
      </c>
      <c r="C301" s="8" t="s">
        <v>252</v>
      </c>
      <c r="D301" s="9" t="str">
        <f>HYPERLINK("https://12go.asia/en/travel/chengdu-south/fuling-north", "12Go Link")</f>
        <v>12Go Link</v>
      </c>
      <c r="E301" s="8" t="s">
        <v>239</v>
      </c>
    </row>
    <row r="302">
      <c r="A302" s="8" t="s">
        <v>236</v>
      </c>
      <c r="B302" s="8" t="s">
        <v>250</v>
      </c>
      <c r="C302" s="8" t="s">
        <v>253</v>
      </c>
      <c r="D302" s="9" t="str">
        <f>HYPERLINK("https://12go.asia/en/travel/chengdu/fuling", "12Go Link")</f>
        <v>12Go Link</v>
      </c>
      <c r="E302" s="8" t="s">
        <v>239</v>
      </c>
    </row>
    <row r="303">
      <c r="A303" s="8" t="s">
        <v>236</v>
      </c>
      <c r="B303" s="8" t="s">
        <v>254</v>
      </c>
      <c r="C303" s="8" t="s">
        <v>255</v>
      </c>
      <c r="D303" s="9" t="str">
        <f>HYPERLINK("https://12go.asia/en/travel/chengdu-east/haidongxi", "12Go Link")</f>
        <v>12Go Link</v>
      </c>
      <c r="E303" s="8" t="s">
        <v>239</v>
      </c>
    </row>
    <row r="304">
      <c r="A304" s="8" t="s">
        <v>236</v>
      </c>
      <c r="B304" s="8" t="s">
        <v>254</v>
      </c>
      <c r="C304" s="8" t="s">
        <v>256</v>
      </c>
      <c r="D304" s="9" t="str">
        <f>HYPERLINK("https://12go.asia/en/travel/chengdu/haidong", "12Go Link")</f>
        <v>12Go Link</v>
      </c>
      <c r="E304" s="8" t="s">
        <v>239</v>
      </c>
    </row>
    <row r="305">
      <c r="A305" s="8" t="s">
        <v>236</v>
      </c>
      <c r="B305" s="8" t="s">
        <v>257</v>
      </c>
      <c r="C305" s="8" t="s">
        <v>258</v>
      </c>
      <c r="D305" s="9" t="str">
        <f>HYPERLINK("https://12go.asia/en/travel/chengdu-east/guanzhaishan-south", "12Go Link")</f>
        <v>12Go Link</v>
      </c>
      <c r="E305" s="8" t="s">
        <v>239</v>
      </c>
    </row>
    <row r="306">
      <c r="A306" s="8" t="s">
        <v>236</v>
      </c>
      <c r="B306" s="8" t="s">
        <v>257</v>
      </c>
      <c r="C306" s="8" t="s">
        <v>259</v>
      </c>
      <c r="D306" s="9" t="str">
        <f>HYPERLINK("https://12go.asia/en/travel/chengdu/mianning", "12Go Link")</f>
        <v>12Go Link</v>
      </c>
      <c r="E306" s="8" t="s">
        <v>239</v>
      </c>
    </row>
    <row r="307">
      <c r="A307" s="8" t="s">
        <v>236</v>
      </c>
      <c r="B307" s="8" t="s">
        <v>260</v>
      </c>
      <c r="C307" s="8" t="s">
        <v>261</v>
      </c>
      <c r="D307" s="9" t="str">
        <f>HYPERLINK("https://12go.asia/en/travel/chengdu/qufu", "12Go Link")</f>
        <v>12Go Link</v>
      </c>
      <c r="E307" s="8" t="s">
        <v>239</v>
      </c>
    </row>
    <row r="308">
      <c r="A308" s="8" t="s">
        <v>236</v>
      </c>
      <c r="B308" s="8" t="s">
        <v>262</v>
      </c>
      <c r="C308" s="8" t="s">
        <v>263</v>
      </c>
      <c r="D308" s="9" t="str">
        <f>HYPERLINK("https://12go.asia/en/travel/chengdu-east/ruichang-west", "12Go Link")</f>
        <v>12Go Link</v>
      </c>
      <c r="E308" s="8" t="s">
        <v>239</v>
      </c>
    </row>
    <row r="309">
      <c r="A309" s="8" t="s">
        <v>236</v>
      </c>
      <c r="B309" s="8" t="s">
        <v>262</v>
      </c>
      <c r="C309" s="8" t="s">
        <v>264</v>
      </c>
      <c r="D309" s="9" t="str">
        <f>HYPERLINK("https://12go.asia/en/travel/chengdu-west/ruichang", "12Go Link")</f>
        <v>12Go Link</v>
      </c>
      <c r="E309" s="8" t="s">
        <v>239</v>
      </c>
    </row>
    <row r="310">
      <c r="A310" s="8" t="s">
        <v>236</v>
      </c>
      <c r="B310" s="8" t="s">
        <v>265</v>
      </c>
      <c r="C310" s="8" t="s">
        <v>266</v>
      </c>
      <c r="D310" s="9" t="str">
        <f>HYPERLINK("https://12go.asia/en/travel/chengdu-east/sanming", "12Go Link")</f>
        <v>12Go Link</v>
      </c>
      <c r="E310" s="8" t="s">
        <v>239</v>
      </c>
    </row>
    <row r="311">
      <c r="A311" s="8" t="s">
        <v>236</v>
      </c>
      <c r="B311" s="8" t="s">
        <v>265</v>
      </c>
      <c r="C311" s="8" t="s">
        <v>267</v>
      </c>
      <c r="D311" s="9" t="str">
        <f>HYPERLINK("https://12go.asia/en/travel/chengdu-east/sanming-north", "12Go Link")</f>
        <v>12Go Link</v>
      </c>
      <c r="E311" s="8" t="s">
        <v>239</v>
      </c>
    </row>
    <row r="312">
      <c r="A312" s="8" t="s">
        <v>236</v>
      </c>
      <c r="B312" s="8" t="s">
        <v>265</v>
      </c>
      <c r="C312" s="8" t="s">
        <v>268</v>
      </c>
      <c r="D312" s="9" t="str">
        <f>HYPERLINK("https://12go.asia/en/travel/chengdu/sanming", "12Go Link")</f>
        <v>12Go Link</v>
      </c>
      <c r="E312" s="8" t="s">
        <v>239</v>
      </c>
    </row>
    <row r="313">
      <c r="A313" s="8" t="s">
        <v>236</v>
      </c>
      <c r="B313" s="8" t="s">
        <v>269</v>
      </c>
      <c r="C313" s="8" t="s">
        <v>270</v>
      </c>
      <c r="D313" s="9" t="str">
        <f>HYPERLINK("https://12go.asia/en/travel/chengdu-east/qufu-east", "12Go Link")</f>
        <v>12Go Link</v>
      </c>
      <c r="E313" s="8" t="s">
        <v>239</v>
      </c>
    </row>
    <row r="314">
      <c r="A314" s="8" t="s">
        <v>236</v>
      </c>
      <c r="B314" s="8" t="s">
        <v>271</v>
      </c>
      <c r="C314" s="8" t="s">
        <v>272</v>
      </c>
      <c r="D314" s="9" t="str">
        <f>HYPERLINK("https://12go.asia/en/travel/chengdu/sonid-left-banner", "12Go Link")</f>
        <v>12Go Link</v>
      </c>
      <c r="E314" s="8" t="s">
        <v>239</v>
      </c>
    </row>
    <row r="315">
      <c r="A315" s="8" t="s">
        <v>236</v>
      </c>
      <c r="B315" s="8" t="s">
        <v>273</v>
      </c>
      <c r="C315" s="8" t="s">
        <v>274</v>
      </c>
      <c r="D315" s="9" t="str">
        <f>HYPERLINK("https://12go.asia/en/travel/chengdu-east/taicang", "12Go Link")</f>
        <v>12Go Link</v>
      </c>
      <c r="E315" s="8" t="s">
        <v>239</v>
      </c>
    </row>
    <row r="316">
      <c r="A316" s="8" t="s">
        <v>236</v>
      </c>
      <c r="B316" s="8" t="s">
        <v>273</v>
      </c>
      <c r="C316" s="8" t="s">
        <v>275</v>
      </c>
      <c r="D316" s="9" t="str">
        <f>HYPERLINK("https://12go.asia/en/travel/chengdu/taicang", "12Go Link")</f>
        <v>12Go Link</v>
      </c>
      <c r="E316" s="8" t="s">
        <v>239</v>
      </c>
    </row>
    <row r="317">
      <c r="A317" s="8" t="s">
        <v>236</v>
      </c>
      <c r="B317" s="8" t="s">
        <v>276</v>
      </c>
      <c r="C317" s="8" t="s">
        <v>277</v>
      </c>
      <c r="D317" s="9" t="str">
        <f>HYPERLINK("https://12go.asia/en/travel/chengdu/xiangyun", "12Go Link")</f>
        <v>12Go Link</v>
      </c>
      <c r="E317" s="8" t="s">
        <v>239</v>
      </c>
    </row>
    <row r="318">
      <c r="A318" s="8" t="s">
        <v>236</v>
      </c>
      <c r="B318" s="8" t="s">
        <v>278</v>
      </c>
      <c r="C318" s="8" t="s">
        <v>279</v>
      </c>
      <c r="D318" s="9" t="str">
        <f>HYPERLINK("https://12go.asia/en/travel/chengdu/xigu", "12Go Link")</f>
        <v>12Go Link</v>
      </c>
      <c r="E318" s="8" t="s">
        <v>239</v>
      </c>
    </row>
    <row r="319">
      <c r="A319" s="8" t="s">
        <v>236</v>
      </c>
      <c r="B319" s="8" t="s">
        <v>280</v>
      </c>
      <c r="C319" s="8" t="s">
        <v>281</v>
      </c>
      <c r="D319" s="9" t="str">
        <f>HYPERLINK("https://12go.asia/en/travel/chengdu-east/xinyi-south", "12Go Link")</f>
        <v>12Go Link</v>
      </c>
      <c r="E319" s="8" t="s">
        <v>239</v>
      </c>
    </row>
    <row r="320">
      <c r="A320" s="8" t="s">
        <v>236</v>
      </c>
      <c r="B320" s="8" t="s">
        <v>280</v>
      </c>
      <c r="C320" s="8" t="s">
        <v>282</v>
      </c>
      <c r="D320" s="9" t="str">
        <f>HYPERLINK("https://12go.asia/en/travel/chengdu/yuanyang", "12Go Link")</f>
        <v>12Go Link</v>
      </c>
      <c r="E320" s="8" t="s">
        <v>239</v>
      </c>
    </row>
    <row r="321">
      <c r="A321" s="8" t="s">
        <v>236</v>
      </c>
      <c r="B321" s="8" t="s">
        <v>283</v>
      </c>
      <c r="C321" s="8" t="s">
        <v>284</v>
      </c>
      <c r="D321" s="9" t="str">
        <f>HYPERLINK("https://12go.asia/en/travel/chengdu-east/zhangzhou", "12Go Link")</f>
        <v>12Go Link</v>
      </c>
      <c r="E321" s="8" t="s">
        <v>239</v>
      </c>
    </row>
    <row r="322">
      <c r="A322" s="8" t="s">
        <v>236</v>
      </c>
      <c r="B322" s="8" t="s">
        <v>283</v>
      </c>
      <c r="C322" s="8" t="s">
        <v>285</v>
      </c>
      <c r="D322" s="9" t="str">
        <f>HYPERLINK("https://12go.asia/en/travel/chengdu/zhangzhou-fujian", "12Go Link")</f>
        <v>12Go Link</v>
      </c>
      <c r="E322" s="8" t="s">
        <v>239</v>
      </c>
    </row>
    <row r="323">
      <c r="A323" s="6" t="s">
        <v>286</v>
      </c>
      <c r="B323" s="6" t="s">
        <v>237</v>
      </c>
      <c r="C323" s="6" t="s">
        <v>287</v>
      </c>
      <c r="D323" s="7" t="str">
        <f>HYPERLINK("https://12go.asia/en/travel/chengdu-airport/bijie", "12Go Link")</f>
        <v>12Go Link</v>
      </c>
      <c r="E323" s="6" t="s">
        <v>239</v>
      </c>
    </row>
    <row r="324">
      <c r="A324" s="6" t="s">
        <v>286</v>
      </c>
      <c r="B324" s="6" t="s">
        <v>237</v>
      </c>
      <c r="C324" s="6" t="s">
        <v>288</v>
      </c>
      <c r="D324" s="7" t="str">
        <f>HYPERLINK("https://12go.asia/en/travel/shuangliu-airport/bijie", "12Go Link")</f>
        <v>12Go Link</v>
      </c>
      <c r="E324" s="6" t="s">
        <v>239</v>
      </c>
    </row>
    <row r="325">
      <c r="A325" s="8" t="s">
        <v>289</v>
      </c>
      <c r="B325" s="8" t="s">
        <v>237</v>
      </c>
      <c r="C325" s="8" t="s">
        <v>290</v>
      </c>
      <c r="D325" s="9" t="str">
        <f>HYPERLINK("https://12go.asia/en/travel/chengdu-tianfu-airport/bijie", "12Go Link")</f>
        <v>12Go Link</v>
      </c>
      <c r="E325" s="8" t="s">
        <v>239</v>
      </c>
    </row>
    <row r="326">
      <c r="A326" s="8" t="s">
        <v>289</v>
      </c>
      <c r="B326" s="8" t="s">
        <v>237</v>
      </c>
      <c r="C326" s="8" t="s">
        <v>291</v>
      </c>
      <c r="D326" s="9" t="str">
        <f>HYPERLINK("https://12go.asia/en/travel/tianfu-airport/bijie", "12Go Link")</f>
        <v>12Go Link</v>
      </c>
      <c r="E326" s="8" t="s">
        <v>239</v>
      </c>
    </row>
    <row r="327">
      <c r="A327" s="8" t="s">
        <v>289</v>
      </c>
      <c r="B327" s="8" t="s">
        <v>292</v>
      </c>
      <c r="C327" s="8" t="s">
        <v>293</v>
      </c>
      <c r="D327" s="9" t="str">
        <f>HYPERLINK("https://12go.asia/en/travel/chengdu-tianfu-airport/dongxihu", "12Go Link")</f>
        <v>12Go Link</v>
      </c>
      <c r="E327" s="8" t="s">
        <v>239</v>
      </c>
    </row>
    <row r="328">
      <c r="A328" s="8" t="s">
        <v>289</v>
      </c>
      <c r="B328" s="8" t="s">
        <v>294</v>
      </c>
      <c r="C328" s="8" t="s">
        <v>295</v>
      </c>
      <c r="D328" s="9" t="str">
        <f>HYPERLINK("https://12go.asia/en/travel/chengdu-tianfu-airport/jiaocheng", "12Go Link")</f>
        <v>12Go Link</v>
      </c>
      <c r="E328" s="8" t="s">
        <v>239</v>
      </c>
    </row>
    <row r="329">
      <c r="A329" s="8" t="s">
        <v>289</v>
      </c>
      <c r="B329" s="8" t="s">
        <v>296</v>
      </c>
      <c r="C329" s="8" t="s">
        <v>297</v>
      </c>
      <c r="D329" s="9" t="str">
        <f>HYPERLINK("https://12go.asia/en/travel/tianfu-airport/hankou", "12Go Link")</f>
        <v>12Go Link</v>
      </c>
      <c r="E329" s="8" t="s">
        <v>239</v>
      </c>
    </row>
    <row r="330">
      <c r="A330" s="8" t="s">
        <v>289</v>
      </c>
      <c r="B330" s="8" t="s">
        <v>296</v>
      </c>
      <c r="C330" s="8" t="s">
        <v>298</v>
      </c>
      <c r="D330" s="9" t="str">
        <f>HYPERLINK("https://12go.asia/en/travel/tianfu-airport/wuhan", "12Go Link")</f>
        <v>12Go Link</v>
      </c>
      <c r="E330" s="8" t="s">
        <v>239</v>
      </c>
    </row>
    <row r="331">
      <c r="A331" s="8" t="s">
        <v>289</v>
      </c>
      <c r="B331" s="8" t="s">
        <v>299</v>
      </c>
      <c r="C331" s="8" t="s">
        <v>300</v>
      </c>
      <c r="D331" s="9" t="str">
        <f>HYPERLINK("https://12go.asia/en/travel/chengdu-tianfu-airport/yibin", "12Go Link")</f>
        <v>12Go Link</v>
      </c>
      <c r="E331" s="8" t="s">
        <v>239</v>
      </c>
    </row>
    <row r="332">
      <c r="A332" s="8" t="s">
        <v>289</v>
      </c>
      <c r="B332" s="8" t="s">
        <v>299</v>
      </c>
      <c r="C332" s="8" t="s">
        <v>301</v>
      </c>
      <c r="D332" s="9" t="str">
        <f>HYPERLINK("https://12go.asia/en/travel/tianfu-airport/yibin", "12Go Link")</f>
        <v>12Go Link</v>
      </c>
      <c r="E332" s="8" t="s">
        <v>239</v>
      </c>
    </row>
    <row r="333">
      <c r="A333" s="8" t="s">
        <v>289</v>
      </c>
      <c r="B333" s="8" t="s">
        <v>299</v>
      </c>
      <c r="C333" s="8" t="s">
        <v>302</v>
      </c>
      <c r="D333" s="9" t="str">
        <f>HYPERLINK("https://12go.asia/en/travel/tianfu-airport/yibin-east", "12Go Link")</f>
        <v>12Go Link</v>
      </c>
      <c r="E333" s="8" t="s">
        <v>239</v>
      </c>
    </row>
    <row r="334">
      <c r="A334" s="8" t="s">
        <v>289</v>
      </c>
      <c r="B334" s="8" t="s">
        <v>299</v>
      </c>
      <c r="C334" s="8" t="s">
        <v>303</v>
      </c>
      <c r="D334" s="9" t="str">
        <f>HYPERLINK("https://12go.asia/en/travel/tianfu-airport/yibin-west", "12Go Link")</f>
        <v>12Go Link</v>
      </c>
      <c r="E334" s="8" t="s">
        <v>239</v>
      </c>
    </row>
    <row r="335">
      <c r="A335" s="6" t="s">
        <v>304</v>
      </c>
      <c r="B335" s="6" t="s">
        <v>305</v>
      </c>
      <c r="C335" s="6" t="s">
        <v>306</v>
      </c>
      <c r="D335" s="7" t="str">
        <f>HYPERLINK("https://12go.asia/en/travel/chenggu-north/chongqing-north", "12Go Link")</f>
        <v>12Go Link</v>
      </c>
      <c r="E335" s="6" t="s">
        <v>239</v>
      </c>
    </row>
    <row r="336">
      <c r="A336" s="6" t="s">
        <v>304</v>
      </c>
      <c r="B336" s="6" t="s">
        <v>307</v>
      </c>
      <c r="C336" s="6" t="s">
        <v>308</v>
      </c>
      <c r="D336" s="7" t="str">
        <f>HYPERLINK("https://12go.asia/en/travel/chenggu-north/guiyang", "12Go Link")</f>
        <v>12Go Link</v>
      </c>
      <c r="E336" s="6" t="s">
        <v>239</v>
      </c>
    </row>
    <row r="337">
      <c r="A337" s="6" t="s">
        <v>304</v>
      </c>
      <c r="B337" s="6" t="s">
        <v>307</v>
      </c>
      <c r="C337" s="6" t="s">
        <v>309</v>
      </c>
      <c r="D337" s="7" t="str">
        <f>HYPERLINK("https://12go.asia/en/travel/chenggu-north/guiyang-north", "12Go Link")</f>
        <v>12Go Link</v>
      </c>
      <c r="E337" s="6" t="s">
        <v>239</v>
      </c>
    </row>
    <row r="338">
      <c r="A338" s="6" t="s">
        <v>304</v>
      </c>
      <c r="B338" s="6" t="s">
        <v>307</v>
      </c>
      <c r="C338" s="6" t="s">
        <v>310</v>
      </c>
      <c r="D338" s="7" t="str">
        <f>HYPERLINK("https://12go.asia/en/travel/chenggu/guiyang", "12Go Link")</f>
        <v>12Go Link</v>
      </c>
      <c r="E338" s="6" t="s">
        <v>239</v>
      </c>
    </row>
    <row r="339">
      <c r="A339" s="6" t="s">
        <v>304</v>
      </c>
      <c r="B339" s="6" t="s">
        <v>311</v>
      </c>
      <c r="C339" s="6" t="s">
        <v>312</v>
      </c>
      <c r="D339" s="7" t="str">
        <f>HYPERLINK("https://12go.asia/en/travel/chenggu/guizhou", "12Go Link")</f>
        <v>12Go Link</v>
      </c>
      <c r="E339" s="6" t="s">
        <v>239</v>
      </c>
    </row>
    <row r="340">
      <c r="A340" s="6" t="s">
        <v>304</v>
      </c>
      <c r="B340" s="6" t="s">
        <v>313</v>
      </c>
      <c r="C340" s="6" t="s">
        <v>314</v>
      </c>
      <c r="D340" s="7" t="str">
        <f>HYPERLINK("https://12go.asia/en/travel/chenggu-north/jiangbei-airport", "12Go Link")</f>
        <v>12Go Link</v>
      </c>
      <c r="E340" s="6" t="s">
        <v>239</v>
      </c>
    </row>
    <row r="341">
      <c r="A341" s="6" t="s">
        <v>304</v>
      </c>
      <c r="B341" s="6" t="s">
        <v>313</v>
      </c>
      <c r="C341" s="6" t="s">
        <v>315</v>
      </c>
      <c r="D341" s="7" t="str">
        <f>HYPERLINK("https://12go.asia/en/travel/chenggu/jiaxiang", "12Go Link")</f>
        <v>12Go Link</v>
      </c>
      <c r="E341" s="6" t="s">
        <v>239</v>
      </c>
    </row>
    <row r="342">
      <c r="A342" s="6" t="s">
        <v>304</v>
      </c>
      <c r="B342" s="6" t="s">
        <v>316</v>
      </c>
      <c r="C342" s="6" t="s">
        <v>317</v>
      </c>
      <c r="D342" s="7" t="str">
        <f>HYPERLINK("https://12go.asia/en/travel/chenggu-north/kunming-south", "12Go Link")</f>
        <v>12Go Link</v>
      </c>
      <c r="E342" s="6" t="s">
        <v>239</v>
      </c>
    </row>
    <row r="343">
      <c r="A343" s="6" t="s">
        <v>304</v>
      </c>
      <c r="B343" s="6" t="s">
        <v>316</v>
      </c>
      <c r="C343" s="6" t="s">
        <v>318</v>
      </c>
      <c r="D343" s="7" t="str">
        <f>HYPERLINK("https://12go.asia/en/travel/chenggu/kunming", "12Go Link")</f>
        <v>12Go Link</v>
      </c>
      <c r="E343" s="6" t="s">
        <v>239</v>
      </c>
    </row>
    <row r="344">
      <c r="A344" s="6" t="s">
        <v>304</v>
      </c>
      <c r="B344" s="6" t="s">
        <v>319</v>
      </c>
      <c r="C344" s="6" t="s">
        <v>320</v>
      </c>
      <c r="D344" s="7" t="str">
        <f>HYPERLINK("https://12go.asia/en/travel/chenggu-north/shanghai-hongqiao", "12Go Link")</f>
        <v>12Go Link</v>
      </c>
      <c r="E344" s="6" t="s">
        <v>239</v>
      </c>
    </row>
    <row r="345">
      <c r="A345" s="6" t="s">
        <v>304</v>
      </c>
      <c r="B345" s="6" t="s">
        <v>319</v>
      </c>
      <c r="C345" s="6" t="s">
        <v>321</v>
      </c>
      <c r="D345" s="7" t="str">
        <f>HYPERLINK("https://12go.asia/en/travel/chenggu/shanghai", "12Go Link")</f>
        <v>12Go Link</v>
      </c>
      <c r="E345" s="6" t="s">
        <v>239</v>
      </c>
    </row>
    <row r="346">
      <c r="A346" s="6" t="s">
        <v>304</v>
      </c>
      <c r="B346" s="6" t="s">
        <v>322</v>
      </c>
      <c r="C346" s="6" t="s">
        <v>323</v>
      </c>
      <c r="D346" s="7" t="str">
        <f>HYPERLINK("https://12go.asia/en/travel/chenggu/shanghai-hongqiao-airport", "12Go Link")</f>
        <v>12Go Link</v>
      </c>
      <c r="E346" s="6" t="s">
        <v>239</v>
      </c>
    </row>
    <row r="347">
      <c r="A347" s="6" t="s">
        <v>304</v>
      </c>
      <c r="B347" s="6" t="s">
        <v>324</v>
      </c>
      <c r="C347" s="6" t="s">
        <v>325</v>
      </c>
      <c r="D347" s="7" t="str">
        <f>HYPERLINK("https://12go.asia/en/travel/chenggu/sichuan", "12Go Link")</f>
        <v>12Go Link</v>
      </c>
      <c r="E347" s="6" t="s">
        <v>239</v>
      </c>
    </row>
    <row r="348">
      <c r="A348" s="6" t="s">
        <v>304</v>
      </c>
      <c r="B348" s="6" t="s">
        <v>326</v>
      </c>
      <c r="C348" s="6" t="s">
        <v>327</v>
      </c>
      <c r="D348" s="7" t="str">
        <f>HYPERLINK("https://12go.asia/en/travel/chenggu/xishui", "12Go Link")</f>
        <v>12Go Link</v>
      </c>
      <c r="E348" s="6" t="s">
        <v>239</v>
      </c>
    </row>
    <row r="349">
      <c r="A349" s="6" t="s">
        <v>304</v>
      </c>
      <c r="B349" s="6" t="s">
        <v>328</v>
      </c>
      <c r="C349" s="6" t="s">
        <v>329</v>
      </c>
      <c r="D349" s="7" t="str">
        <f>HYPERLINK("https://12go.asia/en/travel/chenggu-north/zhangjiajie-west", "12Go Link")</f>
        <v>12Go Link</v>
      </c>
      <c r="E349" s="6" t="s">
        <v>239</v>
      </c>
    </row>
    <row r="350">
      <c r="A350" s="6" t="s">
        <v>304</v>
      </c>
      <c r="B350" s="6" t="s">
        <v>328</v>
      </c>
      <c r="C350" s="6" t="s">
        <v>330</v>
      </c>
      <c r="D350" s="7" t="str">
        <f>HYPERLINK("https://12go.asia/en/travel/chenggu/zhangjiajie", "12Go Link")</f>
        <v>12Go Link</v>
      </c>
      <c r="E350" s="6" t="s">
        <v>239</v>
      </c>
    </row>
    <row r="351">
      <c r="A351" s="8" t="s">
        <v>331</v>
      </c>
      <c r="B351" s="8" t="s">
        <v>332</v>
      </c>
      <c r="C351" s="8" t="s">
        <v>333</v>
      </c>
      <c r="D351" s="9" t="str">
        <f>HYPERLINK("https://12go.asia/en/travel/chengyang/heze", "12Go Link")</f>
        <v>12Go Link</v>
      </c>
      <c r="E351" s="8" t="s">
        <v>239</v>
      </c>
    </row>
    <row r="352">
      <c r="A352" s="8" t="s">
        <v>331</v>
      </c>
      <c r="B352" s="8" t="s">
        <v>332</v>
      </c>
      <c r="C352" s="8" t="s">
        <v>334</v>
      </c>
      <c r="D352" s="9" t="str">
        <f>HYPERLINK("https://12go.asia/en/travel/chengyang/heze-east-railway-station", "12Go Link")</f>
        <v>12Go Link</v>
      </c>
      <c r="E352" s="8" t="s">
        <v>239</v>
      </c>
    </row>
    <row r="353">
      <c r="A353" s="8" t="s">
        <v>331</v>
      </c>
      <c r="B353" s="8" t="s">
        <v>335</v>
      </c>
      <c r="C353" s="8" t="s">
        <v>336</v>
      </c>
      <c r="D353" s="9" t="str">
        <f>HYPERLINK("https://12go.asia/en/travel/chengyang/jiaozhou-city", "12Go Link")</f>
        <v>12Go Link</v>
      </c>
      <c r="E353" s="8" t="s">
        <v>239</v>
      </c>
    </row>
    <row r="354">
      <c r="A354" s="8" t="s">
        <v>331</v>
      </c>
      <c r="B354" s="8" t="s">
        <v>335</v>
      </c>
      <c r="C354" s="8" t="s">
        <v>337</v>
      </c>
      <c r="D354" s="9" t="str">
        <f>HYPERLINK("https://12go.asia/en/travel/chengyang/jiaozhou-north", "12Go Link")</f>
        <v>12Go Link</v>
      </c>
      <c r="E354" s="8" t="s">
        <v>239</v>
      </c>
    </row>
    <row r="355">
      <c r="A355" s="8" t="s">
        <v>331</v>
      </c>
      <c r="B355" s="8" t="s">
        <v>260</v>
      </c>
      <c r="C355" s="8" t="s">
        <v>338</v>
      </c>
      <c r="D355" s="9" t="str">
        <f>HYPERLINK("https://12go.asia/en/travel/chengyang/qufu", "12Go Link")</f>
        <v>12Go Link</v>
      </c>
      <c r="E355" s="8" t="s">
        <v>239</v>
      </c>
    </row>
    <row r="356">
      <c r="A356" s="8" t="s">
        <v>331</v>
      </c>
      <c r="B356" s="8" t="s">
        <v>269</v>
      </c>
      <c r="C356" s="8" t="s">
        <v>339</v>
      </c>
      <c r="D356" s="9" t="str">
        <f>HYPERLINK("https://12go.asia/en/travel/chengyang/qufu-east", "12Go Link")</f>
        <v>12Go Link</v>
      </c>
      <c r="E356" s="8" t="s">
        <v>239</v>
      </c>
    </row>
    <row r="357">
      <c r="A357" s="8" t="s">
        <v>331</v>
      </c>
      <c r="B357" s="8" t="s">
        <v>273</v>
      </c>
      <c r="C357" s="8" t="s">
        <v>340</v>
      </c>
      <c r="D357" s="9" t="str">
        <f>HYPERLINK("https://12go.asia/en/travel/chengyang/taicang", "12Go Link")</f>
        <v>12Go Link</v>
      </c>
      <c r="E357" s="8" t="s">
        <v>239</v>
      </c>
    </row>
    <row r="358">
      <c r="A358" s="8" t="s">
        <v>331</v>
      </c>
      <c r="B358" s="8" t="s">
        <v>341</v>
      </c>
      <c r="C358" s="8" t="s">
        <v>342</v>
      </c>
      <c r="D358" s="9" t="str">
        <f>HYPERLINK("https://12go.asia/en/travel/chengyang/nantong-west", "12Go Link")</f>
        <v>12Go Link</v>
      </c>
      <c r="E358" s="8" t="s">
        <v>239</v>
      </c>
    </row>
    <row r="359">
      <c r="A359" s="8" t="s">
        <v>331</v>
      </c>
      <c r="B359" s="8" t="s">
        <v>341</v>
      </c>
      <c r="C359" s="8" t="s">
        <v>343</v>
      </c>
      <c r="D359" s="9" t="str">
        <f>HYPERLINK("https://12go.asia/en/travel/chengyang/tongzhou-jiangsu", "12Go Link")</f>
        <v>12Go Link</v>
      </c>
      <c r="E359" s="8" t="s">
        <v>239</v>
      </c>
    </row>
    <row r="360">
      <c r="A360" s="6" t="s">
        <v>344</v>
      </c>
      <c r="B360" s="6" t="s">
        <v>292</v>
      </c>
      <c r="C360" s="6" t="s">
        <v>345</v>
      </c>
      <c r="D360" s="7" t="str">
        <f>HYPERLINK("https://12go.asia/en/travel/chenzhou/dongxihu", "12Go Link")</f>
        <v>12Go Link</v>
      </c>
      <c r="E360" s="6" t="s">
        <v>239</v>
      </c>
    </row>
    <row r="361">
      <c r="A361" s="6" t="s">
        <v>344</v>
      </c>
      <c r="B361" s="6" t="s">
        <v>346</v>
      </c>
      <c r="C361" s="6" t="s">
        <v>347</v>
      </c>
      <c r="D361" s="7" t="str">
        <f>HYPERLINK("https://12go.asia/en/travel/chenzhou-west/hong-kong-west-kowloon", "12Go Link")</f>
        <v>12Go Link</v>
      </c>
      <c r="E361" s="6" t="s">
        <v>239</v>
      </c>
    </row>
    <row r="362">
      <c r="A362" s="6" t="s">
        <v>344</v>
      </c>
      <c r="B362" s="6" t="s">
        <v>346</v>
      </c>
      <c r="C362" s="6" t="s">
        <v>348</v>
      </c>
      <c r="D362" s="7" t="str">
        <f>HYPERLINK("https://12go.asia/en/travel/chenzhou/hong-kong-west-kowloon", "12Go Link")</f>
        <v>12Go Link</v>
      </c>
      <c r="E362" s="6" t="s">
        <v>239</v>
      </c>
    </row>
    <row r="363">
      <c r="A363" s="6" t="s">
        <v>344</v>
      </c>
      <c r="B363" s="6" t="s">
        <v>349</v>
      </c>
      <c r="C363" s="6" t="s">
        <v>350</v>
      </c>
      <c r="D363" s="7" t="str">
        <f>HYPERLINK("https://12go.asia/en/travel/chenzhou/kowloon", "12Go Link")</f>
        <v>12Go Link</v>
      </c>
      <c r="E363" s="6" t="s">
        <v>239</v>
      </c>
    </row>
    <row r="364">
      <c r="A364" s="8" t="s">
        <v>351</v>
      </c>
      <c r="B364" s="8" t="s">
        <v>351</v>
      </c>
      <c r="C364" s="8" t="s">
        <v>352</v>
      </c>
      <c r="D364" s="9" t="str">
        <f>HYPERLINK("https://12go.asia/en/travel/meilan/lingshui", "12Go Link")</f>
        <v>12Go Link</v>
      </c>
      <c r="E364" s="8" t="s">
        <v>239</v>
      </c>
    </row>
    <row r="365">
      <c r="A365" s="6" t="s">
        <v>353</v>
      </c>
      <c r="B365" s="6" t="s">
        <v>354</v>
      </c>
      <c r="C365" s="6" t="s">
        <v>355</v>
      </c>
      <c r="D365" s="7" t="str">
        <f>HYPERLINK("https://12go.asia/en/travel/suzhou-south/hangzhou-west", "12Go Link")</f>
        <v>12Go Link</v>
      </c>
      <c r="E365" s="6" t="s">
        <v>239</v>
      </c>
    </row>
    <row r="366">
      <c r="A366" s="4" t="s">
        <v>15</v>
      </c>
      <c r="B366" s="4" t="s">
        <v>5</v>
      </c>
      <c r="C366" s="4" t="s">
        <v>356</v>
      </c>
      <c r="D366" s="5" t="str">
        <f t="shared" ref="D366:D368" si="67">HYPERLINK("https://12go.asia/en/travel/Batumi-Central/Armavir-Railway", "12Go Link")</f>
        <v>12Go Link</v>
      </c>
      <c r="E366" s="4" t="s">
        <v>8</v>
      </c>
    </row>
    <row r="367">
      <c r="A367" s="4" t="s">
        <v>15</v>
      </c>
      <c r="B367" s="4" t="s">
        <v>5</v>
      </c>
      <c r="C367" s="4" t="s">
        <v>356</v>
      </c>
      <c r="D367" s="5" t="str">
        <f t="shared" si="67"/>
        <v>12Go Link</v>
      </c>
      <c r="E367" s="4" t="s">
        <v>9</v>
      </c>
    </row>
    <row r="368">
      <c r="A368" s="4" t="s">
        <v>15</v>
      </c>
      <c r="B368" s="4" t="s">
        <v>5</v>
      </c>
      <c r="C368" s="4" t="s">
        <v>356</v>
      </c>
      <c r="D368" s="5" t="str">
        <f t="shared" si="67"/>
        <v>12Go Link</v>
      </c>
      <c r="E368" s="4" t="s">
        <v>10</v>
      </c>
    </row>
    <row r="369">
      <c r="A369" s="4" t="s">
        <v>15</v>
      </c>
      <c r="B369" s="4" t="s">
        <v>6</v>
      </c>
      <c r="C369" s="4" t="s">
        <v>357</v>
      </c>
      <c r="D369" s="5" t="str">
        <f t="shared" ref="D369:D371" si="68">HYPERLINK("https://12go.asia/en/travel/Batumi-Central/Gyumri", "12Go Link")</f>
        <v>12Go Link</v>
      </c>
      <c r="E369" s="4" t="s">
        <v>8</v>
      </c>
    </row>
    <row r="370">
      <c r="A370" s="4" t="s">
        <v>15</v>
      </c>
      <c r="B370" s="4" t="s">
        <v>6</v>
      </c>
      <c r="C370" s="4" t="s">
        <v>357</v>
      </c>
      <c r="D370" s="5" t="str">
        <f t="shared" si="68"/>
        <v>12Go Link</v>
      </c>
      <c r="E370" s="4" t="s">
        <v>9</v>
      </c>
    </row>
    <row r="371">
      <c r="A371" s="4" t="s">
        <v>15</v>
      </c>
      <c r="B371" s="4" t="s">
        <v>6</v>
      </c>
      <c r="C371" s="4" t="s">
        <v>357</v>
      </c>
      <c r="D371" s="5" t="str">
        <f t="shared" si="68"/>
        <v>12Go Link</v>
      </c>
      <c r="E371" s="4" t="s">
        <v>10</v>
      </c>
    </row>
    <row r="372">
      <c r="A372" s="4" t="s">
        <v>15</v>
      </c>
      <c r="B372" s="4" t="s">
        <v>11</v>
      </c>
      <c r="C372" s="4" t="s">
        <v>358</v>
      </c>
      <c r="D372" s="5" t="str">
        <f t="shared" ref="D372:D374" si="69">HYPERLINK("https://12go.asia/en/travel/Batumi-Central/Vanadzor", "12Go Link")</f>
        <v>12Go Link</v>
      </c>
      <c r="E372" s="4" t="s">
        <v>8</v>
      </c>
    </row>
    <row r="373">
      <c r="A373" s="4" t="s">
        <v>15</v>
      </c>
      <c r="B373" s="4" t="s">
        <v>11</v>
      </c>
      <c r="C373" s="4" t="s">
        <v>358</v>
      </c>
      <c r="D373" s="5" t="str">
        <f t="shared" si="69"/>
        <v>12Go Link</v>
      </c>
      <c r="E373" s="4" t="s">
        <v>9</v>
      </c>
    </row>
    <row r="374">
      <c r="A374" s="4" t="s">
        <v>15</v>
      </c>
      <c r="B374" s="4" t="s">
        <v>11</v>
      </c>
      <c r="C374" s="4" t="s">
        <v>358</v>
      </c>
      <c r="D374" s="5" t="str">
        <f t="shared" si="69"/>
        <v>12Go Link</v>
      </c>
      <c r="E374" s="4" t="s">
        <v>10</v>
      </c>
    </row>
    <row r="375">
      <c r="A375" s="4" t="s">
        <v>15</v>
      </c>
      <c r="B375" s="4" t="s">
        <v>13</v>
      </c>
      <c r="C375" s="4" t="s">
        <v>359</v>
      </c>
      <c r="D375" s="5" t="str">
        <f t="shared" ref="D375:D377" si="70">HYPERLINK("https://12go.asia/en/travel/Batumi-Central/Yerevan-Railway", "12Go Link")</f>
        <v>12Go Link</v>
      </c>
      <c r="E375" s="4" t="s">
        <v>8</v>
      </c>
    </row>
    <row r="376">
      <c r="A376" s="4" t="s">
        <v>15</v>
      </c>
      <c r="B376" s="4" t="s">
        <v>13</v>
      </c>
      <c r="C376" s="4" t="s">
        <v>359</v>
      </c>
      <c r="D376" s="5" t="str">
        <f t="shared" si="70"/>
        <v>12Go Link</v>
      </c>
      <c r="E376" s="4" t="s">
        <v>9</v>
      </c>
    </row>
    <row r="377">
      <c r="A377" s="4" t="s">
        <v>15</v>
      </c>
      <c r="B377" s="4" t="s">
        <v>13</v>
      </c>
      <c r="C377" s="4" t="s">
        <v>359</v>
      </c>
      <c r="D377" s="5" t="str">
        <f t="shared" si="70"/>
        <v>12Go Link</v>
      </c>
      <c r="E377" s="4" t="s">
        <v>10</v>
      </c>
    </row>
    <row r="378">
      <c r="A378" s="4" t="s">
        <v>15</v>
      </c>
      <c r="B378" s="4" t="s">
        <v>17</v>
      </c>
      <c r="C378" s="4" t="s">
        <v>360</v>
      </c>
      <c r="D378" s="5" t="str">
        <f t="shared" ref="D378:D380" si="71">HYPERLINK("https://12go.asia/en/travel/Batumi-Central/Khashuri", "12Go Link")</f>
        <v>12Go Link</v>
      </c>
      <c r="E378" s="4" t="s">
        <v>8</v>
      </c>
    </row>
    <row r="379">
      <c r="A379" s="4" t="s">
        <v>15</v>
      </c>
      <c r="B379" s="4" t="s">
        <v>17</v>
      </c>
      <c r="C379" s="4" t="s">
        <v>360</v>
      </c>
      <c r="D379" s="5" t="str">
        <f t="shared" si="71"/>
        <v>12Go Link</v>
      </c>
      <c r="E379" s="4" t="s">
        <v>9</v>
      </c>
    </row>
    <row r="380">
      <c r="A380" s="4" t="s">
        <v>15</v>
      </c>
      <c r="B380" s="4" t="s">
        <v>17</v>
      </c>
      <c r="C380" s="4" t="s">
        <v>360</v>
      </c>
      <c r="D380" s="5" t="str">
        <f t="shared" si="71"/>
        <v>12Go Link</v>
      </c>
      <c r="E380" s="4" t="s">
        <v>10</v>
      </c>
    </row>
    <row r="381">
      <c r="A381" s="4" t="s">
        <v>15</v>
      </c>
      <c r="B381" s="4" t="s">
        <v>19</v>
      </c>
      <c r="C381" s="4" t="s">
        <v>361</v>
      </c>
      <c r="D381" s="5" t="str">
        <f t="shared" ref="D381:D383" si="72">HYPERLINK("https://12go.asia/en/travel/Batumi-Central/Kobuleti", "12Go Link")</f>
        <v>12Go Link</v>
      </c>
      <c r="E381" s="4" t="s">
        <v>8</v>
      </c>
    </row>
    <row r="382">
      <c r="A382" s="4" t="s">
        <v>15</v>
      </c>
      <c r="B382" s="4" t="s">
        <v>19</v>
      </c>
      <c r="C382" s="4" t="s">
        <v>361</v>
      </c>
      <c r="D382" s="5" t="str">
        <f t="shared" si="72"/>
        <v>12Go Link</v>
      </c>
      <c r="E382" s="4" t="s">
        <v>9</v>
      </c>
    </row>
    <row r="383">
      <c r="A383" s="4" t="s">
        <v>15</v>
      </c>
      <c r="B383" s="4" t="s">
        <v>19</v>
      </c>
      <c r="C383" s="4" t="s">
        <v>361</v>
      </c>
      <c r="D383" s="5" t="str">
        <f t="shared" si="72"/>
        <v>12Go Link</v>
      </c>
      <c r="E383" s="4" t="s">
        <v>10</v>
      </c>
    </row>
    <row r="384">
      <c r="A384" s="4" t="s">
        <v>15</v>
      </c>
      <c r="B384" s="4" t="s">
        <v>21</v>
      </c>
      <c r="C384" s="4" t="s">
        <v>362</v>
      </c>
      <c r="D384" s="5" t="str">
        <f t="shared" ref="D384:D386" si="73">HYPERLINK("https://12go.asia/en/travel/Batumi-Central/Samtredia", "12Go Link")</f>
        <v>12Go Link</v>
      </c>
      <c r="E384" s="4" t="s">
        <v>8</v>
      </c>
    </row>
    <row r="385">
      <c r="A385" s="4" t="s">
        <v>15</v>
      </c>
      <c r="B385" s="4" t="s">
        <v>21</v>
      </c>
      <c r="C385" s="4" t="s">
        <v>362</v>
      </c>
      <c r="D385" s="5" t="str">
        <f t="shared" si="73"/>
        <v>12Go Link</v>
      </c>
      <c r="E385" s="4" t="s">
        <v>9</v>
      </c>
    </row>
    <row r="386">
      <c r="A386" s="4" t="s">
        <v>15</v>
      </c>
      <c r="B386" s="4" t="s">
        <v>21</v>
      </c>
      <c r="C386" s="4" t="s">
        <v>362</v>
      </c>
      <c r="D386" s="5" t="str">
        <f t="shared" si="73"/>
        <v>12Go Link</v>
      </c>
      <c r="E386" s="4" t="s">
        <v>10</v>
      </c>
    </row>
    <row r="387">
      <c r="A387" s="4" t="s">
        <v>15</v>
      </c>
      <c r="B387" s="4" t="s">
        <v>23</v>
      </c>
      <c r="C387" s="4" t="s">
        <v>363</v>
      </c>
      <c r="D387" s="5" t="str">
        <f t="shared" ref="D387:D389" si="74">HYPERLINK("https://12go.asia/en/travel/Batumi-Central/Tbilisi-Central", "12Go Link")</f>
        <v>12Go Link</v>
      </c>
      <c r="E387" s="4" t="s">
        <v>8</v>
      </c>
    </row>
    <row r="388">
      <c r="A388" s="4" t="s">
        <v>15</v>
      </c>
      <c r="B388" s="4" t="s">
        <v>23</v>
      </c>
      <c r="C388" s="4" t="s">
        <v>363</v>
      </c>
      <c r="D388" s="5" t="str">
        <f t="shared" si="74"/>
        <v>12Go Link</v>
      </c>
      <c r="E388" s="4" t="s">
        <v>9</v>
      </c>
    </row>
    <row r="389">
      <c r="A389" s="4" t="s">
        <v>15</v>
      </c>
      <c r="B389" s="4" t="s">
        <v>23</v>
      </c>
      <c r="C389" s="4" t="s">
        <v>363</v>
      </c>
      <c r="D389" s="5" t="str">
        <f t="shared" si="74"/>
        <v>12Go Link</v>
      </c>
      <c r="E389" s="4" t="s">
        <v>10</v>
      </c>
    </row>
    <row r="390">
      <c r="A390" s="4" t="s">
        <v>15</v>
      </c>
      <c r="B390" s="4" t="s">
        <v>25</v>
      </c>
      <c r="C390" s="4" t="s">
        <v>364</v>
      </c>
      <c r="D390" s="5" t="str">
        <f t="shared" ref="D390:D392" si="75">HYPERLINK("https://12go.asia/en/travel/Batumi-Central/Ureki", "12Go Link")</f>
        <v>12Go Link</v>
      </c>
      <c r="E390" s="4" t="s">
        <v>8</v>
      </c>
    </row>
    <row r="391">
      <c r="A391" s="4" t="s">
        <v>15</v>
      </c>
      <c r="B391" s="4" t="s">
        <v>25</v>
      </c>
      <c r="C391" s="4" t="s">
        <v>364</v>
      </c>
      <c r="D391" s="5" t="str">
        <f t="shared" si="75"/>
        <v>12Go Link</v>
      </c>
      <c r="E391" s="4" t="s">
        <v>9</v>
      </c>
    </row>
    <row r="392">
      <c r="A392" s="4" t="s">
        <v>15</v>
      </c>
      <c r="B392" s="4" t="s">
        <v>25</v>
      </c>
      <c r="C392" s="4" t="s">
        <v>364</v>
      </c>
      <c r="D392" s="5" t="str">
        <f t="shared" si="75"/>
        <v>12Go Link</v>
      </c>
      <c r="E392" s="4" t="s">
        <v>10</v>
      </c>
    </row>
    <row r="393">
      <c r="A393" s="4" t="s">
        <v>15</v>
      </c>
      <c r="B393" s="4" t="s">
        <v>27</v>
      </c>
      <c r="C393" s="4" t="s">
        <v>365</v>
      </c>
      <c r="D393" s="5" t="str">
        <f t="shared" ref="D393:D395" si="76">HYPERLINK("https://12go.asia/en/travel/Batumi-Central/Zestafoni", "12Go Link")</f>
        <v>12Go Link</v>
      </c>
      <c r="E393" s="4" t="s">
        <v>8</v>
      </c>
    </row>
    <row r="394">
      <c r="A394" s="4" t="s">
        <v>15</v>
      </c>
      <c r="B394" s="4" t="s">
        <v>27</v>
      </c>
      <c r="C394" s="4" t="s">
        <v>365</v>
      </c>
      <c r="D394" s="5" t="str">
        <f t="shared" si="76"/>
        <v>12Go Link</v>
      </c>
      <c r="E394" s="4" t="s">
        <v>9</v>
      </c>
    </row>
    <row r="395">
      <c r="A395" s="4" t="s">
        <v>15</v>
      </c>
      <c r="B395" s="4" t="s">
        <v>27</v>
      </c>
      <c r="C395" s="4" t="s">
        <v>365</v>
      </c>
      <c r="D395" s="5" t="str">
        <f t="shared" si="76"/>
        <v>12Go Link</v>
      </c>
      <c r="E395" s="4" t="s">
        <v>10</v>
      </c>
    </row>
    <row r="396">
      <c r="A396" s="2" t="s">
        <v>17</v>
      </c>
      <c r="B396" s="2" t="s">
        <v>5</v>
      </c>
      <c r="C396" s="2" t="s">
        <v>366</v>
      </c>
      <c r="D396" s="3" t="str">
        <f t="shared" ref="D396:D398" si="77">HYPERLINK("https://12go.asia/en/travel/Khashuri/Armavir-Railway", "12Go Link")</f>
        <v>12Go Link</v>
      </c>
      <c r="E396" s="2" t="s">
        <v>8</v>
      </c>
    </row>
    <row r="397">
      <c r="A397" s="2" t="s">
        <v>17</v>
      </c>
      <c r="B397" s="2" t="s">
        <v>5</v>
      </c>
      <c r="C397" s="2" t="s">
        <v>366</v>
      </c>
      <c r="D397" s="3" t="str">
        <f t="shared" si="77"/>
        <v>12Go Link</v>
      </c>
      <c r="E397" s="2" t="s">
        <v>9</v>
      </c>
    </row>
    <row r="398">
      <c r="A398" s="2" t="s">
        <v>17</v>
      </c>
      <c r="B398" s="2" t="s">
        <v>5</v>
      </c>
      <c r="C398" s="2" t="s">
        <v>366</v>
      </c>
      <c r="D398" s="3" t="str">
        <f t="shared" si="77"/>
        <v>12Go Link</v>
      </c>
      <c r="E398" s="2" t="s">
        <v>10</v>
      </c>
    </row>
    <row r="399">
      <c r="A399" s="2" t="s">
        <v>17</v>
      </c>
      <c r="B399" s="2" t="s">
        <v>6</v>
      </c>
      <c r="C399" s="2" t="s">
        <v>367</v>
      </c>
      <c r="D399" s="3" t="str">
        <f t="shared" ref="D399:D401" si="78">HYPERLINK("https://12go.asia/en/travel/Khashuri/Gyumri", "12Go Link")</f>
        <v>12Go Link</v>
      </c>
      <c r="E399" s="2" t="s">
        <v>8</v>
      </c>
    </row>
    <row r="400">
      <c r="A400" s="2" t="s">
        <v>17</v>
      </c>
      <c r="B400" s="2" t="s">
        <v>6</v>
      </c>
      <c r="C400" s="2" t="s">
        <v>367</v>
      </c>
      <c r="D400" s="3" t="str">
        <f t="shared" si="78"/>
        <v>12Go Link</v>
      </c>
      <c r="E400" s="2" t="s">
        <v>9</v>
      </c>
    </row>
    <row r="401">
      <c r="A401" s="2" t="s">
        <v>17</v>
      </c>
      <c r="B401" s="2" t="s">
        <v>6</v>
      </c>
      <c r="C401" s="2" t="s">
        <v>367</v>
      </c>
      <c r="D401" s="3" t="str">
        <f t="shared" si="78"/>
        <v>12Go Link</v>
      </c>
      <c r="E401" s="2" t="s">
        <v>10</v>
      </c>
    </row>
    <row r="402">
      <c r="A402" s="2" t="s">
        <v>17</v>
      </c>
      <c r="B402" s="2" t="s">
        <v>11</v>
      </c>
      <c r="C402" s="2" t="s">
        <v>368</v>
      </c>
      <c r="D402" s="3" t="str">
        <f t="shared" ref="D402:D404" si="79">HYPERLINK("https://12go.asia/en/travel/Khashuri/Vanadzor", "12Go Link")</f>
        <v>12Go Link</v>
      </c>
      <c r="E402" s="2" t="s">
        <v>8</v>
      </c>
    </row>
    <row r="403">
      <c r="A403" s="2" t="s">
        <v>17</v>
      </c>
      <c r="B403" s="2" t="s">
        <v>11</v>
      </c>
      <c r="C403" s="2" t="s">
        <v>368</v>
      </c>
      <c r="D403" s="3" t="str">
        <f t="shared" si="79"/>
        <v>12Go Link</v>
      </c>
      <c r="E403" s="2" t="s">
        <v>9</v>
      </c>
    </row>
    <row r="404">
      <c r="A404" s="2" t="s">
        <v>17</v>
      </c>
      <c r="B404" s="2" t="s">
        <v>11</v>
      </c>
      <c r="C404" s="2" t="s">
        <v>368</v>
      </c>
      <c r="D404" s="3" t="str">
        <f t="shared" si="79"/>
        <v>12Go Link</v>
      </c>
      <c r="E404" s="2" t="s">
        <v>10</v>
      </c>
    </row>
    <row r="405">
      <c r="A405" s="2" t="s">
        <v>17</v>
      </c>
      <c r="B405" s="2" t="s">
        <v>13</v>
      </c>
      <c r="C405" s="2" t="s">
        <v>369</v>
      </c>
      <c r="D405" s="3" t="str">
        <f t="shared" ref="D405:D407" si="80">HYPERLINK("https://12go.asia/en/travel/Khashuri/Yerevan-Railway", "12Go Link")</f>
        <v>12Go Link</v>
      </c>
      <c r="E405" s="2" t="s">
        <v>8</v>
      </c>
    </row>
    <row r="406">
      <c r="A406" s="2" t="s">
        <v>17</v>
      </c>
      <c r="B406" s="2" t="s">
        <v>13</v>
      </c>
      <c r="C406" s="2" t="s">
        <v>369</v>
      </c>
      <c r="D406" s="3" t="str">
        <f t="shared" si="80"/>
        <v>12Go Link</v>
      </c>
      <c r="E406" s="2" t="s">
        <v>9</v>
      </c>
    </row>
    <row r="407">
      <c r="A407" s="2" t="s">
        <v>17</v>
      </c>
      <c r="B407" s="2" t="s">
        <v>13</v>
      </c>
      <c r="C407" s="2" t="s">
        <v>369</v>
      </c>
      <c r="D407" s="3" t="str">
        <f t="shared" si="80"/>
        <v>12Go Link</v>
      </c>
      <c r="E407" s="2" t="s">
        <v>10</v>
      </c>
    </row>
    <row r="408">
      <c r="A408" s="2" t="s">
        <v>17</v>
      </c>
      <c r="B408" s="2" t="s">
        <v>15</v>
      </c>
      <c r="C408" s="2" t="s">
        <v>370</v>
      </c>
      <c r="D408" s="3" t="str">
        <f t="shared" ref="D408:D410" si="81">HYPERLINK("https://12go.asia/en/travel/Khashuri/Batumi-Central", "12Go Link")</f>
        <v>12Go Link</v>
      </c>
      <c r="E408" s="2" t="s">
        <v>8</v>
      </c>
    </row>
    <row r="409">
      <c r="A409" s="2" t="s">
        <v>17</v>
      </c>
      <c r="B409" s="2" t="s">
        <v>15</v>
      </c>
      <c r="C409" s="2" t="s">
        <v>370</v>
      </c>
      <c r="D409" s="3" t="str">
        <f t="shared" si="81"/>
        <v>12Go Link</v>
      </c>
      <c r="E409" s="2" t="s">
        <v>9</v>
      </c>
    </row>
    <row r="410">
      <c r="A410" s="2" t="s">
        <v>17</v>
      </c>
      <c r="B410" s="2" t="s">
        <v>15</v>
      </c>
      <c r="C410" s="2" t="s">
        <v>370</v>
      </c>
      <c r="D410" s="3" t="str">
        <f t="shared" si="81"/>
        <v>12Go Link</v>
      </c>
      <c r="E410" s="2" t="s">
        <v>10</v>
      </c>
    </row>
    <row r="411">
      <c r="A411" s="2" t="s">
        <v>17</v>
      </c>
      <c r="B411" s="2" t="s">
        <v>19</v>
      </c>
      <c r="C411" s="2" t="s">
        <v>371</v>
      </c>
      <c r="D411" s="3" t="str">
        <f t="shared" ref="D411:D413" si="82">HYPERLINK("https://12go.asia/en/travel/Khashuri/Kobuleti", "12Go Link")</f>
        <v>12Go Link</v>
      </c>
      <c r="E411" s="2" t="s">
        <v>8</v>
      </c>
    </row>
    <row r="412">
      <c r="A412" s="2" t="s">
        <v>17</v>
      </c>
      <c r="B412" s="2" t="s">
        <v>19</v>
      </c>
      <c r="C412" s="2" t="s">
        <v>371</v>
      </c>
      <c r="D412" s="3" t="str">
        <f t="shared" si="82"/>
        <v>12Go Link</v>
      </c>
      <c r="E412" s="2" t="s">
        <v>9</v>
      </c>
    </row>
    <row r="413">
      <c r="A413" s="2" t="s">
        <v>17</v>
      </c>
      <c r="B413" s="2" t="s">
        <v>19</v>
      </c>
      <c r="C413" s="2" t="s">
        <v>371</v>
      </c>
      <c r="D413" s="3" t="str">
        <f t="shared" si="82"/>
        <v>12Go Link</v>
      </c>
      <c r="E413" s="2" t="s">
        <v>10</v>
      </c>
    </row>
    <row r="414">
      <c r="A414" s="2" t="s">
        <v>17</v>
      </c>
      <c r="B414" s="2" t="s">
        <v>21</v>
      </c>
      <c r="C414" s="2" t="s">
        <v>372</v>
      </c>
      <c r="D414" s="3" t="str">
        <f t="shared" ref="D414:D416" si="83">HYPERLINK("https://12go.asia/en/travel/Khashuri/Samtredia", "12Go Link")</f>
        <v>12Go Link</v>
      </c>
      <c r="E414" s="2" t="s">
        <v>8</v>
      </c>
    </row>
    <row r="415">
      <c r="A415" s="2" t="s">
        <v>17</v>
      </c>
      <c r="B415" s="2" t="s">
        <v>21</v>
      </c>
      <c r="C415" s="2" t="s">
        <v>372</v>
      </c>
      <c r="D415" s="3" t="str">
        <f t="shared" si="83"/>
        <v>12Go Link</v>
      </c>
      <c r="E415" s="2" t="s">
        <v>9</v>
      </c>
    </row>
    <row r="416">
      <c r="A416" s="2" t="s">
        <v>17</v>
      </c>
      <c r="B416" s="2" t="s">
        <v>21</v>
      </c>
      <c r="C416" s="2" t="s">
        <v>372</v>
      </c>
      <c r="D416" s="3" t="str">
        <f t="shared" si="83"/>
        <v>12Go Link</v>
      </c>
      <c r="E416" s="2" t="s">
        <v>10</v>
      </c>
    </row>
    <row r="417">
      <c r="A417" s="2" t="s">
        <v>17</v>
      </c>
      <c r="B417" s="2" t="s">
        <v>23</v>
      </c>
      <c r="C417" s="2" t="s">
        <v>373</v>
      </c>
      <c r="D417" s="3" t="str">
        <f t="shared" ref="D417:D419" si="84">HYPERLINK("https://12go.asia/en/travel/Khashuri/Tbilisi-Central", "12Go Link")</f>
        <v>12Go Link</v>
      </c>
      <c r="E417" s="2" t="s">
        <v>8</v>
      </c>
    </row>
    <row r="418">
      <c r="A418" s="2" t="s">
        <v>17</v>
      </c>
      <c r="B418" s="2" t="s">
        <v>23</v>
      </c>
      <c r="C418" s="2" t="s">
        <v>373</v>
      </c>
      <c r="D418" s="3" t="str">
        <f t="shared" si="84"/>
        <v>12Go Link</v>
      </c>
      <c r="E418" s="2" t="s">
        <v>9</v>
      </c>
    </row>
    <row r="419">
      <c r="A419" s="2" t="s">
        <v>17</v>
      </c>
      <c r="B419" s="2" t="s">
        <v>23</v>
      </c>
      <c r="C419" s="2" t="s">
        <v>373</v>
      </c>
      <c r="D419" s="3" t="str">
        <f t="shared" si="84"/>
        <v>12Go Link</v>
      </c>
      <c r="E419" s="2" t="s">
        <v>10</v>
      </c>
    </row>
    <row r="420">
      <c r="A420" s="2" t="s">
        <v>17</v>
      </c>
      <c r="B420" s="2" t="s">
        <v>25</v>
      </c>
      <c r="C420" s="2" t="s">
        <v>374</v>
      </c>
      <c r="D420" s="3" t="str">
        <f t="shared" ref="D420:D422" si="85">HYPERLINK("https://12go.asia/en/travel/Khashuri/Ureki", "12Go Link")</f>
        <v>12Go Link</v>
      </c>
      <c r="E420" s="2" t="s">
        <v>8</v>
      </c>
    </row>
    <row r="421">
      <c r="A421" s="2" t="s">
        <v>17</v>
      </c>
      <c r="B421" s="2" t="s">
        <v>25</v>
      </c>
      <c r="C421" s="2" t="s">
        <v>374</v>
      </c>
      <c r="D421" s="3" t="str">
        <f t="shared" si="85"/>
        <v>12Go Link</v>
      </c>
      <c r="E421" s="2" t="s">
        <v>9</v>
      </c>
    </row>
    <row r="422">
      <c r="A422" s="2" t="s">
        <v>17</v>
      </c>
      <c r="B422" s="2" t="s">
        <v>25</v>
      </c>
      <c r="C422" s="2" t="s">
        <v>374</v>
      </c>
      <c r="D422" s="3" t="str">
        <f t="shared" si="85"/>
        <v>12Go Link</v>
      </c>
      <c r="E422" s="2" t="s">
        <v>10</v>
      </c>
    </row>
    <row r="423">
      <c r="A423" s="2" t="s">
        <v>17</v>
      </c>
      <c r="B423" s="2" t="s">
        <v>27</v>
      </c>
      <c r="C423" s="2" t="s">
        <v>375</v>
      </c>
      <c r="D423" s="3" t="str">
        <f t="shared" ref="D423:D425" si="86">HYPERLINK("https://12go.asia/en/travel/Khashuri/Zestafoni", "12Go Link")</f>
        <v>12Go Link</v>
      </c>
      <c r="E423" s="2" t="s">
        <v>8</v>
      </c>
    </row>
    <row r="424">
      <c r="A424" s="2" t="s">
        <v>17</v>
      </c>
      <c r="B424" s="2" t="s">
        <v>27</v>
      </c>
      <c r="C424" s="2" t="s">
        <v>375</v>
      </c>
      <c r="D424" s="3" t="str">
        <f t="shared" si="86"/>
        <v>12Go Link</v>
      </c>
      <c r="E424" s="2" t="s">
        <v>9</v>
      </c>
    </row>
    <row r="425">
      <c r="A425" s="2" t="s">
        <v>17</v>
      </c>
      <c r="B425" s="2" t="s">
        <v>27</v>
      </c>
      <c r="C425" s="2" t="s">
        <v>375</v>
      </c>
      <c r="D425" s="3" t="str">
        <f t="shared" si="86"/>
        <v>12Go Link</v>
      </c>
      <c r="E425" s="2" t="s">
        <v>10</v>
      </c>
    </row>
    <row r="426">
      <c r="A426" s="4" t="s">
        <v>19</v>
      </c>
      <c r="B426" s="4" t="s">
        <v>5</v>
      </c>
      <c r="C426" s="4" t="s">
        <v>376</v>
      </c>
      <c r="D426" s="5" t="str">
        <f t="shared" ref="D426:D428" si="87">HYPERLINK("https://12go.asia/en/travel/Kobuleti/Armavir-Railway", "12Go Link")</f>
        <v>12Go Link</v>
      </c>
      <c r="E426" s="4" t="s">
        <v>8</v>
      </c>
    </row>
    <row r="427">
      <c r="A427" s="4" t="s">
        <v>19</v>
      </c>
      <c r="B427" s="4" t="s">
        <v>5</v>
      </c>
      <c r="C427" s="4" t="s">
        <v>376</v>
      </c>
      <c r="D427" s="5" t="str">
        <f t="shared" si="87"/>
        <v>12Go Link</v>
      </c>
      <c r="E427" s="4" t="s">
        <v>9</v>
      </c>
    </row>
    <row r="428">
      <c r="A428" s="4" t="s">
        <v>19</v>
      </c>
      <c r="B428" s="4" t="s">
        <v>5</v>
      </c>
      <c r="C428" s="4" t="s">
        <v>376</v>
      </c>
      <c r="D428" s="5" t="str">
        <f t="shared" si="87"/>
        <v>12Go Link</v>
      </c>
      <c r="E428" s="4" t="s">
        <v>10</v>
      </c>
    </row>
    <row r="429">
      <c r="A429" s="4" t="s">
        <v>19</v>
      </c>
      <c r="B429" s="4" t="s">
        <v>6</v>
      </c>
      <c r="C429" s="4" t="s">
        <v>377</v>
      </c>
      <c r="D429" s="5" t="str">
        <f t="shared" ref="D429:D431" si="88">HYPERLINK("https://12go.asia/en/travel/Kobuleti/Gyumri", "12Go Link")</f>
        <v>12Go Link</v>
      </c>
      <c r="E429" s="4" t="s">
        <v>8</v>
      </c>
    </row>
    <row r="430">
      <c r="A430" s="4" t="s">
        <v>19</v>
      </c>
      <c r="B430" s="4" t="s">
        <v>6</v>
      </c>
      <c r="C430" s="4" t="s">
        <v>377</v>
      </c>
      <c r="D430" s="5" t="str">
        <f t="shared" si="88"/>
        <v>12Go Link</v>
      </c>
      <c r="E430" s="4" t="s">
        <v>9</v>
      </c>
    </row>
    <row r="431">
      <c r="A431" s="4" t="s">
        <v>19</v>
      </c>
      <c r="B431" s="4" t="s">
        <v>6</v>
      </c>
      <c r="C431" s="4" t="s">
        <v>377</v>
      </c>
      <c r="D431" s="5" t="str">
        <f t="shared" si="88"/>
        <v>12Go Link</v>
      </c>
      <c r="E431" s="4" t="s">
        <v>10</v>
      </c>
    </row>
    <row r="432">
      <c r="A432" s="4" t="s">
        <v>19</v>
      </c>
      <c r="B432" s="4" t="s">
        <v>11</v>
      </c>
      <c r="C432" s="4" t="s">
        <v>378</v>
      </c>
      <c r="D432" s="5" t="str">
        <f t="shared" ref="D432:D434" si="89">HYPERLINK("https://12go.asia/en/travel/Kobuleti/Vanadzor", "12Go Link")</f>
        <v>12Go Link</v>
      </c>
      <c r="E432" s="4" t="s">
        <v>8</v>
      </c>
    </row>
    <row r="433">
      <c r="A433" s="4" t="s">
        <v>19</v>
      </c>
      <c r="B433" s="4" t="s">
        <v>11</v>
      </c>
      <c r="C433" s="4" t="s">
        <v>378</v>
      </c>
      <c r="D433" s="5" t="str">
        <f t="shared" si="89"/>
        <v>12Go Link</v>
      </c>
      <c r="E433" s="4" t="s">
        <v>9</v>
      </c>
    </row>
    <row r="434">
      <c r="A434" s="4" t="s">
        <v>19</v>
      </c>
      <c r="B434" s="4" t="s">
        <v>11</v>
      </c>
      <c r="C434" s="4" t="s">
        <v>378</v>
      </c>
      <c r="D434" s="5" t="str">
        <f t="shared" si="89"/>
        <v>12Go Link</v>
      </c>
      <c r="E434" s="4" t="s">
        <v>10</v>
      </c>
    </row>
    <row r="435">
      <c r="A435" s="4" t="s">
        <v>19</v>
      </c>
      <c r="B435" s="4" t="s">
        <v>13</v>
      </c>
      <c r="C435" s="4" t="s">
        <v>379</v>
      </c>
      <c r="D435" s="5" t="str">
        <f t="shared" ref="D435:D437" si="90">HYPERLINK("https://12go.asia/en/travel/Kobuleti/Yerevan-Railway", "12Go Link")</f>
        <v>12Go Link</v>
      </c>
      <c r="E435" s="4" t="s">
        <v>8</v>
      </c>
    </row>
    <row r="436">
      <c r="A436" s="4" t="s">
        <v>19</v>
      </c>
      <c r="B436" s="4" t="s">
        <v>13</v>
      </c>
      <c r="C436" s="4" t="s">
        <v>379</v>
      </c>
      <c r="D436" s="5" t="str">
        <f t="shared" si="90"/>
        <v>12Go Link</v>
      </c>
      <c r="E436" s="4" t="s">
        <v>9</v>
      </c>
    </row>
    <row r="437">
      <c r="A437" s="4" t="s">
        <v>19</v>
      </c>
      <c r="B437" s="4" t="s">
        <v>13</v>
      </c>
      <c r="C437" s="4" t="s">
        <v>379</v>
      </c>
      <c r="D437" s="5" t="str">
        <f t="shared" si="90"/>
        <v>12Go Link</v>
      </c>
      <c r="E437" s="4" t="s">
        <v>10</v>
      </c>
    </row>
    <row r="438">
      <c r="A438" s="4" t="s">
        <v>19</v>
      </c>
      <c r="B438" s="4" t="s">
        <v>15</v>
      </c>
      <c r="C438" s="4" t="s">
        <v>380</v>
      </c>
      <c r="D438" s="5" t="str">
        <f t="shared" ref="D438:D440" si="91">HYPERLINK("https://12go.asia/en/travel/Kobuleti/Batumi-Central", "12Go Link")</f>
        <v>12Go Link</v>
      </c>
      <c r="E438" s="4" t="s">
        <v>8</v>
      </c>
    </row>
    <row r="439">
      <c r="A439" s="4" t="s">
        <v>19</v>
      </c>
      <c r="B439" s="4" t="s">
        <v>15</v>
      </c>
      <c r="C439" s="4" t="s">
        <v>380</v>
      </c>
      <c r="D439" s="5" t="str">
        <f t="shared" si="91"/>
        <v>12Go Link</v>
      </c>
      <c r="E439" s="4" t="s">
        <v>9</v>
      </c>
    </row>
    <row r="440">
      <c r="A440" s="4" t="s">
        <v>19</v>
      </c>
      <c r="B440" s="4" t="s">
        <v>15</v>
      </c>
      <c r="C440" s="4" t="s">
        <v>380</v>
      </c>
      <c r="D440" s="5" t="str">
        <f t="shared" si="91"/>
        <v>12Go Link</v>
      </c>
      <c r="E440" s="4" t="s">
        <v>10</v>
      </c>
    </row>
    <row r="441">
      <c r="A441" s="4" t="s">
        <v>19</v>
      </c>
      <c r="B441" s="4" t="s">
        <v>17</v>
      </c>
      <c r="C441" s="4" t="s">
        <v>381</v>
      </c>
      <c r="D441" s="5" t="str">
        <f t="shared" ref="D441:D443" si="92">HYPERLINK("https://12go.asia/en/travel/Kobuleti/Khashuri", "12Go Link")</f>
        <v>12Go Link</v>
      </c>
      <c r="E441" s="4" t="s">
        <v>8</v>
      </c>
    </row>
    <row r="442">
      <c r="A442" s="4" t="s">
        <v>19</v>
      </c>
      <c r="B442" s="4" t="s">
        <v>17</v>
      </c>
      <c r="C442" s="4" t="s">
        <v>381</v>
      </c>
      <c r="D442" s="5" t="str">
        <f t="shared" si="92"/>
        <v>12Go Link</v>
      </c>
      <c r="E442" s="4" t="s">
        <v>9</v>
      </c>
    </row>
    <row r="443">
      <c r="A443" s="4" t="s">
        <v>19</v>
      </c>
      <c r="B443" s="4" t="s">
        <v>17</v>
      </c>
      <c r="C443" s="4" t="s">
        <v>381</v>
      </c>
      <c r="D443" s="5" t="str">
        <f t="shared" si="92"/>
        <v>12Go Link</v>
      </c>
      <c r="E443" s="4" t="s">
        <v>10</v>
      </c>
    </row>
    <row r="444">
      <c r="A444" s="4" t="s">
        <v>19</v>
      </c>
      <c r="B444" s="4" t="s">
        <v>21</v>
      </c>
      <c r="C444" s="4" t="s">
        <v>382</v>
      </c>
      <c r="D444" s="5" t="str">
        <f t="shared" ref="D444:D446" si="93">HYPERLINK("https://12go.asia/en/travel/Kobuleti/Samtredia", "12Go Link")</f>
        <v>12Go Link</v>
      </c>
      <c r="E444" s="4" t="s">
        <v>8</v>
      </c>
    </row>
    <row r="445">
      <c r="A445" s="4" t="s">
        <v>19</v>
      </c>
      <c r="B445" s="4" t="s">
        <v>21</v>
      </c>
      <c r="C445" s="4" t="s">
        <v>382</v>
      </c>
      <c r="D445" s="5" t="str">
        <f t="shared" si="93"/>
        <v>12Go Link</v>
      </c>
      <c r="E445" s="4" t="s">
        <v>9</v>
      </c>
    </row>
    <row r="446">
      <c r="A446" s="4" t="s">
        <v>19</v>
      </c>
      <c r="B446" s="4" t="s">
        <v>21</v>
      </c>
      <c r="C446" s="4" t="s">
        <v>382</v>
      </c>
      <c r="D446" s="5" t="str">
        <f t="shared" si="93"/>
        <v>12Go Link</v>
      </c>
      <c r="E446" s="4" t="s">
        <v>10</v>
      </c>
    </row>
    <row r="447">
      <c r="A447" s="4" t="s">
        <v>19</v>
      </c>
      <c r="B447" s="4" t="s">
        <v>23</v>
      </c>
      <c r="C447" s="4" t="s">
        <v>383</v>
      </c>
      <c r="D447" s="5" t="str">
        <f t="shared" ref="D447:D449" si="94">HYPERLINK("https://12go.asia/en/travel/Kobuleti/Tbilisi-Central", "12Go Link")</f>
        <v>12Go Link</v>
      </c>
      <c r="E447" s="4" t="s">
        <v>8</v>
      </c>
    </row>
    <row r="448">
      <c r="A448" s="4" t="s">
        <v>19</v>
      </c>
      <c r="B448" s="4" t="s">
        <v>23</v>
      </c>
      <c r="C448" s="4" t="s">
        <v>383</v>
      </c>
      <c r="D448" s="5" t="str">
        <f t="shared" si="94"/>
        <v>12Go Link</v>
      </c>
      <c r="E448" s="4" t="s">
        <v>9</v>
      </c>
    </row>
    <row r="449">
      <c r="A449" s="4" t="s">
        <v>19</v>
      </c>
      <c r="B449" s="4" t="s">
        <v>23</v>
      </c>
      <c r="C449" s="4" t="s">
        <v>383</v>
      </c>
      <c r="D449" s="5" t="str">
        <f t="shared" si="94"/>
        <v>12Go Link</v>
      </c>
      <c r="E449" s="4" t="s">
        <v>10</v>
      </c>
    </row>
    <row r="450">
      <c r="A450" s="4" t="s">
        <v>19</v>
      </c>
      <c r="B450" s="4" t="s">
        <v>25</v>
      </c>
      <c r="C450" s="4" t="s">
        <v>384</v>
      </c>
      <c r="D450" s="5" t="str">
        <f t="shared" ref="D450:D452" si="95">HYPERLINK("https://12go.asia/en/travel/Kobuleti/Ureki", "12Go Link")</f>
        <v>12Go Link</v>
      </c>
      <c r="E450" s="4" t="s">
        <v>8</v>
      </c>
    </row>
    <row r="451">
      <c r="A451" s="4" t="s">
        <v>19</v>
      </c>
      <c r="B451" s="4" t="s">
        <v>25</v>
      </c>
      <c r="C451" s="4" t="s">
        <v>384</v>
      </c>
      <c r="D451" s="5" t="str">
        <f t="shared" si="95"/>
        <v>12Go Link</v>
      </c>
      <c r="E451" s="4" t="s">
        <v>9</v>
      </c>
    </row>
    <row r="452">
      <c r="A452" s="4" t="s">
        <v>19</v>
      </c>
      <c r="B452" s="4" t="s">
        <v>25</v>
      </c>
      <c r="C452" s="4" t="s">
        <v>384</v>
      </c>
      <c r="D452" s="5" t="str">
        <f t="shared" si="95"/>
        <v>12Go Link</v>
      </c>
      <c r="E452" s="4" t="s">
        <v>10</v>
      </c>
    </row>
    <row r="453">
      <c r="A453" s="4" t="s">
        <v>19</v>
      </c>
      <c r="B453" s="4" t="s">
        <v>27</v>
      </c>
      <c r="C453" s="4" t="s">
        <v>385</v>
      </c>
      <c r="D453" s="5" t="str">
        <f t="shared" ref="D453:D455" si="96">HYPERLINK("https://12go.asia/en/travel/Kobuleti/Zestafoni", "12Go Link")</f>
        <v>12Go Link</v>
      </c>
      <c r="E453" s="4" t="s">
        <v>8</v>
      </c>
    </row>
    <row r="454">
      <c r="A454" s="4" t="s">
        <v>19</v>
      </c>
      <c r="B454" s="4" t="s">
        <v>27</v>
      </c>
      <c r="C454" s="4" t="s">
        <v>385</v>
      </c>
      <c r="D454" s="5" t="str">
        <f t="shared" si="96"/>
        <v>12Go Link</v>
      </c>
      <c r="E454" s="4" t="s">
        <v>9</v>
      </c>
    </row>
    <row r="455">
      <c r="A455" s="4" t="s">
        <v>19</v>
      </c>
      <c r="B455" s="4" t="s">
        <v>27</v>
      </c>
      <c r="C455" s="4" t="s">
        <v>385</v>
      </c>
      <c r="D455" s="5" t="str">
        <f t="shared" si="96"/>
        <v>12Go Link</v>
      </c>
      <c r="E455" s="4" t="s">
        <v>10</v>
      </c>
    </row>
    <row r="456">
      <c r="A456" s="2" t="s">
        <v>21</v>
      </c>
      <c r="B456" s="2" t="s">
        <v>5</v>
      </c>
      <c r="C456" s="2" t="s">
        <v>386</v>
      </c>
      <c r="D456" s="3" t="str">
        <f t="shared" ref="D456:D458" si="97">HYPERLINK("https://12go.asia/en/travel/Samtredia/Armavir-Railway", "12Go Link")</f>
        <v>12Go Link</v>
      </c>
      <c r="E456" s="2" t="s">
        <v>8</v>
      </c>
    </row>
    <row r="457">
      <c r="A457" s="2" t="s">
        <v>21</v>
      </c>
      <c r="B457" s="2" t="s">
        <v>5</v>
      </c>
      <c r="C457" s="2" t="s">
        <v>386</v>
      </c>
      <c r="D457" s="3" t="str">
        <f t="shared" si="97"/>
        <v>12Go Link</v>
      </c>
      <c r="E457" s="2" t="s">
        <v>9</v>
      </c>
    </row>
    <row r="458">
      <c r="A458" s="2" t="s">
        <v>21</v>
      </c>
      <c r="B458" s="2" t="s">
        <v>5</v>
      </c>
      <c r="C458" s="2" t="s">
        <v>386</v>
      </c>
      <c r="D458" s="3" t="str">
        <f t="shared" si="97"/>
        <v>12Go Link</v>
      </c>
      <c r="E458" s="2" t="s">
        <v>10</v>
      </c>
    </row>
    <row r="459">
      <c r="A459" s="2" t="s">
        <v>21</v>
      </c>
      <c r="B459" s="2" t="s">
        <v>6</v>
      </c>
      <c r="C459" s="2" t="s">
        <v>387</v>
      </c>
      <c r="D459" s="3" t="str">
        <f t="shared" ref="D459:D461" si="98">HYPERLINK("https://12go.asia/en/travel/Samtredia/Gyumri", "12Go Link")</f>
        <v>12Go Link</v>
      </c>
      <c r="E459" s="2" t="s">
        <v>8</v>
      </c>
    </row>
    <row r="460">
      <c r="A460" s="2" t="s">
        <v>21</v>
      </c>
      <c r="B460" s="2" t="s">
        <v>6</v>
      </c>
      <c r="C460" s="2" t="s">
        <v>387</v>
      </c>
      <c r="D460" s="3" t="str">
        <f t="shared" si="98"/>
        <v>12Go Link</v>
      </c>
      <c r="E460" s="2" t="s">
        <v>9</v>
      </c>
    </row>
    <row r="461">
      <c r="A461" s="2" t="s">
        <v>21</v>
      </c>
      <c r="B461" s="2" t="s">
        <v>6</v>
      </c>
      <c r="C461" s="2" t="s">
        <v>387</v>
      </c>
      <c r="D461" s="3" t="str">
        <f t="shared" si="98"/>
        <v>12Go Link</v>
      </c>
      <c r="E461" s="2" t="s">
        <v>10</v>
      </c>
    </row>
    <row r="462">
      <c r="A462" s="2" t="s">
        <v>21</v>
      </c>
      <c r="B462" s="2" t="s">
        <v>11</v>
      </c>
      <c r="C462" s="2" t="s">
        <v>388</v>
      </c>
      <c r="D462" s="3" t="str">
        <f t="shared" ref="D462:D464" si="99">HYPERLINK("https://12go.asia/en/travel/Samtredia/Vanadzor", "12Go Link")</f>
        <v>12Go Link</v>
      </c>
      <c r="E462" s="2" t="s">
        <v>8</v>
      </c>
    </row>
    <row r="463">
      <c r="A463" s="2" t="s">
        <v>21</v>
      </c>
      <c r="B463" s="2" t="s">
        <v>11</v>
      </c>
      <c r="C463" s="2" t="s">
        <v>388</v>
      </c>
      <c r="D463" s="3" t="str">
        <f t="shared" si="99"/>
        <v>12Go Link</v>
      </c>
      <c r="E463" s="2" t="s">
        <v>9</v>
      </c>
    </row>
    <row r="464">
      <c r="A464" s="2" t="s">
        <v>21</v>
      </c>
      <c r="B464" s="2" t="s">
        <v>11</v>
      </c>
      <c r="C464" s="2" t="s">
        <v>388</v>
      </c>
      <c r="D464" s="3" t="str">
        <f t="shared" si="99"/>
        <v>12Go Link</v>
      </c>
      <c r="E464" s="2" t="s">
        <v>10</v>
      </c>
    </row>
    <row r="465">
      <c r="A465" s="2" t="s">
        <v>21</v>
      </c>
      <c r="B465" s="2" t="s">
        <v>13</v>
      </c>
      <c r="C465" s="2" t="s">
        <v>389</v>
      </c>
      <c r="D465" s="3" t="str">
        <f t="shared" ref="D465:D467" si="100">HYPERLINK("https://12go.asia/en/travel/Samtredia/Yerevan-Railway", "12Go Link")</f>
        <v>12Go Link</v>
      </c>
      <c r="E465" s="2" t="s">
        <v>8</v>
      </c>
    </row>
    <row r="466">
      <c r="A466" s="2" t="s">
        <v>21</v>
      </c>
      <c r="B466" s="2" t="s">
        <v>13</v>
      </c>
      <c r="C466" s="2" t="s">
        <v>389</v>
      </c>
      <c r="D466" s="3" t="str">
        <f t="shared" si="100"/>
        <v>12Go Link</v>
      </c>
      <c r="E466" s="2" t="s">
        <v>9</v>
      </c>
    </row>
    <row r="467">
      <c r="A467" s="2" t="s">
        <v>21</v>
      </c>
      <c r="B467" s="2" t="s">
        <v>13</v>
      </c>
      <c r="C467" s="2" t="s">
        <v>389</v>
      </c>
      <c r="D467" s="3" t="str">
        <f t="shared" si="100"/>
        <v>12Go Link</v>
      </c>
      <c r="E467" s="2" t="s">
        <v>10</v>
      </c>
    </row>
    <row r="468">
      <c r="A468" s="2" t="s">
        <v>21</v>
      </c>
      <c r="B468" s="2" t="s">
        <v>15</v>
      </c>
      <c r="C468" s="2" t="s">
        <v>390</v>
      </c>
      <c r="D468" s="3" t="str">
        <f t="shared" ref="D468:D470" si="101">HYPERLINK("https://12go.asia/en/travel/Samtredia/Batumi-Central", "12Go Link")</f>
        <v>12Go Link</v>
      </c>
      <c r="E468" s="2" t="s">
        <v>8</v>
      </c>
    </row>
    <row r="469">
      <c r="A469" s="2" t="s">
        <v>21</v>
      </c>
      <c r="B469" s="2" t="s">
        <v>15</v>
      </c>
      <c r="C469" s="2" t="s">
        <v>390</v>
      </c>
      <c r="D469" s="3" t="str">
        <f t="shared" si="101"/>
        <v>12Go Link</v>
      </c>
      <c r="E469" s="2" t="s">
        <v>9</v>
      </c>
    </row>
    <row r="470">
      <c r="A470" s="2" t="s">
        <v>21</v>
      </c>
      <c r="B470" s="2" t="s">
        <v>15</v>
      </c>
      <c r="C470" s="2" t="s">
        <v>390</v>
      </c>
      <c r="D470" s="3" t="str">
        <f t="shared" si="101"/>
        <v>12Go Link</v>
      </c>
      <c r="E470" s="2" t="s">
        <v>10</v>
      </c>
    </row>
    <row r="471">
      <c r="A471" s="2" t="s">
        <v>21</v>
      </c>
      <c r="B471" s="2" t="s">
        <v>17</v>
      </c>
      <c r="C471" s="2" t="s">
        <v>391</v>
      </c>
      <c r="D471" s="3" t="str">
        <f t="shared" ref="D471:D473" si="102">HYPERLINK("https://12go.asia/en/travel/Samtredia/Khashuri", "12Go Link")</f>
        <v>12Go Link</v>
      </c>
      <c r="E471" s="2" t="s">
        <v>8</v>
      </c>
    </row>
    <row r="472">
      <c r="A472" s="2" t="s">
        <v>21</v>
      </c>
      <c r="B472" s="2" t="s">
        <v>17</v>
      </c>
      <c r="C472" s="2" t="s">
        <v>391</v>
      </c>
      <c r="D472" s="3" t="str">
        <f t="shared" si="102"/>
        <v>12Go Link</v>
      </c>
      <c r="E472" s="2" t="s">
        <v>9</v>
      </c>
    </row>
    <row r="473">
      <c r="A473" s="2" t="s">
        <v>21</v>
      </c>
      <c r="B473" s="2" t="s">
        <v>17</v>
      </c>
      <c r="C473" s="2" t="s">
        <v>391</v>
      </c>
      <c r="D473" s="3" t="str">
        <f t="shared" si="102"/>
        <v>12Go Link</v>
      </c>
      <c r="E473" s="2" t="s">
        <v>10</v>
      </c>
    </row>
    <row r="474">
      <c r="A474" s="2" t="s">
        <v>21</v>
      </c>
      <c r="B474" s="2" t="s">
        <v>19</v>
      </c>
      <c r="C474" s="2" t="s">
        <v>392</v>
      </c>
      <c r="D474" s="3" t="str">
        <f t="shared" ref="D474:D476" si="103">HYPERLINK("https://12go.asia/en/travel/Samtredia/Kobuleti", "12Go Link")</f>
        <v>12Go Link</v>
      </c>
      <c r="E474" s="2" t="s">
        <v>8</v>
      </c>
    </row>
    <row r="475">
      <c r="A475" s="2" t="s">
        <v>21</v>
      </c>
      <c r="B475" s="2" t="s">
        <v>19</v>
      </c>
      <c r="C475" s="2" t="s">
        <v>392</v>
      </c>
      <c r="D475" s="3" t="str">
        <f t="shared" si="103"/>
        <v>12Go Link</v>
      </c>
      <c r="E475" s="2" t="s">
        <v>9</v>
      </c>
    </row>
    <row r="476">
      <c r="A476" s="2" t="s">
        <v>21</v>
      </c>
      <c r="B476" s="2" t="s">
        <v>19</v>
      </c>
      <c r="C476" s="2" t="s">
        <v>392</v>
      </c>
      <c r="D476" s="3" t="str">
        <f t="shared" si="103"/>
        <v>12Go Link</v>
      </c>
      <c r="E476" s="2" t="s">
        <v>10</v>
      </c>
    </row>
    <row r="477">
      <c r="A477" s="2" t="s">
        <v>21</v>
      </c>
      <c r="B477" s="2" t="s">
        <v>23</v>
      </c>
      <c r="C477" s="2" t="s">
        <v>393</v>
      </c>
      <c r="D477" s="3" t="str">
        <f t="shared" ref="D477:D479" si="104">HYPERLINK("https://12go.asia/en/travel/Samtredia/Tbilisi-Central", "12Go Link")</f>
        <v>12Go Link</v>
      </c>
      <c r="E477" s="2" t="s">
        <v>8</v>
      </c>
    </row>
    <row r="478">
      <c r="A478" s="2" t="s">
        <v>21</v>
      </c>
      <c r="B478" s="2" t="s">
        <v>23</v>
      </c>
      <c r="C478" s="2" t="s">
        <v>393</v>
      </c>
      <c r="D478" s="3" t="str">
        <f t="shared" si="104"/>
        <v>12Go Link</v>
      </c>
      <c r="E478" s="2" t="s">
        <v>9</v>
      </c>
    </row>
    <row r="479">
      <c r="A479" s="2" t="s">
        <v>21</v>
      </c>
      <c r="B479" s="2" t="s">
        <v>23</v>
      </c>
      <c r="C479" s="2" t="s">
        <v>393</v>
      </c>
      <c r="D479" s="3" t="str">
        <f t="shared" si="104"/>
        <v>12Go Link</v>
      </c>
      <c r="E479" s="2" t="s">
        <v>10</v>
      </c>
    </row>
    <row r="480">
      <c r="A480" s="2" t="s">
        <v>21</v>
      </c>
      <c r="B480" s="2" t="s">
        <v>25</v>
      </c>
      <c r="C480" s="2" t="s">
        <v>394</v>
      </c>
      <c r="D480" s="3" t="str">
        <f t="shared" ref="D480:D482" si="105">HYPERLINK("https://12go.asia/en/travel/Samtredia/Ureki", "12Go Link")</f>
        <v>12Go Link</v>
      </c>
      <c r="E480" s="2" t="s">
        <v>8</v>
      </c>
    </row>
    <row r="481">
      <c r="A481" s="2" t="s">
        <v>21</v>
      </c>
      <c r="B481" s="2" t="s">
        <v>25</v>
      </c>
      <c r="C481" s="2" t="s">
        <v>394</v>
      </c>
      <c r="D481" s="3" t="str">
        <f t="shared" si="105"/>
        <v>12Go Link</v>
      </c>
      <c r="E481" s="2" t="s">
        <v>9</v>
      </c>
    </row>
    <row r="482">
      <c r="A482" s="2" t="s">
        <v>21</v>
      </c>
      <c r="B482" s="2" t="s">
        <v>25</v>
      </c>
      <c r="C482" s="2" t="s">
        <v>394</v>
      </c>
      <c r="D482" s="3" t="str">
        <f t="shared" si="105"/>
        <v>12Go Link</v>
      </c>
      <c r="E482" s="2" t="s">
        <v>10</v>
      </c>
    </row>
    <row r="483">
      <c r="A483" s="2" t="s">
        <v>21</v>
      </c>
      <c r="B483" s="2" t="s">
        <v>27</v>
      </c>
      <c r="C483" s="2" t="s">
        <v>395</v>
      </c>
      <c r="D483" s="3" t="str">
        <f t="shared" ref="D483:D485" si="106">HYPERLINK("https://12go.asia/en/travel/Samtredia/Zestafoni", "12Go Link")</f>
        <v>12Go Link</v>
      </c>
      <c r="E483" s="2" t="s">
        <v>8</v>
      </c>
    </row>
    <row r="484">
      <c r="A484" s="2" t="s">
        <v>21</v>
      </c>
      <c r="B484" s="2" t="s">
        <v>27</v>
      </c>
      <c r="C484" s="2" t="s">
        <v>395</v>
      </c>
      <c r="D484" s="3" t="str">
        <f t="shared" si="106"/>
        <v>12Go Link</v>
      </c>
      <c r="E484" s="2" t="s">
        <v>9</v>
      </c>
    </row>
    <row r="485">
      <c r="A485" s="2" t="s">
        <v>21</v>
      </c>
      <c r="B485" s="2" t="s">
        <v>27</v>
      </c>
      <c r="C485" s="2" t="s">
        <v>395</v>
      </c>
      <c r="D485" s="3" t="str">
        <f t="shared" si="106"/>
        <v>12Go Link</v>
      </c>
      <c r="E485" s="2" t="s">
        <v>10</v>
      </c>
    </row>
    <row r="486">
      <c r="A486" s="4" t="s">
        <v>23</v>
      </c>
      <c r="B486" s="4" t="s">
        <v>5</v>
      </c>
      <c r="C486" s="4" t="s">
        <v>396</v>
      </c>
      <c r="D486" s="5" t="str">
        <f t="shared" ref="D486:D488" si="107">HYPERLINK("https://12go.asia/en/travel/Tbilisi-Central/Armavir-Railway", "12Go Link")</f>
        <v>12Go Link</v>
      </c>
      <c r="E486" s="4" t="s">
        <v>8</v>
      </c>
    </row>
    <row r="487">
      <c r="A487" s="4" t="s">
        <v>23</v>
      </c>
      <c r="B487" s="4" t="s">
        <v>5</v>
      </c>
      <c r="C487" s="4" t="s">
        <v>396</v>
      </c>
      <c r="D487" s="5" t="str">
        <f t="shared" si="107"/>
        <v>12Go Link</v>
      </c>
      <c r="E487" s="4" t="s">
        <v>9</v>
      </c>
    </row>
    <row r="488">
      <c r="A488" s="4" t="s">
        <v>23</v>
      </c>
      <c r="B488" s="4" t="s">
        <v>5</v>
      </c>
      <c r="C488" s="4" t="s">
        <v>396</v>
      </c>
      <c r="D488" s="5" t="str">
        <f t="shared" si="107"/>
        <v>12Go Link</v>
      </c>
      <c r="E488" s="4" t="s">
        <v>10</v>
      </c>
    </row>
    <row r="489">
      <c r="A489" s="4" t="s">
        <v>23</v>
      </c>
      <c r="B489" s="4" t="s">
        <v>6</v>
      </c>
      <c r="C489" s="4" t="s">
        <v>397</v>
      </c>
      <c r="D489" s="5" t="str">
        <f t="shared" ref="D489:D491" si="108">HYPERLINK("https://12go.asia/en/travel/Tbilisi-Central/Gyumri", "12Go Link")</f>
        <v>12Go Link</v>
      </c>
      <c r="E489" s="4" t="s">
        <v>8</v>
      </c>
    </row>
    <row r="490">
      <c r="A490" s="4" t="s">
        <v>23</v>
      </c>
      <c r="B490" s="4" t="s">
        <v>6</v>
      </c>
      <c r="C490" s="4" t="s">
        <v>397</v>
      </c>
      <c r="D490" s="5" t="str">
        <f t="shared" si="108"/>
        <v>12Go Link</v>
      </c>
      <c r="E490" s="4" t="s">
        <v>9</v>
      </c>
    </row>
    <row r="491">
      <c r="A491" s="4" t="s">
        <v>23</v>
      </c>
      <c r="B491" s="4" t="s">
        <v>6</v>
      </c>
      <c r="C491" s="4" t="s">
        <v>397</v>
      </c>
      <c r="D491" s="5" t="str">
        <f t="shared" si="108"/>
        <v>12Go Link</v>
      </c>
      <c r="E491" s="4" t="s">
        <v>10</v>
      </c>
    </row>
    <row r="492">
      <c r="A492" s="4" t="s">
        <v>23</v>
      </c>
      <c r="B492" s="4" t="s">
        <v>11</v>
      </c>
      <c r="C492" s="4" t="s">
        <v>398</v>
      </c>
      <c r="D492" s="5" t="str">
        <f t="shared" ref="D492:D494" si="109">HYPERLINK("https://12go.asia/en/travel/Tbilisi-Central/Vanadzor", "12Go Link")</f>
        <v>12Go Link</v>
      </c>
      <c r="E492" s="4" t="s">
        <v>8</v>
      </c>
    </row>
    <row r="493">
      <c r="A493" s="4" t="s">
        <v>23</v>
      </c>
      <c r="B493" s="4" t="s">
        <v>11</v>
      </c>
      <c r="C493" s="4" t="s">
        <v>398</v>
      </c>
      <c r="D493" s="5" t="str">
        <f t="shared" si="109"/>
        <v>12Go Link</v>
      </c>
      <c r="E493" s="4" t="s">
        <v>9</v>
      </c>
    </row>
    <row r="494">
      <c r="A494" s="4" t="s">
        <v>23</v>
      </c>
      <c r="B494" s="4" t="s">
        <v>11</v>
      </c>
      <c r="C494" s="4" t="s">
        <v>398</v>
      </c>
      <c r="D494" s="5" t="str">
        <f t="shared" si="109"/>
        <v>12Go Link</v>
      </c>
      <c r="E494" s="4" t="s">
        <v>10</v>
      </c>
    </row>
    <row r="495">
      <c r="A495" s="4" t="s">
        <v>23</v>
      </c>
      <c r="B495" s="4" t="s">
        <v>13</v>
      </c>
      <c r="C495" s="4" t="s">
        <v>399</v>
      </c>
      <c r="D495" s="5" t="str">
        <f t="shared" ref="D495:D497" si="110">HYPERLINK("https://12go.asia/en/travel/Tbilisi-Central/Yerevan-Railway", "12Go Link")</f>
        <v>12Go Link</v>
      </c>
      <c r="E495" s="4" t="s">
        <v>8</v>
      </c>
    </row>
    <row r="496">
      <c r="A496" s="4" t="s">
        <v>23</v>
      </c>
      <c r="B496" s="4" t="s">
        <v>13</v>
      </c>
      <c r="C496" s="4" t="s">
        <v>399</v>
      </c>
      <c r="D496" s="5" t="str">
        <f t="shared" si="110"/>
        <v>12Go Link</v>
      </c>
      <c r="E496" s="4" t="s">
        <v>9</v>
      </c>
    </row>
    <row r="497">
      <c r="A497" s="4" t="s">
        <v>23</v>
      </c>
      <c r="B497" s="4" t="s">
        <v>13</v>
      </c>
      <c r="C497" s="4" t="s">
        <v>399</v>
      </c>
      <c r="D497" s="5" t="str">
        <f t="shared" si="110"/>
        <v>12Go Link</v>
      </c>
      <c r="E497" s="4" t="s">
        <v>10</v>
      </c>
    </row>
    <row r="498">
      <c r="A498" s="4" t="s">
        <v>23</v>
      </c>
      <c r="B498" s="4" t="s">
        <v>15</v>
      </c>
      <c r="C498" s="4" t="s">
        <v>400</v>
      </c>
      <c r="D498" s="5" t="str">
        <f t="shared" ref="D498:D500" si="111">HYPERLINK("https://12go.asia/en/travel/Tbilisi-Central/Batumi-Central", "12Go Link")</f>
        <v>12Go Link</v>
      </c>
      <c r="E498" s="4" t="s">
        <v>8</v>
      </c>
    </row>
    <row r="499">
      <c r="A499" s="4" t="s">
        <v>23</v>
      </c>
      <c r="B499" s="4" t="s">
        <v>15</v>
      </c>
      <c r="C499" s="4" t="s">
        <v>400</v>
      </c>
      <c r="D499" s="5" t="str">
        <f t="shared" si="111"/>
        <v>12Go Link</v>
      </c>
      <c r="E499" s="4" t="s">
        <v>9</v>
      </c>
    </row>
    <row r="500">
      <c r="A500" s="4" t="s">
        <v>23</v>
      </c>
      <c r="B500" s="4" t="s">
        <v>15</v>
      </c>
      <c r="C500" s="4" t="s">
        <v>400</v>
      </c>
      <c r="D500" s="5" t="str">
        <f t="shared" si="111"/>
        <v>12Go Link</v>
      </c>
      <c r="E500" s="4" t="s">
        <v>10</v>
      </c>
    </row>
    <row r="501">
      <c r="A501" s="4" t="s">
        <v>23</v>
      </c>
      <c r="B501" s="4" t="s">
        <v>17</v>
      </c>
      <c r="C501" s="4" t="s">
        <v>401</v>
      </c>
      <c r="D501" s="5" t="str">
        <f t="shared" ref="D501:D503" si="112">HYPERLINK("https://12go.asia/en/travel/Tbilisi-Central/Khashuri", "12Go Link")</f>
        <v>12Go Link</v>
      </c>
      <c r="E501" s="4" t="s">
        <v>8</v>
      </c>
    </row>
    <row r="502">
      <c r="A502" s="4" t="s">
        <v>23</v>
      </c>
      <c r="B502" s="4" t="s">
        <v>17</v>
      </c>
      <c r="C502" s="4" t="s">
        <v>401</v>
      </c>
      <c r="D502" s="5" t="str">
        <f t="shared" si="112"/>
        <v>12Go Link</v>
      </c>
      <c r="E502" s="4" t="s">
        <v>9</v>
      </c>
    </row>
    <row r="503">
      <c r="A503" s="4" t="s">
        <v>23</v>
      </c>
      <c r="B503" s="4" t="s">
        <v>17</v>
      </c>
      <c r="C503" s="4" t="s">
        <v>401</v>
      </c>
      <c r="D503" s="5" t="str">
        <f t="shared" si="112"/>
        <v>12Go Link</v>
      </c>
      <c r="E503" s="4" t="s">
        <v>10</v>
      </c>
    </row>
    <row r="504">
      <c r="A504" s="4" t="s">
        <v>23</v>
      </c>
      <c r="B504" s="4" t="s">
        <v>19</v>
      </c>
      <c r="C504" s="4" t="s">
        <v>402</v>
      </c>
      <c r="D504" s="5" t="str">
        <f t="shared" ref="D504:D506" si="113">HYPERLINK("https://12go.asia/en/travel/Tbilisi-Central/Kobuleti", "12Go Link")</f>
        <v>12Go Link</v>
      </c>
      <c r="E504" s="4" t="s">
        <v>8</v>
      </c>
    </row>
    <row r="505">
      <c r="A505" s="4" t="s">
        <v>23</v>
      </c>
      <c r="B505" s="4" t="s">
        <v>19</v>
      </c>
      <c r="C505" s="4" t="s">
        <v>402</v>
      </c>
      <c r="D505" s="5" t="str">
        <f t="shared" si="113"/>
        <v>12Go Link</v>
      </c>
      <c r="E505" s="4" t="s">
        <v>9</v>
      </c>
    </row>
    <row r="506">
      <c r="A506" s="4" t="s">
        <v>23</v>
      </c>
      <c r="B506" s="4" t="s">
        <v>19</v>
      </c>
      <c r="C506" s="4" t="s">
        <v>402</v>
      </c>
      <c r="D506" s="5" t="str">
        <f t="shared" si="113"/>
        <v>12Go Link</v>
      </c>
      <c r="E506" s="4" t="s">
        <v>10</v>
      </c>
    </row>
    <row r="507">
      <c r="A507" s="4" t="s">
        <v>23</v>
      </c>
      <c r="B507" s="4" t="s">
        <v>21</v>
      </c>
      <c r="C507" s="4" t="s">
        <v>403</v>
      </c>
      <c r="D507" s="5" t="str">
        <f t="shared" ref="D507:D509" si="114">HYPERLINK("https://12go.asia/en/travel/Tbilisi-Central/Samtredia", "12Go Link")</f>
        <v>12Go Link</v>
      </c>
      <c r="E507" s="4" t="s">
        <v>8</v>
      </c>
    </row>
    <row r="508">
      <c r="A508" s="4" t="s">
        <v>23</v>
      </c>
      <c r="B508" s="4" t="s">
        <v>21</v>
      </c>
      <c r="C508" s="4" t="s">
        <v>403</v>
      </c>
      <c r="D508" s="5" t="str">
        <f t="shared" si="114"/>
        <v>12Go Link</v>
      </c>
      <c r="E508" s="4" t="s">
        <v>9</v>
      </c>
    </row>
    <row r="509">
      <c r="A509" s="4" t="s">
        <v>23</v>
      </c>
      <c r="B509" s="4" t="s">
        <v>21</v>
      </c>
      <c r="C509" s="4" t="s">
        <v>403</v>
      </c>
      <c r="D509" s="5" t="str">
        <f t="shared" si="114"/>
        <v>12Go Link</v>
      </c>
      <c r="E509" s="4" t="s">
        <v>10</v>
      </c>
    </row>
    <row r="510">
      <c r="A510" s="4" t="s">
        <v>23</v>
      </c>
      <c r="B510" s="4" t="s">
        <v>25</v>
      </c>
      <c r="C510" s="4" t="s">
        <v>404</v>
      </c>
      <c r="D510" s="5" t="str">
        <f t="shared" ref="D510:D512" si="115">HYPERLINK("https://12go.asia/en/travel/Tbilisi-Central/Ureki", "12Go Link")</f>
        <v>12Go Link</v>
      </c>
      <c r="E510" s="4" t="s">
        <v>8</v>
      </c>
    </row>
    <row r="511">
      <c r="A511" s="4" t="s">
        <v>23</v>
      </c>
      <c r="B511" s="4" t="s">
        <v>25</v>
      </c>
      <c r="C511" s="4" t="s">
        <v>404</v>
      </c>
      <c r="D511" s="5" t="str">
        <f t="shared" si="115"/>
        <v>12Go Link</v>
      </c>
      <c r="E511" s="4" t="s">
        <v>9</v>
      </c>
    </row>
    <row r="512">
      <c r="A512" s="4" t="s">
        <v>23</v>
      </c>
      <c r="B512" s="4" t="s">
        <v>25</v>
      </c>
      <c r="C512" s="4" t="s">
        <v>404</v>
      </c>
      <c r="D512" s="5" t="str">
        <f t="shared" si="115"/>
        <v>12Go Link</v>
      </c>
      <c r="E512" s="4" t="s">
        <v>10</v>
      </c>
    </row>
    <row r="513">
      <c r="A513" s="4" t="s">
        <v>23</v>
      </c>
      <c r="B513" s="4" t="s">
        <v>27</v>
      </c>
      <c r="C513" s="4" t="s">
        <v>405</v>
      </c>
      <c r="D513" s="5" t="str">
        <f t="shared" ref="D513:D515" si="116">HYPERLINK("https://12go.asia/en/travel/Tbilisi-Central/Zestafoni", "12Go Link")</f>
        <v>12Go Link</v>
      </c>
      <c r="E513" s="4" t="s">
        <v>8</v>
      </c>
    </row>
    <row r="514">
      <c r="A514" s="4" t="s">
        <v>23</v>
      </c>
      <c r="B514" s="4" t="s">
        <v>27</v>
      </c>
      <c r="C514" s="4" t="s">
        <v>405</v>
      </c>
      <c r="D514" s="5" t="str">
        <f t="shared" si="116"/>
        <v>12Go Link</v>
      </c>
      <c r="E514" s="4" t="s">
        <v>9</v>
      </c>
    </row>
    <row r="515">
      <c r="A515" s="4" t="s">
        <v>23</v>
      </c>
      <c r="B515" s="4" t="s">
        <v>27</v>
      </c>
      <c r="C515" s="4" t="s">
        <v>405</v>
      </c>
      <c r="D515" s="5" t="str">
        <f t="shared" si="116"/>
        <v>12Go Link</v>
      </c>
      <c r="E515" s="4" t="s">
        <v>10</v>
      </c>
    </row>
    <row r="516">
      <c r="A516" s="2" t="s">
        <v>25</v>
      </c>
      <c r="B516" s="2" t="s">
        <v>5</v>
      </c>
      <c r="C516" s="2" t="s">
        <v>406</v>
      </c>
      <c r="D516" s="3" t="str">
        <f t="shared" ref="D516:D518" si="117">HYPERLINK("https://12go.asia/en/travel/Ureki/Armavir-Railway", "12Go Link")</f>
        <v>12Go Link</v>
      </c>
      <c r="E516" s="2" t="s">
        <v>8</v>
      </c>
    </row>
    <row r="517">
      <c r="A517" s="2" t="s">
        <v>25</v>
      </c>
      <c r="B517" s="2" t="s">
        <v>5</v>
      </c>
      <c r="C517" s="2" t="s">
        <v>406</v>
      </c>
      <c r="D517" s="3" t="str">
        <f t="shared" si="117"/>
        <v>12Go Link</v>
      </c>
      <c r="E517" s="2" t="s">
        <v>9</v>
      </c>
    </row>
    <row r="518">
      <c r="A518" s="2" t="s">
        <v>25</v>
      </c>
      <c r="B518" s="2" t="s">
        <v>5</v>
      </c>
      <c r="C518" s="2" t="s">
        <v>406</v>
      </c>
      <c r="D518" s="3" t="str">
        <f t="shared" si="117"/>
        <v>12Go Link</v>
      </c>
      <c r="E518" s="2" t="s">
        <v>10</v>
      </c>
    </row>
    <row r="519">
      <c r="A519" s="2" t="s">
        <v>25</v>
      </c>
      <c r="B519" s="2" t="s">
        <v>6</v>
      </c>
      <c r="C519" s="2" t="s">
        <v>407</v>
      </c>
      <c r="D519" s="3" t="str">
        <f t="shared" ref="D519:D521" si="118">HYPERLINK("https://12go.asia/en/travel/Ureki/Gyumri", "12Go Link")</f>
        <v>12Go Link</v>
      </c>
      <c r="E519" s="2" t="s">
        <v>8</v>
      </c>
    </row>
    <row r="520">
      <c r="A520" s="2" t="s">
        <v>25</v>
      </c>
      <c r="B520" s="2" t="s">
        <v>6</v>
      </c>
      <c r="C520" s="2" t="s">
        <v>407</v>
      </c>
      <c r="D520" s="3" t="str">
        <f t="shared" si="118"/>
        <v>12Go Link</v>
      </c>
      <c r="E520" s="2" t="s">
        <v>9</v>
      </c>
    </row>
    <row r="521">
      <c r="A521" s="2" t="s">
        <v>25</v>
      </c>
      <c r="B521" s="2" t="s">
        <v>6</v>
      </c>
      <c r="C521" s="2" t="s">
        <v>407</v>
      </c>
      <c r="D521" s="3" t="str">
        <f t="shared" si="118"/>
        <v>12Go Link</v>
      </c>
      <c r="E521" s="2" t="s">
        <v>10</v>
      </c>
    </row>
    <row r="522">
      <c r="A522" s="2" t="s">
        <v>25</v>
      </c>
      <c r="B522" s="2" t="s">
        <v>11</v>
      </c>
      <c r="C522" s="2" t="s">
        <v>408</v>
      </c>
      <c r="D522" s="3" t="str">
        <f t="shared" ref="D522:D524" si="119">HYPERLINK("https://12go.asia/en/travel/Ureki/Vanadzor", "12Go Link")</f>
        <v>12Go Link</v>
      </c>
      <c r="E522" s="2" t="s">
        <v>8</v>
      </c>
    </row>
    <row r="523">
      <c r="A523" s="2" t="s">
        <v>25</v>
      </c>
      <c r="B523" s="2" t="s">
        <v>11</v>
      </c>
      <c r="C523" s="2" t="s">
        <v>408</v>
      </c>
      <c r="D523" s="3" t="str">
        <f t="shared" si="119"/>
        <v>12Go Link</v>
      </c>
      <c r="E523" s="2" t="s">
        <v>9</v>
      </c>
    </row>
    <row r="524">
      <c r="A524" s="2" t="s">
        <v>25</v>
      </c>
      <c r="B524" s="2" t="s">
        <v>11</v>
      </c>
      <c r="C524" s="2" t="s">
        <v>408</v>
      </c>
      <c r="D524" s="3" t="str">
        <f t="shared" si="119"/>
        <v>12Go Link</v>
      </c>
      <c r="E524" s="2" t="s">
        <v>10</v>
      </c>
    </row>
    <row r="525">
      <c r="A525" s="2" t="s">
        <v>25</v>
      </c>
      <c r="B525" s="2" t="s">
        <v>13</v>
      </c>
      <c r="C525" s="2" t="s">
        <v>409</v>
      </c>
      <c r="D525" s="3" t="str">
        <f t="shared" ref="D525:D527" si="120">HYPERLINK("https://12go.asia/en/travel/Ureki/Yerevan-Railway", "12Go Link")</f>
        <v>12Go Link</v>
      </c>
      <c r="E525" s="2" t="s">
        <v>8</v>
      </c>
    </row>
    <row r="526">
      <c r="A526" s="2" t="s">
        <v>25</v>
      </c>
      <c r="B526" s="2" t="s">
        <v>13</v>
      </c>
      <c r="C526" s="2" t="s">
        <v>409</v>
      </c>
      <c r="D526" s="3" t="str">
        <f t="shared" si="120"/>
        <v>12Go Link</v>
      </c>
      <c r="E526" s="2" t="s">
        <v>9</v>
      </c>
    </row>
    <row r="527">
      <c r="A527" s="2" t="s">
        <v>25</v>
      </c>
      <c r="B527" s="2" t="s">
        <v>13</v>
      </c>
      <c r="C527" s="2" t="s">
        <v>409</v>
      </c>
      <c r="D527" s="3" t="str">
        <f t="shared" si="120"/>
        <v>12Go Link</v>
      </c>
      <c r="E527" s="2" t="s">
        <v>10</v>
      </c>
    </row>
    <row r="528">
      <c r="A528" s="2" t="s">
        <v>25</v>
      </c>
      <c r="B528" s="2" t="s">
        <v>15</v>
      </c>
      <c r="C528" s="2" t="s">
        <v>410</v>
      </c>
      <c r="D528" s="3" t="str">
        <f t="shared" ref="D528:D530" si="121">HYPERLINK("https://12go.asia/en/travel/Ureki/Batumi-Central", "12Go Link")</f>
        <v>12Go Link</v>
      </c>
      <c r="E528" s="2" t="s">
        <v>8</v>
      </c>
    </row>
    <row r="529">
      <c r="A529" s="2" t="s">
        <v>25</v>
      </c>
      <c r="B529" s="2" t="s">
        <v>15</v>
      </c>
      <c r="C529" s="2" t="s">
        <v>410</v>
      </c>
      <c r="D529" s="3" t="str">
        <f t="shared" si="121"/>
        <v>12Go Link</v>
      </c>
      <c r="E529" s="2" t="s">
        <v>9</v>
      </c>
    </row>
    <row r="530">
      <c r="A530" s="2" t="s">
        <v>25</v>
      </c>
      <c r="B530" s="2" t="s">
        <v>15</v>
      </c>
      <c r="C530" s="2" t="s">
        <v>410</v>
      </c>
      <c r="D530" s="3" t="str">
        <f t="shared" si="121"/>
        <v>12Go Link</v>
      </c>
      <c r="E530" s="2" t="s">
        <v>10</v>
      </c>
    </row>
    <row r="531">
      <c r="A531" s="2" t="s">
        <v>25</v>
      </c>
      <c r="B531" s="2" t="s">
        <v>17</v>
      </c>
      <c r="C531" s="2" t="s">
        <v>411</v>
      </c>
      <c r="D531" s="3" t="str">
        <f t="shared" ref="D531:D533" si="122">HYPERLINK("https://12go.asia/en/travel/Ureki/Khashuri", "12Go Link")</f>
        <v>12Go Link</v>
      </c>
      <c r="E531" s="2" t="s">
        <v>8</v>
      </c>
    </row>
    <row r="532">
      <c r="A532" s="2" t="s">
        <v>25</v>
      </c>
      <c r="B532" s="2" t="s">
        <v>17</v>
      </c>
      <c r="C532" s="2" t="s">
        <v>411</v>
      </c>
      <c r="D532" s="3" t="str">
        <f t="shared" si="122"/>
        <v>12Go Link</v>
      </c>
      <c r="E532" s="2" t="s">
        <v>9</v>
      </c>
    </row>
    <row r="533">
      <c r="A533" s="2" t="s">
        <v>25</v>
      </c>
      <c r="B533" s="2" t="s">
        <v>17</v>
      </c>
      <c r="C533" s="2" t="s">
        <v>411</v>
      </c>
      <c r="D533" s="3" t="str">
        <f t="shared" si="122"/>
        <v>12Go Link</v>
      </c>
      <c r="E533" s="2" t="s">
        <v>10</v>
      </c>
    </row>
    <row r="534">
      <c r="A534" s="2" t="s">
        <v>25</v>
      </c>
      <c r="B534" s="2" t="s">
        <v>19</v>
      </c>
      <c r="C534" s="2" t="s">
        <v>412</v>
      </c>
      <c r="D534" s="3" t="str">
        <f t="shared" ref="D534:D536" si="123">HYPERLINK("https://12go.asia/en/travel/Ureki/Kobuleti", "12Go Link")</f>
        <v>12Go Link</v>
      </c>
      <c r="E534" s="2" t="s">
        <v>8</v>
      </c>
    </row>
    <row r="535">
      <c r="A535" s="2" t="s">
        <v>25</v>
      </c>
      <c r="B535" s="2" t="s">
        <v>19</v>
      </c>
      <c r="C535" s="2" t="s">
        <v>412</v>
      </c>
      <c r="D535" s="3" t="str">
        <f t="shared" si="123"/>
        <v>12Go Link</v>
      </c>
      <c r="E535" s="2" t="s">
        <v>9</v>
      </c>
    </row>
    <row r="536">
      <c r="A536" s="2" t="s">
        <v>25</v>
      </c>
      <c r="B536" s="2" t="s">
        <v>19</v>
      </c>
      <c r="C536" s="2" t="s">
        <v>412</v>
      </c>
      <c r="D536" s="3" t="str">
        <f t="shared" si="123"/>
        <v>12Go Link</v>
      </c>
      <c r="E536" s="2" t="s">
        <v>10</v>
      </c>
    </row>
    <row r="537">
      <c r="A537" s="2" t="s">
        <v>25</v>
      </c>
      <c r="B537" s="2" t="s">
        <v>21</v>
      </c>
      <c r="C537" s="2" t="s">
        <v>413</v>
      </c>
      <c r="D537" s="3" t="str">
        <f t="shared" ref="D537:D539" si="124">HYPERLINK("https://12go.asia/en/travel/Ureki/Samtredia", "12Go Link")</f>
        <v>12Go Link</v>
      </c>
      <c r="E537" s="2" t="s">
        <v>8</v>
      </c>
    </row>
    <row r="538">
      <c r="A538" s="2" t="s">
        <v>25</v>
      </c>
      <c r="B538" s="2" t="s">
        <v>21</v>
      </c>
      <c r="C538" s="2" t="s">
        <v>413</v>
      </c>
      <c r="D538" s="3" t="str">
        <f t="shared" si="124"/>
        <v>12Go Link</v>
      </c>
      <c r="E538" s="2" t="s">
        <v>9</v>
      </c>
    </row>
    <row r="539">
      <c r="A539" s="2" t="s">
        <v>25</v>
      </c>
      <c r="B539" s="2" t="s">
        <v>21</v>
      </c>
      <c r="C539" s="2" t="s">
        <v>413</v>
      </c>
      <c r="D539" s="3" t="str">
        <f t="shared" si="124"/>
        <v>12Go Link</v>
      </c>
      <c r="E539" s="2" t="s">
        <v>10</v>
      </c>
    </row>
    <row r="540">
      <c r="A540" s="2" t="s">
        <v>25</v>
      </c>
      <c r="B540" s="2" t="s">
        <v>23</v>
      </c>
      <c r="C540" s="2" t="s">
        <v>414</v>
      </c>
      <c r="D540" s="3" t="str">
        <f t="shared" ref="D540:D542" si="125">HYPERLINK("https://12go.asia/en/travel/Ureki/Tbilisi-Central", "12Go Link")</f>
        <v>12Go Link</v>
      </c>
      <c r="E540" s="2" t="s">
        <v>8</v>
      </c>
    </row>
    <row r="541">
      <c r="A541" s="2" t="s">
        <v>25</v>
      </c>
      <c r="B541" s="2" t="s">
        <v>23</v>
      </c>
      <c r="C541" s="2" t="s">
        <v>414</v>
      </c>
      <c r="D541" s="3" t="str">
        <f t="shared" si="125"/>
        <v>12Go Link</v>
      </c>
      <c r="E541" s="2" t="s">
        <v>9</v>
      </c>
    </row>
    <row r="542">
      <c r="A542" s="2" t="s">
        <v>25</v>
      </c>
      <c r="B542" s="2" t="s">
        <v>23</v>
      </c>
      <c r="C542" s="2" t="s">
        <v>414</v>
      </c>
      <c r="D542" s="3" t="str">
        <f t="shared" si="125"/>
        <v>12Go Link</v>
      </c>
      <c r="E542" s="2" t="s">
        <v>10</v>
      </c>
    </row>
    <row r="543">
      <c r="A543" s="2" t="s">
        <v>25</v>
      </c>
      <c r="B543" s="2" t="s">
        <v>27</v>
      </c>
      <c r="C543" s="2" t="s">
        <v>415</v>
      </c>
      <c r="D543" s="3" t="str">
        <f t="shared" ref="D543:D545" si="126">HYPERLINK("https://12go.asia/en/travel/Ureki/Zestafoni", "12Go Link")</f>
        <v>12Go Link</v>
      </c>
      <c r="E543" s="2" t="s">
        <v>8</v>
      </c>
    </row>
    <row r="544">
      <c r="A544" s="2" t="s">
        <v>25</v>
      </c>
      <c r="B544" s="2" t="s">
        <v>27</v>
      </c>
      <c r="C544" s="2" t="s">
        <v>415</v>
      </c>
      <c r="D544" s="3" t="str">
        <f t="shared" si="126"/>
        <v>12Go Link</v>
      </c>
      <c r="E544" s="2" t="s">
        <v>9</v>
      </c>
    </row>
    <row r="545">
      <c r="A545" s="2" t="s">
        <v>25</v>
      </c>
      <c r="B545" s="2" t="s">
        <v>27</v>
      </c>
      <c r="C545" s="2" t="s">
        <v>415</v>
      </c>
      <c r="D545" s="3" t="str">
        <f t="shared" si="126"/>
        <v>12Go Link</v>
      </c>
      <c r="E545" s="2" t="s">
        <v>10</v>
      </c>
    </row>
    <row r="546">
      <c r="A546" s="4" t="s">
        <v>27</v>
      </c>
      <c r="B546" s="4" t="s">
        <v>5</v>
      </c>
      <c r="C546" s="4" t="s">
        <v>416</v>
      </c>
      <c r="D546" s="5" t="str">
        <f t="shared" ref="D546:D548" si="127">HYPERLINK("https://12go.asia/en/travel/Zestafoni/Armavir-Railway", "12Go Link")</f>
        <v>12Go Link</v>
      </c>
      <c r="E546" s="4" t="s">
        <v>8</v>
      </c>
    </row>
    <row r="547">
      <c r="A547" s="4" t="s">
        <v>27</v>
      </c>
      <c r="B547" s="4" t="s">
        <v>5</v>
      </c>
      <c r="C547" s="4" t="s">
        <v>416</v>
      </c>
      <c r="D547" s="5" t="str">
        <f t="shared" si="127"/>
        <v>12Go Link</v>
      </c>
      <c r="E547" s="4" t="s">
        <v>9</v>
      </c>
    </row>
    <row r="548">
      <c r="A548" s="4" t="s">
        <v>27</v>
      </c>
      <c r="B548" s="4" t="s">
        <v>5</v>
      </c>
      <c r="C548" s="4" t="s">
        <v>416</v>
      </c>
      <c r="D548" s="5" t="str">
        <f t="shared" si="127"/>
        <v>12Go Link</v>
      </c>
      <c r="E548" s="4" t="s">
        <v>10</v>
      </c>
    </row>
    <row r="549">
      <c r="A549" s="4" t="s">
        <v>27</v>
      </c>
      <c r="B549" s="4" t="s">
        <v>6</v>
      </c>
      <c r="C549" s="4" t="s">
        <v>417</v>
      </c>
      <c r="D549" s="5" t="str">
        <f t="shared" ref="D549:D551" si="128">HYPERLINK("https://12go.asia/en/travel/Zestafoni/Gyumri", "12Go Link")</f>
        <v>12Go Link</v>
      </c>
      <c r="E549" s="4" t="s">
        <v>8</v>
      </c>
    </row>
    <row r="550">
      <c r="A550" s="4" t="s">
        <v>27</v>
      </c>
      <c r="B550" s="4" t="s">
        <v>6</v>
      </c>
      <c r="C550" s="4" t="s">
        <v>417</v>
      </c>
      <c r="D550" s="5" t="str">
        <f t="shared" si="128"/>
        <v>12Go Link</v>
      </c>
      <c r="E550" s="4" t="s">
        <v>9</v>
      </c>
    </row>
    <row r="551">
      <c r="A551" s="4" t="s">
        <v>27</v>
      </c>
      <c r="B551" s="4" t="s">
        <v>6</v>
      </c>
      <c r="C551" s="4" t="s">
        <v>417</v>
      </c>
      <c r="D551" s="5" t="str">
        <f t="shared" si="128"/>
        <v>12Go Link</v>
      </c>
      <c r="E551" s="4" t="s">
        <v>10</v>
      </c>
    </row>
    <row r="552">
      <c r="A552" s="4" t="s">
        <v>27</v>
      </c>
      <c r="B552" s="4" t="s">
        <v>11</v>
      </c>
      <c r="C552" s="4" t="s">
        <v>418</v>
      </c>
      <c r="D552" s="5" t="str">
        <f t="shared" ref="D552:D554" si="129">HYPERLINK("https://12go.asia/en/travel/Zestafoni/Vanadzor", "12Go Link")</f>
        <v>12Go Link</v>
      </c>
      <c r="E552" s="4" t="s">
        <v>8</v>
      </c>
    </row>
    <row r="553">
      <c r="A553" s="4" t="s">
        <v>27</v>
      </c>
      <c r="B553" s="4" t="s">
        <v>11</v>
      </c>
      <c r="C553" s="4" t="s">
        <v>418</v>
      </c>
      <c r="D553" s="5" t="str">
        <f t="shared" si="129"/>
        <v>12Go Link</v>
      </c>
      <c r="E553" s="4" t="s">
        <v>9</v>
      </c>
    </row>
    <row r="554">
      <c r="A554" s="4" t="s">
        <v>27</v>
      </c>
      <c r="B554" s="4" t="s">
        <v>11</v>
      </c>
      <c r="C554" s="4" t="s">
        <v>418</v>
      </c>
      <c r="D554" s="5" t="str">
        <f t="shared" si="129"/>
        <v>12Go Link</v>
      </c>
      <c r="E554" s="4" t="s">
        <v>10</v>
      </c>
    </row>
    <row r="555">
      <c r="A555" s="4" t="s">
        <v>27</v>
      </c>
      <c r="B555" s="4" t="s">
        <v>13</v>
      </c>
      <c r="C555" s="4" t="s">
        <v>419</v>
      </c>
      <c r="D555" s="5" t="str">
        <f t="shared" ref="D555:D557" si="130">HYPERLINK("https://12go.asia/en/travel/Zestafoni/Yerevan-Railway", "12Go Link")</f>
        <v>12Go Link</v>
      </c>
      <c r="E555" s="4" t="s">
        <v>8</v>
      </c>
    </row>
    <row r="556">
      <c r="A556" s="4" t="s">
        <v>27</v>
      </c>
      <c r="B556" s="4" t="s">
        <v>13</v>
      </c>
      <c r="C556" s="4" t="s">
        <v>419</v>
      </c>
      <c r="D556" s="5" t="str">
        <f t="shared" si="130"/>
        <v>12Go Link</v>
      </c>
      <c r="E556" s="4" t="s">
        <v>9</v>
      </c>
    </row>
    <row r="557">
      <c r="A557" s="4" t="s">
        <v>27</v>
      </c>
      <c r="B557" s="4" t="s">
        <v>13</v>
      </c>
      <c r="C557" s="4" t="s">
        <v>419</v>
      </c>
      <c r="D557" s="5" t="str">
        <f t="shared" si="130"/>
        <v>12Go Link</v>
      </c>
      <c r="E557" s="4" t="s">
        <v>10</v>
      </c>
    </row>
    <row r="558">
      <c r="A558" s="4" t="s">
        <v>27</v>
      </c>
      <c r="B558" s="4" t="s">
        <v>15</v>
      </c>
      <c r="C558" s="4" t="s">
        <v>420</v>
      </c>
      <c r="D558" s="5" t="str">
        <f t="shared" ref="D558:D560" si="131">HYPERLINK("https://12go.asia/en/travel/Zestafoni/Batumi-Central", "12Go Link")</f>
        <v>12Go Link</v>
      </c>
      <c r="E558" s="4" t="s">
        <v>8</v>
      </c>
    </row>
    <row r="559">
      <c r="A559" s="4" t="s">
        <v>27</v>
      </c>
      <c r="B559" s="4" t="s">
        <v>15</v>
      </c>
      <c r="C559" s="4" t="s">
        <v>420</v>
      </c>
      <c r="D559" s="5" t="str">
        <f t="shared" si="131"/>
        <v>12Go Link</v>
      </c>
      <c r="E559" s="4" t="s">
        <v>9</v>
      </c>
    </row>
    <row r="560">
      <c r="A560" s="4" t="s">
        <v>27</v>
      </c>
      <c r="B560" s="4" t="s">
        <v>15</v>
      </c>
      <c r="C560" s="4" t="s">
        <v>420</v>
      </c>
      <c r="D560" s="5" t="str">
        <f t="shared" si="131"/>
        <v>12Go Link</v>
      </c>
      <c r="E560" s="4" t="s">
        <v>10</v>
      </c>
    </row>
    <row r="561">
      <c r="A561" s="4" t="s">
        <v>27</v>
      </c>
      <c r="B561" s="4" t="s">
        <v>17</v>
      </c>
      <c r="C561" s="4" t="s">
        <v>421</v>
      </c>
      <c r="D561" s="5" t="str">
        <f t="shared" ref="D561:D563" si="132">HYPERLINK("https://12go.asia/en/travel/Zestafoni/Khashuri", "12Go Link")</f>
        <v>12Go Link</v>
      </c>
      <c r="E561" s="4" t="s">
        <v>8</v>
      </c>
    </row>
    <row r="562">
      <c r="A562" s="4" t="s">
        <v>27</v>
      </c>
      <c r="B562" s="4" t="s">
        <v>17</v>
      </c>
      <c r="C562" s="4" t="s">
        <v>421</v>
      </c>
      <c r="D562" s="5" t="str">
        <f t="shared" si="132"/>
        <v>12Go Link</v>
      </c>
      <c r="E562" s="4" t="s">
        <v>9</v>
      </c>
    </row>
    <row r="563">
      <c r="A563" s="4" t="s">
        <v>27</v>
      </c>
      <c r="B563" s="4" t="s">
        <v>17</v>
      </c>
      <c r="C563" s="4" t="s">
        <v>421</v>
      </c>
      <c r="D563" s="5" t="str">
        <f t="shared" si="132"/>
        <v>12Go Link</v>
      </c>
      <c r="E563" s="4" t="s">
        <v>10</v>
      </c>
    </row>
    <row r="564">
      <c r="A564" s="4" t="s">
        <v>27</v>
      </c>
      <c r="B564" s="4" t="s">
        <v>19</v>
      </c>
      <c r="C564" s="4" t="s">
        <v>422</v>
      </c>
      <c r="D564" s="5" t="str">
        <f t="shared" ref="D564:D566" si="133">HYPERLINK("https://12go.asia/en/travel/Zestafoni/Kobuleti", "12Go Link")</f>
        <v>12Go Link</v>
      </c>
      <c r="E564" s="4" t="s">
        <v>8</v>
      </c>
    </row>
    <row r="565">
      <c r="A565" s="4" t="s">
        <v>27</v>
      </c>
      <c r="B565" s="4" t="s">
        <v>19</v>
      </c>
      <c r="C565" s="4" t="s">
        <v>422</v>
      </c>
      <c r="D565" s="5" t="str">
        <f t="shared" si="133"/>
        <v>12Go Link</v>
      </c>
      <c r="E565" s="4" t="s">
        <v>9</v>
      </c>
    </row>
    <row r="566">
      <c r="A566" s="4" t="s">
        <v>27</v>
      </c>
      <c r="B566" s="4" t="s">
        <v>19</v>
      </c>
      <c r="C566" s="4" t="s">
        <v>422</v>
      </c>
      <c r="D566" s="5" t="str">
        <f t="shared" si="133"/>
        <v>12Go Link</v>
      </c>
      <c r="E566" s="4" t="s">
        <v>10</v>
      </c>
    </row>
    <row r="567">
      <c r="A567" s="4" t="s">
        <v>27</v>
      </c>
      <c r="B567" s="4" t="s">
        <v>21</v>
      </c>
      <c r="C567" s="4" t="s">
        <v>423</v>
      </c>
      <c r="D567" s="5" t="str">
        <f t="shared" ref="D567:D569" si="134">HYPERLINK("https://12go.asia/en/travel/Zestafoni/Samtredia", "12Go Link")</f>
        <v>12Go Link</v>
      </c>
      <c r="E567" s="4" t="s">
        <v>8</v>
      </c>
    </row>
    <row r="568">
      <c r="A568" s="4" t="s">
        <v>27</v>
      </c>
      <c r="B568" s="4" t="s">
        <v>21</v>
      </c>
      <c r="C568" s="4" t="s">
        <v>423</v>
      </c>
      <c r="D568" s="5" t="str">
        <f t="shared" si="134"/>
        <v>12Go Link</v>
      </c>
      <c r="E568" s="4" t="s">
        <v>9</v>
      </c>
    </row>
    <row r="569">
      <c r="A569" s="4" t="s">
        <v>27</v>
      </c>
      <c r="B569" s="4" t="s">
        <v>21</v>
      </c>
      <c r="C569" s="4" t="s">
        <v>423</v>
      </c>
      <c r="D569" s="5" t="str">
        <f t="shared" si="134"/>
        <v>12Go Link</v>
      </c>
      <c r="E569" s="4" t="s">
        <v>10</v>
      </c>
    </row>
    <row r="570">
      <c r="A570" s="4" t="s">
        <v>27</v>
      </c>
      <c r="B570" s="4" t="s">
        <v>23</v>
      </c>
      <c r="C570" s="4" t="s">
        <v>424</v>
      </c>
      <c r="D570" s="5" t="str">
        <f t="shared" ref="D570:D572" si="135">HYPERLINK("https://12go.asia/en/travel/Zestafoni/Tbilisi-Central", "12Go Link")</f>
        <v>12Go Link</v>
      </c>
      <c r="E570" s="4" t="s">
        <v>8</v>
      </c>
    </row>
    <row r="571">
      <c r="A571" s="4" t="s">
        <v>27</v>
      </c>
      <c r="B571" s="4" t="s">
        <v>23</v>
      </c>
      <c r="C571" s="4" t="s">
        <v>424</v>
      </c>
      <c r="D571" s="5" t="str">
        <f t="shared" si="135"/>
        <v>12Go Link</v>
      </c>
      <c r="E571" s="4" t="s">
        <v>9</v>
      </c>
    </row>
    <row r="572">
      <c r="A572" s="4" t="s">
        <v>27</v>
      </c>
      <c r="B572" s="4" t="s">
        <v>23</v>
      </c>
      <c r="C572" s="4" t="s">
        <v>424</v>
      </c>
      <c r="D572" s="5" t="str">
        <f t="shared" si="135"/>
        <v>12Go Link</v>
      </c>
      <c r="E572" s="4" t="s">
        <v>10</v>
      </c>
    </row>
    <row r="573">
      <c r="A573" s="4" t="s">
        <v>27</v>
      </c>
      <c r="B573" s="4" t="s">
        <v>25</v>
      </c>
      <c r="C573" s="4" t="s">
        <v>425</v>
      </c>
      <c r="D573" s="5" t="str">
        <f t="shared" ref="D573:D575" si="136">HYPERLINK("https://12go.asia/en/travel/Zestafoni/Ureki", "12Go Link")</f>
        <v>12Go Link</v>
      </c>
      <c r="E573" s="4" t="s">
        <v>8</v>
      </c>
    </row>
    <row r="574">
      <c r="A574" s="4" t="s">
        <v>27</v>
      </c>
      <c r="B574" s="4" t="s">
        <v>25</v>
      </c>
      <c r="C574" s="4" t="s">
        <v>425</v>
      </c>
      <c r="D574" s="5" t="str">
        <f t="shared" si="136"/>
        <v>12Go Link</v>
      </c>
      <c r="E574" s="4" t="s">
        <v>9</v>
      </c>
    </row>
    <row r="575">
      <c r="A575" s="4" t="s">
        <v>27</v>
      </c>
      <c r="B575" s="4" t="s">
        <v>25</v>
      </c>
      <c r="C575" s="4" t="s">
        <v>425</v>
      </c>
      <c r="D575" s="5" t="str">
        <f t="shared" si="136"/>
        <v>12Go Link</v>
      </c>
      <c r="E575" s="4" t="s">
        <v>10</v>
      </c>
    </row>
    <row r="576">
      <c r="A576" s="6" t="s">
        <v>426</v>
      </c>
      <c r="B576" s="6" t="s">
        <v>427</v>
      </c>
      <c r="C576" s="6" t="s">
        <v>428</v>
      </c>
      <c r="D576" s="7" t="str">
        <f t="shared" ref="D576:D577" si="137">HYPERLINK("https://12go.asia/en/travel/aluva/gandhi-puram", "12Go Link")</f>
        <v>12Go Link</v>
      </c>
      <c r="E576" s="6" t="s">
        <v>66</v>
      </c>
    </row>
    <row r="577">
      <c r="A577" s="6" t="s">
        <v>426</v>
      </c>
      <c r="B577" s="6" t="s">
        <v>427</v>
      </c>
      <c r="C577" s="6" t="s">
        <v>428</v>
      </c>
      <c r="D577" s="7" t="str">
        <f t="shared" si="137"/>
        <v>12Go Link</v>
      </c>
      <c r="E577" s="6" t="s">
        <v>239</v>
      </c>
    </row>
    <row r="578">
      <c r="A578" s="8" t="s">
        <v>429</v>
      </c>
      <c r="B578" s="8" t="s">
        <v>430</v>
      </c>
      <c r="C578" s="8" t="s">
        <v>431</v>
      </c>
      <c r="D578" s="9" t="str">
        <f>HYPERLINK("https://12go.asia/en/travel/delhi/shahganj-utar-pradesh", "12Go Link")</f>
        <v>12Go Link</v>
      </c>
      <c r="E578" s="8" t="s">
        <v>239</v>
      </c>
    </row>
    <row r="579">
      <c r="A579" s="8" t="s">
        <v>429</v>
      </c>
      <c r="B579" s="8" t="s">
        <v>432</v>
      </c>
      <c r="C579" s="8" t="s">
        <v>433</v>
      </c>
      <c r="D579" s="9" t="str">
        <f>HYPERLINK("https://12go.asia/en/travel/anand-vihar-trm/zafarabad-junction", "12Go Link")</f>
        <v>12Go Link</v>
      </c>
      <c r="E579" s="8" t="s">
        <v>239</v>
      </c>
    </row>
    <row r="580">
      <c r="A580" s="8" t="s">
        <v>429</v>
      </c>
      <c r="B580" s="8" t="s">
        <v>432</v>
      </c>
      <c r="C580" s="8" t="s">
        <v>434</v>
      </c>
      <c r="D580" s="9" t="str">
        <f>HYPERLINK("https://12go.asia/en/travel/delhi/zafarabad", "12Go Link")</f>
        <v>12Go Link</v>
      </c>
      <c r="E580" s="8" t="s">
        <v>239</v>
      </c>
    </row>
    <row r="581">
      <c r="A581" s="6" t="s">
        <v>435</v>
      </c>
      <c r="B581" s="6" t="s">
        <v>436</v>
      </c>
      <c r="C581" s="6" t="s">
        <v>437</v>
      </c>
      <c r="D581" s="7" t="str">
        <f>HYPERLINK("https://12go.asia/en/travel/gudur/kasibugga", "12Go Link")</f>
        <v>12Go Link</v>
      </c>
      <c r="E581" s="6" t="s">
        <v>239</v>
      </c>
    </row>
    <row r="582">
      <c r="A582" s="6" t="s">
        <v>435</v>
      </c>
      <c r="B582" s="6" t="s">
        <v>438</v>
      </c>
      <c r="C582" s="6" t="s">
        <v>439</v>
      </c>
      <c r="D582" s="7" t="str">
        <f>HYPERLINK("https://12go.asia/en/travel/gudur-junction/palasa", "12Go Link")</f>
        <v>12Go Link</v>
      </c>
      <c r="E582" s="6" t="s">
        <v>239</v>
      </c>
    </row>
    <row r="583">
      <c r="A583" s="6" t="s">
        <v>435</v>
      </c>
      <c r="B583" s="6" t="s">
        <v>438</v>
      </c>
      <c r="C583" s="6" t="s">
        <v>440</v>
      </c>
      <c r="D583" s="7" t="str">
        <f>HYPERLINK("https://12go.asia/en/travel/gudur/palasa", "12Go Link")</f>
        <v>12Go Link</v>
      </c>
      <c r="E583" s="6" t="s">
        <v>239</v>
      </c>
    </row>
    <row r="584">
      <c r="A584" s="8" t="s">
        <v>441</v>
      </c>
      <c r="B584" s="8" t="s">
        <v>442</v>
      </c>
      <c r="C584" s="8" t="s">
        <v>443</v>
      </c>
      <c r="D584" s="9" t="str">
        <f>HYPERLINK("https://12go.asia/en/travel/haridwar-jn/bareilly", "12Go Link")</f>
        <v>12Go Link</v>
      </c>
      <c r="E584" s="8" t="s">
        <v>239</v>
      </c>
    </row>
    <row r="585">
      <c r="A585" s="6" t="s">
        <v>444</v>
      </c>
      <c r="B585" s="6" t="s">
        <v>427</v>
      </c>
      <c r="C585" s="6" t="s">
        <v>445</v>
      </c>
      <c r="D585" s="7" t="str">
        <f>HYPERLINK("https://12go.asia/en/travel/kochi-india/gandhi-puram", "12Go Link")</f>
        <v>12Go Link</v>
      </c>
      <c r="E585" s="6" t="s">
        <v>239</v>
      </c>
    </row>
    <row r="586">
      <c r="A586" s="8" t="s">
        <v>446</v>
      </c>
      <c r="B586" s="8" t="s">
        <v>447</v>
      </c>
      <c r="C586" s="8" t="s">
        <v>448</v>
      </c>
      <c r="D586" s="9" t="str">
        <f>HYPERLINK("https://12go.asia/en/travel/krishnarajapuram/pondicherry", "12Go Link")</f>
        <v>12Go Link</v>
      </c>
      <c r="E586" s="8" t="s">
        <v>239</v>
      </c>
    </row>
    <row r="587">
      <c r="A587" s="6" t="s">
        <v>449</v>
      </c>
      <c r="B587" s="6" t="s">
        <v>450</v>
      </c>
      <c r="C587" s="6" t="s">
        <v>451</v>
      </c>
      <c r="D587" s="7" t="str">
        <f>HYPERLINK("https://12go.asia/en/travel/mau/bihar", "12Go Link")</f>
        <v>12Go Link</v>
      </c>
      <c r="E587" s="6" t="s">
        <v>239</v>
      </c>
    </row>
    <row r="588">
      <c r="A588" s="6" t="s">
        <v>449</v>
      </c>
      <c r="B588" s="6" t="s">
        <v>452</v>
      </c>
      <c r="C588" s="6" t="s">
        <v>453</v>
      </c>
      <c r="D588" s="7" t="str">
        <f>HYPERLINK("https://12go.asia/en/travel/mau-junction/hajipur-junction", "12Go Link")</f>
        <v>12Go Link</v>
      </c>
      <c r="E588" s="6" t="s">
        <v>239</v>
      </c>
    </row>
    <row r="589">
      <c r="A589" s="6" t="s">
        <v>449</v>
      </c>
      <c r="B589" s="6" t="s">
        <v>452</v>
      </c>
      <c r="C589" s="6" t="s">
        <v>454</v>
      </c>
      <c r="D589" s="7" t="str">
        <f>HYPERLINK("https://12go.asia/en/travel/mau/hajipur", "12Go Link")</f>
        <v>12Go Link</v>
      </c>
      <c r="E589" s="6" t="s">
        <v>239</v>
      </c>
    </row>
    <row r="590">
      <c r="A590" s="8" t="s">
        <v>455</v>
      </c>
      <c r="B590" s="8" t="s">
        <v>456</v>
      </c>
      <c r="C590" s="8" t="s">
        <v>457</v>
      </c>
      <c r="D590" s="9" t="str">
        <f>HYPERLINK("https://12go.asia/en/travel/new-delhi/birgunj-nepal-border", "12Go Link")</f>
        <v>12Go Link</v>
      </c>
      <c r="E590" s="8" t="s">
        <v>239</v>
      </c>
    </row>
    <row r="591">
      <c r="A591" s="6" t="s">
        <v>458</v>
      </c>
      <c r="B591" s="6" t="s">
        <v>459</v>
      </c>
      <c r="C591" s="6" t="s">
        <v>460</v>
      </c>
      <c r="D591" s="7" t="str">
        <f>HYPERLINK("https://12go.asia/en/travel/tundla/ranthambore-national-park", "12Go Link")</f>
        <v>12Go Link</v>
      </c>
      <c r="E591" s="6" t="s">
        <v>239</v>
      </c>
    </row>
    <row r="592">
      <c r="A592" s="4" t="s">
        <v>461</v>
      </c>
      <c r="B592" s="4" t="s">
        <v>462</v>
      </c>
      <c r="C592" s="4" t="s">
        <v>463</v>
      </c>
      <c r="D592" s="5" t="str">
        <f>HYPERLINK("https://12go.asia/en/travel/bandar-lampung/tanjung-priok", "12Go Link")</f>
        <v>12Go Link</v>
      </c>
      <c r="E592" s="4" t="s">
        <v>464</v>
      </c>
    </row>
    <row r="593">
      <c r="A593" s="2" t="s">
        <v>465</v>
      </c>
      <c r="B593" s="2" t="s">
        <v>466</v>
      </c>
      <c r="C593" s="2" t="s">
        <v>467</v>
      </c>
      <c r="D593" s="3" t="str">
        <f>HYPERLINK("https://12go.asia/en/travel/east-bali/kualalupak", "12Go Link")</f>
        <v>12Go Link</v>
      </c>
      <c r="E593" s="2" t="s">
        <v>464</v>
      </c>
    </row>
    <row r="594">
      <c r="A594" s="4" t="s">
        <v>468</v>
      </c>
      <c r="B594" s="4" t="s">
        <v>466</v>
      </c>
      <c r="C594" s="4" t="s">
        <v>469</v>
      </c>
      <c r="D594" s="5" t="str">
        <f>HYPERLINK("https://12go.asia/en/travel/east-java/kualalupak", "12Go Link")</f>
        <v>12Go Link</v>
      </c>
      <c r="E594" s="4" t="s">
        <v>464</v>
      </c>
    </row>
    <row r="595">
      <c r="A595" s="2" t="s">
        <v>470</v>
      </c>
      <c r="B595" s="2" t="s">
        <v>471</v>
      </c>
      <c r="C595" s="2" t="s">
        <v>472</v>
      </c>
      <c r="D595" s="3" t="str">
        <f>HYPERLINK("https://12go.asia/en/travel/jatibening/padang-pariaman", "12Go Link")</f>
        <v>12Go Link</v>
      </c>
      <c r="E595" s="2" t="s">
        <v>464</v>
      </c>
    </row>
    <row r="596">
      <c r="A596" s="2" t="s">
        <v>470</v>
      </c>
      <c r="B596" s="2" t="s">
        <v>473</v>
      </c>
      <c r="C596" s="2" t="s">
        <v>474</v>
      </c>
      <c r="D596" s="3" t="str">
        <f>HYPERLINK("https://12go.asia/en/travel/jatibening/riau", "12Go Link")</f>
        <v>12Go Link</v>
      </c>
      <c r="E596" s="2" t="s">
        <v>464</v>
      </c>
    </row>
    <row r="597">
      <c r="A597" s="4" t="s">
        <v>475</v>
      </c>
      <c r="B597" s="4" t="s">
        <v>476</v>
      </c>
      <c r="C597" s="4" t="s">
        <v>477</v>
      </c>
      <c r="D597" s="5" t="str">
        <f>HYPERLINK("https://12go.asia/en/travel/Kuta-Beachwalk-Mall/Denpasar-Sanur-Grand-Lucky-Supermarket", "12Go Link")</f>
        <v>12Go Link</v>
      </c>
      <c r="E597" s="4" t="s">
        <v>478</v>
      </c>
    </row>
    <row r="598">
      <c r="A598" s="4" t="s">
        <v>475</v>
      </c>
      <c r="B598" s="4" t="s">
        <v>479</v>
      </c>
      <c r="C598" s="4" t="s">
        <v>480</v>
      </c>
      <c r="D598" s="5" t="str">
        <f>HYPERLINK("https://12go.asia/en/travel/Kuta-Beachwalk-Mall/Ubud-Puri-Lukisan-Museum", "12Go Link")</f>
        <v>12Go Link</v>
      </c>
      <c r="E598" s="4" t="s">
        <v>478</v>
      </c>
    </row>
    <row r="599">
      <c r="A599" s="2" t="s">
        <v>481</v>
      </c>
      <c r="B599" s="2" t="s">
        <v>482</v>
      </c>
      <c r="C599" s="2" t="s">
        <v>483</v>
      </c>
      <c r="D599" s="3" t="str">
        <f t="shared" ref="D599:D600" si="138">HYPERLINK("https://12go.asia/en/travel/Kayangan-Sea-Port/Pelabuhan-Labuan-Bajo", "12Go Link")</f>
        <v>12Go Link</v>
      </c>
      <c r="E599" s="2" t="s">
        <v>484</v>
      </c>
    </row>
    <row r="600">
      <c r="A600" s="2" t="s">
        <v>481</v>
      </c>
      <c r="B600" s="2" t="s">
        <v>482</v>
      </c>
      <c r="C600" s="2" t="s">
        <v>483</v>
      </c>
      <c r="D600" s="3" t="str">
        <f t="shared" si="138"/>
        <v>12Go Link</v>
      </c>
      <c r="E600" s="2" t="s">
        <v>485</v>
      </c>
    </row>
    <row r="601">
      <c r="A601" s="4" t="s">
        <v>486</v>
      </c>
      <c r="B601" s="4" t="s">
        <v>487</v>
      </c>
      <c r="C601" s="4" t="s">
        <v>488</v>
      </c>
      <c r="D601" s="5" t="str">
        <f>HYPERLINK("https://12go.asia/en/travel/makassar/mimika", "12Go Link")</f>
        <v>12Go Link</v>
      </c>
      <c r="E601" s="4" t="s">
        <v>464</v>
      </c>
    </row>
    <row r="602">
      <c r="A602" s="2" t="s">
        <v>489</v>
      </c>
      <c r="B602" s="2" t="s">
        <v>490</v>
      </c>
      <c r="C602" s="2" t="s">
        <v>491</v>
      </c>
      <c r="D602" s="3" t="str">
        <f>HYPERLINK("https://12go.asia/en/travel/Banjar-Nyuh-Idola/Gili-Trawangan-Pier", "12Go Link")</f>
        <v>12Go Link</v>
      </c>
      <c r="E602" s="2" t="s">
        <v>492</v>
      </c>
    </row>
    <row r="603">
      <c r="A603" s="2" t="s">
        <v>489</v>
      </c>
      <c r="B603" s="2" t="s">
        <v>481</v>
      </c>
      <c r="C603" s="2" t="s">
        <v>493</v>
      </c>
      <c r="D603" s="3" t="str">
        <f>HYPERLINK("https://12go.asia/en/travel/Banjar-Nyuh-Idola/Bangsal-Lombok", "12Go Link")</f>
        <v>12Go Link</v>
      </c>
      <c r="E603" s="2" t="s">
        <v>492</v>
      </c>
    </row>
    <row r="604">
      <c r="A604" s="4" t="s">
        <v>473</v>
      </c>
      <c r="B604" s="4" t="s">
        <v>494</v>
      </c>
      <c r="C604" s="4" t="s">
        <v>495</v>
      </c>
      <c r="D604" s="5" t="str">
        <f>HYPERLINK("https://12go.asia/en/travel/riau/depok", "12Go Link")</f>
        <v>12Go Link</v>
      </c>
      <c r="E604" s="4" t="s">
        <v>464</v>
      </c>
    </row>
    <row r="605">
      <c r="A605" s="4" t="s">
        <v>473</v>
      </c>
      <c r="B605" s="4" t="s">
        <v>496</v>
      </c>
      <c r="C605" s="4" t="s">
        <v>497</v>
      </c>
      <c r="D605" s="5" t="str">
        <f>HYPERLINK("https://12go.asia/en/travel/riau/south-tangerang", "12Go Link")</f>
        <v>12Go Link</v>
      </c>
      <c r="E605" s="4" t="s">
        <v>464</v>
      </c>
    </row>
    <row r="606">
      <c r="A606" s="2" t="s">
        <v>476</v>
      </c>
      <c r="B606" s="2" t="s">
        <v>481</v>
      </c>
      <c r="C606" s="2" t="s">
        <v>498</v>
      </c>
      <c r="D606" s="3" t="str">
        <f>HYPERLINK("https://12go.asia/en/travel/Idola-Express-Sanur/Bangsal-Lombok", "12Go Link")</f>
        <v>12Go Link</v>
      </c>
      <c r="E606" s="2" t="s">
        <v>492</v>
      </c>
    </row>
    <row r="607">
      <c r="A607" s="2" t="s">
        <v>476</v>
      </c>
      <c r="B607" s="2" t="s">
        <v>479</v>
      </c>
      <c r="C607" s="2" t="s">
        <v>499</v>
      </c>
      <c r="D607" s="3" t="str">
        <f>HYPERLINK("https://12go.asia/en/travel/Denpasar-Sanur-Grand-Lucky-Supermarket/Ubud-Puri-Lukisan-Museum", "12Go Link")</f>
        <v>12Go Link</v>
      </c>
      <c r="E607" s="2" t="s">
        <v>478</v>
      </c>
    </row>
    <row r="608">
      <c r="A608" s="4" t="s">
        <v>479</v>
      </c>
      <c r="B608" s="4" t="s">
        <v>500</v>
      </c>
      <c r="C608" s="4" t="s">
        <v>501</v>
      </c>
      <c r="D608" s="5" t="str">
        <f>HYPERLINK("https://12go.asia/en/travel/Ubud-Transfer/Busung-Biu-Transfer", "12Go Link")</f>
        <v>12Go Link</v>
      </c>
      <c r="E608" s="4" t="s">
        <v>502</v>
      </c>
    </row>
    <row r="609">
      <c r="A609" s="6" t="s">
        <v>503</v>
      </c>
      <c r="B609" s="6" t="s">
        <v>504</v>
      </c>
      <c r="C609" s="6" t="s">
        <v>505</v>
      </c>
      <c r="D609" s="7" t="str">
        <f>HYPERLINK("https://12go.asia/en/travel/Nishitetsu-Tenjin-Expressway-Bus-Terminal/Fukuoka-Airport-International-Terminal", "12Go Link")</f>
        <v>12Go Link</v>
      </c>
      <c r="E609" s="6" t="s">
        <v>506</v>
      </c>
    </row>
    <row r="610">
      <c r="A610" s="6" t="s">
        <v>503</v>
      </c>
      <c r="B610" s="6" t="s">
        <v>507</v>
      </c>
      <c r="C610" s="6" t="s">
        <v>508</v>
      </c>
      <c r="D610" s="7" t="str">
        <f>HYPERLINK("https://12go.asia/en/travel/Hakata-Bus-Terminal/Nagasaki-station", "12Go Link")</f>
        <v>12Go Link</v>
      </c>
      <c r="E610" s="6" t="s">
        <v>506</v>
      </c>
    </row>
    <row r="611">
      <c r="A611" s="8" t="s">
        <v>509</v>
      </c>
      <c r="B611" s="8" t="s">
        <v>510</v>
      </c>
      <c r="C611" s="8" t="s">
        <v>511</v>
      </c>
      <c r="D611" s="9" t="str">
        <f>HYPERLINK("https://12go.asia/en/travel/Hozugawa-Rafting/Togetsukyo-Bridge", "12Go Link")</f>
        <v>12Go Link</v>
      </c>
      <c r="E611" s="8" t="s">
        <v>512</v>
      </c>
    </row>
    <row r="612">
      <c r="A612" s="6" t="s">
        <v>513</v>
      </c>
      <c r="B612" s="6" t="s">
        <v>514</v>
      </c>
      <c r="C612" s="6" t="s">
        <v>515</v>
      </c>
      <c r="D612" s="7" t="str">
        <f t="shared" ref="D612:D615" si="139">HYPERLINK("https://12go.asia/en/travel/Kanazawa/Tokyo", "12Go Link")</f>
        <v>12Go Link</v>
      </c>
      <c r="E612" s="6" t="s">
        <v>516</v>
      </c>
    </row>
    <row r="613">
      <c r="A613" s="6" t="s">
        <v>513</v>
      </c>
      <c r="B613" s="6" t="s">
        <v>514</v>
      </c>
      <c r="C613" s="6" t="s">
        <v>515</v>
      </c>
      <c r="D613" s="7" t="str">
        <f t="shared" si="139"/>
        <v>12Go Link</v>
      </c>
      <c r="E613" s="6" t="s">
        <v>517</v>
      </c>
    </row>
    <row r="614">
      <c r="A614" s="6" t="s">
        <v>513</v>
      </c>
      <c r="B614" s="6" t="s">
        <v>514</v>
      </c>
      <c r="C614" s="6" t="s">
        <v>515</v>
      </c>
      <c r="D614" s="7" t="str">
        <f t="shared" si="139"/>
        <v>12Go Link</v>
      </c>
      <c r="E614" s="6" t="s">
        <v>518</v>
      </c>
    </row>
    <row r="615">
      <c r="A615" s="6" t="s">
        <v>513</v>
      </c>
      <c r="B615" s="6" t="s">
        <v>514</v>
      </c>
      <c r="C615" s="6" t="s">
        <v>515</v>
      </c>
      <c r="D615" s="7" t="str">
        <f t="shared" si="139"/>
        <v>12Go Link</v>
      </c>
      <c r="E615" s="6" t="s">
        <v>519</v>
      </c>
    </row>
    <row r="616">
      <c r="A616" s="8" t="s">
        <v>520</v>
      </c>
      <c r="B616" s="8" t="s">
        <v>521</v>
      </c>
      <c r="C616" s="8" t="s">
        <v>522</v>
      </c>
      <c r="D616" s="9" t="str">
        <f>HYPERLINK("https://12go.asia/en/travel/Karuizawa-Station/Kusatsu-Onsen", "12Go Link")</f>
        <v>12Go Link</v>
      </c>
      <c r="E616" s="8" t="s">
        <v>523</v>
      </c>
    </row>
    <row r="617">
      <c r="A617" s="6" t="s">
        <v>521</v>
      </c>
      <c r="B617" s="6" t="s">
        <v>520</v>
      </c>
      <c r="C617" s="6" t="s">
        <v>524</v>
      </c>
      <c r="D617" s="7" t="str">
        <f>HYPERLINK("https://12go.asia/en/travel/Kusatsu-Onsen/Karuizawa-Station", "12Go Link")</f>
        <v>12Go Link</v>
      </c>
      <c r="E617" s="6" t="s">
        <v>523</v>
      </c>
    </row>
    <row r="618">
      <c r="A618" s="8" t="s">
        <v>525</v>
      </c>
      <c r="B618" s="8" t="s">
        <v>525</v>
      </c>
      <c r="C618" s="8" t="s">
        <v>526</v>
      </c>
      <c r="D618" s="9" t="str">
        <f>HYPERLINK("https://12go.asia/en/travel/Kyoto-Station-Karasuma-Exit/Gojo-Ohashi-Bridge", "12Go Link")</f>
        <v>12Go Link</v>
      </c>
      <c r="E618" s="8" t="s">
        <v>527</v>
      </c>
    </row>
    <row r="619">
      <c r="A619" s="8" t="s">
        <v>525</v>
      </c>
      <c r="B619" s="8" t="s">
        <v>525</v>
      </c>
      <c r="C619" s="8" t="s">
        <v>528</v>
      </c>
      <c r="D619" s="9" t="str">
        <f>HYPERLINK("https://12go.asia/en/travel/Kyoto-Station-Karasuma-Exit/Minamiza-Theater", "12Go Link")</f>
        <v>12Go Link</v>
      </c>
      <c r="E619" s="8" t="s">
        <v>527</v>
      </c>
    </row>
    <row r="620">
      <c r="A620" s="8" t="s">
        <v>525</v>
      </c>
      <c r="B620" s="8" t="s">
        <v>525</v>
      </c>
      <c r="C620" s="8" t="s">
        <v>529</v>
      </c>
      <c r="D620" s="9" t="str">
        <f>HYPERLINK("https://12go.asia/en/travel/Kyoto-Station-Karasuma-Exit/Nishi-Honganji-Temple", "12Go Link")</f>
        <v>12Go Link</v>
      </c>
      <c r="E620" s="8" t="s">
        <v>527</v>
      </c>
    </row>
    <row r="621">
      <c r="A621" s="8" t="s">
        <v>525</v>
      </c>
      <c r="B621" s="8" t="s">
        <v>525</v>
      </c>
      <c r="C621" s="8" t="s">
        <v>530</v>
      </c>
      <c r="D621" s="9" t="str">
        <f>HYPERLINK("https://12go.asia/en/travel/Kyoto-Station-Karasuma-Exit/Shijo-dori", "12Go Link")</f>
        <v>12Go Link</v>
      </c>
      <c r="E621" s="8" t="s">
        <v>527</v>
      </c>
    </row>
    <row r="622">
      <c r="A622" s="8" t="s">
        <v>525</v>
      </c>
      <c r="B622" s="8" t="s">
        <v>531</v>
      </c>
      <c r="C622" s="8" t="s">
        <v>532</v>
      </c>
      <c r="D622" s="9" t="str">
        <f t="shared" ref="D622:D624" si="140">HYPERLINK("https://12go.asia/en/travel/Kyoto/Shin-Osaka", "12Go Link")</f>
        <v>12Go Link</v>
      </c>
      <c r="E622" s="8" t="s">
        <v>517</v>
      </c>
    </row>
    <row r="623">
      <c r="A623" s="8" t="s">
        <v>525</v>
      </c>
      <c r="B623" s="8" t="s">
        <v>531</v>
      </c>
      <c r="C623" s="8" t="s">
        <v>532</v>
      </c>
      <c r="D623" s="9" t="str">
        <f t="shared" si="140"/>
        <v>12Go Link</v>
      </c>
      <c r="E623" s="8" t="s">
        <v>533</v>
      </c>
    </row>
    <row r="624">
      <c r="A624" s="8" t="s">
        <v>525</v>
      </c>
      <c r="B624" s="8" t="s">
        <v>531</v>
      </c>
      <c r="C624" s="8" t="s">
        <v>532</v>
      </c>
      <c r="D624" s="9" t="str">
        <f t="shared" si="140"/>
        <v>12Go Link</v>
      </c>
      <c r="E624" s="8" t="s">
        <v>519</v>
      </c>
    </row>
    <row r="625">
      <c r="A625" s="8" t="s">
        <v>525</v>
      </c>
      <c r="B625" s="8" t="s">
        <v>514</v>
      </c>
      <c r="C625" s="8" t="s">
        <v>534</v>
      </c>
      <c r="D625" s="9" t="str">
        <f t="shared" ref="D625:D627" si="141">HYPERLINK("https://12go.asia/en/travel/Kyoto/Tokyo", "12Go Link")</f>
        <v>12Go Link</v>
      </c>
      <c r="E625" s="8" t="s">
        <v>517</v>
      </c>
    </row>
    <row r="626">
      <c r="A626" s="8" t="s">
        <v>525</v>
      </c>
      <c r="B626" s="8" t="s">
        <v>514</v>
      </c>
      <c r="C626" s="8" t="s">
        <v>534</v>
      </c>
      <c r="D626" s="9" t="str">
        <f t="shared" si="141"/>
        <v>12Go Link</v>
      </c>
      <c r="E626" s="8" t="s">
        <v>533</v>
      </c>
    </row>
    <row r="627">
      <c r="A627" s="8" t="s">
        <v>525</v>
      </c>
      <c r="B627" s="8" t="s">
        <v>514</v>
      </c>
      <c r="C627" s="8" t="s">
        <v>534</v>
      </c>
      <c r="D627" s="9" t="str">
        <f t="shared" si="141"/>
        <v>12Go Link</v>
      </c>
      <c r="E627" s="8" t="s">
        <v>519</v>
      </c>
    </row>
    <row r="628">
      <c r="A628" s="8" t="s">
        <v>525</v>
      </c>
      <c r="B628" s="8" t="s">
        <v>535</v>
      </c>
      <c r="C628" s="8" t="s">
        <v>536</v>
      </c>
      <c r="D628" s="9" t="str">
        <f>HYPERLINK("https://12go.asia/en/travel/Kyoto-Station-Karasuma-Exit/Yasaka-Shrine", "12Go Link")</f>
        <v>12Go Link</v>
      </c>
      <c r="E628" s="8" t="s">
        <v>527</v>
      </c>
    </row>
    <row r="629">
      <c r="A629" s="6" t="s">
        <v>537</v>
      </c>
      <c r="B629" s="6" t="s">
        <v>513</v>
      </c>
      <c r="C629" s="6" t="s">
        <v>538</v>
      </c>
      <c r="D629" s="7" t="str">
        <f t="shared" ref="D629:D632" si="142">HYPERLINK("https://12go.asia/en/travel/Nagano-station/Kanazawa", "12Go Link")</f>
        <v>12Go Link</v>
      </c>
      <c r="E629" s="6" t="s">
        <v>516</v>
      </c>
    </row>
    <row r="630">
      <c r="A630" s="6" t="s">
        <v>537</v>
      </c>
      <c r="B630" s="6" t="s">
        <v>513</v>
      </c>
      <c r="C630" s="6" t="s">
        <v>538</v>
      </c>
      <c r="D630" s="7" t="str">
        <f t="shared" si="142"/>
        <v>12Go Link</v>
      </c>
      <c r="E630" s="6" t="s">
        <v>517</v>
      </c>
    </row>
    <row r="631">
      <c r="A631" s="6" t="s">
        <v>537</v>
      </c>
      <c r="B631" s="6" t="s">
        <v>513</v>
      </c>
      <c r="C631" s="6" t="s">
        <v>538</v>
      </c>
      <c r="D631" s="7" t="str">
        <f t="shared" si="142"/>
        <v>12Go Link</v>
      </c>
      <c r="E631" s="6" t="s">
        <v>518</v>
      </c>
    </row>
    <row r="632">
      <c r="A632" s="6" t="s">
        <v>537</v>
      </c>
      <c r="B632" s="6" t="s">
        <v>513</v>
      </c>
      <c r="C632" s="6" t="s">
        <v>538</v>
      </c>
      <c r="D632" s="7" t="str">
        <f t="shared" si="142"/>
        <v>12Go Link</v>
      </c>
      <c r="E632" s="6" t="s">
        <v>519</v>
      </c>
    </row>
    <row r="633">
      <c r="A633" s="6" t="s">
        <v>537</v>
      </c>
      <c r="B633" s="6" t="s">
        <v>514</v>
      </c>
      <c r="C633" s="6" t="s">
        <v>539</v>
      </c>
      <c r="D633" s="7" t="str">
        <f t="shared" ref="D633:D636" si="143">HYPERLINK("https://12go.asia/en/travel/Nagano-station/Tokyo", "12Go Link")</f>
        <v>12Go Link</v>
      </c>
      <c r="E633" s="6" t="s">
        <v>516</v>
      </c>
    </row>
    <row r="634">
      <c r="A634" s="6" t="s">
        <v>537</v>
      </c>
      <c r="B634" s="6" t="s">
        <v>514</v>
      </c>
      <c r="C634" s="6" t="s">
        <v>539</v>
      </c>
      <c r="D634" s="7" t="str">
        <f t="shared" si="143"/>
        <v>12Go Link</v>
      </c>
      <c r="E634" s="6" t="s">
        <v>517</v>
      </c>
    </row>
    <row r="635">
      <c r="A635" s="6" t="s">
        <v>537</v>
      </c>
      <c r="B635" s="6" t="s">
        <v>514</v>
      </c>
      <c r="C635" s="6" t="s">
        <v>539</v>
      </c>
      <c r="D635" s="7" t="str">
        <f t="shared" si="143"/>
        <v>12Go Link</v>
      </c>
      <c r="E635" s="6" t="s">
        <v>518</v>
      </c>
    </row>
    <row r="636">
      <c r="A636" s="6" t="s">
        <v>537</v>
      </c>
      <c r="B636" s="6" t="s">
        <v>514</v>
      </c>
      <c r="C636" s="6" t="s">
        <v>539</v>
      </c>
      <c r="D636" s="7" t="str">
        <f t="shared" si="143"/>
        <v>12Go Link</v>
      </c>
      <c r="E636" s="6" t="s">
        <v>519</v>
      </c>
    </row>
    <row r="637">
      <c r="A637" s="8" t="s">
        <v>507</v>
      </c>
      <c r="B637" s="8" t="s">
        <v>503</v>
      </c>
      <c r="C637" s="8" t="s">
        <v>540</v>
      </c>
      <c r="D637" s="9" t="str">
        <f>HYPERLINK("https://12go.asia/en/travel/Nagasaki-station/Hakata-Bus-Terminal", "12Go Link")</f>
        <v>12Go Link</v>
      </c>
      <c r="E637" s="8" t="s">
        <v>506</v>
      </c>
    </row>
    <row r="638">
      <c r="A638" s="6" t="s">
        <v>541</v>
      </c>
      <c r="B638" s="6" t="s">
        <v>542</v>
      </c>
      <c r="C638" s="6" t="s">
        <v>543</v>
      </c>
      <c r="D638" s="7" t="str">
        <f>HYPERLINK("https://12go.asia/en/travel/Mini-Stop-Meieki-Tsubakicho-Store/Takayama-Old-Townscape", "12Go Link")</f>
        <v>12Go Link</v>
      </c>
      <c r="E638" s="6" t="s">
        <v>544</v>
      </c>
    </row>
    <row r="639">
      <c r="A639" s="8" t="s">
        <v>545</v>
      </c>
      <c r="B639" s="8" t="s">
        <v>546</v>
      </c>
      <c r="C639" s="8" t="s">
        <v>547</v>
      </c>
      <c r="D639" s="9" t="str">
        <f>HYPERLINK("https://12go.asia/en/travel/New-Chitose-Airport-Domestic-Terminal/Hoshino-Resorts-RISONARE-Tomamu", "12Go Link")</f>
        <v>12Go Link</v>
      </c>
      <c r="E639" s="8" t="s">
        <v>548</v>
      </c>
    </row>
    <row r="640">
      <c r="A640" s="8" t="s">
        <v>545</v>
      </c>
      <c r="B640" s="8" t="s">
        <v>546</v>
      </c>
      <c r="C640" s="8" t="s">
        <v>549</v>
      </c>
      <c r="D640" s="9" t="str">
        <f>HYPERLINK("https://12go.asia/en/travel/New-Chitose-Airport-Domestic-Terminal/Hoshino-Resorts-Tomamu-The-Tower", "12Go Link")</f>
        <v>12Go Link</v>
      </c>
      <c r="E640" s="8" t="s">
        <v>548</v>
      </c>
    </row>
    <row r="641">
      <c r="A641" s="6" t="s">
        <v>531</v>
      </c>
      <c r="B641" s="6" t="s">
        <v>550</v>
      </c>
      <c r="C641" s="6" t="s">
        <v>551</v>
      </c>
      <c r="D641" s="7" t="str">
        <f t="shared" ref="D641:D643" si="144">HYPERLINK("https://12go.asia/en/travel/Shin-Osaka/Hiroshima", "12Go Link")</f>
        <v>12Go Link</v>
      </c>
      <c r="E641" s="6" t="s">
        <v>517</v>
      </c>
    </row>
    <row r="642">
      <c r="A642" s="6" t="s">
        <v>531</v>
      </c>
      <c r="B642" s="6" t="s">
        <v>550</v>
      </c>
      <c r="C642" s="6" t="s">
        <v>551</v>
      </c>
      <c r="D642" s="7" t="str">
        <f t="shared" si="144"/>
        <v>12Go Link</v>
      </c>
      <c r="E642" s="6" t="s">
        <v>533</v>
      </c>
    </row>
    <row r="643">
      <c r="A643" s="6" t="s">
        <v>531</v>
      </c>
      <c r="B643" s="6" t="s">
        <v>550</v>
      </c>
      <c r="C643" s="6" t="s">
        <v>551</v>
      </c>
      <c r="D643" s="7" t="str">
        <f t="shared" si="144"/>
        <v>12Go Link</v>
      </c>
      <c r="E643" s="6" t="s">
        <v>519</v>
      </c>
    </row>
    <row r="644">
      <c r="A644" s="6" t="s">
        <v>531</v>
      </c>
      <c r="B644" s="6" t="s">
        <v>514</v>
      </c>
      <c r="C644" s="6" t="s">
        <v>552</v>
      </c>
      <c r="D644" s="7" t="str">
        <f t="shared" ref="D644:D646" si="145">HYPERLINK("https://12go.asia/en/travel/Shin-Osaka/Tokyo", "12Go Link")</f>
        <v>12Go Link</v>
      </c>
      <c r="E644" s="6" t="s">
        <v>517</v>
      </c>
    </row>
    <row r="645">
      <c r="A645" s="6" t="s">
        <v>531</v>
      </c>
      <c r="B645" s="6" t="s">
        <v>514</v>
      </c>
      <c r="C645" s="6" t="s">
        <v>552</v>
      </c>
      <c r="D645" s="7" t="str">
        <f t="shared" si="145"/>
        <v>12Go Link</v>
      </c>
      <c r="E645" s="6" t="s">
        <v>533</v>
      </c>
    </row>
    <row r="646">
      <c r="A646" s="6" t="s">
        <v>531</v>
      </c>
      <c r="B646" s="6" t="s">
        <v>514</v>
      </c>
      <c r="C646" s="6" t="s">
        <v>552</v>
      </c>
      <c r="D646" s="7" t="str">
        <f t="shared" si="145"/>
        <v>12Go Link</v>
      </c>
      <c r="E646" s="6" t="s">
        <v>519</v>
      </c>
    </row>
    <row r="647">
      <c r="A647" s="8" t="s">
        <v>553</v>
      </c>
      <c r="B647" s="8" t="s">
        <v>546</v>
      </c>
      <c r="C647" s="8" t="s">
        <v>554</v>
      </c>
      <c r="D647" s="9" t="str">
        <f>HYPERLINK("https://12go.asia/en/travel/New-Otani-Inn-Sapporo/Hoshino-Resorts-RISONARE-Tomamu", "12Go Link")</f>
        <v>12Go Link</v>
      </c>
      <c r="E647" s="8" t="s">
        <v>548</v>
      </c>
    </row>
    <row r="648">
      <c r="A648" s="8" t="s">
        <v>553</v>
      </c>
      <c r="B648" s="8" t="s">
        <v>546</v>
      </c>
      <c r="C648" s="8" t="s">
        <v>555</v>
      </c>
      <c r="D648" s="9" t="str">
        <f>HYPERLINK("https://12go.asia/en/travel/New-Otani-Inn-Sapporo/Hoshino-Resorts-Tomamu-The-Tower", "12Go Link")</f>
        <v>12Go Link</v>
      </c>
      <c r="E648" s="8" t="s">
        <v>548</v>
      </c>
    </row>
    <row r="649">
      <c r="A649" s="6" t="s">
        <v>514</v>
      </c>
      <c r="B649" s="6" t="s">
        <v>513</v>
      </c>
      <c r="C649" s="6" t="s">
        <v>556</v>
      </c>
      <c r="D649" s="7" t="str">
        <f t="shared" ref="D649:D652" si="146">HYPERLINK("https://12go.asia/en/travel/Tokyo/Kanazawa", "12Go Link")</f>
        <v>12Go Link</v>
      </c>
      <c r="E649" s="6" t="s">
        <v>516</v>
      </c>
    </row>
    <row r="650">
      <c r="A650" s="6" t="s">
        <v>514</v>
      </c>
      <c r="B650" s="6" t="s">
        <v>513</v>
      </c>
      <c r="C650" s="6" t="s">
        <v>556</v>
      </c>
      <c r="D650" s="7" t="str">
        <f t="shared" si="146"/>
        <v>12Go Link</v>
      </c>
      <c r="E650" s="6" t="s">
        <v>517</v>
      </c>
    </row>
    <row r="651">
      <c r="A651" s="6" t="s">
        <v>514</v>
      </c>
      <c r="B651" s="6" t="s">
        <v>513</v>
      </c>
      <c r="C651" s="6" t="s">
        <v>556</v>
      </c>
      <c r="D651" s="7" t="str">
        <f t="shared" si="146"/>
        <v>12Go Link</v>
      </c>
      <c r="E651" s="6" t="s">
        <v>518</v>
      </c>
    </row>
    <row r="652">
      <c r="A652" s="6" t="s">
        <v>514</v>
      </c>
      <c r="B652" s="6" t="s">
        <v>513</v>
      </c>
      <c r="C652" s="6" t="s">
        <v>556</v>
      </c>
      <c r="D652" s="7" t="str">
        <f t="shared" si="146"/>
        <v>12Go Link</v>
      </c>
      <c r="E652" s="6" t="s">
        <v>519</v>
      </c>
    </row>
    <row r="653">
      <c r="A653" s="6" t="s">
        <v>514</v>
      </c>
      <c r="B653" s="6" t="s">
        <v>525</v>
      </c>
      <c r="C653" s="6" t="s">
        <v>557</v>
      </c>
      <c r="D653" s="7" t="str">
        <f t="shared" ref="D653:D655" si="147">HYPERLINK("https://12go.asia/en/travel/Tokyo/Kyoto", "12Go Link")</f>
        <v>12Go Link</v>
      </c>
      <c r="E653" s="6" t="s">
        <v>517</v>
      </c>
    </row>
    <row r="654">
      <c r="A654" s="6" t="s">
        <v>514</v>
      </c>
      <c r="B654" s="6" t="s">
        <v>525</v>
      </c>
      <c r="C654" s="6" t="s">
        <v>557</v>
      </c>
      <c r="D654" s="7" t="str">
        <f t="shared" si="147"/>
        <v>12Go Link</v>
      </c>
      <c r="E654" s="6" t="s">
        <v>533</v>
      </c>
    </row>
    <row r="655">
      <c r="A655" s="6" t="s">
        <v>514</v>
      </c>
      <c r="B655" s="6" t="s">
        <v>525</v>
      </c>
      <c r="C655" s="6" t="s">
        <v>557</v>
      </c>
      <c r="D655" s="7" t="str">
        <f t="shared" si="147"/>
        <v>12Go Link</v>
      </c>
      <c r="E655" s="6" t="s">
        <v>519</v>
      </c>
    </row>
    <row r="656">
      <c r="A656" s="6" t="s">
        <v>514</v>
      </c>
      <c r="B656" s="6" t="s">
        <v>537</v>
      </c>
      <c r="C656" s="6" t="s">
        <v>558</v>
      </c>
      <c r="D656" s="7" t="str">
        <f t="shared" ref="D656:D659" si="148">HYPERLINK("https://12go.asia/en/travel/Tokyo/Nagano-station", "12Go Link")</f>
        <v>12Go Link</v>
      </c>
      <c r="E656" s="6" t="s">
        <v>516</v>
      </c>
    </row>
    <row r="657">
      <c r="A657" s="6" t="s">
        <v>514</v>
      </c>
      <c r="B657" s="6" t="s">
        <v>537</v>
      </c>
      <c r="C657" s="6" t="s">
        <v>558</v>
      </c>
      <c r="D657" s="7" t="str">
        <f t="shared" si="148"/>
        <v>12Go Link</v>
      </c>
      <c r="E657" s="6" t="s">
        <v>517</v>
      </c>
    </row>
    <row r="658">
      <c r="A658" s="6" t="s">
        <v>514</v>
      </c>
      <c r="B658" s="6" t="s">
        <v>537</v>
      </c>
      <c r="C658" s="6" t="s">
        <v>558</v>
      </c>
      <c r="D658" s="7" t="str">
        <f t="shared" si="148"/>
        <v>12Go Link</v>
      </c>
      <c r="E658" s="6" t="s">
        <v>518</v>
      </c>
    </row>
    <row r="659">
      <c r="A659" s="6" t="s">
        <v>514</v>
      </c>
      <c r="B659" s="6" t="s">
        <v>537</v>
      </c>
      <c r="C659" s="6" t="s">
        <v>558</v>
      </c>
      <c r="D659" s="7" t="str">
        <f t="shared" si="148"/>
        <v>12Go Link</v>
      </c>
      <c r="E659" s="6" t="s">
        <v>519</v>
      </c>
    </row>
    <row r="660">
      <c r="A660" s="6" t="s">
        <v>514</v>
      </c>
      <c r="B660" s="6" t="s">
        <v>531</v>
      </c>
      <c r="C660" s="6" t="s">
        <v>559</v>
      </c>
      <c r="D660" s="7" t="str">
        <f t="shared" ref="D660:D662" si="149">HYPERLINK("https://12go.asia/en/travel/Tokyo/Shin-Osaka", "12Go Link")</f>
        <v>12Go Link</v>
      </c>
      <c r="E660" s="6" t="s">
        <v>517</v>
      </c>
    </row>
    <row r="661">
      <c r="A661" s="6" t="s">
        <v>514</v>
      </c>
      <c r="B661" s="6" t="s">
        <v>531</v>
      </c>
      <c r="C661" s="6" t="s">
        <v>559</v>
      </c>
      <c r="D661" s="7" t="str">
        <f t="shared" si="149"/>
        <v>12Go Link</v>
      </c>
      <c r="E661" s="6" t="s">
        <v>533</v>
      </c>
    </row>
    <row r="662">
      <c r="A662" s="6" t="s">
        <v>514</v>
      </c>
      <c r="B662" s="6" t="s">
        <v>531</v>
      </c>
      <c r="C662" s="6" t="s">
        <v>559</v>
      </c>
      <c r="D662" s="7" t="str">
        <f t="shared" si="149"/>
        <v>12Go Link</v>
      </c>
      <c r="E662" s="6" t="s">
        <v>519</v>
      </c>
    </row>
    <row r="663">
      <c r="A663" s="8" t="s">
        <v>546</v>
      </c>
      <c r="B663" s="8" t="s">
        <v>545</v>
      </c>
      <c r="C663" s="8" t="s">
        <v>560</v>
      </c>
      <c r="D663" s="9" t="str">
        <f>HYPERLINK("https://12go.asia/en/travel/Hoshino-Resorts-RISONARE-Tomamu/New-Chitose-Airport-Domestic-Terminal", "12Go Link")</f>
        <v>12Go Link</v>
      </c>
      <c r="E663" s="8" t="s">
        <v>548</v>
      </c>
    </row>
    <row r="664">
      <c r="A664" s="8" t="s">
        <v>546</v>
      </c>
      <c r="B664" s="8" t="s">
        <v>545</v>
      </c>
      <c r="C664" s="8" t="s">
        <v>561</v>
      </c>
      <c r="D664" s="9" t="str">
        <f>HYPERLINK("https://12go.asia/en/travel/Hoshino-Resorts-Tomamu-The-Tower/New-Chitose-Airport-Domestic-Terminal", "12Go Link")</f>
        <v>12Go Link</v>
      </c>
      <c r="E664" s="8" t="s">
        <v>548</v>
      </c>
    </row>
    <row r="665">
      <c r="A665" s="8" t="s">
        <v>546</v>
      </c>
      <c r="B665" s="8" t="s">
        <v>553</v>
      </c>
      <c r="C665" s="8" t="s">
        <v>562</v>
      </c>
      <c r="D665" s="9" t="str">
        <f>HYPERLINK("https://12go.asia/en/travel/Hoshino-Resorts-RISONARE-Tomamu/New-Otani-Inn-Sapporo", "12Go Link")</f>
        <v>12Go Link</v>
      </c>
      <c r="E665" s="8" t="s">
        <v>548</v>
      </c>
    </row>
    <row r="666">
      <c r="A666" s="8" t="s">
        <v>546</v>
      </c>
      <c r="B666" s="8" t="s">
        <v>553</v>
      </c>
      <c r="C666" s="8" t="s">
        <v>563</v>
      </c>
      <c r="D666" s="9" t="str">
        <f>HYPERLINK("https://12go.asia/en/travel/Hoshino-Resorts-Tomamu-The-Tower/New-Otani-Inn-Sapporo", "12Go Link")</f>
        <v>12Go Link</v>
      </c>
      <c r="E666" s="8" t="s">
        <v>548</v>
      </c>
    </row>
    <row r="667">
      <c r="A667" s="2" t="s">
        <v>564</v>
      </c>
      <c r="B667" s="2" t="s">
        <v>565</v>
      </c>
      <c r="C667" s="2" t="s">
        <v>566</v>
      </c>
      <c r="D667" s="3" t="str">
        <f t="shared" ref="D667:D669" si="150">HYPERLINK("https://12go.asia/en/travel/Almaty-Any-Hotel-Transfer/Bishkek-Hotel-Transfer", "12Go Link")</f>
        <v>12Go Link</v>
      </c>
      <c r="E667" s="2" t="s">
        <v>567</v>
      </c>
    </row>
    <row r="668">
      <c r="A668" s="2" t="s">
        <v>564</v>
      </c>
      <c r="B668" s="2" t="s">
        <v>565</v>
      </c>
      <c r="C668" s="2" t="s">
        <v>566</v>
      </c>
      <c r="D668" s="3" t="str">
        <f t="shared" si="150"/>
        <v>12Go Link</v>
      </c>
      <c r="E668" s="2" t="s">
        <v>568</v>
      </c>
    </row>
    <row r="669">
      <c r="A669" s="2" t="s">
        <v>564</v>
      </c>
      <c r="B669" s="2" t="s">
        <v>565</v>
      </c>
      <c r="C669" s="2" t="s">
        <v>566</v>
      </c>
      <c r="D669" s="3" t="str">
        <f t="shared" si="150"/>
        <v>12Go Link</v>
      </c>
      <c r="E669" s="2" t="s">
        <v>569</v>
      </c>
    </row>
    <row r="670">
      <c r="A670" s="8" t="s">
        <v>565</v>
      </c>
      <c r="B670" s="8" t="s">
        <v>564</v>
      </c>
      <c r="C670" s="8" t="s">
        <v>570</v>
      </c>
      <c r="D670" s="9" t="str">
        <f t="shared" ref="D670:D672" si="151">HYPERLINK("https://12go.asia/en/travel/Bishkek-Hotel-Transfer/Almaty-Any-Hotel-Transfer", "12Go Link")</f>
        <v>12Go Link</v>
      </c>
      <c r="E670" s="8" t="s">
        <v>567</v>
      </c>
    </row>
    <row r="671">
      <c r="A671" s="8" t="s">
        <v>565</v>
      </c>
      <c r="B671" s="8" t="s">
        <v>564</v>
      </c>
      <c r="C671" s="8" t="s">
        <v>570</v>
      </c>
      <c r="D671" s="9" t="str">
        <f t="shared" si="151"/>
        <v>12Go Link</v>
      </c>
      <c r="E671" s="8" t="s">
        <v>568</v>
      </c>
    </row>
    <row r="672">
      <c r="A672" s="8" t="s">
        <v>565</v>
      </c>
      <c r="B672" s="8" t="s">
        <v>564</v>
      </c>
      <c r="C672" s="8" t="s">
        <v>570</v>
      </c>
      <c r="D672" s="9" t="str">
        <f t="shared" si="151"/>
        <v>12Go Link</v>
      </c>
      <c r="E672" s="8" t="s">
        <v>569</v>
      </c>
    </row>
    <row r="673">
      <c r="A673" s="6" t="s">
        <v>571</v>
      </c>
      <c r="B673" s="6" t="s">
        <v>572</v>
      </c>
      <c r="C673" s="6" t="s">
        <v>573</v>
      </c>
      <c r="D673" s="7" t="str">
        <f>HYPERLINK("https://12go.asia/en/travel/Cholpon-Ata-Bus-Station/Tashkent-Bus-Terminal", "12Go Link")</f>
        <v>12Go Link</v>
      </c>
      <c r="E673" s="6" t="s">
        <v>154</v>
      </c>
    </row>
    <row r="674">
      <c r="A674" s="4" t="s">
        <v>574</v>
      </c>
      <c r="B674" s="4" t="s">
        <v>205</v>
      </c>
      <c r="C674" s="4" t="s">
        <v>575</v>
      </c>
      <c r="D674" s="5" t="str">
        <f>HYPERLINK("https://12go.asia/en/travel/Bokeo-Airport/Vientiane-Airport", "12Go Link")</f>
        <v>12Go Link</v>
      </c>
      <c r="E674" s="4" t="s">
        <v>576</v>
      </c>
    </row>
    <row r="675">
      <c r="A675" s="2" t="s">
        <v>149</v>
      </c>
      <c r="B675" s="2" t="s">
        <v>145</v>
      </c>
      <c r="C675" s="2" t="s">
        <v>577</v>
      </c>
      <c r="D675" s="3" t="str">
        <f>HYPERLINK("https://12go.asia/en/travel/Mr-Mo-Guesthouse/Banlung", "12Go Link")</f>
        <v>12Go Link</v>
      </c>
      <c r="E675" s="2" t="s">
        <v>148</v>
      </c>
    </row>
    <row r="676">
      <c r="A676" s="2" t="s">
        <v>149</v>
      </c>
      <c r="B676" s="2" t="s">
        <v>152</v>
      </c>
      <c r="C676" s="2" t="s">
        <v>578</v>
      </c>
      <c r="D676" s="3" t="str">
        <f t="shared" ref="D676:D677" si="152">HYPERLINK("https://12go.asia/en/travel/Mr-Mo-Guesthouse/Rith-Mony-Bus-Chroy-Chorngva-Branch", "12Go Link")</f>
        <v>12Go Link</v>
      </c>
      <c r="E676" s="2" t="s">
        <v>198</v>
      </c>
    </row>
    <row r="677">
      <c r="A677" s="2" t="s">
        <v>149</v>
      </c>
      <c r="B677" s="2" t="s">
        <v>152</v>
      </c>
      <c r="C677" s="2" t="s">
        <v>578</v>
      </c>
      <c r="D677" s="3" t="str">
        <f t="shared" si="152"/>
        <v>12Go Link</v>
      </c>
      <c r="E677" s="2" t="s">
        <v>148</v>
      </c>
    </row>
    <row r="678">
      <c r="A678" s="4" t="s">
        <v>579</v>
      </c>
      <c r="B678" s="4" t="s">
        <v>580</v>
      </c>
      <c r="C678" s="4" t="s">
        <v>581</v>
      </c>
      <c r="D678" s="5" t="str">
        <f>HYPERLINK("https://12go.asia/en/travel/Huay-Xai/Bokeo-Airport", "12Go Link")</f>
        <v>12Go Link</v>
      </c>
      <c r="E678" s="4" t="s">
        <v>582</v>
      </c>
    </row>
    <row r="679">
      <c r="A679" s="4" t="s">
        <v>579</v>
      </c>
      <c r="B679" s="4" t="s">
        <v>583</v>
      </c>
      <c r="C679" s="4" t="s">
        <v>584</v>
      </c>
      <c r="D679" s="5" t="str">
        <f>HYPERLINK("https://12go.asia/en/travel/Huay-Xai/Luang-Namtha", "12Go Link")</f>
        <v>12Go Link</v>
      </c>
      <c r="E679" s="4" t="s">
        <v>585</v>
      </c>
    </row>
    <row r="680">
      <c r="A680" s="4" t="s">
        <v>579</v>
      </c>
      <c r="B680" s="4" t="s">
        <v>583</v>
      </c>
      <c r="C680" s="4" t="s">
        <v>586</v>
      </c>
      <c r="D680" s="5" t="str">
        <f>HYPERLINK("https://12go.asia/en/travel/Huay-Xai/Vieng-Phou-Kha", "12Go Link")</f>
        <v>12Go Link</v>
      </c>
      <c r="E680" s="4" t="s">
        <v>585</v>
      </c>
    </row>
    <row r="681">
      <c r="A681" s="4" t="s">
        <v>579</v>
      </c>
      <c r="B681" s="4" t="s">
        <v>587</v>
      </c>
      <c r="C681" s="4" t="s">
        <v>588</v>
      </c>
      <c r="D681" s="5" t="str">
        <f>HYPERLINK("https://12go.asia/en/travel/Huay-Xai/Luang-Prabang-Transfer", "12Go Link")</f>
        <v>12Go Link</v>
      </c>
      <c r="E681" s="4" t="s">
        <v>585</v>
      </c>
    </row>
    <row r="682">
      <c r="A682" s="4" t="s">
        <v>579</v>
      </c>
      <c r="B682" s="4" t="s">
        <v>589</v>
      </c>
      <c r="C682" s="4" t="s">
        <v>590</v>
      </c>
      <c r="D682" s="5" t="str">
        <f>HYPERLINK("https://12go.asia/en/travel/Huay-Xai/Nateuy-Train-Station", "12Go Link")</f>
        <v>12Go Link</v>
      </c>
      <c r="E682" s="4" t="s">
        <v>585</v>
      </c>
    </row>
    <row r="683">
      <c r="A683" s="4" t="s">
        <v>579</v>
      </c>
      <c r="B683" s="4" t="s">
        <v>591</v>
      </c>
      <c r="C683" s="4" t="s">
        <v>592</v>
      </c>
      <c r="D683" s="5" t="str">
        <f>HYPERLINK("https://12go.asia/en/travel/Huay-Xai/Nong-Khiaw", "12Go Link")</f>
        <v>12Go Link</v>
      </c>
      <c r="E683" s="4" t="s">
        <v>585</v>
      </c>
    </row>
    <row r="684">
      <c r="A684" s="4" t="s">
        <v>579</v>
      </c>
      <c r="B684" s="4" t="s">
        <v>593</v>
      </c>
      <c r="C684" s="4" t="s">
        <v>594</v>
      </c>
      <c r="D684" s="5" t="str">
        <f>HYPERLINK("https://12go.asia/en/travel/Huay-Xai/Oudomxay", "12Go Link")</f>
        <v>12Go Link</v>
      </c>
      <c r="E684" s="4" t="s">
        <v>585</v>
      </c>
    </row>
    <row r="685">
      <c r="A685" s="4" t="s">
        <v>579</v>
      </c>
      <c r="B685" s="4" t="s">
        <v>201</v>
      </c>
      <c r="C685" s="4" t="s">
        <v>595</v>
      </c>
      <c r="D685" s="5" t="str">
        <f>HYPERLINK("https://12go.asia/en/travel/Huay-Xai/Vang-Vieng-Transfer", "12Go Link")</f>
        <v>12Go Link</v>
      </c>
      <c r="E685" s="4" t="s">
        <v>585</v>
      </c>
    </row>
    <row r="686">
      <c r="A686" s="4" t="s">
        <v>579</v>
      </c>
      <c r="B686" s="4" t="s">
        <v>205</v>
      </c>
      <c r="C686" s="4" t="s">
        <v>596</v>
      </c>
      <c r="D686" s="5" t="str">
        <f>HYPERLINK("https://12go.asia/en/travel/Huay-Xai/Vientiane-Transfer", "12Go Link")</f>
        <v>12Go Link</v>
      </c>
      <c r="E686" s="4" t="s">
        <v>585</v>
      </c>
    </row>
    <row r="687">
      <c r="A687" s="2" t="s">
        <v>580</v>
      </c>
      <c r="B687" s="2" t="s">
        <v>587</v>
      </c>
      <c r="C687" s="2" t="s">
        <v>597</v>
      </c>
      <c r="D687" s="3" t="str">
        <f>HYPERLINK("https://12go.asia/en/travel/Huay-Xai/Ban-Don-Pier", "12Go Link")</f>
        <v>12Go Link</v>
      </c>
      <c r="E687" s="2" t="s">
        <v>598</v>
      </c>
    </row>
    <row r="688">
      <c r="A688" s="2" t="s">
        <v>580</v>
      </c>
      <c r="B688" s="2" t="s">
        <v>587</v>
      </c>
      <c r="C688" s="2" t="s">
        <v>599</v>
      </c>
      <c r="D688" s="3" t="str">
        <f>HYPERLINK("https://12go.asia/en/travel/Huay-Xai/Joma-Bakery-Cafe", "12Go Link")</f>
        <v>12Go Link</v>
      </c>
      <c r="E688" s="2" t="s">
        <v>600</v>
      </c>
    </row>
    <row r="689">
      <c r="A689" s="2" t="s">
        <v>580</v>
      </c>
      <c r="B689" s="2" t="s">
        <v>587</v>
      </c>
      <c r="C689" s="2" t="s">
        <v>601</v>
      </c>
      <c r="D689" s="3" t="str">
        <f>HYPERLINK("https://12go.asia/en/travel/Huay-Xai/Luang-Prabang", "12Go Link")</f>
        <v>12Go Link</v>
      </c>
      <c r="E689" s="2" t="s">
        <v>602</v>
      </c>
    </row>
    <row r="690">
      <c r="A690" s="2" t="s">
        <v>580</v>
      </c>
      <c r="B690" s="2" t="s">
        <v>587</v>
      </c>
      <c r="C690" s="2" t="s">
        <v>603</v>
      </c>
      <c r="D690" s="3" t="str">
        <f>HYPERLINK("https://12go.asia/en/travel/Huay-Xai/Luang-Prabang-Railway-Station", "12Go Link")</f>
        <v>12Go Link</v>
      </c>
      <c r="E690" s="2" t="s">
        <v>604</v>
      </c>
    </row>
    <row r="691">
      <c r="A691" s="2" t="s">
        <v>580</v>
      </c>
      <c r="B691" s="2" t="s">
        <v>587</v>
      </c>
      <c r="C691" s="2" t="s">
        <v>605</v>
      </c>
      <c r="D691" s="3" t="str">
        <f>HYPERLINK("https://12go.asia/en/travel/Huay-Xai-Pier/Ban-Don-Pier", "12Go Link")</f>
        <v>12Go Link</v>
      </c>
      <c r="E691" s="2" t="s">
        <v>606</v>
      </c>
    </row>
    <row r="692">
      <c r="A692" s="2" t="s">
        <v>580</v>
      </c>
      <c r="B692" s="2" t="s">
        <v>589</v>
      </c>
      <c r="C692" s="2" t="s">
        <v>607</v>
      </c>
      <c r="D692" s="3" t="str">
        <f>HYPERLINK("https://12go.asia/en/travel/Huay-Xai/Nateuy-Railway-Station", "12Go Link")</f>
        <v>12Go Link</v>
      </c>
      <c r="E692" s="2" t="s">
        <v>608</v>
      </c>
    </row>
    <row r="693">
      <c r="A693" s="2" t="s">
        <v>580</v>
      </c>
      <c r="B693" s="2" t="s">
        <v>201</v>
      </c>
      <c r="C693" s="2" t="s">
        <v>609</v>
      </c>
      <c r="D693" s="3" t="str">
        <f>HYPERLINK("https://12go.asia/en/travel/Huay-Xai/Vang-Vieng-Railway-Station", "12Go Link")</f>
        <v>12Go Link</v>
      </c>
      <c r="E693" s="2" t="s">
        <v>604</v>
      </c>
    </row>
    <row r="694">
      <c r="A694" s="2" t="s">
        <v>580</v>
      </c>
      <c r="B694" s="2" t="s">
        <v>205</v>
      </c>
      <c r="C694" s="2" t="s">
        <v>610</v>
      </c>
      <c r="D694" s="3" t="str">
        <f>HYPERLINK("https://12go.asia/en/travel/Huay-Xai/Vientiane-Airport", "12Go Link")</f>
        <v>12Go Link</v>
      </c>
      <c r="E694" s="2" t="s">
        <v>611</v>
      </c>
    </row>
    <row r="695">
      <c r="A695" s="2" t="s">
        <v>580</v>
      </c>
      <c r="B695" s="2" t="s">
        <v>205</v>
      </c>
      <c r="C695" s="2" t="s">
        <v>612</v>
      </c>
      <c r="D695" s="3" t="str">
        <f>HYPERLINK("https://12go.asia/en/travel/Huay-Xai/Vientiane-Railway-Station", "12Go Link")</f>
        <v>12Go Link</v>
      </c>
      <c r="E695" s="2" t="s">
        <v>604</v>
      </c>
    </row>
    <row r="696">
      <c r="A696" s="2" t="s">
        <v>580</v>
      </c>
      <c r="B696" s="2" t="s">
        <v>613</v>
      </c>
      <c r="C696" s="2" t="s">
        <v>614</v>
      </c>
      <c r="D696" s="3" t="str">
        <f>HYPERLINK("https://12go.asia/en/travel/Huay-Xai-Transfer/Chiang-Khong-City-center", "12Go Link")</f>
        <v>12Go Link</v>
      </c>
      <c r="E696" s="2" t="s">
        <v>615</v>
      </c>
    </row>
    <row r="697">
      <c r="A697" s="2" t="s">
        <v>580</v>
      </c>
      <c r="B697" s="2" t="s">
        <v>613</v>
      </c>
      <c r="C697" s="2" t="s">
        <v>616</v>
      </c>
      <c r="D697" s="3" t="str">
        <f>HYPERLINK("https://12go.asia/en/travel/Huay-Xai-Transfer/Chiang-Khong-Transfer", "12Go Link")</f>
        <v>12Go Link</v>
      </c>
      <c r="E697" s="2" t="s">
        <v>617</v>
      </c>
    </row>
    <row r="698">
      <c r="A698" s="2" t="s">
        <v>580</v>
      </c>
      <c r="B698" s="2" t="s">
        <v>618</v>
      </c>
      <c r="C698" s="2" t="s">
        <v>619</v>
      </c>
      <c r="D698" s="3" t="str">
        <f t="shared" ref="D698:D699" si="153">HYPERLINK("https://12go.asia/en/travel/Huay-Xai/Chiang-Mai", "12Go Link")</f>
        <v>12Go Link</v>
      </c>
      <c r="E698" s="2" t="s">
        <v>620</v>
      </c>
    </row>
    <row r="699">
      <c r="A699" s="2" t="s">
        <v>580</v>
      </c>
      <c r="B699" s="2" t="s">
        <v>618</v>
      </c>
      <c r="C699" s="2" t="s">
        <v>619</v>
      </c>
      <c r="D699" s="3" t="str">
        <f t="shared" si="153"/>
        <v>12Go Link</v>
      </c>
      <c r="E699" s="2" t="s">
        <v>621</v>
      </c>
    </row>
    <row r="700">
      <c r="A700" s="2" t="s">
        <v>580</v>
      </c>
      <c r="B700" s="2" t="s">
        <v>618</v>
      </c>
      <c r="C700" s="2" t="s">
        <v>622</v>
      </c>
      <c r="D700" s="3" t="str">
        <f>HYPERLINK("https://12go.asia/en/travel/Huay-Xai-Transfer/Chiang-Mai-Thapae", "12Go Link")</f>
        <v>12Go Link</v>
      </c>
      <c r="E700" s="2" t="s">
        <v>617</v>
      </c>
    </row>
    <row r="701">
      <c r="A701" s="2" t="s">
        <v>580</v>
      </c>
      <c r="B701" s="2" t="s">
        <v>618</v>
      </c>
      <c r="C701" s="2" t="s">
        <v>623</v>
      </c>
      <c r="D701" s="3" t="str">
        <f>HYPERLINK("https://12go.asia/en/travel/Huay-Xai-Transfer/Chiang-Mai-Train-Station", "12Go Link")</f>
        <v>12Go Link</v>
      </c>
      <c r="E701" s="2" t="s">
        <v>608</v>
      </c>
    </row>
    <row r="702">
      <c r="A702" s="2" t="s">
        <v>580</v>
      </c>
      <c r="B702" s="2" t="s">
        <v>618</v>
      </c>
      <c r="C702" s="2" t="s">
        <v>624</v>
      </c>
      <c r="D702" s="3" t="str">
        <f>HYPERLINK("https://12go.asia/en/travel/Huay-Xai-Transfer/Chiang-Mai-Transfer", "12Go Link")</f>
        <v>12Go Link</v>
      </c>
      <c r="E702" s="2" t="s">
        <v>608</v>
      </c>
    </row>
    <row r="703">
      <c r="A703" s="2" t="s">
        <v>580</v>
      </c>
      <c r="B703" s="2" t="s">
        <v>625</v>
      </c>
      <c r="C703" s="2" t="s">
        <v>626</v>
      </c>
      <c r="D703" s="3" t="str">
        <f t="shared" ref="D703:D704" si="154">HYPERLINK("https://12go.asia/en/travel/Huay-Xai/Chiang-Rai", "12Go Link")</f>
        <v>12Go Link</v>
      </c>
      <c r="E703" s="2" t="s">
        <v>620</v>
      </c>
    </row>
    <row r="704">
      <c r="A704" s="2" t="s">
        <v>580</v>
      </c>
      <c r="B704" s="2" t="s">
        <v>625</v>
      </c>
      <c r="C704" s="2" t="s">
        <v>626</v>
      </c>
      <c r="D704" s="3" t="str">
        <f t="shared" si="154"/>
        <v>12Go Link</v>
      </c>
      <c r="E704" s="2" t="s">
        <v>621</v>
      </c>
    </row>
    <row r="705">
      <c r="A705" s="2" t="s">
        <v>580</v>
      </c>
      <c r="B705" s="2" t="s">
        <v>625</v>
      </c>
      <c r="C705" s="2" t="s">
        <v>627</v>
      </c>
      <c r="D705" s="3" t="str">
        <f>HYPERLINK("https://12go.asia/en/travel/Huay-Xai-Transfer/Chiang-Rai-Central-Plaza", "12Go Link")</f>
        <v>12Go Link</v>
      </c>
      <c r="E705" s="2" t="s">
        <v>617</v>
      </c>
    </row>
    <row r="706">
      <c r="A706" s="4" t="s">
        <v>583</v>
      </c>
      <c r="B706" s="4" t="s">
        <v>628</v>
      </c>
      <c r="C706" s="4" t="s">
        <v>629</v>
      </c>
      <c r="D706" s="5" t="str">
        <f>HYPERLINK("https://12go.asia/en/travel/Luang-Namtha-Bus-Station/Muang-Khua-Bus-Station", "12Go Link")</f>
        <v>12Go Link</v>
      </c>
      <c r="E706" s="4" t="s">
        <v>148</v>
      </c>
    </row>
    <row r="707">
      <c r="A707" s="2" t="s">
        <v>587</v>
      </c>
      <c r="B707" s="2" t="s">
        <v>589</v>
      </c>
      <c r="C707" s="2" t="s">
        <v>630</v>
      </c>
      <c r="D707" s="3" t="str">
        <f t="shared" ref="D707:D708" si="155">HYPERLINK("https://12go.asia/en/travel/Luang-Prabang-Transfer/Nateuy-Railway-Station", "12Go Link")</f>
        <v>12Go Link</v>
      </c>
      <c r="E707" s="2" t="s">
        <v>631</v>
      </c>
    </row>
    <row r="708">
      <c r="A708" s="2" t="s">
        <v>587</v>
      </c>
      <c r="B708" s="2" t="s">
        <v>589</v>
      </c>
      <c r="C708" s="2" t="s">
        <v>630</v>
      </c>
      <c r="D708" s="3" t="str">
        <f t="shared" si="155"/>
        <v>12Go Link</v>
      </c>
      <c r="E708" s="2" t="s">
        <v>632</v>
      </c>
    </row>
    <row r="709">
      <c r="A709" s="2" t="s">
        <v>587</v>
      </c>
      <c r="B709" s="2" t="s">
        <v>593</v>
      </c>
      <c r="C709" s="2" t="s">
        <v>633</v>
      </c>
      <c r="D709" s="3" t="str">
        <f t="shared" ref="D709:D710" si="156">HYPERLINK("https://12go.asia/en/travel/Luang-Prabang-Transfer/Mueang-Xai", "12Go Link")</f>
        <v>12Go Link</v>
      </c>
      <c r="E709" s="2" t="s">
        <v>631</v>
      </c>
    </row>
    <row r="710">
      <c r="A710" s="2" t="s">
        <v>587</v>
      </c>
      <c r="B710" s="2" t="s">
        <v>593</v>
      </c>
      <c r="C710" s="2" t="s">
        <v>633</v>
      </c>
      <c r="D710" s="3" t="str">
        <f t="shared" si="156"/>
        <v>12Go Link</v>
      </c>
      <c r="E710" s="2" t="s">
        <v>632</v>
      </c>
    </row>
    <row r="711">
      <c r="A711" s="2" t="s">
        <v>587</v>
      </c>
      <c r="B711" s="2" t="s">
        <v>201</v>
      </c>
      <c r="C711" s="2" t="s">
        <v>634</v>
      </c>
      <c r="D711" s="3" t="str">
        <f t="shared" ref="D711:D712" si="157">HYPERLINK("https://12go.asia/en/travel/Luang-Prabang-Transfer/Vang-Vieng-Railway-Station", "12Go Link")</f>
        <v>12Go Link</v>
      </c>
      <c r="E711" s="2" t="s">
        <v>631</v>
      </c>
    </row>
    <row r="712">
      <c r="A712" s="2" t="s">
        <v>587</v>
      </c>
      <c r="B712" s="2" t="s">
        <v>201</v>
      </c>
      <c r="C712" s="2" t="s">
        <v>634</v>
      </c>
      <c r="D712" s="3" t="str">
        <f t="shared" si="157"/>
        <v>12Go Link</v>
      </c>
      <c r="E712" s="2" t="s">
        <v>632</v>
      </c>
    </row>
    <row r="713">
      <c r="A713" s="2" t="s">
        <v>587</v>
      </c>
      <c r="B713" s="2" t="s">
        <v>201</v>
      </c>
      <c r="C713" s="2" t="s">
        <v>635</v>
      </c>
      <c r="D713" s="3" t="str">
        <f t="shared" ref="D713:D716" si="158">HYPERLINK("https://12go.asia/en/travel/Luang-Prabang-Transfer/Vang-Vieng-Transfer", "12Go Link")</f>
        <v>12Go Link</v>
      </c>
      <c r="E713" s="2" t="s">
        <v>636</v>
      </c>
    </row>
    <row r="714">
      <c r="A714" s="2" t="s">
        <v>587</v>
      </c>
      <c r="B714" s="2" t="s">
        <v>201</v>
      </c>
      <c r="C714" s="2" t="s">
        <v>635</v>
      </c>
      <c r="D714" s="3" t="str">
        <f t="shared" si="158"/>
        <v>12Go Link</v>
      </c>
      <c r="E714" s="2" t="s">
        <v>637</v>
      </c>
    </row>
    <row r="715">
      <c r="A715" s="2" t="s">
        <v>587</v>
      </c>
      <c r="B715" s="2" t="s">
        <v>201</v>
      </c>
      <c r="C715" s="2" t="s">
        <v>635</v>
      </c>
      <c r="D715" s="3" t="str">
        <f t="shared" si="158"/>
        <v>12Go Link</v>
      </c>
      <c r="E715" s="2" t="s">
        <v>638</v>
      </c>
    </row>
    <row r="716">
      <c r="A716" s="2" t="s">
        <v>587</v>
      </c>
      <c r="B716" s="2" t="s">
        <v>201</v>
      </c>
      <c r="C716" s="2" t="s">
        <v>635</v>
      </c>
      <c r="D716" s="3" t="str">
        <f t="shared" si="158"/>
        <v>12Go Link</v>
      </c>
      <c r="E716" s="2" t="s">
        <v>639</v>
      </c>
    </row>
    <row r="717">
      <c r="A717" s="2" t="s">
        <v>587</v>
      </c>
      <c r="B717" s="2" t="s">
        <v>205</v>
      </c>
      <c r="C717" s="2" t="s">
        <v>640</v>
      </c>
      <c r="D717" s="3" t="str">
        <f t="shared" ref="D717:D718" si="159">HYPERLINK("https://12go.asia/en/travel/Luang-Prabang-Transfer/Vientiane-Railway-Station", "12Go Link")</f>
        <v>12Go Link</v>
      </c>
      <c r="E717" s="2" t="s">
        <v>631</v>
      </c>
    </row>
    <row r="718">
      <c r="A718" s="2" t="s">
        <v>587</v>
      </c>
      <c r="B718" s="2" t="s">
        <v>205</v>
      </c>
      <c r="C718" s="2" t="s">
        <v>640</v>
      </c>
      <c r="D718" s="3" t="str">
        <f t="shared" si="159"/>
        <v>12Go Link</v>
      </c>
      <c r="E718" s="2" t="s">
        <v>632</v>
      </c>
    </row>
    <row r="719">
      <c r="A719" s="2" t="s">
        <v>587</v>
      </c>
      <c r="B719" s="2" t="s">
        <v>205</v>
      </c>
      <c r="C719" s="2" t="s">
        <v>641</v>
      </c>
      <c r="D719" s="3" t="str">
        <f t="shared" ref="D719:D722" si="160">HYPERLINK("https://12go.asia/en/travel/Luang-Prabang-Transfer/Vientiane-Transfer", "12Go Link")</f>
        <v>12Go Link</v>
      </c>
      <c r="E719" s="2" t="s">
        <v>636</v>
      </c>
    </row>
    <row r="720">
      <c r="A720" s="2" t="s">
        <v>587</v>
      </c>
      <c r="B720" s="2" t="s">
        <v>205</v>
      </c>
      <c r="C720" s="2" t="s">
        <v>641</v>
      </c>
      <c r="D720" s="3" t="str">
        <f t="shared" si="160"/>
        <v>12Go Link</v>
      </c>
      <c r="E720" s="2" t="s">
        <v>637</v>
      </c>
    </row>
    <row r="721">
      <c r="A721" s="2" t="s">
        <v>587</v>
      </c>
      <c r="B721" s="2" t="s">
        <v>205</v>
      </c>
      <c r="C721" s="2" t="s">
        <v>641</v>
      </c>
      <c r="D721" s="3" t="str">
        <f t="shared" si="160"/>
        <v>12Go Link</v>
      </c>
      <c r="E721" s="2" t="s">
        <v>638</v>
      </c>
    </row>
    <row r="722">
      <c r="A722" s="2" t="s">
        <v>587</v>
      </c>
      <c r="B722" s="2" t="s">
        <v>205</v>
      </c>
      <c r="C722" s="2" t="s">
        <v>641</v>
      </c>
      <c r="D722" s="3" t="str">
        <f t="shared" si="160"/>
        <v>12Go Link</v>
      </c>
      <c r="E722" s="2" t="s">
        <v>639</v>
      </c>
    </row>
    <row r="723">
      <c r="A723" s="4" t="s">
        <v>591</v>
      </c>
      <c r="B723" s="4" t="s">
        <v>201</v>
      </c>
      <c r="C723" s="4" t="s">
        <v>642</v>
      </c>
      <c r="D723" s="5" t="str">
        <f>HYPERLINK("https://12go.asia/en/travel/NK-Tiger-Tours/Vang-Vieng-Bus-Terminal", "12Go Link")</f>
        <v>12Go Link</v>
      </c>
      <c r="E723" s="4" t="s">
        <v>148</v>
      </c>
    </row>
    <row r="724">
      <c r="A724" s="4" t="s">
        <v>591</v>
      </c>
      <c r="B724" s="4" t="s">
        <v>205</v>
      </c>
      <c r="C724" s="4" t="s">
        <v>643</v>
      </c>
      <c r="D724" s="5" t="str">
        <f>HYPERLINK("https://12go.asia/en/travel/NK-Tiger-Tours/Vientiane-Northern-Bus-Stop", "12Go Link")</f>
        <v>12Go Link</v>
      </c>
      <c r="E724" s="4" t="s">
        <v>148</v>
      </c>
    </row>
    <row r="725">
      <c r="A725" s="2" t="s">
        <v>593</v>
      </c>
      <c r="B725" s="2" t="s">
        <v>587</v>
      </c>
      <c r="C725" s="2" t="s">
        <v>644</v>
      </c>
      <c r="D725" s="3" t="str">
        <f t="shared" ref="D725:D727" si="161">HYPERLINK("https://12go.asia/en/travel/Oudomxay-Railway-Station/Luang-Prabang-Railway-Station", "12Go Link")</f>
        <v>12Go Link</v>
      </c>
      <c r="E725" s="2" t="s">
        <v>645</v>
      </c>
    </row>
    <row r="726">
      <c r="A726" s="2" t="s">
        <v>593</v>
      </c>
      <c r="B726" s="2" t="s">
        <v>587</v>
      </c>
      <c r="C726" s="2" t="s">
        <v>644</v>
      </c>
      <c r="D726" s="3" t="str">
        <f t="shared" si="161"/>
        <v>12Go Link</v>
      </c>
      <c r="E726" s="2" t="s">
        <v>646</v>
      </c>
    </row>
    <row r="727">
      <c r="A727" s="2" t="s">
        <v>593</v>
      </c>
      <c r="B727" s="2" t="s">
        <v>587</v>
      </c>
      <c r="C727" s="2" t="s">
        <v>644</v>
      </c>
      <c r="D727" s="3" t="str">
        <f t="shared" si="161"/>
        <v>12Go Link</v>
      </c>
      <c r="E727" s="2" t="s">
        <v>647</v>
      </c>
    </row>
    <row r="728">
      <c r="A728" s="2" t="s">
        <v>593</v>
      </c>
      <c r="B728" s="2" t="s">
        <v>628</v>
      </c>
      <c r="C728" s="2" t="s">
        <v>648</v>
      </c>
      <c r="D728" s="3" t="str">
        <f>HYPERLINK("https://12go.asia/en/travel/Oudomxay-Bus-Station/Doinouboun-Guesthouse", "12Go Link")</f>
        <v>12Go Link</v>
      </c>
      <c r="E728" s="2" t="s">
        <v>148</v>
      </c>
    </row>
    <row r="729">
      <c r="A729" s="2" t="s">
        <v>593</v>
      </c>
      <c r="B729" s="2" t="s">
        <v>205</v>
      </c>
      <c r="C729" s="2" t="s">
        <v>649</v>
      </c>
      <c r="D729" s="3" t="str">
        <f t="shared" ref="D729:D731" si="162">HYPERLINK("https://12go.asia/en/travel/Oudomxay-Railway-Station/Vientiane-Railway-Station", "12Go Link")</f>
        <v>12Go Link</v>
      </c>
      <c r="E729" s="2" t="s">
        <v>645</v>
      </c>
    </row>
    <row r="730">
      <c r="A730" s="2" t="s">
        <v>593</v>
      </c>
      <c r="B730" s="2" t="s">
        <v>205</v>
      </c>
      <c r="C730" s="2" t="s">
        <v>649</v>
      </c>
      <c r="D730" s="3" t="str">
        <f t="shared" si="162"/>
        <v>12Go Link</v>
      </c>
      <c r="E730" s="2" t="s">
        <v>646</v>
      </c>
    </row>
    <row r="731">
      <c r="A731" s="2" t="s">
        <v>593</v>
      </c>
      <c r="B731" s="2" t="s">
        <v>205</v>
      </c>
      <c r="C731" s="2" t="s">
        <v>649</v>
      </c>
      <c r="D731" s="3" t="str">
        <f t="shared" si="162"/>
        <v>12Go Link</v>
      </c>
      <c r="E731" s="2" t="s">
        <v>647</v>
      </c>
    </row>
    <row r="732">
      <c r="A732" s="2" t="s">
        <v>593</v>
      </c>
      <c r="B732" s="2" t="s">
        <v>650</v>
      </c>
      <c r="C732" s="2" t="s">
        <v>651</v>
      </c>
      <c r="D732" s="3" t="str">
        <f>HYPERLINK("https://12go.asia/en/travel/Oudomxay-Bus-Station/My-Dinh-Bus-Station", "12Go Link")</f>
        <v>12Go Link</v>
      </c>
      <c r="E732" s="2" t="s">
        <v>148</v>
      </c>
    </row>
    <row r="733">
      <c r="A733" s="2" t="s">
        <v>593</v>
      </c>
      <c r="B733" s="2" t="s">
        <v>652</v>
      </c>
      <c r="C733" s="2" t="s">
        <v>653</v>
      </c>
      <c r="D733" s="3" t="str">
        <f>HYPERLINK("https://12go.asia/en/travel/Oudomxay-Bus-Station/Sa-Pa-Night-Market", "12Go Link")</f>
        <v>12Go Link</v>
      </c>
      <c r="E733" s="2" t="s">
        <v>148</v>
      </c>
    </row>
    <row r="734">
      <c r="A734" s="4" t="s">
        <v>199</v>
      </c>
      <c r="B734" s="4" t="s">
        <v>152</v>
      </c>
      <c r="C734" s="4" t="s">
        <v>654</v>
      </c>
      <c r="D734" s="5" t="str">
        <f t="shared" ref="D734:D735" si="163">HYPERLINK("https://12go.asia/en/travel/GreenParadise-Tours-and-Travel-Laos/Rith-Mony-Bus-Chroy-Chorngva-Branch", "12Go Link")</f>
        <v>12Go Link</v>
      </c>
      <c r="E734" s="4" t="s">
        <v>198</v>
      </c>
    </row>
    <row r="735">
      <c r="A735" s="4" t="s">
        <v>199</v>
      </c>
      <c r="B735" s="4" t="s">
        <v>152</v>
      </c>
      <c r="C735" s="4" t="s">
        <v>654</v>
      </c>
      <c r="D735" s="5" t="str">
        <f t="shared" si="163"/>
        <v>12Go Link</v>
      </c>
      <c r="E735" s="4" t="s">
        <v>148</v>
      </c>
    </row>
    <row r="736">
      <c r="A736" s="2" t="s">
        <v>201</v>
      </c>
      <c r="B736" s="2" t="s">
        <v>152</v>
      </c>
      <c r="C736" s="2" t="s">
        <v>655</v>
      </c>
      <c r="D736" s="3" t="str">
        <f t="shared" ref="D736:D737" si="164">HYPERLINK("https://12go.asia/en/travel/VLT-Natural-tours/Rith-Mony-Bus-Chroy-Chorngva-Branch", "12Go Link")</f>
        <v>12Go Link</v>
      </c>
      <c r="E736" s="2" t="s">
        <v>203</v>
      </c>
    </row>
    <row r="737">
      <c r="A737" s="2" t="s">
        <v>201</v>
      </c>
      <c r="B737" s="2" t="s">
        <v>152</v>
      </c>
      <c r="C737" s="2" t="s">
        <v>655</v>
      </c>
      <c r="D737" s="3" t="str">
        <f t="shared" si="164"/>
        <v>12Go Link</v>
      </c>
      <c r="E737" s="2" t="s">
        <v>204</v>
      </c>
    </row>
    <row r="738">
      <c r="A738" s="2" t="s">
        <v>201</v>
      </c>
      <c r="B738" s="2" t="s">
        <v>146</v>
      </c>
      <c r="C738" s="2" t="s">
        <v>656</v>
      </c>
      <c r="D738" s="3" t="str">
        <f>HYPERLINK("https://12go.asia/en/travel/VLT-Natural-tours/Pure-Coffee-Krong-Siem-Reap", "12Go Link")</f>
        <v>12Go Link</v>
      </c>
      <c r="E738" s="2" t="s">
        <v>198</v>
      </c>
    </row>
    <row r="739">
      <c r="A739" s="2" t="s">
        <v>201</v>
      </c>
      <c r="B739" s="2" t="s">
        <v>657</v>
      </c>
      <c r="C739" s="2" t="s">
        <v>658</v>
      </c>
      <c r="D739" s="3" t="str">
        <f t="shared" ref="D739:D740" si="165">HYPERLINK("https://12go.asia/en/travel/Vang-Vieng-Railway-Station/Xishuangbanna-Railway-Station", "12Go Link")</f>
        <v>12Go Link</v>
      </c>
      <c r="E739" s="2" t="s">
        <v>645</v>
      </c>
    </row>
    <row r="740">
      <c r="A740" s="2" t="s">
        <v>201</v>
      </c>
      <c r="B740" s="2" t="s">
        <v>657</v>
      </c>
      <c r="C740" s="2" t="s">
        <v>658</v>
      </c>
      <c r="D740" s="3" t="str">
        <f t="shared" si="165"/>
        <v>12Go Link</v>
      </c>
      <c r="E740" s="2" t="s">
        <v>647</v>
      </c>
    </row>
    <row r="741">
      <c r="A741" s="2" t="s">
        <v>201</v>
      </c>
      <c r="B741" s="2" t="s">
        <v>316</v>
      </c>
      <c r="C741" s="2" t="s">
        <v>659</v>
      </c>
      <c r="D741" s="3" t="str">
        <f t="shared" ref="D741:D742" si="166">HYPERLINK("https://12go.asia/en/travel/Vang-Vieng-Railway-Station/Kunming-Railway-Station", "12Go Link")</f>
        <v>12Go Link</v>
      </c>
      <c r="E741" s="2" t="s">
        <v>645</v>
      </c>
    </row>
    <row r="742">
      <c r="A742" s="2" t="s">
        <v>201</v>
      </c>
      <c r="B742" s="2" t="s">
        <v>316</v>
      </c>
      <c r="C742" s="2" t="s">
        <v>659</v>
      </c>
      <c r="D742" s="3" t="str">
        <f t="shared" si="166"/>
        <v>12Go Link</v>
      </c>
      <c r="E742" s="2" t="s">
        <v>647</v>
      </c>
    </row>
    <row r="743">
      <c r="A743" s="2" t="s">
        <v>201</v>
      </c>
      <c r="B743" s="2" t="s">
        <v>660</v>
      </c>
      <c r="C743" s="2" t="s">
        <v>661</v>
      </c>
      <c r="D743" s="3" t="str">
        <f t="shared" ref="D743:D744" si="167">HYPERLINK("https://12go.asia/en/travel/Vang-Vieng-Railway-Station/Mohan-Railway-Station", "12Go Link")</f>
        <v>12Go Link</v>
      </c>
      <c r="E743" s="2" t="s">
        <v>645</v>
      </c>
    </row>
    <row r="744">
      <c r="A744" s="2" t="s">
        <v>201</v>
      </c>
      <c r="B744" s="2" t="s">
        <v>660</v>
      </c>
      <c r="C744" s="2" t="s">
        <v>661</v>
      </c>
      <c r="D744" s="3" t="str">
        <f t="shared" si="167"/>
        <v>12Go Link</v>
      </c>
      <c r="E744" s="2" t="s">
        <v>647</v>
      </c>
    </row>
    <row r="745">
      <c r="A745" s="2" t="s">
        <v>201</v>
      </c>
      <c r="B745" s="2" t="s">
        <v>587</v>
      </c>
      <c r="C745" s="2" t="s">
        <v>662</v>
      </c>
      <c r="D745" s="3" t="str">
        <f>HYPERLINK("https://12go.asia/en/travel/Vang-Vieng-Railway-Station/Luang-Prabang-Railway-Station", "12Go Link")</f>
        <v>12Go Link</v>
      </c>
      <c r="E745" s="2" t="s">
        <v>663</v>
      </c>
    </row>
    <row r="746">
      <c r="A746" s="2" t="s">
        <v>201</v>
      </c>
      <c r="B746" s="2" t="s">
        <v>587</v>
      </c>
      <c r="C746" s="2" t="s">
        <v>664</v>
      </c>
      <c r="D746" s="3" t="str">
        <f t="shared" ref="D746:D747" si="168">HYPERLINK("https://12go.asia/en/travel/Vang-Vieng-Transfer/Luang-Prabang-Railway-Station", "12Go Link")</f>
        <v>12Go Link</v>
      </c>
      <c r="E746" s="2" t="s">
        <v>631</v>
      </c>
    </row>
    <row r="747">
      <c r="A747" s="2" t="s">
        <v>201</v>
      </c>
      <c r="B747" s="2" t="s">
        <v>587</v>
      </c>
      <c r="C747" s="2" t="s">
        <v>664</v>
      </c>
      <c r="D747" s="3" t="str">
        <f t="shared" si="168"/>
        <v>12Go Link</v>
      </c>
      <c r="E747" s="2" t="s">
        <v>632</v>
      </c>
    </row>
    <row r="748">
      <c r="A748" s="2" t="s">
        <v>201</v>
      </c>
      <c r="B748" s="2" t="s">
        <v>587</v>
      </c>
      <c r="C748" s="2" t="s">
        <v>665</v>
      </c>
      <c r="D748" s="3" t="str">
        <f t="shared" ref="D748:D751" si="169">HYPERLINK("https://12go.asia/en/travel/Vang-Vieng-Transfer/Luang-Prabang-Transfer", "12Go Link")</f>
        <v>12Go Link</v>
      </c>
      <c r="E748" s="2" t="s">
        <v>636</v>
      </c>
    </row>
    <row r="749">
      <c r="A749" s="2" t="s">
        <v>201</v>
      </c>
      <c r="B749" s="2" t="s">
        <v>587</v>
      </c>
      <c r="C749" s="2" t="s">
        <v>665</v>
      </c>
      <c r="D749" s="3" t="str">
        <f t="shared" si="169"/>
        <v>12Go Link</v>
      </c>
      <c r="E749" s="2" t="s">
        <v>637</v>
      </c>
    </row>
    <row r="750">
      <c r="A750" s="2" t="s">
        <v>201</v>
      </c>
      <c r="B750" s="2" t="s">
        <v>587</v>
      </c>
      <c r="C750" s="2" t="s">
        <v>665</v>
      </c>
      <c r="D750" s="3" t="str">
        <f t="shared" si="169"/>
        <v>12Go Link</v>
      </c>
      <c r="E750" s="2" t="s">
        <v>638</v>
      </c>
    </row>
    <row r="751">
      <c r="A751" s="2" t="s">
        <v>201</v>
      </c>
      <c r="B751" s="2" t="s">
        <v>587</v>
      </c>
      <c r="C751" s="2" t="s">
        <v>665</v>
      </c>
      <c r="D751" s="3" t="str">
        <f t="shared" si="169"/>
        <v>12Go Link</v>
      </c>
      <c r="E751" s="2" t="s">
        <v>639</v>
      </c>
    </row>
    <row r="752">
      <c r="A752" s="2" t="s">
        <v>201</v>
      </c>
      <c r="B752" s="2" t="s">
        <v>589</v>
      </c>
      <c r="C752" s="2" t="s">
        <v>666</v>
      </c>
      <c r="D752" s="3" t="str">
        <f t="shared" ref="D752:D753" si="170">HYPERLINK("https://12go.asia/en/travel/Vang-Vieng-Transfer/Nateuy-Railway-Station", "12Go Link")</f>
        <v>12Go Link</v>
      </c>
      <c r="E752" s="2" t="s">
        <v>631</v>
      </c>
    </row>
    <row r="753">
      <c r="A753" s="2" t="s">
        <v>201</v>
      </c>
      <c r="B753" s="2" t="s">
        <v>589</v>
      </c>
      <c r="C753" s="2" t="s">
        <v>666</v>
      </c>
      <c r="D753" s="3" t="str">
        <f t="shared" si="170"/>
        <v>12Go Link</v>
      </c>
      <c r="E753" s="2" t="s">
        <v>632</v>
      </c>
    </row>
    <row r="754">
      <c r="A754" s="2" t="s">
        <v>201</v>
      </c>
      <c r="B754" s="2" t="s">
        <v>593</v>
      </c>
      <c r="C754" s="2" t="s">
        <v>667</v>
      </c>
      <c r="D754" s="3" t="str">
        <f t="shared" ref="D754:D755" si="171">HYPERLINK("https://12go.asia/en/travel/Vang-Vieng-Transfer/Mueang-Xai", "12Go Link")</f>
        <v>12Go Link</v>
      </c>
      <c r="E754" s="2" t="s">
        <v>631</v>
      </c>
    </row>
    <row r="755">
      <c r="A755" s="2" t="s">
        <v>201</v>
      </c>
      <c r="B755" s="2" t="s">
        <v>593</v>
      </c>
      <c r="C755" s="2" t="s">
        <v>667</v>
      </c>
      <c r="D755" s="3" t="str">
        <f t="shared" si="171"/>
        <v>12Go Link</v>
      </c>
      <c r="E755" s="2" t="s">
        <v>632</v>
      </c>
    </row>
    <row r="756">
      <c r="A756" s="4" t="s">
        <v>205</v>
      </c>
      <c r="B756" s="4" t="s">
        <v>152</v>
      </c>
      <c r="C756" s="4" t="s">
        <v>668</v>
      </c>
      <c r="D756" s="5" t="str">
        <f t="shared" ref="D756:D757" si="172">HYPERLINK("https://12go.asia/en/travel/Vientiane-Southern-Bus-Terminal/Rith-Mony-Bus-Chroy-Chorngva-Branch", "12Go Link")</f>
        <v>12Go Link</v>
      </c>
      <c r="E756" s="4" t="s">
        <v>203</v>
      </c>
    </row>
    <row r="757">
      <c r="A757" s="4" t="s">
        <v>205</v>
      </c>
      <c r="B757" s="4" t="s">
        <v>152</v>
      </c>
      <c r="C757" s="4" t="s">
        <v>668</v>
      </c>
      <c r="D757" s="5" t="str">
        <f t="shared" si="172"/>
        <v>12Go Link</v>
      </c>
      <c r="E757" s="4" t="s">
        <v>204</v>
      </c>
    </row>
    <row r="758">
      <c r="A758" s="4" t="s">
        <v>205</v>
      </c>
      <c r="B758" s="4" t="s">
        <v>146</v>
      </c>
      <c r="C758" s="4" t="s">
        <v>669</v>
      </c>
      <c r="D758" s="5" t="str">
        <f>HYPERLINK("https://12go.asia/en/travel/Vientiane-Southern-Bus-Terminal/Pure-Coffee-Krong-Siem-Reap", "12Go Link")</f>
        <v>12Go Link</v>
      </c>
      <c r="E758" s="4" t="s">
        <v>198</v>
      </c>
    </row>
    <row r="759">
      <c r="A759" s="4" t="s">
        <v>205</v>
      </c>
      <c r="B759" s="4" t="s">
        <v>657</v>
      </c>
      <c r="C759" s="4" t="s">
        <v>670</v>
      </c>
      <c r="D759" s="5" t="str">
        <f t="shared" ref="D759:D760" si="173">HYPERLINK("https://12go.asia/en/travel/Vientiane-Railway-Station/Xishuangbanna-Railway-Station", "12Go Link")</f>
        <v>12Go Link</v>
      </c>
      <c r="E759" s="4" t="s">
        <v>645</v>
      </c>
    </row>
    <row r="760">
      <c r="A760" s="4" t="s">
        <v>205</v>
      </c>
      <c r="B760" s="4" t="s">
        <v>657</v>
      </c>
      <c r="C760" s="4" t="s">
        <v>670</v>
      </c>
      <c r="D760" s="5" t="str">
        <f t="shared" si="173"/>
        <v>12Go Link</v>
      </c>
      <c r="E760" s="4" t="s">
        <v>647</v>
      </c>
    </row>
    <row r="761">
      <c r="A761" s="4" t="s">
        <v>205</v>
      </c>
      <c r="B761" s="4" t="s">
        <v>316</v>
      </c>
      <c r="C761" s="4" t="s">
        <v>671</v>
      </c>
      <c r="D761" s="5" t="str">
        <f t="shared" ref="D761:D762" si="174">HYPERLINK("https://12go.asia/en/travel/Vientiane-Railway-Station/Kunming-Railway-Station", "12Go Link")</f>
        <v>12Go Link</v>
      </c>
      <c r="E761" s="4" t="s">
        <v>645</v>
      </c>
    </row>
    <row r="762">
      <c r="A762" s="4" t="s">
        <v>205</v>
      </c>
      <c r="B762" s="4" t="s">
        <v>316</v>
      </c>
      <c r="C762" s="4" t="s">
        <v>671</v>
      </c>
      <c r="D762" s="5" t="str">
        <f t="shared" si="174"/>
        <v>12Go Link</v>
      </c>
      <c r="E762" s="4" t="s">
        <v>647</v>
      </c>
    </row>
    <row r="763">
      <c r="A763" s="4" t="s">
        <v>205</v>
      </c>
      <c r="B763" s="4" t="s">
        <v>660</v>
      </c>
      <c r="C763" s="4" t="s">
        <v>672</v>
      </c>
      <c r="D763" s="5" t="str">
        <f t="shared" ref="D763:D764" si="175">HYPERLINK("https://12go.asia/en/travel/Vientiane-Railway-Station/Mohan-Railway-Station", "12Go Link")</f>
        <v>12Go Link</v>
      </c>
      <c r="E763" s="4" t="s">
        <v>645</v>
      </c>
    </row>
    <row r="764">
      <c r="A764" s="4" t="s">
        <v>205</v>
      </c>
      <c r="B764" s="4" t="s">
        <v>660</v>
      </c>
      <c r="C764" s="4" t="s">
        <v>672</v>
      </c>
      <c r="D764" s="5" t="str">
        <f t="shared" si="175"/>
        <v>12Go Link</v>
      </c>
      <c r="E764" s="4" t="s">
        <v>647</v>
      </c>
    </row>
    <row r="765">
      <c r="A765" s="4" t="s">
        <v>205</v>
      </c>
      <c r="B765" s="4" t="s">
        <v>587</v>
      </c>
      <c r="C765" s="4" t="s">
        <v>673</v>
      </c>
      <c r="D765" s="5" t="str">
        <f t="shared" ref="D765:D766" si="176">HYPERLINK("https://12go.asia/en/travel/Vientiane-Transfer/Luang-Prabang-Railway-Station", "12Go Link")</f>
        <v>12Go Link</v>
      </c>
      <c r="E765" s="4" t="s">
        <v>631</v>
      </c>
    </row>
    <row r="766">
      <c r="A766" s="4" t="s">
        <v>205</v>
      </c>
      <c r="B766" s="4" t="s">
        <v>587</v>
      </c>
      <c r="C766" s="4" t="s">
        <v>673</v>
      </c>
      <c r="D766" s="5" t="str">
        <f t="shared" si="176"/>
        <v>12Go Link</v>
      </c>
      <c r="E766" s="4" t="s">
        <v>632</v>
      </c>
    </row>
    <row r="767">
      <c r="A767" s="4" t="s">
        <v>205</v>
      </c>
      <c r="B767" s="4" t="s">
        <v>587</v>
      </c>
      <c r="C767" s="4" t="s">
        <v>674</v>
      </c>
      <c r="D767" s="5" t="str">
        <f t="shared" ref="D767:D769" si="177">HYPERLINK("https://12go.asia/en/travel/Vientiane-Transfer/Luang-Prabang-Transfer", "12Go Link")</f>
        <v>12Go Link</v>
      </c>
      <c r="E767" s="4" t="s">
        <v>636</v>
      </c>
    </row>
    <row r="768">
      <c r="A768" s="4" t="s">
        <v>205</v>
      </c>
      <c r="B768" s="4" t="s">
        <v>587</v>
      </c>
      <c r="C768" s="4" t="s">
        <v>674</v>
      </c>
      <c r="D768" s="5" t="str">
        <f t="shared" si="177"/>
        <v>12Go Link</v>
      </c>
      <c r="E768" s="4" t="s">
        <v>638</v>
      </c>
    </row>
    <row r="769">
      <c r="A769" s="4" t="s">
        <v>205</v>
      </c>
      <c r="B769" s="4" t="s">
        <v>587</v>
      </c>
      <c r="C769" s="4" t="s">
        <v>674</v>
      </c>
      <c r="D769" s="5" t="str">
        <f t="shared" si="177"/>
        <v>12Go Link</v>
      </c>
      <c r="E769" s="4" t="s">
        <v>639</v>
      </c>
    </row>
    <row r="770">
      <c r="A770" s="4" t="s">
        <v>205</v>
      </c>
      <c r="B770" s="4" t="s">
        <v>593</v>
      </c>
      <c r="C770" s="4" t="s">
        <v>675</v>
      </c>
      <c r="D770" s="5" t="str">
        <f t="shared" ref="D770:D771" si="178">HYPERLINK("https://12go.asia/en/travel/Vientiane-Transfer/Mueang-Xai", "12Go Link")</f>
        <v>12Go Link</v>
      </c>
      <c r="E770" s="4" t="s">
        <v>631</v>
      </c>
    </row>
    <row r="771">
      <c r="A771" s="4" t="s">
        <v>205</v>
      </c>
      <c r="B771" s="4" t="s">
        <v>593</v>
      </c>
      <c r="C771" s="4" t="s">
        <v>675</v>
      </c>
      <c r="D771" s="5" t="str">
        <f t="shared" si="178"/>
        <v>12Go Link</v>
      </c>
      <c r="E771" s="4" t="s">
        <v>632</v>
      </c>
    </row>
    <row r="772">
      <c r="A772" s="4" t="s">
        <v>205</v>
      </c>
      <c r="B772" s="4" t="s">
        <v>201</v>
      </c>
      <c r="C772" s="4" t="s">
        <v>676</v>
      </c>
      <c r="D772" s="5" t="str">
        <f>HYPERLINK("https://12go.asia/en/travel/Vientiane-Railway-Station/Vang-Vieng-Railway-Station", "12Go Link")</f>
        <v>12Go Link</v>
      </c>
      <c r="E772" s="4" t="s">
        <v>663</v>
      </c>
    </row>
    <row r="773">
      <c r="A773" s="4" t="s">
        <v>205</v>
      </c>
      <c r="B773" s="4" t="s">
        <v>201</v>
      </c>
      <c r="C773" s="4" t="s">
        <v>677</v>
      </c>
      <c r="D773" s="5" t="str">
        <f t="shared" ref="D773:D774" si="179">HYPERLINK("https://12go.asia/en/travel/Vientiane-Transfer/Vang-Vieng-Railway-Station", "12Go Link")</f>
        <v>12Go Link</v>
      </c>
      <c r="E773" s="4" t="s">
        <v>631</v>
      </c>
    </row>
    <row r="774">
      <c r="A774" s="4" t="s">
        <v>205</v>
      </c>
      <c r="B774" s="4" t="s">
        <v>201</v>
      </c>
      <c r="C774" s="4" t="s">
        <v>677</v>
      </c>
      <c r="D774" s="5" t="str">
        <f t="shared" si="179"/>
        <v>12Go Link</v>
      </c>
      <c r="E774" s="4" t="s">
        <v>632</v>
      </c>
    </row>
    <row r="775">
      <c r="A775" s="4" t="s">
        <v>205</v>
      </c>
      <c r="B775" s="4" t="s">
        <v>201</v>
      </c>
      <c r="C775" s="4" t="s">
        <v>678</v>
      </c>
      <c r="D775" s="5" t="str">
        <f t="shared" ref="D775:D778" si="180">HYPERLINK("https://12go.asia/en/travel/Vientiane-Transfer/Vang-Vieng-Transfer", "12Go Link")</f>
        <v>12Go Link</v>
      </c>
      <c r="E775" s="4" t="s">
        <v>636</v>
      </c>
    </row>
    <row r="776">
      <c r="A776" s="4" t="s">
        <v>205</v>
      </c>
      <c r="B776" s="4" t="s">
        <v>201</v>
      </c>
      <c r="C776" s="4" t="s">
        <v>678</v>
      </c>
      <c r="D776" s="5" t="str">
        <f t="shared" si="180"/>
        <v>12Go Link</v>
      </c>
      <c r="E776" s="4" t="s">
        <v>637</v>
      </c>
    </row>
    <row r="777">
      <c r="A777" s="4" t="s">
        <v>205</v>
      </c>
      <c r="B777" s="4" t="s">
        <v>201</v>
      </c>
      <c r="C777" s="4" t="s">
        <v>678</v>
      </c>
      <c r="D777" s="5" t="str">
        <f t="shared" si="180"/>
        <v>12Go Link</v>
      </c>
      <c r="E777" s="4" t="s">
        <v>638</v>
      </c>
    </row>
    <row r="778">
      <c r="A778" s="4" t="s">
        <v>205</v>
      </c>
      <c r="B778" s="4" t="s">
        <v>201</v>
      </c>
      <c r="C778" s="4" t="s">
        <v>678</v>
      </c>
      <c r="D778" s="5" t="str">
        <f t="shared" si="180"/>
        <v>12Go Link</v>
      </c>
      <c r="E778" s="4" t="s">
        <v>639</v>
      </c>
    </row>
    <row r="779">
      <c r="A779" s="4" t="s">
        <v>205</v>
      </c>
      <c r="B779" s="4" t="s">
        <v>679</v>
      </c>
      <c r="C779" s="4" t="s">
        <v>680</v>
      </c>
      <c r="D779" s="5" t="str">
        <f>HYPERLINK("https://12go.asia/en/travel/Vientiane-Hotel-Transfer/Khon-Kaen-Bus-Terminal-3", "12Go Link")</f>
        <v>12Go Link</v>
      </c>
      <c r="E779" s="4" t="s">
        <v>681</v>
      </c>
    </row>
    <row r="780">
      <c r="A780" s="6" t="s">
        <v>682</v>
      </c>
      <c r="B780" s="6" t="s">
        <v>683</v>
      </c>
      <c r="C780" s="6" t="s">
        <v>684</v>
      </c>
      <c r="D780" s="7" t="str">
        <f t="shared" ref="D780:D784" si="181">HYPERLINK("https://12go.asia/en/travel/Bidong-Island/Merang-Jetty", "12Go Link")</f>
        <v>12Go Link</v>
      </c>
      <c r="E780" s="6" t="s">
        <v>685</v>
      </c>
    </row>
    <row r="781">
      <c r="A781" s="6" t="s">
        <v>682</v>
      </c>
      <c r="B781" s="6" t="s">
        <v>683</v>
      </c>
      <c r="C781" s="6" t="s">
        <v>684</v>
      </c>
      <c r="D781" s="7" t="str">
        <f t="shared" si="181"/>
        <v>12Go Link</v>
      </c>
      <c r="E781" s="6" t="s">
        <v>686</v>
      </c>
    </row>
    <row r="782">
      <c r="A782" s="6" t="s">
        <v>682</v>
      </c>
      <c r="B782" s="6" t="s">
        <v>683</v>
      </c>
      <c r="C782" s="6" t="s">
        <v>684</v>
      </c>
      <c r="D782" s="7" t="str">
        <f t="shared" si="181"/>
        <v>12Go Link</v>
      </c>
      <c r="E782" s="6" t="s">
        <v>687</v>
      </c>
    </row>
    <row r="783">
      <c r="A783" s="6" t="s">
        <v>682</v>
      </c>
      <c r="B783" s="6" t="s">
        <v>683</v>
      </c>
      <c r="C783" s="6" t="s">
        <v>684</v>
      </c>
      <c r="D783" s="7" t="str">
        <f t="shared" si="181"/>
        <v>12Go Link</v>
      </c>
      <c r="E783" s="6" t="s">
        <v>688</v>
      </c>
    </row>
    <row r="784">
      <c r="A784" s="6" t="s">
        <v>682</v>
      </c>
      <c r="B784" s="6" t="s">
        <v>683</v>
      </c>
      <c r="C784" s="6" t="s">
        <v>684</v>
      </c>
      <c r="D784" s="7" t="str">
        <f t="shared" si="181"/>
        <v>12Go Link</v>
      </c>
      <c r="E784" s="6" t="s">
        <v>689</v>
      </c>
    </row>
    <row r="785">
      <c r="A785" s="8" t="s">
        <v>690</v>
      </c>
      <c r="B785" s="8" t="s">
        <v>691</v>
      </c>
      <c r="C785" s="8" t="s">
        <v>692</v>
      </c>
      <c r="D785" s="9" t="str">
        <f>HYPERLINK("https://12go.asia/en/travel/Butterworth/Kuala-Lumpur-Hotel-Transfer", "12Go Link")</f>
        <v>12Go Link</v>
      </c>
      <c r="E785" s="8" t="s">
        <v>693</v>
      </c>
    </row>
    <row r="786">
      <c r="A786" s="6" t="s">
        <v>694</v>
      </c>
      <c r="B786" s="6" t="s">
        <v>691</v>
      </c>
      <c r="C786" s="6" t="s">
        <v>695</v>
      </c>
      <c r="D786" s="7" t="str">
        <f>HYPERLINK("https://12go.asia/en/travel/Johor-Bahru/Kuala-Lumpur-Hotel-Transfer", "12Go Link")</f>
        <v>12Go Link</v>
      </c>
      <c r="E786" s="6" t="s">
        <v>693</v>
      </c>
    </row>
    <row r="787">
      <c r="A787" s="8" t="s">
        <v>691</v>
      </c>
      <c r="B787" s="8" t="s">
        <v>696</v>
      </c>
      <c r="C787" s="8" t="s">
        <v>697</v>
      </c>
      <c r="D787" s="9" t="str">
        <f t="shared" ref="D787:D788" si="182">HYPERLINK("https://12go.asia/en/travel/tbs-kuala-lumpur/baling", "12Go Link")</f>
        <v>12Go Link</v>
      </c>
      <c r="E787" s="8" t="s">
        <v>66</v>
      </c>
    </row>
    <row r="788">
      <c r="A788" s="8" t="s">
        <v>691</v>
      </c>
      <c r="B788" s="8" t="s">
        <v>696</v>
      </c>
      <c r="C788" s="8" t="s">
        <v>697</v>
      </c>
      <c r="D788" s="9" t="str">
        <f t="shared" si="182"/>
        <v>12Go Link</v>
      </c>
      <c r="E788" s="8" t="s">
        <v>66</v>
      </c>
    </row>
    <row r="789">
      <c r="A789" s="8" t="s">
        <v>691</v>
      </c>
      <c r="B789" s="8" t="s">
        <v>690</v>
      </c>
      <c r="C789" s="8" t="s">
        <v>698</v>
      </c>
      <c r="D789" s="9" t="str">
        <f>HYPERLINK("https://12go.asia/en/travel/Kuala-Lumpur-Hotel-Transfer/Butterworth", "12Go Link")</f>
        <v>12Go Link</v>
      </c>
      <c r="E789" s="8" t="s">
        <v>699</v>
      </c>
    </row>
    <row r="790">
      <c r="A790" s="8" t="s">
        <v>691</v>
      </c>
      <c r="B790" s="8" t="s">
        <v>694</v>
      </c>
      <c r="C790" s="8" t="s">
        <v>700</v>
      </c>
      <c r="D790" s="9" t="str">
        <f>HYPERLINK("https://12go.asia/en/travel/Kuala-Lumpur-Hotel-Transfer/Johor-Bahru", "12Go Link")</f>
        <v>12Go Link</v>
      </c>
      <c r="E790" s="8" t="s">
        <v>699</v>
      </c>
    </row>
    <row r="791">
      <c r="A791" s="8" t="s">
        <v>691</v>
      </c>
      <c r="B791" s="8" t="s">
        <v>701</v>
      </c>
      <c r="C791" s="8" t="s">
        <v>702</v>
      </c>
      <c r="D791" s="9" t="str">
        <f>HYPERLINK("https://12go.asia/en/travel/Kuala-Lumpur-Hotel-Transfer/Bukit-Mertajam", "12Go Link")</f>
        <v>12Go Link</v>
      </c>
      <c r="E791" s="8" t="s">
        <v>699</v>
      </c>
    </row>
    <row r="792">
      <c r="A792" s="6" t="s">
        <v>703</v>
      </c>
      <c r="B792" s="6" t="s">
        <v>704</v>
      </c>
      <c r="C792" s="6" t="s">
        <v>705</v>
      </c>
      <c r="D792" s="7" t="str">
        <f>HYPERLINK("https://12go.asia/en/travel/Lang-Tengah-Island/Perhentian-Island", "12Go Link")</f>
        <v>12Go Link</v>
      </c>
      <c r="E792" s="6" t="s">
        <v>492</v>
      </c>
    </row>
    <row r="793">
      <c r="A793" s="6" t="s">
        <v>703</v>
      </c>
      <c r="B793" s="6" t="s">
        <v>683</v>
      </c>
      <c r="C793" s="6" t="s">
        <v>706</v>
      </c>
      <c r="D793" s="7" t="str">
        <f t="shared" ref="D793:D797" si="183">HYPERLINK("https://12go.asia/en/travel/Lang-Tengah-Island/Merang-Jetty", "12Go Link")</f>
        <v>12Go Link</v>
      </c>
      <c r="E793" s="6" t="s">
        <v>685</v>
      </c>
    </row>
    <row r="794">
      <c r="A794" s="6" t="s">
        <v>703</v>
      </c>
      <c r="B794" s="6" t="s">
        <v>683</v>
      </c>
      <c r="C794" s="6" t="s">
        <v>706</v>
      </c>
      <c r="D794" s="7" t="str">
        <f t="shared" si="183"/>
        <v>12Go Link</v>
      </c>
      <c r="E794" s="6" t="s">
        <v>686</v>
      </c>
    </row>
    <row r="795">
      <c r="A795" s="6" t="s">
        <v>703</v>
      </c>
      <c r="B795" s="6" t="s">
        <v>683</v>
      </c>
      <c r="C795" s="6" t="s">
        <v>706</v>
      </c>
      <c r="D795" s="7" t="str">
        <f t="shared" si="183"/>
        <v>12Go Link</v>
      </c>
      <c r="E795" s="6" t="s">
        <v>687</v>
      </c>
    </row>
    <row r="796">
      <c r="A796" s="6" t="s">
        <v>703</v>
      </c>
      <c r="B796" s="6" t="s">
        <v>683</v>
      </c>
      <c r="C796" s="6" t="s">
        <v>706</v>
      </c>
      <c r="D796" s="7" t="str">
        <f t="shared" si="183"/>
        <v>12Go Link</v>
      </c>
      <c r="E796" s="6" t="s">
        <v>688</v>
      </c>
    </row>
    <row r="797">
      <c r="A797" s="6" t="s">
        <v>703</v>
      </c>
      <c r="B797" s="6" t="s">
        <v>683</v>
      </c>
      <c r="C797" s="6" t="s">
        <v>706</v>
      </c>
      <c r="D797" s="7" t="str">
        <f t="shared" si="183"/>
        <v>12Go Link</v>
      </c>
      <c r="E797" s="6" t="s">
        <v>689</v>
      </c>
    </row>
    <row r="798">
      <c r="A798" s="8" t="s">
        <v>701</v>
      </c>
      <c r="B798" s="8" t="s">
        <v>691</v>
      </c>
      <c r="C798" s="8" t="s">
        <v>707</v>
      </c>
      <c r="D798" s="9" t="str">
        <f>HYPERLINK("https://12go.asia/en/travel/Bukit-Mertajam/Kuala-Lumpur-Hotel-Transfer", "12Go Link")</f>
        <v>12Go Link</v>
      </c>
      <c r="E798" s="8" t="s">
        <v>693</v>
      </c>
    </row>
    <row r="799">
      <c r="A799" s="6" t="s">
        <v>704</v>
      </c>
      <c r="B799" s="6" t="s">
        <v>703</v>
      </c>
      <c r="C799" s="6" t="s">
        <v>708</v>
      </c>
      <c r="D799" s="7" t="str">
        <f>HYPERLINK("https://12go.asia/en/travel/Perhentian-Island/Lang-Tengah-Island", "12Go Link")</f>
        <v>12Go Link</v>
      </c>
      <c r="E799" s="6" t="s">
        <v>492</v>
      </c>
    </row>
    <row r="800">
      <c r="A800" s="6" t="s">
        <v>704</v>
      </c>
      <c r="B800" s="6" t="s">
        <v>709</v>
      </c>
      <c r="C800" s="6" t="s">
        <v>710</v>
      </c>
      <c r="D800" s="7" t="str">
        <f>HYPERLINK("https://12go.asia/en/travel/Perhentian-Island/Redang-Island", "12Go Link")</f>
        <v>12Go Link</v>
      </c>
      <c r="E800" s="6" t="s">
        <v>492</v>
      </c>
    </row>
    <row r="801">
      <c r="A801" s="8" t="s">
        <v>709</v>
      </c>
      <c r="B801" s="8" t="s">
        <v>704</v>
      </c>
      <c r="C801" s="8" t="s">
        <v>711</v>
      </c>
      <c r="D801" s="9" t="str">
        <f>HYPERLINK("https://12go.asia/en/travel/Redang-Island/Perhentian-Island", "12Go Link")</f>
        <v>12Go Link</v>
      </c>
      <c r="E801" s="8" t="s">
        <v>492</v>
      </c>
    </row>
    <row r="802">
      <c r="A802" s="8" t="s">
        <v>709</v>
      </c>
      <c r="B802" s="8" t="s">
        <v>683</v>
      </c>
      <c r="C802" s="8" t="s">
        <v>712</v>
      </c>
      <c r="D802" s="9" t="str">
        <f t="shared" ref="D802:D806" si="184">HYPERLINK("https://12go.asia/en/travel/Redang-Island/Merang-Jetty", "12Go Link")</f>
        <v>12Go Link</v>
      </c>
      <c r="E802" s="8" t="s">
        <v>685</v>
      </c>
    </row>
    <row r="803">
      <c r="A803" s="8" t="s">
        <v>709</v>
      </c>
      <c r="B803" s="8" t="s">
        <v>683</v>
      </c>
      <c r="C803" s="8" t="s">
        <v>712</v>
      </c>
      <c r="D803" s="9" t="str">
        <f t="shared" si="184"/>
        <v>12Go Link</v>
      </c>
      <c r="E803" s="8" t="s">
        <v>686</v>
      </c>
    </row>
    <row r="804">
      <c r="A804" s="8" t="s">
        <v>709</v>
      </c>
      <c r="B804" s="8" t="s">
        <v>683</v>
      </c>
      <c r="C804" s="8" t="s">
        <v>712</v>
      </c>
      <c r="D804" s="9" t="str">
        <f t="shared" si="184"/>
        <v>12Go Link</v>
      </c>
      <c r="E804" s="8" t="s">
        <v>687</v>
      </c>
    </row>
    <row r="805">
      <c r="A805" s="8" t="s">
        <v>709</v>
      </c>
      <c r="B805" s="8" t="s">
        <v>683</v>
      </c>
      <c r="C805" s="8" t="s">
        <v>712</v>
      </c>
      <c r="D805" s="9" t="str">
        <f t="shared" si="184"/>
        <v>12Go Link</v>
      </c>
      <c r="E805" s="8" t="s">
        <v>688</v>
      </c>
    </row>
    <row r="806">
      <c r="A806" s="8" t="s">
        <v>709</v>
      </c>
      <c r="B806" s="8" t="s">
        <v>683</v>
      </c>
      <c r="C806" s="8" t="s">
        <v>712</v>
      </c>
      <c r="D806" s="9" t="str">
        <f t="shared" si="184"/>
        <v>12Go Link</v>
      </c>
      <c r="E806" s="8" t="s">
        <v>689</v>
      </c>
    </row>
    <row r="807">
      <c r="A807" s="6" t="s">
        <v>713</v>
      </c>
      <c r="B807" s="6" t="s">
        <v>683</v>
      </c>
      <c r="C807" s="6" t="s">
        <v>714</v>
      </c>
      <c r="D807" s="7" t="str">
        <f>HYPERLINK("https://12go.asia/en/travel/Taman-Negara/Merang-Jetty", "12Go Link")</f>
        <v>12Go Link</v>
      </c>
      <c r="E807" s="6" t="s">
        <v>715</v>
      </c>
    </row>
    <row r="808">
      <c r="A808" s="8" t="s">
        <v>683</v>
      </c>
      <c r="B808" s="8" t="s">
        <v>682</v>
      </c>
      <c r="C808" s="8" t="s">
        <v>716</v>
      </c>
      <c r="D808" s="9" t="str">
        <f t="shared" ref="D808:D812" si="185">HYPERLINK("https://12go.asia/en/travel/Merang-Jetty/Bidong-Island", "12Go Link")</f>
        <v>12Go Link</v>
      </c>
      <c r="E808" s="8" t="s">
        <v>685</v>
      </c>
    </row>
    <row r="809">
      <c r="A809" s="8" t="s">
        <v>683</v>
      </c>
      <c r="B809" s="8" t="s">
        <v>682</v>
      </c>
      <c r="C809" s="8" t="s">
        <v>716</v>
      </c>
      <c r="D809" s="9" t="str">
        <f t="shared" si="185"/>
        <v>12Go Link</v>
      </c>
      <c r="E809" s="8" t="s">
        <v>686</v>
      </c>
    </row>
    <row r="810">
      <c r="A810" s="8" t="s">
        <v>683</v>
      </c>
      <c r="B810" s="8" t="s">
        <v>682</v>
      </c>
      <c r="C810" s="8" t="s">
        <v>716</v>
      </c>
      <c r="D810" s="9" t="str">
        <f t="shared" si="185"/>
        <v>12Go Link</v>
      </c>
      <c r="E810" s="8" t="s">
        <v>687</v>
      </c>
    </row>
    <row r="811">
      <c r="A811" s="8" t="s">
        <v>683</v>
      </c>
      <c r="B811" s="8" t="s">
        <v>682</v>
      </c>
      <c r="C811" s="8" t="s">
        <v>716</v>
      </c>
      <c r="D811" s="9" t="str">
        <f t="shared" si="185"/>
        <v>12Go Link</v>
      </c>
      <c r="E811" s="8" t="s">
        <v>688</v>
      </c>
    </row>
    <row r="812">
      <c r="A812" s="8" t="s">
        <v>683</v>
      </c>
      <c r="B812" s="8" t="s">
        <v>682</v>
      </c>
      <c r="C812" s="8" t="s">
        <v>716</v>
      </c>
      <c r="D812" s="9" t="str">
        <f t="shared" si="185"/>
        <v>12Go Link</v>
      </c>
      <c r="E812" s="8" t="s">
        <v>689</v>
      </c>
    </row>
    <row r="813">
      <c r="A813" s="8" t="s">
        <v>683</v>
      </c>
      <c r="B813" s="8" t="s">
        <v>703</v>
      </c>
      <c r="C813" s="8" t="s">
        <v>717</v>
      </c>
      <c r="D813" s="9" t="str">
        <f t="shared" ref="D813:D817" si="186">HYPERLINK("https://12go.asia/en/travel/Merang-Jetty/Lang-Tengah-Island", "12Go Link")</f>
        <v>12Go Link</v>
      </c>
      <c r="E813" s="8" t="s">
        <v>685</v>
      </c>
    </row>
    <row r="814">
      <c r="A814" s="8" t="s">
        <v>683</v>
      </c>
      <c r="B814" s="8" t="s">
        <v>703</v>
      </c>
      <c r="C814" s="8" t="s">
        <v>717</v>
      </c>
      <c r="D814" s="9" t="str">
        <f t="shared" si="186"/>
        <v>12Go Link</v>
      </c>
      <c r="E814" s="8" t="s">
        <v>686</v>
      </c>
    </row>
    <row r="815">
      <c r="A815" s="8" t="s">
        <v>683</v>
      </c>
      <c r="B815" s="8" t="s">
        <v>703</v>
      </c>
      <c r="C815" s="8" t="s">
        <v>717</v>
      </c>
      <c r="D815" s="9" t="str">
        <f t="shared" si="186"/>
        <v>12Go Link</v>
      </c>
      <c r="E815" s="8" t="s">
        <v>687</v>
      </c>
    </row>
    <row r="816">
      <c r="A816" s="8" t="s">
        <v>683</v>
      </c>
      <c r="B816" s="8" t="s">
        <v>703</v>
      </c>
      <c r="C816" s="8" t="s">
        <v>717</v>
      </c>
      <c r="D816" s="9" t="str">
        <f t="shared" si="186"/>
        <v>12Go Link</v>
      </c>
      <c r="E816" s="8" t="s">
        <v>688</v>
      </c>
    </row>
    <row r="817">
      <c r="A817" s="8" t="s">
        <v>683</v>
      </c>
      <c r="B817" s="8" t="s">
        <v>703</v>
      </c>
      <c r="C817" s="8" t="s">
        <v>717</v>
      </c>
      <c r="D817" s="9" t="str">
        <f t="shared" si="186"/>
        <v>12Go Link</v>
      </c>
      <c r="E817" s="8" t="s">
        <v>689</v>
      </c>
    </row>
    <row r="818">
      <c r="A818" s="8" t="s">
        <v>683</v>
      </c>
      <c r="B818" s="8" t="s">
        <v>709</v>
      </c>
      <c r="C818" s="8" t="s">
        <v>718</v>
      </c>
      <c r="D818" s="9" t="str">
        <f t="shared" ref="D818:D822" si="187">HYPERLINK("https://12go.asia/en/travel/Merang-Jetty/Redang-Island", "12Go Link")</f>
        <v>12Go Link</v>
      </c>
      <c r="E818" s="8" t="s">
        <v>685</v>
      </c>
    </row>
    <row r="819">
      <c r="A819" s="8" t="s">
        <v>683</v>
      </c>
      <c r="B819" s="8" t="s">
        <v>709</v>
      </c>
      <c r="C819" s="8" t="s">
        <v>718</v>
      </c>
      <c r="D819" s="9" t="str">
        <f t="shared" si="187"/>
        <v>12Go Link</v>
      </c>
      <c r="E819" s="8" t="s">
        <v>686</v>
      </c>
    </row>
    <row r="820">
      <c r="A820" s="8" t="s">
        <v>683</v>
      </c>
      <c r="B820" s="8" t="s">
        <v>709</v>
      </c>
      <c r="C820" s="8" t="s">
        <v>718</v>
      </c>
      <c r="D820" s="9" t="str">
        <f t="shared" si="187"/>
        <v>12Go Link</v>
      </c>
      <c r="E820" s="8" t="s">
        <v>687</v>
      </c>
    </row>
    <row r="821">
      <c r="A821" s="8" t="s">
        <v>683</v>
      </c>
      <c r="B821" s="8" t="s">
        <v>709</v>
      </c>
      <c r="C821" s="8" t="s">
        <v>718</v>
      </c>
      <c r="D821" s="9" t="str">
        <f t="shared" si="187"/>
        <v>12Go Link</v>
      </c>
      <c r="E821" s="8" t="s">
        <v>688</v>
      </c>
    </row>
    <row r="822">
      <c r="A822" s="8" t="s">
        <v>683</v>
      </c>
      <c r="B822" s="8" t="s">
        <v>709</v>
      </c>
      <c r="C822" s="8" t="s">
        <v>718</v>
      </c>
      <c r="D822" s="9" t="str">
        <f t="shared" si="187"/>
        <v>12Go Link</v>
      </c>
      <c r="E822" s="8" t="s">
        <v>689</v>
      </c>
    </row>
    <row r="823">
      <c r="A823" s="8" t="s">
        <v>683</v>
      </c>
      <c r="B823" s="8" t="s">
        <v>713</v>
      </c>
      <c r="C823" s="8" t="s">
        <v>719</v>
      </c>
      <c r="D823" s="9" t="str">
        <f>HYPERLINK("https://12go.asia/en/travel/Merang-Jetty/Taman-Negara", "12Go Link")</f>
        <v>12Go Link</v>
      </c>
      <c r="E823" s="8" t="s">
        <v>715</v>
      </c>
    </row>
    <row r="824">
      <c r="A824" s="8" t="s">
        <v>683</v>
      </c>
      <c r="B824" s="8" t="s">
        <v>683</v>
      </c>
      <c r="C824" s="8" t="s">
        <v>720</v>
      </c>
      <c r="D824" s="9" t="str">
        <f>HYPERLINK("https://12go.asia/en/travel/Kuala-Terengganu-Airport/Taman-Tamadun-Islam-Jetty", "12Go Link")</f>
        <v>12Go Link</v>
      </c>
      <c r="E824" s="8" t="s">
        <v>721</v>
      </c>
    </row>
    <row r="825">
      <c r="A825" s="8" t="s">
        <v>683</v>
      </c>
      <c r="B825" s="8" t="s">
        <v>683</v>
      </c>
      <c r="C825" s="8" t="s">
        <v>722</v>
      </c>
      <c r="D825" s="9" t="str">
        <f>HYPERLINK("https://12go.asia/en/travel/Taman-Tamadun-Islam-Jetty/Kuala-Terengganu-Airport", "12Go Link")</f>
        <v>12Go Link</v>
      </c>
      <c r="E825" s="8" t="s">
        <v>721</v>
      </c>
    </row>
    <row r="826">
      <c r="A826" s="2" t="s">
        <v>723</v>
      </c>
      <c r="B826" s="2" t="s">
        <v>724</v>
      </c>
      <c r="C826" s="2" t="s">
        <v>725</v>
      </c>
      <c r="D826" s="3" t="str">
        <f t="shared" ref="D826:D830" si="188">HYPERLINK("https://12go.asia/en/travel/Ethosa-National-Park-East/Hosea-Kutako-International-Airport", "12Go Link")</f>
        <v>12Go Link</v>
      </c>
      <c r="E826" s="2" t="s">
        <v>726</v>
      </c>
    </row>
    <row r="827">
      <c r="A827" s="2" t="s">
        <v>723</v>
      </c>
      <c r="B827" s="2" t="s">
        <v>724</v>
      </c>
      <c r="C827" s="2" t="s">
        <v>725</v>
      </c>
      <c r="D827" s="3" t="str">
        <f t="shared" si="188"/>
        <v>12Go Link</v>
      </c>
      <c r="E827" s="2" t="s">
        <v>727</v>
      </c>
    </row>
    <row r="828">
      <c r="A828" s="2" t="s">
        <v>723</v>
      </c>
      <c r="B828" s="2" t="s">
        <v>724</v>
      </c>
      <c r="C828" s="2" t="s">
        <v>725</v>
      </c>
      <c r="D828" s="3" t="str">
        <f t="shared" si="188"/>
        <v>12Go Link</v>
      </c>
      <c r="E828" s="2" t="s">
        <v>728</v>
      </c>
    </row>
    <row r="829">
      <c r="A829" s="2" t="s">
        <v>723</v>
      </c>
      <c r="B829" s="2" t="s">
        <v>724</v>
      </c>
      <c r="C829" s="2" t="s">
        <v>725</v>
      </c>
      <c r="D829" s="3" t="str">
        <f t="shared" si="188"/>
        <v>12Go Link</v>
      </c>
      <c r="E829" s="2" t="s">
        <v>729</v>
      </c>
    </row>
    <row r="830">
      <c r="A830" s="2" t="s">
        <v>723</v>
      </c>
      <c r="B830" s="2" t="s">
        <v>724</v>
      </c>
      <c r="C830" s="2" t="s">
        <v>725</v>
      </c>
      <c r="D830" s="3" t="str">
        <f t="shared" si="188"/>
        <v>12Go Link</v>
      </c>
      <c r="E830" s="2" t="s">
        <v>730</v>
      </c>
    </row>
    <row r="831">
      <c r="A831" s="2" t="s">
        <v>723</v>
      </c>
      <c r="B831" s="2" t="s">
        <v>724</v>
      </c>
      <c r="C831" s="2" t="s">
        <v>731</v>
      </c>
      <c r="D831" s="3" t="str">
        <f t="shared" ref="D831:D835" si="189">HYPERLINK("https://12go.asia/en/travel/Ethosa-National-Park-East/Windhoek-Hotel-Transfer", "12Go Link")</f>
        <v>12Go Link</v>
      </c>
      <c r="E831" s="2" t="s">
        <v>726</v>
      </c>
    </row>
    <row r="832">
      <c r="A832" s="2" t="s">
        <v>723</v>
      </c>
      <c r="B832" s="2" t="s">
        <v>724</v>
      </c>
      <c r="C832" s="2" t="s">
        <v>731</v>
      </c>
      <c r="D832" s="3" t="str">
        <f t="shared" si="189"/>
        <v>12Go Link</v>
      </c>
      <c r="E832" s="2" t="s">
        <v>727</v>
      </c>
    </row>
    <row r="833">
      <c r="A833" s="2" t="s">
        <v>723</v>
      </c>
      <c r="B833" s="2" t="s">
        <v>724</v>
      </c>
      <c r="C833" s="2" t="s">
        <v>731</v>
      </c>
      <c r="D833" s="3" t="str">
        <f t="shared" si="189"/>
        <v>12Go Link</v>
      </c>
      <c r="E833" s="2" t="s">
        <v>728</v>
      </c>
    </row>
    <row r="834">
      <c r="A834" s="2" t="s">
        <v>723</v>
      </c>
      <c r="B834" s="2" t="s">
        <v>724</v>
      </c>
      <c r="C834" s="2" t="s">
        <v>731</v>
      </c>
      <c r="D834" s="3" t="str">
        <f t="shared" si="189"/>
        <v>12Go Link</v>
      </c>
      <c r="E834" s="2" t="s">
        <v>729</v>
      </c>
    </row>
    <row r="835">
      <c r="A835" s="2" t="s">
        <v>723</v>
      </c>
      <c r="B835" s="2" t="s">
        <v>724</v>
      </c>
      <c r="C835" s="2" t="s">
        <v>731</v>
      </c>
      <c r="D835" s="3" t="str">
        <f t="shared" si="189"/>
        <v>12Go Link</v>
      </c>
      <c r="E835" s="2" t="s">
        <v>730</v>
      </c>
    </row>
    <row r="836">
      <c r="A836" s="2" t="s">
        <v>723</v>
      </c>
      <c r="B836" s="2" t="s">
        <v>724</v>
      </c>
      <c r="C836" s="2" t="s">
        <v>732</v>
      </c>
      <c r="D836" s="3" t="str">
        <f t="shared" ref="D836:D840" si="190">HYPERLINK("https://12go.asia/en/travel/Ethosa-National-Park-South/Hosea-Kutako-International-Airport", "12Go Link")</f>
        <v>12Go Link</v>
      </c>
      <c r="E836" s="2" t="s">
        <v>726</v>
      </c>
    </row>
    <row r="837">
      <c r="A837" s="2" t="s">
        <v>723</v>
      </c>
      <c r="B837" s="2" t="s">
        <v>724</v>
      </c>
      <c r="C837" s="2" t="s">
        <v>732</v>
      </c>
      <c r="D837" s="3" t="str">
        <f t="shared" si="190"/>
        <v>12Go Link</v>
      </c>
      <c r="E837" s="2" t="s">
        <v>727</v>
      </c>
    </row>
    <row r="838">
      <c r="A838" s="2" t="s">
        <v>723</v>
      </c>
      <c r="B838" s="2" t="s">
        <v>724</v>
      </c>
      <c r="C838" s="2" t="s">
        <v>732</v>
      </c>
      <c r="D838" s="3" t="str">
        <f t="shared" si="190"/>
        <v>12Go Link</v>
      </c>
      <c r="E838" s="2" t="s">
        <v>728</v>
      </c>
    </row>
    <row r="839">
      <c r="A839" s="2" t="s">
        <v>723</v>
      </c>
      <c r="B839" s="2" t="s">
        <v>724</v>
      </c>
      <c r="C839" s="2" t="s">
        <v>732</v>
      </c>
      <c r="D839" s="3" t="str">
        <f t="shared" si="190"/>
        <v>12Go Link</v>
      </c>
      <c r="E839" s="2" t="s">
        <v>729</v>
      </c>
    </row>
    <row r="840">
      <c r="A840" s="2" t="s">
        <v>723</v>
      </c>
      <c r="B840" s="2" t="s">
        <v>724</v>
      </c>
      <c r="C840" s="2" t="s">
        <v>732</v>
      </c>
      <c r="D840" s="3" t="str">
        <f t="shared" si="190"/>
        <v>12Go Link</v>
      </c>
      <c r="E840" s="2" t="s">
        <v>730</v>
      </c>
    </row>
    <row r="841">
      <c r="A841" s="2" t="s">
        <v>723</v>
      </c>
      <c r="B841" s="2" t="s">
        <v>724</v>
      </c>
      <c r="C841" s="2" t="s">
        <v>733</v>
      </c>
      <c r="D841" s="3" t="str">
        <f t="shared" ref="D841:D845" si="191">HYPERLINK("https://12go.asia/en/travel/Ethosa-National-Park-South/Windhoek-Hotel-Transfer", "12Go Link")</f>
        <v>12Go Link</v>
      </c>
      <c r="E841" s="2" t="s">
        <v>726</v>
      </c>
    </row>
    <row r="842">
      <c r="A842" s="2" t="s">
        <v>723</v>
      </c>
      <c r="B842" s="2" t="s">
        <v>724</v>
      </c>
      <c r="C842" s="2" t="s">
        <v>733</v>
      </c>
      <c r="D842" s="3" t="str">
        <f t="shared" si="191"/>
        <v>12Go Link</v>
      </c>
      <c r="E842" s="2" t="s">
        <v>727</v>
      </c>
    </row>
    <row r="843">
      <c r="A843" s="2" t="s">
        <v>723</v>
      </c>
      <c r="B843" s="2" t="s">
        <v>724</v>
      </c>
      <c r="C843" s="2" t="s">
        <v>733</v>
      </c>
      <c r="D843" s="3" t="str">
        <f t="shared" si="191"/>
        <v>12Go Link</v>
      </c>
      <c r="E843" s="2" t="s">
        <v>728</v>
      </c>
    </row>
    <row r="844">
      <c r="A844" s="2" t="s">
        <v>723</v>
      </c>
      <c r="B844" s="2" t="s">
        <v>724</v>
      </c>
      <c r="C844" s="2" t="s">
        <v>733</v>
      </c>
      <c r="D844" s="3" t="str">
        <f t="shared" si="191"/>
        <v>12Go Link</v>
      </c>
      <c r="E844" s="2" t="s">
        <v>729</v>
      </c>
    </row>
    <row r="845">
      <c r="A845" s="2" t="s">
        <v>723</v>
      </c>
      <c r="B845" s="2" t="s">
        <v>724</v>
      </c>
      <c r="C845" s="2" t="s">
        <v>733</v>
      </c>
      <c r="D845" s="3" t="str">
        <f t="shared" si="191"/>
        <v>12Go Link</v>
      </c>
      <c r="E845" s="2" t="s">
        <v>730</v>
      </c>
    </row>
    <row r="846">
      <c r="A846" s="4" t="s">
        <v>734</v>
      </c>
      <c r="B846" s="4" t="s">
        <v>724</v>
      </c>
      <c r="C846" s="4" t="s">
        <v>735</v>
      </c>
      <c r="D846" s="5" t="str">
        <f t="shared" ref="D846:D850" si="192">HYPERLINK("https://12go.asia/en/travel/Sossusvlei-Transfer/Hosea-Kutako-International-Airport", "12Go Link")</f>
        <v>12Go Link</v>
      </c>
      <c r="E846" s="4" t="s">
        <v>726</v>
      </c>
    </row>
    <row r="847">
      <c r="A847" s="4" t="s">
        <v>734</v>
      </c>
      <c r="B847" s="4" t="s">
        <v>724</v>
      </c>
      <c r="C847" s="4" t="s">
        <v>735</v>
      </c>
      <c r="D847" s="5" t="str">
        <f t="shared" si="192"/>
        <v>12Go Link</v>
      </c>
      <c r="E847" s="4" t="s">
        <v>727</v>
      </c>
    </row>
    <row r="848">
      <c r="A848" s="4" t="s">
        <v>734</v>
      </c>
      <c r="B848" s="4" t="s">
        <v>724</v>
      </c>
      <c r="C848" s="4" t="s">
        <v>735</v>
      </c>
      <c r="D848" s="5" t="str">
        <f t="shared" si="192"/>
        <v>12Go Link</v>
      </c>
      <c r="E848" s="4" t="s">
        <v>728</v>
      </c>
    </row>
    <row r="849">
      <c r="A849" s="4" t="s">
        <v>734</v>
      </c>
      <c r="B849" s="4" t="s">
        <v>724</v>
      </c>
      <c r="C849" s="4" t="s">
        <v>735</v>
      </c>
      <c r="D849" s="5" t="str">
        <f t="shared" si="192"/>
        <v>12Go Link</v>
      </c>
      <c r="E849" s="4" t="s">
        <v>729</v>
      </c>
    </row>
    <row r="850">
      <c r="A850" s="4" t="s">
        <v>734</v>
      </c>
      <c r="B850" s="4" t="s">
        <v>724</v>
      </c>
      <c r="C850" s="4" t="s">
        <v>735</v>
      </c>
      <c r="D850" s="5" t="str">
        <f t="shared" si="192"/>
        <v>12Go Link</v>
      </c>
      <c r="E850" s="4" t="s">
        <v>730</v>
      </c>
    </row>
    <row r="851">
      <c r="A851" s="4" t="s">
        <v>734</v>
      </c>
      <c r="B851" s="4" t="s">
        <v>724</v>
      </c>
      <c r="C851" s="4" t="s">
        <v>736</v>
      </c>
      <c r="D851" s="5" t="str">
        <f t="shared" ref="D851:D855" si="193">HYPERLINK("https://12go.asia/en/travel/Sossusvlei-Transfer/Windhoek-Hotel-Transfer", "12Go Link")</f>
        <v>12Go Link</v>
      </c>
      <c r="E851" s="4" t="s">
        <v>726</v>
      </c>
    </row>
    <row r="852">
      <c r="A852" s="4" t="s">
        <v>734</v>
      </c>
      <c r="B852" s="4" t="s">
        <v>724</v>
      </c>
      <c r="C852" s="4" t="s">
        <v>736</v>
      </c>
      <c r="D852" s="5" t="str">
        <f t="shared" si="193"/>
        <v>12Go Link</v>
      </c>
      <c r="E852" s="4" t="s">
        <v>727</v>
      </c>
    </row>
    <row r="853">
      <c r="A853" s="4" t="s">
        <v>734</v>
      </c>
      <c r="B853" s="4" t="s">
        <v>724</v>
      </c>
      <c r="C853" s="4" t="s">
        <v>736</v>
      </c>
      <c r="D853" s="5" t="str">
        <f t="shared" si="193"/>
        <v>12Go Link</v>
      </c>
      <c r="E853" s="4" t="s">
        <v>728</v>
      </c>
    </row>
    <row r="854">
      <c r="A854" s="4" t="s">
        <v>734</v>
      </c>
      <c r="B854" s="4" t="s">
        <v>724</v>
      </c>
      <c r="C854" s="4" t="s">
        <v>736</v>
      </c>
      <c r="D854" s="5" t="str">
        <f t="shared" si="193"/>
        <v>12Go Link</v>
      </c>
      <c r="E854" s="4" t="s">
        <v>729</v>
      </c>
    </row>
    <row r="855">
      <c r="A855" s="4" t="s">
        <v>734</v>
      </c>
      <c r="B855" s="4" t="s">
        <v>724</v>
      </c>
      <c r="C855" s="4" t="s">
        <v>736</v>
      </c>
      <c r="D855" s="5" t="str">
        <f t="shared" si="193"/>
        <v>12Go Link</v>
      </c>
      <c r="E855" s="4" t="s">
        <v>730</v>
      </c>
    </row>
    <row r="856">
      <c r="A856" s="2" t="s">
        <v>737</v>
      </c>
      <c r="B856" s="2" t="s">
        <v>724</v>
      </c>
      <c r="C856" s="2" t="s">
        <v>738</v>
      </c>
      <c r="D856" s="3" t="str">
        <f t="shared" ref="D856:D860" si="194">HYPERLINK("https://12go.asia/en/travel/Swakopmund-Hotel-Transfer/Hosea-Kutako-International-Airport", "12Go Link")</f>
        <v>12Go Link</v>
      </c>
      <c r="E856" s="2" t="s">
        <v>726</v>
      </c>
    </row>
    <row r="857">
      <c r="A857" s="2" t="s">
        <v>737</v>
      </c>
      <c r="B857" s="2" t="s">
        <v>724</v>
      </c>
      <c r="C857" s="2" t="s">
        <v>738</v>
      </c>
      <c r="D857" s="3" t="str">
        <f t="shared" si="194"/>
        <v>12Go Link</v>
      </c>
      <c r="E857" s="2" t="s">
        <v>727</v>
      </c>
    </row>
    <row r="858">
      <c r="A858" s="2" t="s">
        <v>737</v>
      </c>
      <c r="B858" s="2" t="s">
        <v>724</v>
      </c>
      <c r="C858" s="2" t="s">
        <v>738</v>
      </c>
      <c r="D858" s="3" t="str">
        <f t="shared" si="194"/>
        <v>12Go Link</v>
      </c>
      <c r="E858" s="2" t="s">
        <v>728</v>
      </c>
    </row>
    <row r="859">
      <c r="A859" s="2" t="s">
        <v>737</v>
      </c>
      <c r="B859" s="2" t="s">
        <v>724</v>
      </c>
      <c r="C859" s="2" t="s">
        <v>738</v>
      </c>
      <c r="D859" s="3" t="str">
        <f t="shared" si="194"/>
        <v>12Go Link</v>
      </c>
      <c r="E859" s="2" t="s">
        <v>729</v>
      </c>
    </row>
    <row r="860">
      <c r="A860" s="2" t="s">
        <v>737</v>
      </c>
      <c r="B860" s="2" t="s">
        <v>724</v>
      </c>
      <c r="C860" s="2" t="s">
        <v>738</v>
      </c>
      <c r="D860" s="3" t="str">
        <f t="shared" si="194"/>
        <v>12Go Link</v>
      </c>
      <c r="E860" s="2" t="s">
        <v>730</v>
      </c>
    </row>
    <row r="861">
      <c r="A861" s="2" t="s">
        <v>737</v>
      </c>
      <c r="B861" s="2" t="s">
        <v>724</v>
      </c>
      <c r="C861" s="2" t="s">
        <v>739</v>
      </c>
      <c r="D861" s="3" t="str">
        <f t="shared" ref="D861:D865" si="195">HYPERLINK("https://12go.asia/en/travel/Swakopmund-Hotel-Transfer/Windhoek-Hotel-Transfer", "12Go Link")</f>
        <v>12Go Link</v>
      </c>
      <c r="E861" s="2" t="s">
        <v>726</v>
      </c>
    </row>
    <row r="862">
      <c r="A862" s="2" t="s">
        <v>737</v>
      </c>
      <c r="B862" s="2" t="s">
        <v>724</v>
      </c>
      <c r="C862" s="2" t="s">
        <v>739</v>
      </c>
      <c r="D862" s="3" t="str">
        <f t="shared" si="195"/>
        <v>12Go Link</v>
      </c>
      <c r="E862" s="2" t="s">
        <v>727</v>
      </c>
    </row>
    <row r="863">
      <c r="A863" s="2" t="s">
        <v>737</v>
      </c>
      <c r="B863" s="2" t="s">
        <v>724</v>
      </c>
      <c r="C863" s="2" t="s">
        <v>739</v>
      </c>
      <c r="D863" s="3" t="str">
        <f t="shared" si="195"/>
        <v>12Go Link</v>
      </c>
      <c r="E863" s="2" t="s">
        <v>728</v>
      </c>
    </row>
    <row r="864">
      <c r="A864" s="2" t="s">
        <v>737</v>
      </c>
      <c r="B864" s="2" t="s">
        <v>724</v>
      </c>
      <c r="C864" s="2" t="s">
        <v>739</v>
      </c>
      <c r="D864" s="3" t="str">
        <f t="shared" si="195"/>
        <v>12Go Link</v>
      </c>
      <c r="E864" s="2" t="s">
        <v>729</v>
      </c>
    </row>
    <row r="865">
      <c r="A865" s="2" t="s">
        <v>737</v>
      </c>
      <c r="B865" s="2" t="s">
        <v>724</v>
      </c>
      <c r="C865" s="2" t="s">
        <v>739</v>
      </c>
      <c r="D865" s="3" t="str">
        <f t="shared" si="195"/>
        <v>12Go Link</v>
      </c>
      <c r="E865" s="2" t="s">
        <v>730</v>
      </c>
    </row>
    <row r="866">
      <c r="A866" s="4" t="s">
        <v>724</v>
      </c>
      <c r="B866" s="4" t="s">
        <v>723</v>
      </c>
      <c r="C866" s="4" t="s">
        <v>740</v>
      </c>
      <c r="D866" s="5" t="str">
        <f t="shared" ref="D866:D870" si="196">HYPERLINK("https://12go.asia/en/travel/Hosea-Kutako-International-Airport/Ethosa-National-Park-East", "12Go Link")</f>
        <v>12Go Link</v>
      </c>
      <c r="E866" s="4" t="s">
        <v>726</v>
      </c>
    </row>
    <row r="867">
      <c r="A867" s="4" t="s">
        <v>724</v>
      </c>
      <c r="B867" s="4" t="s">
        <v>723</v>
      </c>
      <c r="C867" s="4" t="s">
        <v>740</v>
      </c>
      <c r="D867" s="5" t="str">
        <f t="shared" si="196"/>
        <v>12Go Link</v>
      </c>
      <c r="E867" s="4" t="s">
        <v>727</v>
      </c>
    </row>
    <row r="868">
      <c r="A868" s="4" t="s">
        <v>724</v>
      </c>
      <c r="B868" s="4" t="s">
        <v>723</v>
      </c>
      <c r="C868" s="4" t="s">
        <v>740</v>
      </c>
      <c r="D868" s="5" t="str">
        <f t="shared" si="196"/>
        <v>12Go Link</v>
      </c>
      <c r="E868" s="4" t="s">
        <v>728</v>
      </c>
    </row>
    <row r="869">
      <c r="A869" s="4" t="s">
        <v>724</v>
      </c>
      <c r="B869" s="4" t="s">
        <v>723</v>
      </c>
      <c r="C869" s="4" t="s">
        <v>740</v>
      </c>
      <c r="D869" s="5" t="str">
        <f t="shared" si="196"/>
        <v>12Go Link</v>
      </c>
      <c r="E869" s="4" t="s">
        <v>729</v>
      </c>
    </row>
    <row r="870">
      <c r="A870" s="4" t="s">
        <v>724</v>
      </c>
      <c r="B870" s="4" t="s">
        <v>723</v>
      </c>
      <c r="C870" s="4" t="s">
        <v>740</v>
      </c>
      <c r="D870" s="5" t="str">
        <f t="shared" si="196"/>
        <v>12Go Link</v>
      </c>
      <c r="E870" s="4" t="s">
        <v>730</v>
      </c>
    </row>
    <row r="871">
      <c r="A871" s="4" t="s">
        <v>724</v>
      </c>
      <c r="B871" s="4" t="s">
        <v>723</v>
      </c>
      <c r="C871" s="4" t="s">
        <v>741</v>
      </c>
      <c r="D871" s="5" t="str">
        <f t="shared" ref="D871:D875" si="197">HYPERLINK("https://12go.asia/en/travel/Hosea-Kutako-International-Airport/Ethosa-National-Park-South", "12Go Link")</f>
        <v>12Go Link</v>
      </c>
      <c r="E871" s="4" t="s">
        <v>726</v>
      </c>
    </row>
    <row r="872">
      <c r="A872" s="4" t="s">
        <v>724</v>
      </c>
      <c r="B872" s="4" t="s">
        <v>723</v>
      </c>
      <c r="C872" s="4" t="s">
        <v>741</v>
      </c>
      <c r="D872" s="5" t="str">
        <f t="shared" si="197"/>
        <v>12Go Link</v>
      </c>
      <c r="E872" s="4" t="s">
        <v>727</v>
      </c>
    </row>
    <row r="873">
      <c r="A873" s="4" t="s">
        <v>724</v>
      </c>
      <c r="B873" s="4" t="s">
        <v>723</v>
      </c>
      <c r="C873" s="4" t="s">
        <v>741</v>
      </c>
      <c r="D873" s="5" t="str">
        <f t="shared" si="197"/>
        <v>12Go Link</v>
      </c>
      <c r="E873" s="4" t="s">
        <v>728</v>
      </c>
    </row>
    <row r="874">
      <c r="A874" s="4" t="s">
        <v>724</v>
      </c>
      <c r="B874" s="4" t="s">
        <v>723</v>
      </c>
      <c r="C874" s="4" t="s">
        <v>741</v>
      </c>
      <c r="D874" s="5" t="str">
        <f t="shared" si="197"/>
        <v>12Go Link</v>
      </c>
      <c r="E874" s="4" t="s">
        <v>729</v>
      </c>
    </row>
    <row r="875">
      <c r="A875" s="4" t="s">
        <v>724</v>
      </c>
      <c r="B875" s="4" t="s">
        <v>723</v>
      </c>
      <c r="C875" s="4" t="s">
        <v>741</v>
      </c>
      <c r="D875" s="5" t="str">
        <f t="shared" si="197"/>
        <v>12Go Link</v>
      </c>
      <c r="E875" s="4" t="s">
        <v>730</v>
      </c>
    </row>
    <row r="876">
      <c r="A876" s="4" t="s">
        <v>724</v>
      </c>
      <c r="B876" s="4" t="s">
        <v>723</v>
      </c>
      <c r="C876" s="4" t="s">
        <v>742</v>
      </c>
      <c r="D876" s="5" t="str">
        <f t="shared" ref="D876:D880" si="198">HYPERLINK("https://12go.asia/en/travel/Windhoek-Hotel-Transfer/Ethosa-National-Park-East", "12Go Link")</f>
        <v>12Go Link</v>
      </c>
      <c r="E876" s="4" t="s">
        <v>726</v>
      </c>
    </row>
    <row r="877">
      <c r="A877" s="4" t="s">
        <v>724</v>
      </c>
      <c r="B877" s="4" t="s">
        <v>723</v>
      </c>
      <c r="C877" s="4" t="s">
        <v>742</v>
      </c>
      <c r="D877" s="5" t="str">
        <f t="shared" si="198"/>
        <v>12Go Link</v>
      </c>
      <c r="E877" s="4" t="s">
        <v>727</v>
      </c>
    </row>
    <row r="878">
      <c r="A878" s="4" t="s">
        <v>724</v>
      </c>
      <c r="B878" s="4" t="s">
        <v>723</v>
      </c>
      <c r="C878" s="4" t="s">
        <v>742</v>
      </c>
      <c r="D878" s="5" t="str">
        <f t="shared" si="198"/>
        <v>12Go Link</v>
      </c>
      <c r="E878" s="4" t="s">
        <v>728</v>
      </c>
    </row>
    <row r="879">
      <c r="A879" s="4" t="s">
        <v>724</v>
      </c>
      <c r="B879" s="4" t="s">
        <v>723</v>
      </c>
      <c r="C879" s="4" t="s">
        <v>742</v>
      </c>
      <c r="D879" s="5" t="str">
        <f t="shared" si="198"/>
        <v>12Go Link</v>
      </c>
      <c r="E879" s="4" t="s">
        <v>729</v>
      </c>
    </row>
    <row r="880">
      <c r="A880" s="4" t="s">
        <v>724</v>
      </c>
      <c r="B880" s="4" t="s">
        <v>723</v>
      </c>
      <c r="C880" s="4" t="s">
        <v>742</v>
      </c>
      <c r="D880" s="5" t="str">
        <f t="shared" si="198"/>
        <v>12Go Link</v>
      </c>
      <c r="E880" s="4" t="s">
        <v>730</v>
      </c>
    </row>
    <row r="881">
      <c r="A881" s="4" t="s">
        <v>724</v>
      </c>
      <c r="B881" s="4" t="s">
        <v>723</v>
      </c>
      <c r="C881" s="4" t="s">
        <v>743</v>
      </c>
      <c r="D881" s="5" t="str">
        <f t="shared" ref="D881:D885" si="199">HYPERLINK("https://12go.asia/en/travel/Windhoek-Hotel-Transfer/Ethosa-National-Park-South", "12Go Link")</f>
        <v>12Go Link</v>
      </c>
      <c r="E881" s="4" t="s">
        <v>726</v>
      </c>
    </row>
    <row r="882">
      <c r="A882" s="4" t="s">
        <v>724</v>
      </c>
      <c r="B882" s="4" t="s">
        <v>723</v>
      </c>
      <c r="C882" s="4" t="s">
        <v>743</v>
      </c>
      <c r="D882" s="5" t="str">
        <f t="shared" si="199"/>
        <v>12Go Link</v>
      </c>
      <c r="E882" s="4" t="s">
        <v>727</v>
      </c>
    </row>
    <row r="883">
      <c r="A883" s="4" t="s">
        <v>724</v>
      </c>
      <c r="B883" s="4" t="s">
        <v>723</v>
      </c>
      <c r="C883" s="4" t="s">
        <v>743</v>
      </c>
      <c r="D883" s="5" t="str">
        <f t="shared" si="199"/>
        <v>12Go Link</v>
      </c>
      <c r="E883" s="4" t="s">
        <v>728</v>
      </c>
    </row>
    <row r="884">
      <c r="A884" s="4" t="s">
        <v>724</v>
      </c>
      <c r="B884" s="4" t="s">
        <v>723</v>
      </c>
      <c r="C884" s="4" t="s">
        <v>743</v>
      </c>
      <c r="D884" s="5" t="str">
        <f t="shared" si="199"/>
        <v>12Go Link</v>
      </c>
      <c r="E884" s="4" t="s">
        <v>729</v>
      </c>
    </row>
    <row r="885">
      <c r="A885" s="4" t="s">
        <v>724</v>
      </c>
      <c r="B885" s="4" t="s">
        <v>723</v>
      </c>
      <c r="C885" s="4" t="s">
        <v>743</v>
      </c>
      <c r="D885" s="5" t="str">
        <f t="shared" si="199"/>
        <v>12Go Link</v>
      </c>
      <c r="E885" s="4" t="s">
        <v>730</v>
      </c>
    </row>
    <row r="886">
      <c r="A886" s="4" t="s">
        <v>724</v>
      </c>
      <c r="B886" s="4" t="s">
        <v>734</v>
      </c>
      <c r="C886" s="4" t="s">
        <v>744</v>
      </c>
      <c r="D886" s="5" t="str">
        <f t="shared" ref="D886:D890" si="200">HYPERLINK("https://12go.asia/en/travel/Hosea-Kutako-International-Airport/Sossusvlei-Transfer", "12Go Link")</f>
        <v>12Go Link</v>
      </c>
      <c r="E886" s="4" t="s">
        <v>726</v>
      </c>
    </row>
    <row r="887">
      <c r="A887" s="4" t="s">
        <v>724</v>
      </c>
      <c r="B887" s="4" t="s">
        <v>734</v>
      </c>
      <c r="C887" s="4" t="s">
        <v>744</v>
      </c>
      <c r="D887" s="5" t="str">
        <f t="shared" si="200"/>
        <v>12Go Link</v>
      </c>
      <c r="E887" s="4" t="s">
        <v>727</v>
      </c>
    </row>
    <row r="888">
      <c r="A888" s="4" t="s">
        <v>724</v>
      </c>
      <c r="B888" s="4" t="s">
        <v>734</v>
      </c>
      <c r="C888" s="4" t="s">
        <v>744</v>
      </c>
      <c r="D888" s="5" t="str">
        <f t="shared" si="200"/>
        <v>12Go Link</v>
      </c>
      <c r="E888" s="4" t="s">
        <v>728</v>
      </c>
    </row>
    <row r="889">
      <c r="A889" s="4" t="s">
        <v>724</v>
      </c>
      <c r="B889" s="4" t="s">
        <v>734</v>
      </c>
      <c r="C889" s="4" t="s">
        <v>744</v>
      </c>
      <c r="D889" s="5" t="str">
        <f t="shared" si="200"/>
        <v>12Go Link</v>
      </c>
      <c r="E889" s="4" t="s">
        <v>729</v>
      </c>
    </row>
    <row r="890">
      <c r="A890" s="4" t="s">
        <v>724</v>
      </c>
      <c r="B890" s="4" t="s">
        <v>734</v>
      </c>
      <c r="C890" s="4" t="s">
        <v>744</v>
      </c>
      <c r="D890" s="5" t="str">
        <f t="shared" si="200"/>
        <v>12Go Link</v>
      </c>
      <c r="E890" s="4" t="s">
        <v>730</v>
      </c>
    </row>
    <row r="891">
      <c r="A891" s="4" t="s">
        <v>724</v>
      </c>
      <c r="B891" s="4" t="s">
        <v>734</v>
      </c>
      <c r="C891" s="4" t="s">
        <v>745</v>
      </c>
      <c r="D891" s="5" t="str">
        <f t="shared" ref="D891:D895" si="201">HYPERLINK("https://12go.asia/en/travel/Windhoek-Hotel-Transfer/Sossusvlei-Transfer", "12Go Link")</f>
        <v>12Go Link</v>
      </c>
      <c r="E891" s="4" t="s">
        <v>726</v>
      </c>
    </row>
    <row r="892">
      <c r="A892" s="4" t="s">
        <v>724</v>
      </c>
      <c r="B892" s="4" t="s">
        <v>734</v>
      </c>
      <c r="C892" s="4" t="s">
        <v>745</v>
      </c>
      <c r="D892" s="5" t="str">
        <f t="shared" si="201"/>
        <v>12Go Link</v>
      </c>
      <c r="E892" s="4" t="s">
        <v>727</v>
      </c>
    </row>
    <row r="893">
      <c r="A893" s="4" t="s">
        <v>724</v>
      </c>
      <c r="B893" s="4" t="s">
        <v>734</v>
      </c>
      <c r="C893" s="4" t="s">
        <v>745</v>
      </c>
      <c r="D893" s="5" t="str">
        <f t="shared" si="201"/>
        <v>12Go Link</v>
      </c>
      <c r="E893" s="4" t="s">
        <v>728</v>
      </c>
    </row>
    <row r="894">
      <c r="A894" s="4" t="s">
        <v>724</v>
      </c>
      <c r="B894" s="4" t="s">
        <v>734</v>
      </c>
      <c r="C894" s="4" t="s">
        <v>745</v>
      </c>
      <c r="D894" s="5" t="str">
        <f t="shared" si="201"/>
        <v>12Go Link</v>
      </c>
      <c r="E894" s="4" t="s">
        <v>729</v>
      </c>
    </row>
    <row r="895">
      <c r="A895" s="4" t="s">
        <v>724</v>
      </c>
      <c r="B895" s="4" t="s">
        <v>734</v>
      </c>
      <c r="C895" s="4" t="s">
        <v>745</v>
      </c>
      <c r="D895" s="5" t="str">
        <f t="shared" si="201"/>
        <v>12Go Link</v>
      </c>
      <c r="E895" s="4" t="s">
        <v>730</v>
      </c>
    </row>
    <row r="896">
      <c r="A896" s="4" t="s">
        <v>724</v>
      </c>
      <c r="B896" s="4" t="s">
        <v>737</v>
      </c>
      <c r="C896" s="4" t="s">
        <v>746</v>
      </c>
      <c r="D896" s="5" t="str">
        <f t="shared" ref="D896:D900" si="202">HYPERLINK("https://12go.asia/en/travel/Hosea-Kutako-International-Airport/Swakopmund-Hotel-Transfer", "12Go Link")</f>
        <v>12Go Link</v>
      </c>
      <c r="E896" s="4" t="s">
        <v>726</v>
      </c>
    </row>
    <row r="897">
      <c r="A897" s="4" t="s">
        <v>724</v>
      </c>
      <c r="B897" s="4" t="s">
        <v>737</v>
      </c>
      <c r="C897" s="4" t="s">
        <v>746</v>
      </c>
      <c r="D897" s="5" t="str">
        <f t="shared" si="202"/>
        <v>12Go Link</v>
      </c>
      <c r="E897" s="4" t="s">
        <v>727</v>
      </c>
    </row>
    <row r="898">
      <c r="A898" s="4" t="s">
        <v>724</v>
      </c>
      <c r="B898" s="4" t="s">
        <v>737</v>
      </c>
      <c r="C898" s="4" t="s">
        <v>746</v>
      </c>
      <c r="D898" s="5" t="str">
        <f t="shared" si="202"/>
        <v>12Go Link</v>
      </c>
      <c r="E898" s="4" t="s">
        <v>728</v>
      </c>
    </row>
    <row r="899">
      <c r="A899" s="4" t="s">
        <v>724</v>
      </c>
      <c r="B899" s="4" t="s">
        <v>737</v>
      </c>
      <c r="C899" s="4" t="s">
        <v>746</v>
      </c>
      <c r="D899" s="5" t="str">
        <f t="shared" si="202"/>
        <v>12Go Link</v>
      </c>
      <c r="E899" s="4" t="s">
        <v>729</v>
      </c>
    </row>
    <row r="900">
      <c r="A900" s="4" t="s">
        <v>724</v>
      </c>
      <c r="B900" s="4" t="s">
        <v>737</v>
      </c>
      <c r="C900" s="4" t="s">
        <v>746</v>
      </c>
      <c r="D900" s="5" t="str">
        <f t="shared" si="202"/>
        <v>12Go Link</v>
      </c>
      <c r="E900" s="4" t="s">
        <v>730</v>
      </c>
    </row>
    <row r="901">
      <c r="A901" s="4" t="s">
        <v>724</v>
      </c>
      <c r="B901" s="4" t="s">
        <v>737</v>
      </c>
      <c r="C901" s="4" t="s">
        <v>747</v>
      </c>
      <c r="D901" s="5" t="str">
        <f t="shared" ref="D901:D905" si="203">HYPERLINK("https://12go.asia/en/travel/Windhoek-Hotel-Transfer/Swakopmund-Hotel-Transfer", "12Go Link")</f>
        <v>12Go Link</v>
      </c>
      <c r="E901" s="4" t="s">
        <v>726</v>
      </c>
    </row>
    <row r="902">
      <c r="A902" s="4" t="s">
        <v>724</v>
      </c>
      <c r="B902" s="4" t="s">
        <v>737</v>
      </c>
      <c r="C902" s="4" t="s">
        <v>747</v>
      </c>
      <c r="D902" s="5" t="str">
        <f t="shared" si="203"/>
        <v>12Go Link</v>
      </c>
      <c r="E902" s="4" t="s">
        <v>727</v>
      </c>
    </row>
    <row r="903">
      <c r="A903" s="4" t="s">
        <v>724</v>
      </c>
      <c r="B903" s="4" t="s">
        <v>737</v>
      </c>
      <c r="C903" s="4" t="s">
        <v>747</v>
      </c>
      <c r="D903" s="5" t="str">
        <f t="shared" si="203"/>
        <v>12Go Link</v>
      </c>
      <c r="E903" s="4" t="s">
        <v>728</v>
      </c>
    </row>
    <row r="904">
      <c r="A904" s="4" t="s">
        <v>724</v>
      </c>
      <c r="B904" s="4" t="s">
        <v>737</v>
      </c>
      <c r="C904" s="4" t="s">
        <v>747</v>
      </c>
      <c r="D904" s="5" t="str">
        <f t="shared" si="203"/>
        <v>12Go Link</v>
      </c>
      <c r="E904" s="4" t="s">
        <v>729</v>
      </c>
    </row>
    <row r="905">
      <c r="A905" s="4" t="s">
        <v>724</v>
      </c>
      <c r="B905" s="4" t="s">
        <v>737</v>
      </c>
      <c r="C905" s="4" t="s">
        <v>747</v>
      </c>
      <c r="D905" s="5" t="str">
        <f t="shared" si="203"/>
        <v>12Go Link</v>
      </c>
      <c r="E905" s="4" t="s">
        <v>730</v>
      </c>
    </row>
    <row r="906">
      <c r="A906" s="6" t="s">
        <v>748</v>
      </c>
      <c r="B906" s="6" t="s">
        <v>749</v>
      </c>
      <c r="C906" s="6" t="s">
        <v>750</v>
      </c>
      <c r="D906" s="7" t="str">
        <f t="shared" ref="D906:D907" si="204">HYPERLINK("https://12go.asia/en/travel/Chitwan/Kathmandu", "12Go Link")</f>
        <v>12Go Link</v>
      </c>
      <c r="E906" s="6" t="s">
        <v>751</v>
      </c>
    </row>
    <row r="907">
      <c r="A907" s="6" t="s">
        <v>748</v>
      </c>
      <c r="B907" s="6" t="s">
        <v>749</v>
      </c>
      <c r="C907" s="6" t="s">
        <v>750</v>
      </c>
      <c r="D907" s="7" t="str">
        <f t="shared" si="204"/>
        <v>12Go Link</v>
      </c>
      <c r="E907" s="6" t="s">
        <v>752</v>
      </c>
    </row>
    <row r="908">
      <c r="A908" s="6" t="s">
        <v>748</v>
      </c>
      <c r="B908" s="6" t="s">
        <v>749</v>
      </c>
      <c r="C908" s="6" t="s">
        <v>753</v>
      </c>
      <c r="D908" s="7" t="str">
        <f>HYPERLINK("https://12go.asia/en/travel/Tourist-Bus-Park-Sauraha/New-Road-Travels-and-Tour-Office", "12Go Link")</f>
        <v>12Go Link</v>
      </c>
      <c r="E908" s="6" t="s">
        <v>754</v>
      </c>
    </row>
    <row r="909">
      <c r="A909" s="6" t="s">
        <v>748</v>
      </c>
      <c r="B909" s="6" t="s">
        <v>755</v>
      </c>
      <c r="C909" s="6" t="s">
        <v>756</v>
      </c>
      <c r="D909" s="7" t="str">
        <f t="shared" ref="D909:D912" si="205">HYPERLINK("https://12go.asia/en/travel/Chitwan/Pokhara", "12Go Link")</f>
        <v>12Go Link</v>
      </c>
      <c r="E909" s="6" t="s">
        <v>757</v>
      </c>
    </row>
    <row r="910">
      <c r="A910" s="6" t="s">
        <v>748</v>
      </c>
      <c r="B910" s="6" t="s">
        <v>755</v>
      </c>
      <c r="C910" s="6" t="s">
        <v>756</v>
      </c>
      <c r="D910" s="7" t="str">
        <f t="shared" si="205"/>
        <v>12Go Link</v>
      </c>
      <c r="E910" s="6" t="s">
        <v>758</v>
      </c>
    </row>
    <row r="911">
      <c r="A911" s="6" t="s">
        <v>748</v>
      </c>
      <c r="B911" s="6" t="s">
        <v>755</v>
      </c>
      <c r="C911" s="6" t="s">
        <v>756</v>
      </c>
      <c r="D911" s="7" t="str">
        <f t="shared" si="205"/>
        <v>12Go Link</v>
      </c>
      <c r="E911" s="6" t="s">
        <v>751</v>
      </c>
    </row>
    <row r="912">
      <c r="A912" s="6" t="s">
        <v>748</v>
      </c>
      <c r="B912" s="6" t="s">
        <v>755</v>
      </c>
      <c r="C912" s="6" t="s">
        <v>756</v>
      </c>
      <c r="D912" s="7" t="str">
        <f t="shared" si="205"/>
        <v>12Go Link</v>
      </c>
      <c r="E912" s="6" t="s">
        <v>752</v>
      </c>
    </row>
    <row r="913">
      <c r="A913" s="8" t="s">
        <v>749</v>
      </c>
      <c r="B913" s="8" t="s">
        <v>748</v>
      </c>
      <c r="C913" s="8" t="s">
        <v>759</v>
      </c>
      <c r="D913" s="9" t="str">
        <f t="shared" ref="D913:D916" si="206">HYPERLINK("https://12go.asia/en/travel/Kathmandu/Chitwan", "12Go Link")</f>
        <v>12Go Link</v>
      </c>
      <c r="E913" s="8" t="s">
        <v>757</v>
      </c>
    </row>
    <row r="914">
      <c r="A914" s="8" t="s">
        <v>749</v>
      </c>
      <c r="B914" s="8" t="s">
        <v>748</v>
      </c>
      <c r="C914" s="8" t="s">
        <v>759</v>
      </c>
      <c r="D914" s="9" t="str">
        <f t="shared" si="206"/>
        <v>12Go Link</v>
      </c>
      <c r="E914" s="8" t="s">
        <v>758</v>
      </c>
    </row>
    <row r="915">
      <c r="A915" s="8" t="s">
        <v>749</v>
      </c>
      <c r="B915" s="8" t="s">
        <v>748</v>
      </c>
      <c r="C915" s="8" t="s">
        <v>759</v>
      </c>
      <c r="D915" s="9" t="str">
        <f t="shared" si="206"/>
        <v>12Go Link</v>
      </c>
      <c r="E915" s="8" t="s">
        <v>751</v>
      </c>
    </row>
    <row r="916">
      <c r="A916" s="8" t="s">
        <v>749</v>
      </c>
      <c r="B916" s="8" t="s">
        <v>748</v>
      </c>
      <c r="C916" s="8" t="s">
        <v>759</v>
      </c>
      <c r="D916" s="9" t="str">
        <f t="shared" si="206"/>
        <v>12Go Link</v>
      </c>
      <c r="E916" s="8" t="s">
        <v>752</v>
      </c>
    </row>
    <row r="917">
      <c r="A917" s="8" t="s">
        <v>749</v>
      </c>
      <c r="B917" s="8" t="s">
        <v>760</v>
      </c>
      <c r="C917" s="8" t="s">
        <v>761</v>
      </c>
      <c r="D917" s="9" t="str">
        <f t="shared" ref="D917:D920" si="207">HYPERLINK("https://12go.asia/en/travel/Kathmandu/Lumbini", "12Go Link")</f>
        <v>12Go Link</v>
      </c>
      <c r="E917" s="8" t="s">
        <v>757</v>
      </c>
    </row>
    <row r="918">
      <c r="A918" s="8" t="s">
        <v>749</v>
      </c>
      <c r="B918" s="8" t="s">
        <v>760</v>
      </c>
      <c r="C918" s="8" t="s">
        <v>761</v>
      </c>
      <c r="D918" s="9" t="str">
        <f t="shared" si="207"/>
        <v>12Go Link</v>
      </c>
      <c r="E918" s="8" t="s">
        <v>758</v>
      </c>
    </row>
    <row r="919">
      <c r="A919" s="8" t="s">
        <v>749</v>
      </c>
      <c r="B919" s="8" t="s">
        <v>760</v>
      </c>
      <c r="C919" s="8" t="s">
        <v>761</v>
      </c>
      <c r="D919" s="9" t="str">
        <f t="shared" si="207"/>
        <v>12Go Link</v>
      </c>
      <c r="E919" s="8" t="s">
        <v>751</v>
      </c>
    </row>
    <row r="920">
      <c r="A920" s="8" t="s">
        <v>749</v>
      </c>
      <c r="B920" s="8" t="s">
        <v>760</v>
      </c>
      <c r="C920" s="8" t="s">
        <v>761</v>
      </c>
      <c r="D920" s="9" t="str">
        <f t="shared" si="207"/>
        <v>12Go Link</v>
      </c>
      <c r="E920" s="8" t="s">
        <v>752</v>
      </c>
    </row>
    <row r="921">
      <c r="A921" s="8" t="s">
        <v>749</v>
      </c>
      <c r="B921" s="8" t="s">
        <v>762</v>
      </c>
      <c r="C921" s="8" t="s">
        <v>763</v>
      </c>
      <c r="D921" s="9" t="str">
        <f t="shared" ref="D921:D922" si="208">HYPERLINK("https://12go.asia/en/travel/Kathmandu/Muktinath", "12Go Link")</f>
        <v>12Go Link</v>
      </c>
      <c r="E921" s="8" t="s">
        <v>751</v>
      </c>
    </row>
    <row r="922">
      <c r="A922" s="8" t="s">
        <v>749</v>
      </c>
      <c r="B922" s="8" t="s">
        <v>762</v>
      </c>
      <c r="C922" s="8" t="s">
        <v>763</v>
      </c>
      <c r="D922" s="9" t="str">
        <f t="shared" si="208"/>
        <v>12Go Link</v>
      </c>
      <c r="E922" s="8" t="s">
        <v>752</v>
      </c>
    </row>
    <row r="923">
      <c r="A923" s="8" t="s">
        <v>749</v>
      </c>
      <c r="B923" s="8" t="s">
        <v>755</v>
      </c>
      <c r="C923" s="8" t="s">
        <v>764</v>
      </c>
      <c r="D923" s="9" t="str">
        <f t="shared" ref="D923:D926" si="209">HYPERLINK("https://12go.asia/en/travel/Kathmandu/Pokhara", "12Go Link")</f>
        <v>12Go Link</v>
      </c>
      <c r="E923" s="8" t="s">
        <v>757</v>
      </c>
    </row>
    <row r="924">
      <c r="A924" s="8" t="s">
        <v>749</v>
      </c>
      <c r="B924" s="8" t="s">
        <v>755</v>
      </c>
      <c r="C924" s="8" t="s">
        <v>764</v>
      </c>
      <c r="D924" s="9" t="str">
        <f t="shared" si="209"/>
        <v>12Go Link</v>
      </c>
      <c r="E924" s="8" t="s">
        <v>758</v>
      </c>
    </row>
    <row r="925">
      <c r="A925" s="8" t="s">
        <v>749</v>
      </c>
      <c r="B925" s="8" t="s">
        <v>755</v>
      </c>
      <c r="C925" s="8" t="s">
        <v>764</v>
      </c>
      <c r="D925" s="9" t="str">
        <f t="shared" si="209"/>
        <v>12Go Link</v>
      </c>
      <c r="E925" s="8" t="s">
        <v>751</v>
      </c>
    </row>
    <row r="926">
      <c r="A926" s="8" t="s">
        <v>749</v>
      </c>
      <c r="B926" s="8" t="s">
        <v>755</v>
      </c>
      <c r="C926" s="8" t="s">
        <v>764</v>
      </c>
      <c r="D926" s="9" t="str">
        <f t="shared" si="209"/>
        <v>12Go Link</v>
      </c>
      <c r="E926" s="8" t="s">
        <v>752</v>
      </c>
    </row>
    <row r="927">
      <c r="A927" s="6" t="s">
        <v>755</v>
      </c>
      <c r="B927" s="6" t="s">
        <v>748</v>
      </c>
      <c r="C927" s="6" t="s">
        <v>765</v>
      </c>
      <c r="D927" s="7" t="str">
        <f t="shared" ref="D927:D930" si="210">HYPERLINK("https://12go.asia/en/travel/Pokhara/Chitwan", "12Go Link")</f>
        <v>12Go Link</v>
      </c>
      <c r="E927" s="6" t="s">
        <v>757</v>
      </c>
    </row>
    <row r="928">
      <c r="A928" s="6" t="s">
        <v>755</v>
      </c>
      <c r="B928" s="6" t="s">
        <v>748</v>
      </c>
      <c r="C928" s="6" t="s">
        <v>765</v>
      </c>
      <c r="D928" s="7" t="str">
        <f t="shared" si="210"/>
        <v>12Go Link</v>
      </c>
      <c r="E928" s="6" t="s">
        <v>758</v>
      </c>
    </row>
    <row r="929">
      <c r="A929" s="6" t="s">
        <v>755</v>
      </c>
      <c r="B929" s="6" t="s">
        <v>748</v>
      </c>
      <c r="C929" s="6" t="s">
        <v>765</v>
      </c>
      <c r="D929" s="7" t="str">
        <f t="shared" si="210"/>
        <v>12Go Link</v>
      </c>
      <c r="E929" s="6" t="s">
        <v>751</v>
      </c>
    </row>
    <row r="930">
      <c r="A930" s="6" t="s">
        <v>755</v>
      </c>
      <c r="B930" s="6" t="s">
        <v>748</v>
      </c>
      <c r="C930" s="6" t="s">
        <v>765</v>
      </c>
      <c r="D930" s="7" t="str">
        <f t="shared" si="210"/>
        <v>12Go Link</v>
      </c>
      <c r="E930" s="6" t="s">
        <v>752</v>
      </c>
    </row>
    <row r="931">
      <c r="A931" s="6" t="s">
        <v>755</v>
      </c>
      <c r="B931" s="6" t="s">
        <v>749</v>
      </c>
      <c r="C931" s="6" t="s">
        <v>766</v>
      </c>
      <c r="D931" s="7" t="str">
        <f t="shared" ref="D931:D934" si="211">HYPERLINK("https://12go.asia/en/travel/Pokhara/Kathmandu", "12Go Link")</f>
        <v>12Go Link</v>
      </c>
      <c r="E931" s="6" t="s">
        <v>757</v>
      </c>
    </row>
    <row r="932">
      <c r="A932" s="6" t="s">
        <v>755</v>
      </c>
      <c r="B932" s="6" t="s">
        <v>749</v>
      </c>
      <c r="C932" s="6" t="s">
        <v>766</v>
      </c>
      <c r="D932" s="7" t="str">
        <f t="shared" si="211"/>
        <v>12Go Link</v>
      </c>
      <c r="E932" s="6" t="s">
        <v>758</v>
      </c>
    </row>
    <row r="933">
      <c r="A933" s="6" t="s">
        <v>755</v>
      </c>
      <c r="B933" s="6" t="s">
        <v>749</v>
      </c>
      <c r="C933" s="6" t="s">
        <v>766</v>
      </c>
      <c r="D933" s="7" t="str">
        <f t="shared" si="211"/>
        <v>12Go Link</v>
      </c>
      <c r="E933" s="6" t="s">
        <v>751</v>
      </c>
    </row>
    <row r="934">
      <c r="A934" s="6" t="s">
        <v>755</v>
      </c>
      <c r="B934" s="6" t="s">
        <v>749</v>
      </c>
      <c r="C934" s="6" t="s">
        <v>766</v>
      </c>
      <c r="D934" s="7" t="str">
        <f t="shared" si="211"/>
        <v>12Go Link</v>
      </c>
      <c r="E934" s="6" t="s">
        <v>752</v>
      </c>
    </row>
    <row r="935">
      <c r="A935" s="6" t="s">
        <v>755</v>
      </c>
      <c r="B935" s="6" t="s">
        <v>760</v>
      </c>
      <c r="C935" s="6" t="s">
        <v>767</v>
      </c>
      <c r="D935" s="7" t="str">
        <f t="shared" ref="D935:D938" si="212">HYPERLINK("https://12go.asia/en/travel/Pokhara/Lumbini", "12Go Link")</f>
        <v>12Go Link</v>
      </c>
      <c r="E935" s="6" t="s">
        <v>757</v>
      </c>
    </row>
    <row r="936">
      <c r="A936" s="6" t="s">
        <v>755</v>
      </c>
      <c r="B936" s="6" t="s">
        <v>760</v>
      </c>
      <c r="C936" s="6" t="s">
        <v>767</v>
      </c>
      <c r="D936" s="7" t="str">
        <f t="shared" si="212"/>
        <v>12Go Link</v>
      </c>
      <c r="E936" s="6" t="s">
        <v>758</v>
      </c>
    </row>
    <row r="937">
      <c r="A937" s="6" t="s">
        <v>755</v>
      </c>
      <c r="B937" s="6" t="s">
        <v>760</v>
      </c>
      <c r="C937" s="6" t="s">
        <v>767</v>
      </c>
      <c r="D937" s="7" t="str">
        <f t="shared" si="212"/>
        <v>12Go Link</v>
      </c>
      <c r="E937" s="6" t="s">
        <v>751</v>
      </c>
    </row>
    <row r="938">
      <c r="A938" s="6" t="s">
        <v>755</v>
      </c>
      <c r="B938" s="6" t="s">
        <v>760</v>
      </c>
      <c r="C938" s="6" t="s">
        <v>767</v>
      </c>
      <c r="D938" s="7" t="str">
        <f t="shared" si="212"/>
        <v>12Go Link</v>
      </c>
      <c r="E938" s="6" t="s">
        <v>752</v>
      </c>
    </row>
    <row r="939">
      <c r="A939" s="6" t="s">
        <v>755</v>
      </c>
      <c r="B939" s="6" t="s">
        <v>762</v>
      </c>
      <c r="C939" s="6" t="s">
        <v>768</v>
      </c>
      <c r="D939" s="7" t="str">
        <f t="shared" ref="D939:D940" si="213">HYPERLINK("https://12go.asia/en/travel/Pokhara/Muktinath", "12Go Link")</f>
        <v>12Go Link</v>
      </c>
      <c r="E939" s="6" t="s">
        <v>751</v>
      </c>
    </row>
    <row r="940">
      <c r="A940" s="6" t="s">
        <v>755</v>
      </c>
      <c r="B940" s="6" t="s">
        <v>762</v>
      </c>
      <c r="C940" s="6" t="s">
        <v>768</v>
      </c>
      <c r="D940" s="7" t="str">
        <f t="shared" si="213"/>
        <v>12Go Link</v>
      </c>
      <c r="E940" s="6" t="s">
        <v>752</v>
      </c>
    </row>
    <row r="941">
      <c r="A941" s="4" t="s">
        <v>769</v>
      </c>
      <c r="B941" s="4" t="s">
        <v>769</v>
      </c>
      <c r="C941" s="4" t="s">
        <v>770</v>
      </c>
      <c r="D941" s="5" t="str">
        <f t="shared" ref="D941:D943" si="214">HYPERLINK("https://12go.asia/en/travel/Cebu-City/Cebu-Safari-and-Adventure-Park", "12Go Link")</f>
        <v>12Go Link</v>
      </c>
      <c r="E941" s="4" t="s">
        <v>771</v>
      </c>
    </row>
    <row r="942">
      <c r="A942" s="4" t="s">
        <v>769</v>
      </c>
      <c r="B942" s="4" t="s">
        <v>769</v>
      </c>
      <c r="C942" s="4" t="s">
        <v>770</v>
      </c>
      <c r="D942" s="5" t="str">
        <f t="shared" si="214"/>
        <v>12Go Link</v>
      </c>
      <c r="E942" s="4" t="s">
        <v>772</v>
      </c>
    </row>
    <row r="943">
      <c r="A943" s="4" t="s">
        <v>769</v>
      </c>
      <c r="B943" s="4" t="s">
        <v>769</v>
      </c>
      <c r="C943" s="4" t="s">
        <v>770</v>
      </c>
      <c r="D943" s="5" t="str">
        <f t="shared" si="214"/>
        <v>12Go Link</v>
      </c>
      <c r="E943" s="4" t="s">
        <v>585</v>
      </c>
    </row>
    <row r="944">
      <c r="A944" s="4" t="s">
        <v>769</v>
      </c>
      <c r="B944" s="4" t="s">
        <v>769</v>
      </c>
      <c r="C944" s="4" t="s">
        <v>773</v>
      </c>
      <c r="D944" s="5" t="str">
        <f t="shared" ref="D944:D946" si="215">HYPERLINK("https://12go.asia/en/travel/Cebu-City/Cordova", "12Go Link")</f>
        <v>12Go Link</v>
      </c>
      <c r="E944" s="4" t="s">
        <v>771</v>
      </c>
    </row>
    <row r="945">
      <c r="A945" s="4" t="s">
        <v>769</v>
      </c>
      <c r="B945" s="4" t="s">
        <v>769</v>
      </c>
      <c r="C945" s="4" t="s">
        <v>773</v>
      </c>
      <c r="D945" s="5" t="str">
        <f t="shared" si="215"/>
        <v>12Go Link</v>
      </c>
      <c r="E945" s="4" t="s">
        <v>772</v>
      </c>
    </row>
    <row r="946">
      <c r="A946" s="4" t="s">
        <v>769</v>
      </c>
      <c r="B946" s="4" t="s">
        <v>769</v>
      </c>
      <c r="C946" s="4" t="s">
        <v>773</v>
      </c>
      <c r="D946" s="5" t="str">
        <f t="shared" si="215"/>
        <v>12Go Link</v>
      </c>
      <c r="E946" s="4" t="s">
        <v>585</v>
      </c>
    </row>
    <row r="947">
      <c r="A947" s="4" t="s">
        <v>769</v>
      </c>
      <c r="B947" s="4" t="s">
        <v>769</v>
      </c>
      <c r="C947" s="4" t="s">
        <v>774</v>
      </c>
      <c r="D947" s="5" t="str">
        <f t="shared" ref="D947:D949" si="216">HYPERLINK("https://12go.asia/en/travel/Cebu-City/Hagnaya-Port", "12Go Link")</f>
        <v>12Go Link</v>
      </c>
      <c r="E947" s="4" t="s">
        <v>771</v>
      </c>
    </row>
    <row r="948">
      <c r="A948" s="4" t="s">
        <v>769</v>
      </c>
      <c r="B948" s="4" t="s">
        <v>769</v>
      </c>
      <c r="C948" s="4" t="s">
        <v>774</v>
      </c>
      <c r="D948" s="5" t="str">
        <f t="shared" si="216"/>
        <v>12Go Link</v>
      </c>
      <c r="E948" s="4" t="s">
        <v>772</v>
      </c>
    </row>
    <row r="949">
      <c r="A949" s="4" t="s">
        <v>769</v>
      </c>
      <c r="B949" s="4" t="s">
        <v>769</v>
      </c>
      <c r="C949" s="4" t="s">
        <v>774</v>
      </c>
      <c r="D949" s="5" t="str">
        <f t="shared" si="216"/>
        <v>12Go Link</v>
      </c>
      <c r="E949" s="4" t="s">
        <v>585</v>
      </c>
    </row>
    <row r="950">
      <c r="A950" s="4" t="s">
        <v>769</v>
      </c>
      <c r="B950" s="4" t="s">
        <v>769</v>
      </c>
      <c r="C950" s="4" t="s">
        <v>775</v>
      </c>
      <c r="D950" s="5" t="str">
        <f t="shared" ref="D950:D952" si="217">HYPERLINK("https://12go.asia/en/travel/Cebu-City/Maya-New-Roro-Port", "12Go Link")</f>
        <v>12Go Link</v>
      </c>
      <c r="E950" s="4" t="s">
        <v>771</v>
      </c>
    </row>
    <row r="951">
      <c r="A951" s="4" t="s">
        <v>769</v>
      </c>
      <c r="B951" s="4" t="s">
        <v>769</v>
      </c>
      <c r="C951" s="4" t="s">
        <v>775</v>
      </c>
      <c r="D951" s="5" t="str">
        <f t="shared" si="217"/>
        <v>12Go Link</v>
      </c>
      <c r="E951" s="4" t="s">
        <v>772</v>
      </c>
    </row>
    <row r="952">
      <c r="A952" s="4" t="s">
        <v>769</v>
      </c>
      <c r="B952" s="4" t="s">
        <v>769</v>
      </c>
      <c r="C952" s="4" t="s">
        <v>775</v>
      </c>
      <c r="D952" s="5" t="str">
        <f t="shared" si="217"/>
        <v>12Go Link</v>
      </c>
      <c r="E952" s="4" t="s">
        <v>585</v>
      </c>
    </row>
    <row r="953">
      <c r="A953" s="4" t="s">
        <v>769</v>
      </c>
      <c r="B953" s="4" t="s">
        <v>769</v>
      </c>
      <c r="C953" s="4" t="s">
        <v>776</v>
      </c>
      <c r="D953" s="5" t="str">
        <f t="shared" ref="D953:D955" si="218">HYPERLINK("https://12go.asia/en/travel/Cebu-City/Oslob", "12Go Link")</f>
        <v>12Go Link</v>
      </c>
      <c r="E953" s="4" t="s">
        <v>771</v>
      </c>
    </row>
    <row r="954">
      <c r="A954" s="4" t="s">
        <v>769</v>
      </c>
      <c r="B954" s="4" t="s">
        <v>769</v>
      </c>
      <c r="C954" s="4" t="s">
        <v>776</v>
      </c>
      <c r="D954" s="5" t="str">
        <f t="shared" si="218"/>
        <v>12Go Link</v>
      </c>
      <c r="E954" s="4" t="s">
        <v>772</v>
      </c>
    </row>
    <row r="955">
      <c r="A955" s="4" t="s">
        <v>769</v>
      </c>
      <c r="B955" s="4" t="s">
        <v>769</v>
      </c>
      <c r="C955" s="4" t="s">
        <v>776</v>
      </c>
      <c r="D955" s="5" t="str">
        <f t="shared" si="218"/>
        <v>12Go Link</v>
      </c>
      <c r="E955" s="4" t="s">
        <v>585</v>
      </c>
    </row>
    <row r="956">
      <c r="A956" s="4" t="s">
        <v>769</v>
      </c>
      <c r="B956" s="4" t="s">
        <v>769</v>
      </c>
      <c r="C956" s="4" t="s">
        <v>777</v>
      </c>
      <c r="D956" s="5" t="str">
        <f t="shared" ref="D956:D958" si="219">HYPERLINK("https://12go.asia/en/travel/Cebu-City/San-Remigio", "12Go Link")</f>
        <v>12Go Link</v>
      </c>
      <c r="E956" s="4" t="s">
        <v>771</v>
      </c>
    </row>
    <row r="957">
      <c r="A957" s="4" t="s">
        <v>769</v>
      </c>
      <c r="B957" s="4" t="s">
        <v>769</v>
      </c>
      <c r="C957" s="4" t="s">
        <v>777</v>
      </c>
      <c r="D957" s="5" t="str">
        <f t="shared" si="219"/>
        <v>12Go Link</v>
      </c>
      <c r="E957" s="4" t="s">
        <v>772</v>
      </c>
    </row>
    <row r="958">
      <c r="A958" s="4" t="s">
        <v>769</v>
      </c>
      <c r="B958" s="4" t="s">
        <v>769</v>
      </c>
      <c r="C958" s="4" t="s">
        <v>777</v>
      </c>
      <c r="D958" s="5" t="str">
        <f t="shared" si="219"/>
        <v>12Go Link</v>
      </c>
      <c r="E958" s="4" t="s">
        <v>585</v>
      </c>
    </row>
    <row r="959">
      <c r="A959" s="4" t="s">
        <v>769</v>
      </c>
      <c r="B959" s="4" t="s">
        <v>769</v>
      </c>
      <c r="C959" s="4" t="s">
        <v>778</v>
      </c>
      <c r="D959" s="5" t="str">
        <f t="shared" ref="D959:D961" si="220">HYPERLINK("https://12go.asia/en/travel/Mactan-Cebu-Airport/Cordova", "12Go Link")</f>
        <v>12Go Link</v>
      </c>
      <c r="E959" s="4" t="s">
        <v>771</v>
      </c>
    </row>
    <row r="960">
      <c r="A960" s="4" t="s">
        <v>769</v>
      </c>
      <c r="B960" s="4" t="s">
        <v>769</v>
      </c>
      <c r="C960" s="4" t="s">
        <v>778</v>
      </c>
      <c r="D960" s="5" t="str">
        <f t="shared" si="220"/>
        <v>12Go Link</v>
      </c>
      <c r="E960" s="4" t="s">
        <v>772</v>
      </c>
    </row>
    <row r="961">
      <c r="A961" s="4" t="s">
        <v>769</v>
      </c>
      <c r="B961" s="4" t="s">
        <v>769</v>
      </c>
      <c r="C961" s="4" t="s">
        <v>778</v>
      </c>
      <c r="D961" s="5" t="str">
        <f t="shared" si="220"/>
        <v>12Go Link</v>
      </c>
      <c r="E961" s="4" t="s">
        <v>585</v>
      </c>
    </row>
    <row r="962">
      <c r="A962" s="4" t="s">
        <v>769</v>
      </c>
      <c r="B962" s="4" t="s">
        <v>769</v>
      </c>
      <c r="C962" s="4" t="s">
        <v>779</v>
      </c>
      <c r="D962" s="5" t="str">
        <f t="shared" ref="D962:D964" si="221">HYPERLINK("https://12go.asia/en/travel/Mactan-Cebu-Airport/Hagnaya-Port", "12Go Link")</f>
        <v>12Go Link</v>
      </c>
      <c r="E962" s="4" t="s">
        <v>771</v>
      </c>
    </row>
    <row r="963">
      <c r="A963" s="4" t="s">
        <v>769</v>
      </c>
      <c r="B963" s="4" t="s">
        <v>769</v>
      </c>
      <c r="C963" s="4" t="s">
        <v>779</v>
      </c>
      <c r="D963" s="5" t="str">
        <f t="shared" si="221"/>
        <v>12Go Link</v>
      </c>
      <c r="E963" s="4" t="s">
        <v>772</v>
      </c>
    </row>
    <row r="964">
      <c r="A964" s="4" t="s">
        <v>769</v>
      </c>
      <c r="B964" s="4" t="s">
        <v>769</v>
      </c>
      <c r="C964" s="4" t="s">
        <v>779</v>
      </c>
      <c r="D964" s="5" t="str">
        <f t="shared" si="221"/>
        <v>12Go Link</v>
      </c>
      <c r="E964" s="4" t="s">
        <v>585</v>
      </c>
    </row>
    <row r="965">
      <c r="A965" s="4" t="s">
        <v>769</v>
      </c>
      <c r="B965" s="4" t="s">
        <v>769</v>
      </c>
      <c r="C965" s="4" t="s">
        <v>780</v>
      </c>
      <c r="D965" s="5" t="str">
        <f t="shared" ref="D965:D967" si="222">HYPERLINK("https://12go.asia/en/travel/Mactan-Cebu-Airport/Maya-New-Roro-Port", "12Go Link")</f>
        <v>12Go Link</v>
      </c>
      <c r="E965" s="4" t="s">
        <v>771</v>
      </c>
    </row>
    <row r="966">
      <c r="A966" s="4" t="s">
        <v>769</v>
      </c>
      <c r="B966" s="4" t="s">
        <v>769</v>
      </c>
      <c r="C966" s="4" t="s">
        <v>780</v>
      </c>
      <c r="D966" s="5" t="str">
        <f t="shared" si="222"/>
        <v>12Go Link</v>
      </c>
      <c r="E966" s="4" t="s">
        <v>772</v>
      </c>
    </row>
    <row r="967">
      <c r="A967" s="4" t="s">
        <v>769</v>
      </c>
      <c r="B967" s="4" t="s">
        <v>769</v>
      </c>
      <c r="C967" s="4" t="s">
        <v>780</v>
      </c>
      <c r="D967" s="5" t="str">
        <f t="shared" si="222"/>
        <v>12Go Link</v>
      </c>
      <c r="E967" s="4" t="s">
        <v>585</v>
      </c>
    </row>
    <row r="968">
      <c r="A968" s="4" t="s">
        <v>769</v>
      </c>
      <c r="B968" s="4" t="s">
        <v>769</v>
      </c>
      <c r="C968" s="4" t="s">
        <v>781</v>
      </c>
      <c r="D968" s="5" t="str">
        <f t="shared" ref="D968:D970" si="223">HYPERLINK("https://12go.asia/en/travel/Mactan-Cebu-Airport/Oslob", "12Go Link")</f>
        <v>12Go Link</v>
      </c>
      <c r="E968" s="4" t="s">
        <v>771</v>
      </c>
    </row>
    <row r="969">
      <c r="A969" s="4" t="s">
        <v>769</v>
      </c>
      <c r="B969" s="4" t="s">
        <v>769</v>
      </c>
      <c r="C969" s="4" t="s">
        <v>781</v>
      </c>
      <c r="D969" s="5" t="str">
        <f t="shared" si="223"/>
        <v>12Go Link</v>
      </c>
      <c r="E969" s="4" t="s">
        <v>772</v>
      </c>
    </row>
    <row r="970">
      <c r="A970" s="4" t="s">
        <v>769</v>
      </c>
      <c r="B970" s="4" t="s">
        <v>769</v>
      </c>
      <c r="C970" s="4" t="s">
        <v>781</v>
      </c>
      <c r="D970" s="5" t="str">
        <f t="shared" si="223"/>
        <v>12Go Link</v>
      </c>
      <c r="E970" s="4" t="s">
        <v>585</v>
      </c>
    </row>
    <row r="971">
      <c r="A971" s="4" t="s">
        <v>769</v>
      </c>
      <c r="B971" s="4" t="s">
        <v>782</v>
      </c>
      <c r="C971" s="4" t="s">
        <v>783</v>
      </c>
      <c r="D971" s="5" t="str">
        <f t="shared" ref="D971:D973" si="224">HYPERLINK("https://12go.asia/en/travel/Cebu-City/Toledo-City", "12Go Link")</f>
        <v>12Go Link</v>
      </c>
      <c r="E971" s="4" t="s">
        <v>771</v>
      </c>
    </row>
    <row r="972">
      <c r="A972" s="4" t="s">
        <v>769</v>
      </c>
      <c r="B972" s="4" t="s">
        <v>782</v>
      </c>
      <c r="C972" s="4" t="s">
        <v>783</v>
      </c>
      <c r="D972" s="5" t="str">
        <f t="shared" si="224"/>
        <v>12Go Link</v>
      </c>
      <c r="E972" s="4" t="s">
        <v>772</v>
      </c>
    </row>
    <row r="973">
      <c r="A973" s="4" t="s">
        <v>769</v>
      </c>
      <c r="B973" s="4" t="s">
        <v>782</v>
      </c>
      <c r="C973" s="4" t="s">
        <v>783</v>
      </c>
      <c r="D973" s="5" t="str">
        <f t="shared" si="224"/>
        <v>12Go Link</v>
      </c>
      <c r="E973" s="4" t="s">
        <v>585</v>
      </c>
    </row>
    <row r="974">
      <c r="A974" s="4" t="s">
        <v>769</v>
      </c>
      <c r="B974" s="4" t="s">
        <v>784</v>
      </c>
      <c r="C974" s="4" t="s">
        <v>785</v>
      </c>
      <c r="D974" s="5" t="str">
        <f t="shared" ref="D974:D976" si="225">HYPERLINK("https://12go.asia/en/travel/Cebu-City/Daanbantayan", "12Go Link")</f>
        <v>12Go Link</v>
      </c>
      <c r="E974" s="4" t="s">
        <v>771</v>
      </c>
    </row>
    <row r="975">
      <c r="A975" s="4" t="s">
        <v>769</v>
      </c>
      <c r="B975" s="4" t="s">
        <v>784</v>
      </c>
      <c r="C975" s="4" t="s">
        <v>785</v>
      </c>
      <c r="D975" s="5" t="str">
        <f t="shared" si="225"/>
        <v>12Go Link</v>
      </c>
      <c r="E975" s="4" t="s">
        <v>772</v>
      </c>
    </row>
    <row r="976">
      <c r="A976" s="4" t="s">
        <v>769</v>
      </c>
      <c r="B976" s="4" t="s">
        <v>784</v>
      </c>
      <c r="C976" s="4" t="s">
        <v>785</v>
      </c>
      <c r="D976" s="5" t="str">
        <f t="shared" si="225"/>
        <v>12Go Link</v>
      </c>
      <c r="E976" s="4" t="s">
        <v>585</v>
      </c>
    </row>
    <row r="977">
      <c r="A977" s="4" t="s">
        <v>769</v>
      </c>
      <c r="B977" s="4" t="s">
        <v>786</v>
      </c>
      <c r="C977" s="4" t="s">
        <v>787</v>
      </c>
      <c r="D977" s="5" t="str">
        <f t="shared" ref="D977:D979" si="226">HYPERLINK("https://12go.asia/en/travel/Cebu-City/Danao", "12Go Link")</f>
        <v>12Go Link</v>
      </c>
      <c r="E977" s="4" t="s">
        <v>771</v>
      </c>
    </row>
    <row r="978">
      <c r="A978" s="4" t="s">
        <v>769</v>
      </c>
      <c r="B978" s="4" t="s">
        <v>786</v>
      </c>
      <c r="C978" s="4" t="s">
        <v>787</v>
      </c>
      <c r="D978" s="5" t="str">
        <f t="shared" si="226"/>
        <v>12Go Link</v>
      </c>
      <c r="E978" s="4" t="s">
        <v>772</v>
      </c>
    </row>
    <row r="979">
      <c r="A979" s="4" t="s">
        <v>769</v>
      </c>
      <c r="B979" s="4" t="s">
        <v>786</v>
      </c>
      <c r="C979" s="4" t="s">
        <v>787</v>
      </c>
      <c r="D979" s="5" t="str">
        <f t="shared" si="226"/>
        <v>12Go Link</v>
      </c>
      <c r="E979" s="4" t="s">
        <v>585</v>
      </c>
    </row>
    <row r="980">
      <c r="A980" s="4" t="s">
        <v>769</v>
      </c>
      <c r="B980" s="4" t="s">
        <v>788</v>
      </c>
      <c r="C980" s="4" t="s">
        <v>789</v>
      </c>
      <c r="D980" s="5" t="str">
        <f t="shared" ref="D980:D982" si="227">HYPERLINK("https://12go.asia/en/travel/Cebu-City/Moalboal", "12Go Link")</f>
        <v>12Go Link</v>
      </c>
      <c r="E980" s="4" t="s">
        <v>771</v>
      </c>
    </row>
    <row r="981">
      <c r="A981" s="4" t="s">
        <v>769</v>
      </c>
      <c r="B981" s="4" t="s">
        <v>788</v>
      </c>
      <c r="C981" s="4" t="s">
        <v>789</v>
      </c>
      <c r="D981" s="5" t="str">
        <f t="shared" si="227"/>
        <v>12Go Link</v>
      </c>
      <c r="E981" s="4" t="s">
        <v>772</v>
      </c>
    </row>
    <row r="982">
      <c r="A982" s="4" t="s">
        <v>769</v>
      </c>
      <c r="B982" s="4" t="s">
        <v>788</v>
      </c>
      <c r="C982" s="4" t="s">
        <v>789</v>
      </c>
      <c r="D982" s="5" t="str">
        <f t="shared" si="227"/>
        <v>12Go Link</v>
      </c>
      <c r="E982" s="4" t="s">
        <v>585</v>
      </c>
    </row>
    <row r="983">
      <c r="A983" s="4" t="s">
        <v>769</v>
      </c>
      <c r="B983" s="4" t="s">
        <v>788</v>
      </c>
      <c r="C983" s="4" t="s">
        <v>790</v>
      </c>
      <c r="D983" s="5" t="str">
        <f t="shared" ref="D983:D985" si="228">HYPERLINK("https://12go.asia/en/travel/Mactan-Cebu-Airport/Moalboal", "12Go Link")</f>
        <v>12Go Link</v>
      </c>
      <c r="E983" s="4" t="s">
        <v>771</v>
      </c>
    </row>
    <row r="984">
      <c r="A984" s="4" t="s">
        <v>769</v>
      </c>
      <c r="B984" s="4" t="s">
        <v>788</v>
      </c>
      <c r="C984" s="4" t="s">
        <v>790</v>
      </c>
      <c r="D984" s="5" t="str">
        <f t="shared" si="228"/>
        <v>12Go Link</v>
      </c>
      <c r="E984" s="4" t="s">
        <v>772</v>
      </c>
    </row>
    <row r="985">
      <c r="A985" s="4" t="s">
        <v>769</v>
      </c>
      <c r="B985" s="4" t="s">
        <v>788</v>
      </c>
      <c r="C985" s="4" t="s">
        <v>790</v>
      </c>
      <c r="D985" s="5" t="str">
        <f t="shared" si="228"/>
        <v>12Go Link</v>
      </c>
      <c r="E985" s="4" t="s">
        <v>585</v>
      </c>
    </row>
    <row r="986">
      <c r="A986" s="2" t="s">
        <v>791</v>
      </c>
      <c r="B986" s="2" t="s">
        <v>792</v>
      </c>
      <c r="C986" s="2" t="s">
        <v>793</v>
      </c>
      <c r="D986" s="3" t="str">
        <f>HYPERLINK("https://12go.asia/en/travel/Hayanggabon-Port/Socorro-Port", "12Go Link")</f>
        <v>12Go Link</v>
      </c>
      <c r="E986" s="2" t="s">
        <v>794</v>
      </c>
    </row>
    <row r="987">
      <c r="A987" s="4" t="s">
        <v>795</v>
      </c>
      <c r="B987" s="4" t="s">
        <v>792</v>
      </c>
      <c r="C987" s="4" t="s">
        <v>796</v>
      </c>
      <c r="D987" s="5" t="str">
        <f>HYPERLINK("https://12go.asia/en/travel/Port-of-Dapa/Socorro-Port", "12Go Link")</f>
        <v>12Go Link</v>
      </c>
      <c r="E987" s="4" t="s">
        <v>794</v>
      </c>
    </row>
    <row r="988">
      <c r="A988" s="2" t="s">
        <v>797</v>
      </c>
      <c r="B988" s="2" t="s">
        <v>798</v>
      </c>
      <c r="C988" s="2" t="s">
        <v>799</v>
      </c>
      <c r="D988" s="3" t="str">
        <f>HYPERLINK("https://12go.asia/en/travel/roxas-city-capiz-port/cajidiocan-port", "12Go Link")</f>
        <v>12Go Link</v>
      </c>
      <c r="E988" s="2" t="s">
        <v>800</v>
      </c>
    </row>
    <row r="989">
      <c r="A989" s="4" t="s">
        <v>792</v>
      </c>
      <c r="B989" s="4" t="s">
        <v>791</v>
      </c>
      <c r="C989" s="4" t="s">
        <v>801</v>
      </c>
      <c r="D989" s="5" t="str">
        <f>HYPERLINK("https://12go.asia/en/travel/Socorro-Port/Hayanggabon-Port", "12Go Link")</f>
        <v>12Go Link</v>
      </c>
      <c r="E989" s="4" t="s">
        <v>794</v>
      </c>
    </row>
    <row r="990">
      <c r="A990" s="4" t="s">
        <v>792</v>
      </c>
      <c r="B990" s="4" t="s">
        <v>795</v>
      </c>
      <c r="C990" s="4" t="s">
        <v>802</v>
      </c>
      <c r="D990" s="5" t="str">
        <f>HYPERLINK("https://12go.asia/en/travel/Socorro-Port/Port-of-Dapa", "12Go Link")</f>
        <v>12Go Link</v>
      </c>
      <c r="E990" s="4" t="s">
        <v>794</v>
      </c>
    </row>
    <row r="991">
      <c r="A991" s="6" t="s">
        <v>803</v>
      </c>
      <c r="B991" s="6" t="s">
        <v>804</v>
      </c>
      <c r="C991" s="6" t="s">
        <v>805</v>
      </c>
      <c r="D991" s="7" t="str">
        <f t="shared" ref="D991:D995" si="229">HYPERLINK("https://12go.asia/en/travel/Durban-International-Airport/Ballito-Transfer", "12Go Link")</f>
        <v>12Go Link</v>
      </c>
      <c r="E991" s="6" t="s">
        <v>806</v>
      </c>
    </row>
    <row r="992">
      <c r="A992" s="6" t="s">
        <v>803</v>
      </c>
      <c r="B992" s="6" t="s">
        <v>804</v>
      </c>
      <c r="C992" s="6" t="s">
        <v>805</v>
      </c>
      <c r="D992" s="7" t="str">
        <f t="shared" si="229"/>
        <v>12Go Link</v>
      </c>
      <c r="E992" s="6" t="s">
        <v>807</v>
      </c>
    </row>
    <row r="993">
      <c r="A993" s="6" t="s">
        <v>803</v>
      </c>
      <c r="B993" s="6" t="s">
        <v>804</v>
      </c>
      <c r="C993" s="6" t="s">
        <v>805</v>
      </c>
      <c r="D993" s="7" t="str">
        <f t="shared" si="229"/>
        <v>12Go Link</v>
      </c>
      <c r="E993" s="6" t="s">
        <v>771</v>
      </c>
    </row>
    <row r="994">
      <c r="A994" s="6" t="s">
        <v>803</v>
      </c>
      <c r="B994" s="6" t="s">
        <v>804</v>
      </c>
      <c r="C994" s="6" t="s">
        <v>805</v>
      </c>
      <c r="D994" s="7" t="str">
        <f t="shared" si="229"/>
        <v>12Go Link</v>
      </c>
      <c r="E994" s="6" t="s">
        <v>808</v>
      </c>
    </row>
    <row r="995">
      <c r="A995" s="6" t="s">
        <v>803</v>
      </c>
      <c r="B995" s="6" t="s">
        <v>804</v>
      </c>
      <c r="C995" s="6" t="s">
        <v>805</v>
      </c>
      <c r="D995" s="7" t="str">
        <f t="shared" si="229"/>
        <v>12Go Link</v>
      </c>
      <c r="E995" s="6" t="s">
        <v>809</v>
      </c>
    </row>
    <row r="996">
      <c r="A996" s="6" t="s">
        <v>803</v>
      </c>
      <c r="B996" s="6" t="s">
        <v>804</v>
      </c>
      <c r="C996" s="6" t="s">
        <v>810</v>
      </c>
      <c r="D996" s="7" t="str">
        <f t="shared" ref="D996:D1000" si="230">HYPERLINK("https://12go.asia/en/travel/Durban-International-Airport/Zimbali-Estate-Transfer", "12Go Link")</f>
        <v>12Go Link</v>
      </c>
      <c r="E996" s="6" t="s">
        <v>806</v>
      </c>
    </row>
    <row r="997">
      <c r="A997" s="6" t="s">
        <v>803</v>
      </c>
      <c r="B997" s="6" t="s">
        <v>804</v>
      </c>
      <c r="C997" s="6" t="s">
        <v>810</v>
      </c>
      <c r="D997" s="7" t="str">
        <f t="shared" si="230"/>
        <v>12Go Link</v>
      </c>
      <c r="E997" s="6" t="s">
        <v>807</v>
      </c>
    </row>
    <row r="998">
      <c r="A998" s="6" t="s">
        <v>803</v>
      </c>
      <c r="B998" s="6" t="s">
        <v>804</v>
      </c>
      <c r="C998" s="6" t="s">
        <v>810</v>
      </c>
      <c r="D998" s="7" t="str">
        <f t="shared" si="230"/>
        <v>12Go Link</v>
      </c>
      <c r="E998" s="6" t="s">
        <v>771</v>
      </c>
    </row>
    <row r="999">
      <c r="A999" s="6" t="s">
        <v>803</v>
      </c>
      <c r="B999" s="6" t="s">
        <v>804</v>
      </c>
      <c r="C999" s="6" t="s">
        <v>810</v>
      </c>
      <c r="D999" s="7" t="str">
        <f t="shared" si="230"/>
        <v>12Go Link</v>
      </c>
      <c r="E999" s="6" t="s">
        <v>808</v>
      </c>
    </row>
    <row r="1000">
      <c r="A1000" s="6" t="s">
        <v>803</v>
      </c>
      <c r="B1000" s="6" t="s">
        <v>804</v>
      </c>
      <c r="C1000" s="6" t="s">
        <v>810</v>
      </c>
      <c r="D1000" s="7" t="str">
        <f t="shared" si="230"/>
        <v>12Go Link</v>
      </c>
      <c r="E1000" s="6" t="s">
        <v>809</v>
      </c>
    </row>
    <row r="1001">
      <c r="A1001" s="6" t="s">
        <v>803</v>
      </c>
      <c r="B1001" s="6" t="s">
        <v>803</v>
      </c>
      <c r="C1001" s="6" t="s">
        <v>811</v>
      </c>
      <c r="D1001" s="7" t="str">
        <f t="shared" ref="D1001:D1005" si="231">HYPERLINK("https://12go.asia/en/travel/Durban-International-Airport/Durban-Central-Transfer", "12Go Link")</f>
        <v>12Go Link</v>
      </c>
      <c r="E1001" s="6" t="s">
        <v>806</v>
      </c>
    </row>
    <row r="1002">
      <c r="A1002" s="6" t="s">
        <v>803</v>
      </c>
      <c r="B1002" s="6" t="s">
        <v>803</v>
      </c>
      <c r="C1002" s="6" t="s">
        <v>811</v>
      </c>
      <c r="D1002" s="7" t="str">
        <f t="shared" si="231"/>
        <v>12Go Link</v>
      </c>
      <c r="E1002" s="6" t="s">
        <v>807</v>
      </c>
    </row>
    <row r="1003">
      <c r="A1003" s="6" t="s">
        <v>803</v>
      </c>
      <c r="B1003" s="6" t="s">
        <v>803</v>
      </c>
      <c r="C1003" s="6" t="s">
        <v>811</v>
      </c>
      <c r="D1003" s="7" t="str">
        <f t="shared" si="231"/>
        <v>12Go Link</v>
      </c>
      <c r="E1003" s="6" t="s">
        <v>771</v>
      </c>
    </row>
    <row r="1004">
      <c r="A1004" s="6" t="s">
        <v>803</v>
      </c>
      <c r="B1004" s="6" t="s">
        <v>803</v>
      </c>
      <c r="C1004" s="6" t="s">
        <v>811</v>
      </c>
      <c r="D1004" s="7" t="str">
        <f t="shared" si="231"/>
        <v>12Go Link</v>
      </c>
      <c r="E1004" s="6" t="s">
        <v>808</v>
      </c>
    </row>
    <row r="1005">
      <c r="A1005" s="6" t="s">
        <v>803</v>
      </c>
      <c r="B1005" s="6" t="s">
        <v>803</v>
      </c>
      <c r="C1005" s="6" t="s">
        <v>811</v>
      </c>
      <c r="D1005" s="7" t="str">
        <f t="shared" si="231"/>
        <v>12Go Link</v>
      </c>
      <c r="E1005" s="6" t="s">
        <v>809</v>
      </c>
    </row>
    <row r="1006">
      <c r="A1006" s="6" t="s">
        <v>803</v>
      </c>
      <c r="B1006" s="6" t="s">
        <v>812</v>
      </c>
      <c r="C1006" s="6" t="s">
        <v>813</v>
      </c>
      <c r="D1006" s="7" t="str">
        <f t="shared" ref="D1006:D1010" si="232">HYPERLINK("https://12go.asia/en/travel/Durban-International-Airport/Hluhluwe-iMfolozi-Park-Transfer", "12Go Link")</f>
        <v>12Go Link</v>
      </c>
      <c r="E1006" s="6" t="s">
        <v>806</v>
      </c>
    </row>
    <row r="1007">
      <c r="A1007" s="6" t="s">
        <v>803</v>
      </c>
      <c r="B1007" s="6" t="s">
        <v>812</v>
      </c>
      <c r="C1007" s="6" t="s">
        <v>813</v>
      </c>
      <c r="D1007" s="7" t="str">
        <f t="shared" si="232"/>
        <v>12Go Link</v>
      </c>
      <c r="E1007" s="6" t="s">
        <v>807</v>
      </c>
    </row>
    <row r="1008">
      <c r="A1008" s="6" t="s">
        <v>803</v>
      </c>
      <c r="B1008" s="6" t="s">
        <v>812</v>
      </c>
      <c r="C1008" s="6" t="s">
        <v>813</v>
      </c>
      <c r="D1008" s="7" t="str">
        <f t="shared" si="232"/>
        <v>12Go Link</v>
      </c>
      <c r="E1008" s="6" t="s">
        <v>771</v>
      </c>
    </row>
    <row r="1009">
      <c r="A1009" s="6" t="s">
        <v>803</v>
      </c>
      <c r="B1009" s="6" t="s">
        <v>812</v>
      </c>
      <c r="C1009" s="6" t="s">
        <v>813</v>
      </c>
      <c r="D1009" s="7" t="str">
        <f t="shared" si="232"/>
        <v>12Go Link</v>
      </c>
      <c r="E1009" s="6" t="s">
        <v>808</v>
      </c>
    </row>
    <row r="1010">
      <c r="A1010" s="6" t="s">
        <v>803</v>
      </c>
      <c r="B1010" s="6" t="s">
        <v>812</v>
      </c>
      <c r="C1010" s="6" t="s">
        <v>813</v>
      </c>
      <c r="D1010" s="7" t="str">
        <f t="shared" si="232"/>
        <v>12Go Link</v>
      </c>
      <c r="E1010" s="6" t="s">
        <v>809</v>
      </c>
    </row>
    <row r="1011">
      <c r="A1011" s="6" t="s">
        <v>803</v>
      </c>
      <c r="B1011" s="6" t="s">
        <v>814</v>
      </c>
      <c r="C1011" s="6" t="s">
        <v>815</v>
      </c>
      <c r="D1011" s="7" t="str">
        <f t="shared" ref="D1011:D1015" si="233">HYPERLINK("https://12go.asia/en/travel/Durban-International-Airport/Howick-Transfer", "12Go Link")</f>
        <v>12Go Link</v>
      </c>
      <c r="E1011" s="6" t="s">
        <v>806</v>
      </c>
    </row>
    <row r="1012">
      <c r="A1012" s="6" t="s">
        <v>803</v>
      </c>
      <c r="B1012" s="6" t="s">
        <v>814</v>
      </c>
      <c r="C1012" s="6" t="s">
        <v>815</v>
      </c>
      <c r="D1012" s="7" t="str">
        <f t="shared" si="233"/>
        <v>12Go Link</v>
      </c>
      <c r="E1012" s="6" t="s">
        <v>807</v>
      </c>
    </row>
    <row r="1013">
      <c r="A1013" s="6" t="s">
        <v>803</v>
      </c>
      <c r="B1013" s="6" t="s">
        <v>814</v>
      </c>
      <c r="C1013" s="6" t="s">
        <v>815</v>
      </c>
      <c r="D1013" s="7" t="str">
        <f t="shared" si="233"/>
        <v>12Go Link</v>
      </c>
      <c r="E1013" s="6" t="s">
        <v>771</v>
      </c>
    </row>
    <row r="1014">
      <c r="A1014" s="6" t="s">
        <v>803</v>
      </c>
      <c r="B1014" s="6" t="s">
        <v>814</v>
      </c>
      <c r="C1014" s="6" t="s">
        <v>815</v>
      </c>
      <c r="D1014" s="7" t="str">
        <f t="shared" si="233"/>
        <v>12Go Link</v>
      </c>
      <c r="E1014" s="6" t="s">
        <v>808</v>
      </c>
    </row>
    <row r="1015">
      <c r="A1015" s="6" t="s">
        <v>803</v>
      </c>
      <c r="B1015" s="6" t="s">
        <v>814</v>
      </c>
      <c r="C1015" s="6" t="s">
        <v>815</v>
      </c>
      <c r="D1015" s="7" t="str">
        <f t="shared" si="233"/>
        <v>12Go Link</v>
      </c>
      <c r="E1015" s="6" t="s">
        <v>809</v>
      </c>
    </row>
    <row r="1016">
      <c r="A1016" s="6" t="s">
        <v>803</v>
      </c>
      <c r="B1016" s="6" t="s">
        <v>816</v>
      </c>
      <c r="C1016" s="6" t="s">
        <v>817</v>
      </c>
      <c r="D1016" s="7" t="str">
        <f t="shared" ref="D1016:D1020" si="234">HYPERLINK("https://12go.asia/en/travel/Durban-International-Airport/Margate-Transfer", "12Go Link")</f>
        <v>12Go Link</v>
      </c>
      <c r="E1016" s="6" t="s">
        <v>806</v>
      </c>
    </row>
    <row r="1017">
      <c r="A1017" s="6" t="s">
        <v>803</v>
      </c>
      <c r="B1017" s="6" t="s">
        <v>816</v>
      </c>
      <c r="C1017" s="6" t="s">
        <v>817</v>
      </c>
      <c r="D1017" s="7" t="str">
        <f t="shared" si="234"/>
        <v>12Go Link</v>
      </c>
      <c r="E1017" s="6" t="s">
        <v>807</v>
      </c>
    </row>
    <row r="1018">
      <c r="A1018" s="6" t="s">
        <v>803</v>
      </c>
      <c r="B1018" s="6" t="s">
        <v>816</v>
      </c>
      <c r="C1018" s="6" t="s">
        <v>817</v>
      </c>
      <c r="D1018" s="7" t="str">
        <f t="shared" si="234"/>
        <v>12Go Link</v>
      </c>
      <c r="E1018" s="6" t="s">
        <v>771</v>
      </c>
    </row>
    <row r="1019">
      <c r="A1019" s="6" t="s">
        <v>803</v>
      </c>
      <c r="B1019" s="6" t="s">
        <v>816</v>
      </c>
      <c r="C1019" s="6" t="s">
        <v>817</v>
      </c>
      <c r="D1019" s="7" t="str">
        <f t="shared" si="234"/>
        <v>12Go Link</v>
      </c>
      <c r="E1019" s="6" t="s">
        <v>808</v>
      </c>
    </row>
    <row r="1020">
      <c r="A1020" s="6" t="s">
        <v>803</v>
      </c>
      <c r="B1020" s="6" t="s">
        <v>816</v>
      </c>
      <c r="C1020" s="6" t="s">
        <v>817</v>
      </c>
      <c r="D1020" s="7" t="str">
        <f t="shared" si="234"/>
        <v>12Go Link</v>
      </c>
      <c r="E1020" s="6" t="s">
        <v>809</v>
      </c>
    </row>
    <row r="1021">
      <c r="A1021" s="6" t="s">
        <v>803</v>
      </c>
      <c r="B1021" s="6" t="s">
        <v>818</v>
      </c>
      <c r="C1021" s="6" t="s">
        <v>819</v>
      </c>
      <c r="D1021" s="7" t="str">
        <f t="shared" ref="D1021:D1025" si="235">HYPERLINK("https://12go.asia/en/travel/Durban-International-Airport/Pietermaritzburg-Transfer", "12Go Link")</f>
        <v>12Go Link</v>
      </c>
      <c r="E1021" s="6" t="s">
        <v>806</v>
      </c>
    </row>
    <row r="1022">
      <c r="A1022" s="6" t="s">
        <v>803</v>
      </c>
      <c r="B1022" s="6" t="s">
        <v>818</v>
      </c>
      <c r="C1022" s="6" t="s">
        <v>819</v>
      </c>
      <c r="D1022" s="7" t="str">
        <f t="shared" si="235"/>
        <v>12Go Link</v>
      </c>
      <c r="E1022" s="6" t="s">
        <v>807</v>
      </c>
    </row>
    <row r="1023">
      <c r="A1023" s="6" t="s">
        <v>803</v>
      </c>
      <c r="B1023" s="6" t="s">
        <v>818</v>
      </c>
      <c r="C1023" s="6" t="s">
        <v>819</v>
      </c>
      <c r="D1023" s="7" t="str">
        <f t="shared" si="235"/>
        <v>12Go Link</v>
      </c>
      <c r="E1023" s="6" t="s">
        <v>771</v>
      </c>
    </row>
    <row r="1024">
      <c r="A1024" s="6" t="s">
        <v>803</v>
      </c>
      <c r="B1024" s="6" t="s">
        <v>818</v>
      </c>
      <c r="C1024" s="6" t="s">
        <v>819</v>
      </c>
      <c r="D1024" s="7" t="str">
        <f t="shared" si="235"/>
        <v>12Go Link</v>
      </c>
      <c r="E1024" s="6" t="s">
        <v>808</v>
      </c>
    </row>
    <row r="1025">
      <c r="A1025" s="6" t="s">
        <v>803</v>
      </c>
      <c r="B1025" s="6" t="s">
        <v>818</v>
      </c>
      <c r="C1025" s="6" t="s">
        <v>819</v>
      </c>
      <c r="D1025" s="7" t="str">
        <f t="shared" si="235"/>
        <v>12Go Link</v>
      </c>
      <c r="E1025" s="6" t="s">
        <v>809</v>
      </c>
    </row>
    <row r="1026">
      <c r="A1026" s="6" t="s">
        <v>803</v>
      </c>
      <c r="B1026" s="6" t="s">
        <v>820</v>
      </c>
      <c r="C1026" s="6" t="s">
        <v>821</v>
      </c>
      <c r="D1026" s="7" t="str">
        <f t="shared" ref="D1026:D1030" si="236">HYPERLINK("https://12go.asia/en/travel/Durban-International-Airport/Port-Shepstone-Transfer", "12Go Link")</f>
        <v>12Go Link</v>
      </c>
      <c r="E1026" s="6" t="s">
        <v>806</v>
      </c>
    </row>
    <row r="1027">
      <c r="A1027" s="6" t="s">
        <v>803</v>
      </c>
      <c r="B1027" s="6" t="s">
        <v>820</v>
      </c>
      <c r="C1027" s="6" t="s">
        <v>821</v>
      </c>
      <c r="D1027" s="7" t="str">
        <f t="shared" si="236"/>
        <v>12Go Link</v>
      </c>
      <c r="E1027" s="6" t="s">
        <v>807</v>
      </c>
    </row>
    <row r="1028">
      <c r="A1028" s="6" t="s">
        <v>803</v>
      </c>
      <c r="B1028" s="6" t="s">
        <v>820</v>
      </c>
      <c r="C1028" s="6" t="s">
        <v>821</v>
      </c>
      <c r="D1028" s="7" t="str">
        <f t="shared" si="236"/>
        <v>12Go Link</v>
      </c>
      <c r="E1028" s="6" t="s">
        <v>771</v>
      </c>
    </row>
    <row r="1029">
      <c r="A1029" s="6" t="s">
        <v>803</v>
      </c>
      <c r="B1029" s="6" t="s">
        <v>820</v>
      </c>
      <c r="C1029" s="6" t="s">
        <v>821</v>
      </c>
      <c r="D1029" s="7" t="str">
        <f t="shared" si="236"/>
        <v>12Go Link</v>
      </c>
      <c r="E1029" s="6" t="s">
        <v>808</v>
      </c>
    </row>
    <row r="1030">
      <c r="A1030" s="6" t="s">
        <v>803</v>
      </c>
      <c r="B1030" s="6" t="s">
        <v>820</v>
      </c>
      <c r="C1030" s="6" t="s">
        <v>821</v>
      </c>
      <c r="D1030" s="7" t="str">
        <f t="shared" si="236"/>
        <v>12Go Link</v>
      </c>
      <c r="E1030" s="6" t="s">
        <v>809</v>
      </c>
    </row>
    <row r="1031">
      <c r="A1031" s="6" t="s">
        <v>803</v>
      </c>
      <c r="B1031" s="6" t="s">
        <v>822</v>
      </c>
      <c r="C1031" s="6" t="s">
        <v>823</v>
      </c>
      <c r="D1031" s="7" t="str">
        <f t="shared" ref="D1031:D1035" si="237">HYPERLINK("https://12go.asia/en/travel/Durban-International-Airport/Richards-Bay-Transfer", "12Go Link")</f>
        <v>12Go Link</v>
      </c>
      <c r="E1031" s="6" t="s">
        <v>806</v>
      </c>
    </row>
    <row r="1032">
      <c r="A1032" s="6" t="s">
        <v>803</v>
      </c>
      <c r="B1032" s="6" t="s">
        <v>822</v>
      </c>
      <c r="C1032" s="6" t="s">
        <v>823</v>
      </c>
      <c r="D1032" s="7" t="str">
        <f t="shared" si="237"/>
        <v>12Go Link</v>
      </c>
      <c r="E1032" s="6" t="s">
        <v>807</v>
      </c>
    </row>
    <row r="1033">
      <c r="A1033" s="6" t="s">
        <v>803</v>
      </c>
      <c r="B1033" s="6" t="s">
        <v>822</v>
      </c>
      <c r="C1033" s="6" t="s">
        <v>823</v>
      </c>
      <c r="D1033" s="7" t="str">
        <f t="shared" si="237"/>
        <v>12Go Link</v>
      </c>
      <c r="E1033" s="6" t="s">
        <v>771</v>
      </c>
    </row>
    <row r="1034">
      <c r="A1034" s="6" t="s">
        <v>803</v>
      </c>
      <c r="B1034" s="6" t="s">
        <v>822</v>
      </c>
      <c r="C1034" s="6" t="s">
        <v>823</v>
      </c>
      <c r="D1034" s="7" t="str">
        <f t="shared" si="237"/>
        <v>12Go Link</v>
      </c>
      <c r="E1034" s="6" t="s">
        <v>808</v>
      </c>
    </row>
    <row r="1035">
      <c r="A1035" s="6" t="s">
        <v>803</v>
      </c>
      <c r="B1035" s="6" t="s">
        <v>822</v>
      </c>
      <c r="C1035" s="6" t="s">
        <v>823</v>
      </c>
      <c r="D1035" s="7" t="str">
        <f t="shared" si="237"/>
        <v>12Go Link</v>
      </c>
      <c r="E1035" s="6" t="s">
        <v>809</v>
      </c>
    </row>
    <row r="1036">
      <c r="A1036" s="6" t="s">
        <v>803</v>
      </c>
      <c r="B1036" s="6" t="s">
        <v>822</v>
      </c>
      <c r="C1036" s="6" t="s">
        <v>824</v>
      </c>
      <c r="D1036" s="7" t="str">
        <f t="shared" ref="D1036:D1040" si="238">HYPERLINK("https://12go.asia/en/travel/Durban-International-Airport/University-of-Zulu-Land", "12Go Link")</f>
        <v>12Go Link</v>
      </c>
      <c r="E1036" s="6" t="s">
        <v>806</v>
      </c>
    </row>
    <row r="1037">
      <c r="A1037" s="6" t="s">
        <v>803</v>
      </c>
      <c r="B1037" s="6" t="s">
        <v>822</v>
      </c>
      <c r="C1037" s="6" t="s">
        <v>824</v>
      </c>
      <c r="D1037" s="7" t="str">
        <f t="shared" si="238"/>
        <v>12Go Link</v>
      </c>
      <c r="E1037" s="6" t="s">
        <v>807</v>
      </c>
    </row>
    <row r="1038">
      <c r="A1038" s="6" t="s">
        <v>803</v>
      </c>
      <c r="B1038" s="6" t="s">
        <v>822</v>
      </c>
      <c r="C1038" s="6" t="s">
        <v>824</v>
      </c>
      <c r="D1038" s="7" t="str">
        <f t="shared" si="238"/>
        <v>12Go Link</v>
      </c>
      <c r="E1038" s="6" t="s">
        <v>771</v>
      </c>
    </row>
    <row r="1039">
      <c r="A1039" s="6" t="s">
        <v>803</v>
      </c>
      <c r="B1039" s="6" t="s">
        <v>822</v>
      </c>
      <c r="C1039" s="6" t="s">
        <v>824</v>
      </c>
      <c r="D1039" s="7" t="str">
        <f t="shared" si="238"/>
        <v>12Go Link</v>
      </c>
      <c r="E1039" s="6" t="s">
        <v>808</v>
      </c>
    </row>
    <row r="1040">
      <c r="A1040" s="6" t="s">
        <v>803</v>
      </c>
      <c r="B1040" s="6" t="s">
        <v>822</v>
      </c>
      <c r="C1040" s="6" t="s">
        <v>824</v>
      </c>
      <c r="D1040" s="7" t="str">
        <f t="shared" si="238"/>
        <v>12Go Link</v>
      </c>
      <c r="E1040" s="6" t="s">
        <v>809</v>
      </c>
    </row>
    <row r="1041">
      <c r="A1041" s="6" t="s">
        <v>803</v>
      </c>
      <c r="B1041" s="6" t="s">
        <v>825</v>
      </c>
      <c r="C1041" s="6" t="s">
        <v>826</v>
      </c>
      <c r="D1041" s="7" t="str">
        <f t="shared" ref="D1041:D1045" si="239">HYPERLINK("https://12go.asia/en/travel/Durban-International-Airport/St-Lucia-Transfer", "12Go Link")</f>
        <v>12Go Link</v>
      </c>
      <c r="E1041" s="6" t="s">
        <v>806</v>
      </c>
    </row>
    <row r="1042">
      <c r="A1042" s="6" t="s">
        <v>803</v>
      </c>
      <c r="B1042" s="6" t="s">
        <v>825</v>
      </c>
      <c r="C1042" s="6" t="s">
        <v>826</v>
      </c>
      <c r="D1042" s="7" t="str">
        <f t="shared" si="239"/>
        <v>12Go Link</v>
      </c>
      <c r="E1042" s="6" t="s">
        <v>807</v>
      </c>
    </row>
    <row r="1043">
      <c r="A1043" s="6" t="s">
        <v>803</v>
      </c>
      <c r="B1043" s="6" t="s">
        <v>825</v>
      </c>
      <c r="C1043" s="6" t="s">
        <v>826</v>
      </c>
      <c r="D1043" s="7" t="str">
        <f t="shared" si="239"/>
        <v>12Go Link</v>
      </c>
      <c r="E1043" s="6" t="s">
        <v>771</v>
      </c>
    </row>
    <row r="1044">
      <c r="A1044" s="6" t="s">
        <v>803</v>
      </c>
      <c r="B1044" s="6" t="s">
        <v>825</v>
      </c>
      <c r="C1044" s="6" t="s">
        <v>826</v>
      </c>
      <c r="D1044" s="7" t="str">
        <f t="shared" si="239"/>
        <v>12Go Link</v>
      </c>
      <c r="E1044" s="6" t="s">
        <v>808</v>
      </c>
    </row>
    <row r="1045">
      <c r="A1045" s="6" t="s">
        <v>803</v>
      </c>
      <c r="B1045" s="6" t="s">
        <v>825</v>
      </c>
      <c r="C1045" s="6" t="s">
        <v>826</v>
      </c>
      <c r="D1045" s="7" t="str">
        <f t="shared" si="239"/>
        <v>12Go Link</v>
      </c>
      <c r="E1045" s="6" t="s">
        <v>809</v>
      </c>
    </row>
    <row r="1046">
      <c r="A1046" s="6" t="s">
        <v>803</v>
      </c>
      <c r="B1046" s="6" t="s">
        <v>827</v>
      </c>
      <c r="C1046" s="6" t="s">
        <v>828</v>
      </c>
      <c r="D1046" s="7" t="str">
        <f t="shared" ref="D1046:D1050" si="240">HYPERLINK("https://12go.asia/en/travel/Durban-International-Airport/Umhlanga-Rocks-Transfer", "12Go Link")</f>
        <v>12Go Link</v>
      </c>
      <c r="E1046" s="6" t="s">
        <v>806</v>
      </c>
    </row>
    <row r="1047">
      <c r="A1047" s="6" t="s">
        <v>803</v>
      </c>
      <c r="B1047" s="6" t="s">
        <v>827</v>
      </c>
      <c r="C1047" s="6" t="s">
        <v>828</v>
      </c>
      <c r="D1047" s="7" t="str">
        <f t="shared" si="240"/>
        <v>12Go Link</v>
      </c>
      <c r="E1047" s="6" t="s">
        <v>807</v>
      </c>
    </row>
    <row r="1048">
      <c r="A1048" s="6" t="s">
        <v>803</v>
      </c>
      <c r="B1048" s="6" t="s">
        <v>827</v>
      </c>
      <c r="C1048" s="6" t="s">
        <v>828</v>
      </c>
      <c r="D1048" s="7" t="str">
        <f t="shared" si="240"/>
        <v>12Go Link</v>
      </c>
      <c r="E1048" s="6" t="s">
        <v>771</v>
      </c>
    </row>
    <row r="1049">
      <c r="A1049" s="6" t="s">
        <v>803</v>
      </c>
      <c r="B1049" s="6" t="s">
        <v>827</v>
      </c>
      <c r="C1049" s="6" t="s">
        <v>828</v>
      </c>
      <c r="D1049" s="7" t="str">
        <f t="shared" si="240"/>
        <v>12Go Link</v>
      </c>
      <c r="E1049" s="6" t="s">
        <v>808</v>
      </c>
    </row>
    <row r="1050">
      <c r="A1050" s="6" t="s">
        <v>803</v>
      </c>
      <c r="B1050" s="6" t="s">
        <v>827</v>
      </c>
      <c r="C1050" s="6" t="s">
        <v>828</v>
      </c>
      <c r="D1050" s="7" t="str">
        <f t="shared" si="240"/>
        <v>12Go Link</v>
      </c>
      <c r="E1050" s="6" t="s">
        <v>809</v>
      </c>
    </row>
    <row r="1051">
      <c r="A1051" s="6" t="s">
        <v>803</v>
      </c>
      <c r="B1051" s="6" t="s">
        <v>829</v>
      </c>
      <c r="C1051" s="6" t="s">
        <v>830</v>
      </c>
      <c r="D1051" s="7" t="str">
        <f t="shared" ref="D1051:D1055" si="241">HYPERLINK("https://12go.asia/en/travel/Durban-International-Airport/Underberg-Transfer", "12Go Link")</f>
        <v>12Go Link</v>
      </c>
      <c r="E1051" s="6" t="s">
        <v>806</v>
      </c>
    </row>
    <row r="1052">
      <c r="A1052" s="6" t="s">
        <v>803</v>
      </c>
      <c r="B1052" s="6" t="s">
        <v>829</v>
      </c>
      <c r="C1052" s="6" t="s">
        <v>830</v>
      </c>
      <c r="D1052" s="7" t="str">
        <f t="shared" si="241"/>
        <v>12Go Link</v>
      </c>
      <c r="E1052" s="6" t="s">
        <v>807</v>
      </c>
    </row>
    <row r="1053">
      <c r="A1053" s="6" t="s">
        <v>803</v>
      </c>
      <c r="B1053" s="6" t="s">
        <v>829</v>
      </c>
      <c r="C1053" s="6" t="s">
        <v>830</v>
      </c>
      <c r="D1053" s="7" t="str">
        <f t="shared" si="241"/>
        <v>12Go Link</v>
      </c>
      <c r="E1053" s="6" t="s">
        <v>771</v>
      </c>
    </row>
    <row r="1054">
      <c r="A1054" s="6" t="s">
        <v>803</v>
      </c>
      <c r="B1054" s="6" t="s">
        <v>829</v>
      </c>
      <c r="C1054" s="6" t="s">
        <v>830</v>
      </c>
      <c r="D1054" s="7" t="str">
        <f t="shared" si="241"/>
        <v>12Go Link</v>
      </c>
      <c r="E1054" s="6" t="s">
        <v>808</v>
      </c>
    </row>
    <row r="1055">
      <c r="A1055" s="6" t="s">
        <v>803</v>
      </c>
      <c r="B1055" s="6" t="s">
        <v>829</v>
      </c>
      <c r="C1055" s="6" t="s">
        <v>830</v>
      </c>
      <c r="D1055" s="7" t="str">
        <f t="shared" si="241"/>
        <v>12Go Link</v>
      </c>
      <c r="E1055" s="6" t="s">
        <v>809</v>
      </c>
    </row>
    <row r="1056">
      <c r="A1056" s="8" t="s">
        <v>831</v>
      </c>
      <c r="B1056" s="8" t="s">
        <v>832</v>
      </c>
      <c r="C1056" s="8" t="s">
        <v>833</v>
      </c>
      <c r="D1056" s="9" t="str">
        <f t="shared" ref="D1056:D1058" si="242">HYPERLINK("https://12go.asia/en/travel/OR-Tambo-International-Airport/Madhikwe-Game-Reserve-Transfer", "12Go Link")</f>
        <v>12Go Link</v>
      </c>
      <c r="E1056" s="8" t="s">
        <v>834</v>
      </c>
    </row>
    <row r="1057">
      <c r="A1057" s="8" t="s">
        <v>831</v>
      </c>
      <c r="B1057" s="8" t="s">
        <v>832</v>
      </c>
      <c r="C1057" s="8" t="s">
        <v>833</v>
      </c>
      <c r="D1057" s="9" t="str">
        <f t="shared" si="242"/>
        <v>12Go Link</v>
      </c>
      <c r="E1057" s="8" t="s">
        <v>835</v>
      </c>
    </row>
    <row r="1058">
      <c r="A1058" s="8" t="s">
        <v>831</v>
      </c>
      <c r="B1058" s="8" t="s">
        <v>832</v>
      </c>
      <c r="C1058" s="8" t="s">
        <v>833</v>
      </c>
      <c r="D1058" s="9" t="str">
        <f t="shared" si="242"/>
        <v>12Go Link</v>
      </c>
      <c r="E1058" s="8" t="s">
        <v>836</v>
      </c>
    </row>
    <row r="1059">
      <c r="A1059" s="8" t="s">
        <v>831</v>
      </c>
      <c r="B1059" s="8" t="s">
        <v>837</v>
      </c>
      <c r="C1059" s="8" t="s">
        <v>838</v>
      </c>
      <c r="D1059" s="9" t="str">
        <f t="shared" ref="D1059:D1061" si="243">HYPERLINK("https://12go.asia/en/travel/OR-Tambo-International-Airport/Skukuza-Transfer", "12Go Link")</f>
        <v>12Go Link</v>
      </c>
      <c r="E1059" s="8" t="s">
        <v>834</v>
      </c>
    </row>
    <row r="1060">
      <c r="A1060" s="8" t="s">
        <v>831</v>
      </c>
      <c r="B1060" s="8" t="s">
        <v>837</v>
      </c>
      <c r="C1060" s="8" t="s">
        <v>838</v>
      </c>
      <c r="D1060" s="9" t="str">
        <f t="shared" si="243"/>
        <v>12Go Link</v>
      </c>
      <c r="E1060" s="8" t="s">
        <v>835</v>
      </c>
    </row>
    <row r="1061">
      <c r="A1061" s="8" t="s">
        <v>831</v>
      </c>
      <c r="B1061" s="8" t="s">
        <v>837</v>
      </c>
      <c r="C1061" s="8" t="s">
        <v>838</v>
      </c>
      <c r="D1061" s="9" t="str">
        <f t="shared" si="243"/>
        <v>12Go Link</v>
      </c>
      <c r="E1061" s="8" t="s">
        <v>836</v>
      </c>
    </row>
    <row r="1062">
      <c r="A1062" s="8" t="s">
        <v>831</v>
      </c>
      <c r="B1062" s="8" t="s">
        <v>839</v>
      </c>
      <c r="C1062" s="8" t="s">
        <v>840</v>
      </c>
      <c r="D1062" s="9" t="str">
        <f t="shared" ref="D1062:D1064" si="244">HYPERLINK("https://12go.asia/en/travel/OR-Tambo-International-Airport/Sun-City-Resort", "12Go Link")</f>
        <v>12Go Link</v>
      </c>
      <c r="E1062" s="8" t="s">
        <v>834</v>
      </c>
    </row>
    <row r="1063">
      <c r="A1063" s="8" t="s">
        <v>831</v>
      </c>
      <c r="B1063" s="8" t="s">
        <v>839</v>
      </c>
      <c r="C1063" s="8" t="s">
        <v>840</v>
      </c>
      <c r="D1063" s="9" t="str">
        <f t="shared" si="244"/>
        <v>12Go Link</v>
      </c>
      <c r="E1063" s="8" t="s">
        <v>835</v>
      </c>
    </row>
    <row r="1064">
      <c r="A1064" s="8" t="s">
        <v>831</v>
      </c>
      <c r="B1064" s="8" t="s">
        <v>839</v>
      </c>
      <c r="C1064" s="8" t="s">
        <v>840</v>
      </c>
      <c r="D1064" s="9" t="str">
        <f t="shared" si="244"/>
        <v>12Go Link</v>
      </c>
      <c r="E1064" s="8" t="s">
        <v>836</v>
      </c>
    </row>
    <row r="1065">
      <c r="A1065" s="8" t="s">
        <v>831</v>
      </c>
      <c r="B1065" s="8" t="s">
        <v>841</v>
      </c>
      <c r="C1065" s="8" t="s">
        <v>842</v>
      </c>
      <c r="D1065" s="9" t="str">
        <f t="shared" ref="D1065:D1067" si="245">HYPERLINK("https://12go.asia/en/travel/OR-Tambo-International-Airport/Waterberg-Estate-Transfer", "12Go Link")</f>
        <v>12Go Link</v>
      </c>
      <c r="E1065" s="8" t="s">
        <v>834</v>
      </c>
    </row>
    <row r="1066">
      <c r="A1066" s="8" t="s">
        <v>831</v>
      </c>
      <c r="B1066" s="8" t="s">
        <v>841</v>
      </c>
      <c r="C1066" s="8" t="s">
        <v>842</v>
      </c>
      <c r="D1066" s="9" t="str">
        <f t="shared" si="245"/>
        <v>12Go Link</v>
      </c>
      <c r="E1066" s="8" t="s">
        <v>835</v>
      </c>
    </row>
    <row r="1067">
      <c r="A1067" s="8" t="s">
        <v>831</v>
      </c>
      <c r="B1067" s="8" t="s">
        <v>841</v>
      </c>
      <c r="C1067" s="8" t="s">
        <v>842</v>
      </c>
      <c r="D1067" s="9" t="str">
        <f t="shared" si="245"/>
        <v>12Go Link</v>
      </c>
      <c r="E1067" s="8" t="s">
        <v>836</v>
      </c>
    </row>
    <row r="1068">
      <c r="A1068" s="6" t="s">
        <v>832</v>
      </c>
      <c r="B1068" s="6" t="s">
        <v>831</v>
      </c>
      <c r="C1068" s="6" t="s">
        <v>843</v>
      </c>
      <c r="D1068" s="7" t="str">
        <f t="shared" ref="D1068:D1070" si="246">HYPERLINK("https://12go.asia/en/travel/Madhikwe-Game-Reserve-Transfer/OR-Tambo-International-Airport", "12Go Link")</f>
        <v>12Go Link</v>
      </c>
      <c r="E1068" s="6" t="s">
        <v>834</v>
      </c>
    </row>
    <row r="1069">
      <c r="A1069" s="6" t="s">
        <v>832</v>
      </c>
      <c r="B1069" s="6" t="s">
        <v>831</v>
      </c>
      <c r="C1069" s="6" t="s">
        <v>843</v>
      </c>
      <c r="D1069" s="7" t="str">
        <f t="shared" si="246"/>
        <v>12Go Link</v>
      </c>
      <c r="E1069" s="6" t="s">
        <v>835</v>
      </c>
    </row>
    <row r="1070">
      <c r="A1070" s="6" t="s">
        <v>832</v>
      </c>
      <c r="B1070" s="6" t="s">
        <v>831</v>
      </c>
      <c r="C1070" s="6" t="s">
        <v>843</v>
      </c>
      <c r="D1070" s="7" t="str">
        <f t="shared" si="246"/>
        <v>12Go Link</v>
      </c>
      <c r="E1070" s="6" t="s">
        <v>836</v>
      </c>
    </row>
    <row r="1071">
      <c r="A1071" s="8" t="s">
        <v>837</v>
      </c>
      <c r="B1071" s="8" t="s">
        <v>831</v>
      </c>
      <c r="C1071" s="8" t="s">
        <v>844</v>
      </c>
      <c r="D1071" s="9" t="str">
        <f t="shared" ref="D1071:D1073" si="247">HYPERLINK("https://12go.asia/en/travel/Skukuza-Transfer/OR-Tambo-International-Airport", "12Go Link")</f>
        <v>12Go Link</v>
      </c>
      <c r="E1071" s="8" t="s">
        <v>834</v>
      </c>
    </row>
    <row r="1072">
      <c r="A1072" s="8" t="s">
        <v>837</v>
      </c>
      <c r="B1072" s="8" t="s">
        <v>831</v>
      </c>
      <c r="C1072" s="8" t="s">
        <v>844</v>
      </c>
      <c r="D1072" s="9" t="str">
        <f t="shared" si="247"/>
        <v>12Go Link</v>
      </c>
      <c r="E1072" s="8" t="s">
        <v>835</v>
      </c>
    </row>
    <row r="1073">
      <c r="A1073" s="8" t="s">
        <v>837</v>
      </c>
      <c r="B1073" s="8" t="s">
        <v>831</v>
      </c>
      <c r="C1073" s="8" t="s">
        <v>844</v>
      </c>
      <c r="D1073" s="9" t="str">
        <f t="shared" si="247"/>
        <v>12Go Link</v>
      </c>
      <c r="E1073" s="8" t="s">
        <v>836</v>
      </c>
    </row>
    <row r="1074">
      <c r="A1074" s="6" t="s">
        <v>839</v>
      </c>
      <c r="B1074" s="6" t="s">
        <v>831</v>
      </c>
      <c r="C1074" s="6" t="s">
        <v>845</v>
      </c>
      <c r="D1074" s="7" t="str">
        <f t="shared" ref="D1074:D1076" si="248">HYPERLINK("https://12go.asia/en/travel/Sun-City-Resort/OR-Tambo-International-Airport", "12Go Link")</f>
        <v>12Go Link</v>
      </c>
      <c r="E1074" s="6" t="s">
        <v>834</v>
      </c>
    </row>
    <row r="1075">
      <c r="A1075" s="6" t="s">
        <v>839</v>
      </c>
      <c r="B1075" s="6" t="s">
        <v>831</v>
      </c>
      <c r="C1075" s="6" t="s">
        <v>845</v>
      </c>
      <c r="D1075" s="7" t="str">
        <f t="shared" si="248"/>
        <v>12Go Link</v>
      </c>
      <c r="E1075" s="6" t="s">
        <v>835</v>
      </c>
    </row>
    <row r="1076">
      <c r="A1076" s="6" t="s">
        <v>839</v>
      </c>
      <c r="B1076" s="6" t="s">
        <v>831</v>
      </c>
      <c r="C1076" s="6" t="s">
        <v>845</v>
      </c>
      <c r="D1076" s="7" t="str">
        <f t="shared" si="248"/>
        <v>12Go Link</v>
      </c>
      <c r="E1076" s="6" t="s">
        <v>836</v>
      </c>
    </row>
    <row r="1077">
      <c r="A1077" s="8" t="s">
        <v>841</v>
      </c>
      <c r="B1077" s="8" t="s">
        <v>831</v>
      </c>
      <c r="C1077" s="8" t="s">
        <v>846</v>
      </c>
      <c r="D1077" s="9" t="str">
        <f t="shared" ref="D1077:D1079" si="249">HYPERLINK("https://12go.asia/en/travel/Waterberg-Estate-Transfer/OR-Tambo-International-Airport", "12Go Link")</f>
        <v>12Go Link</v>
      </c>
      <c r="E1077" s="8" t="s">
        <v>834</v>
      </c>
    </row>
    <row r="1078">
      <c r="A1078" s="8" t="s">
        <v>841</v>
      </c>
      <c r="B1078" s="8" t="s">
        <v>831</v>
      </c>
      <c r="C1078" s="8" t="s">
        <v>846</v>
      </c>
      <c r="D1078" s="9" t="str">
        <f t="shared" si="249"/>
        <v>12Go Link</v>
      </c>
      <c r="E1078" s="8" t="s">
        <v>835</v>
      </c>
    </row>
    <row r="1079">
      <c r="A1079" s="8" t="s">
        <v>841</v>
      </c>
      <c r="B1079" s="8" t="s">
        <v>831</v>
      </c>
      <c r="C1079" s="8" t="s">
        <v>846</v>
      </c>
      <c r="D1079" s="9" t="str">
        <f t="shared" si="249"/>
        <v>12Go Link</v>
      </c>
      <c r="E1079" s="8" t="s">
        <v>836</v>
      </c>
    </row>
    <row r="1080">
      <c r="A1080" s="2" t="s">
        <v>847</v>
      </c>
      <c r="B1080" s="2" t="s">
        <v>848</v>
      </c>
      <c r="C1080" s="2" t="s">
        <v>849</v>
      </c>
      <c r="D1080" s="3" t="str">
        <f t="shared" ref="D1080:D1087" si="250">HYPERLINK("https://12go.asia/en/travel/Incheon-Airport/Seoul-City", "12Go Link")</f>
        <v>12Go Link</v>
      </c>
      <c r="E1080" s="2" t="s">
        <v>850</v>
      </c>
    </row>
    <row r="1081">
      <c r="A1081" s="2" t="s">
        <v>847</v>
      </c>
      <c r="B1081" s="2" t="s">
        <v>848</v>
      </c>
      <c r="C1081" s="2" t="s">
        <v>849</v>
      </c>
      <c r="D1081" s="3" t="str">
        <f t="shared" si="250"/>
        <v>12Go Link</v>
      </c>
      <c r="E1081" s="2" t="s">
        <v>851</v>
      </c>
    </row>
    <row r="1082">
      <c r="A1082" s="2" t="s">
        <v>847</v>
      </c>
      <c r="B1082" s="2" t="s">
        <v>848</v>
      </c>
      <c r="C1082" s="2" t="s">
        <v>849</v>
      </c>
      <c r="D1082" s="3" t="str">
        <f t="shared" si="250"/>
        <v>12Go Link</v>
      </c>
      <c r="E1082" s="2" t="s">
        <v>852</v>
      </c>
    </row>
    <row r="1083">
      <c r="A1083" s="2" t="s">
        <v>847</v>
      </c>
      <c r="B1083" s="2" t="s">
        <v>848</v>
      </c>
      <c r="C1083" s="2" t="s">
        <v>849</v>
      </c>
      <c r="D1083" s="3" t="str">
        <f t="shared" si="250"/>
        <v>12Go Link</v>
      </c>
      <c r="E1083" s="2" t="s">
        <v>568</v>
      </c>
    </row>
    <row r="1084">
      <c r="A1084" s="2" t="s">
        <v>847</v>
      </c>
      <c r="B1084" s="2" t="s">
        <v>848</v>
      </c>
      <c r="C1084" s="2" t="s">
        <v>849</v>
      </c>
      <c r="D1084" s="3" t="str">
        <f t="shared" si="250"/>
        <v>12Go Link</v>
      </c>
      <c r="E1084" s="2" t="s">
        <v>853</v>
      </c>
    </row>
    <row r="1085">
      <c r="A1085" s="2" t="s">
        <v>847</v>
      </c>
      <c r="B1085" s="2" t="s">
        <v>848</v>
      </c>
      <c r="C1085" s="2" t="s">
        <v>849</v>
      </c>
      <c r="D1085" s="3" t="str">
        <f t="shared" si="250"/>
        <v>12Go Link</v>
      </c>
      <c r="E1085" s="2" t="s">
        <v>854</v>
      </c>
    </row>
    <row r="1086">
      <c r="A1086" s="2" t="s">
        <v>847</v>
      </c>
      <c r="B1086" s="2" t="s">
        <v>848</v>
      </c>
      <c r="C1086" s="2" t="s">
        <v>849</v>
      </c>
      <c r="D1086" s="3" t="str">
        <f t="shared" si="250"/>
        <v>12Go Link</v>
      </c>
      <c r="E1086" s="2" t="s">
        <v>855</v>
      </c>
    </row>
    <row r="1087">
      <c r="A1087" s="2" t="s">
        <v>847</v>
      </c>
      <c r="B1087" s="2" t="s">
        <v>848</v>
      </c>
      <c r="C1087" s="2" t="s">
        <v>849</v>
      </c>
      <c r="D1087" s="3" t="str">
        <f t="shared" si="250"/>
        <v>12Go Link</v>
      </c>
      <c r="E1087" s="2" t="s">
        <v>569</v>
      </c>
    </row>
    <row r="1088">
      <c r="A1088" s="4" t="s">
        <v>848</v>
      </c>
      <c r="B1088" s="4" t="s">
        <v>847</v>
      </c>
      <c r="C1088" s="4" t="s">
        <v>856</v>
      </c>
      <c r="D1088" s="5" t="str">
        <f t="shared" ref="D1088:D1095" si="251">HYPERLINK("https://12go.asia/en/travel/Seoul-City/Incheon-Airport", "12Go Link")</f>
        <v>12Go Link</v>
      </c>
      <c r="E1088" s="4" t="s">
        <v>850</v>
      </c>
    </row>
    <row r="1089">
      <c r="A1089" s="4" t="s">
        <v>848</v>
      </c>
      <c r="B1089" s="4" t="s">
        <v>847</v>
      </c>
      <c r="C1089" s="4" t="s">
        <v>856</v>
      </c>
      <c r="D1089" s="5" t="str">
        <f t="shared" si="251"/>
        <v>12Go Link</v>
      </c>
      <c r="E1089" s="4" t="s">
        <v>851</v>
      </c>
    </row>
    <row r="1090">
      <c r="A1090" s="4" t="s">
        <v>848</v>
      </c>
      <c r="B1090" s="4" t="s">
        <v>847</v>
      </c>
      <c r="C1090" s="4" t="s">
        <v>856</v>
      </c>
      <c r="D1090" s="5" t="str">
        <f t="shared" si="251"/>
        <v>12Go Link</v>
      </c>
      <c r="E1090" s="4" t="s">
        <v>852</v>
      </c>
    </row>
    <row r="1091">
      <c r="A1091" s="4" t="s">
        <v>848</v>
      </c>
      <c r="B1091" s="4" t="s">
        <v>847</v>
      </c>
      <c r="C1091" s="4" t="s">
        <v>856</v>
      </c>
      <c r="D1091" s="5" t="str">
        <f t="shared" si="251"/>
        <v>12Go Link</v>
      </c>
      <c r="E1091" s="4" t="s">
        <v>568</v>
      </c>
    </row>
    <row r="1092">
      <c r="A1092" s="4" t="s">
        <v>848</v>
      </c>
      <c r="B1092" s="4" t="s">
        <v>847</v>
      </c>
      <c r="C1092" s="4" t="s">
        <v>856</v>
      </c>
      <c r="D1092" s="5" t="str">
        <f t="shared" si="251"/>
        <v>12Go Link</v>
      </c>
      <c r="E1092" s="4" t="s">
        <v>853</v>
      </c>
    </row>
    <row r="1093">
      <c r="A1093" s="4" t="s">
        <v>848</v>
      </c>
      <c r="B1093" s="4" t="s">
        <v>847</v>
      </c>
      <c r="C1093" s="4" t="s">
        <v>856</v>
      </c>
      <c r="D1093" s="5" t="str">
        <f t="shared" si="251"/>
        <v>12Go Link</v>
      </c>
      <c r="E1093" s="4" t="s">
        <v>854</v>
      </c>
    </row>
    <row r="1094">
      <c r="A1094" s="4" t="s">
        <v>848</v>
      </c>
      <c r="B1094" s="4" t="s">
        <v>847</v>
      </c>
      <c r="C1094" s="4" t="s">
        <v>856</v>
      </c>
      <c r="D1094" s="5" t="str">
        <f t="shared" si="251"/>
        <v>12Go Link</v>
      </c>
      <c r="E1094" s="4" t="s">
        <v>855</v>
      </c>
    </row>
    <row r="1095">
      <c r="A1095" s="4" t="s">
        <v>848</v>
      </c>
      <c r="B1095" s="4" t="s">
        <v>847</v>
      </c>
      <c r="C1095" s="4" t="s">
        <v>856</v>
      </c>
      <c r="D1095" s="5" t="str">
        <f t="shared" si="251"/>
        <v>12Go Link</v>
      </c>
      <c r="E1095" s="4" t="s">
        <v>569</v>
      </c>
    </row>
    <row r="1096">
      <c r="A1096" s="4" t="s">
        <v>848</v>
      </c>
      <c r="B1096" s="4" t="s">
        <v>848</v>
      </c>
      <c r="C1096" s="4" t="s">
        <v>857</v>
      </c>
      <c r="D1096" s="5" t="str">
        <f t="shared" ref="D1096:D1103" si="252">HYPERLINK("https://12go.asia/en/travel/Gimpo-Airport/Seoul-City", "12Go Link")</f>
        <v>12Go Link</v>
      </c>
      <c r="E1096" s="4" t="s">
        <v>850</v>
      </c>
    </row>
    <row r="1097">
      <c r="A1097" s="4" t="s">
        <v>848</v>
      </c>
      <c r="B1097" s="4" t="s">
        <v>848</v>
      </c>
      <c r="C1097" s="4" t="s">
        <v>857</v>
      </c>
      <c r="D1097" s="5" t="str">
        <f t="shared" si="252"/>
        <v>12Go Link</v>
      </c>
      <c r="E1097" s="4" t="s">
        <v>851</v>
      </c>
    </row>
    <row r="1098">
      <c r="A1098" s="4" t="s">
        <v>848</v>
      </c>
      <c r="B1098" s="4" t="s">
        <v>848</v>
      </c>
      <c r="C1098" s="4" t="s">
        <v>857</v>
      </c>
      <c r="D1098" s="5" t="str">
        <f t="shared" si="252"/>
        <v>12Go Link</v>
      </c>
      <c r="E1098" s="4" t="s">
        <v>852</v>
      </c>
    </row>
    <row r="1099">
      <c r="A1099" s="4" t="s">
        <v>848</v>
      </c>
      <c r="B1099" s="4" t="s">
        <v>848</v>
      </c>
      <c r="C1099" s="4" t="s">
        <v>857</v>
      </c>
      <c r="D1099" s="5" t="str">
        <f t="shared" si="252"/>
        <v>12Go Link</v>
      </c>
      <c r="E1099" s="4" t="s">
        <v>568</v>
      </c>
    </row>
    <row r="1100">
      <c r="A1100" s="4" t="s">
        <v>848</v>
      </c>
      <c r="B1100" s="4" t="s">
        <v>848</v>
      </c>
      <c r="C1100" s="4" t="s">
        <v>857</v>
      </c>
      <c r="D1100" s="5" t="str">
        <f t="shared" si="252"/>
        <v>12Go Link</v>
      </c>
      <c r="E1100" s="4" t="s">
        <v>853</v>
      </c>
    </row>
    <row r="1101">
      <c r="A1101" s="4" t="s">
        <v>848</v>
      </c>
      <c r="B1101" s="4" t="s">
        <v>848</v>
      </c>
      <c r="C1101" s="4" t="s">
        <v>857</v>
      </c>
      <c r="D1101" s="5" t="str">
        <f t="shared" si="252"/>
        <v>12Go Link</v>
      </c>
      <c r="E1101" s="4" t="s">
        <v>854</v>
      </c>
    </row>
    <row r="1102">
      <c r="A1102" s="4" t="s">
        <v>848</v>
      </c>
      <c r="B1102" s="4" t="s">
        <v>848</v>
      </c>
      <c r="C1102" s="4" t="s">
        <v>857</v>
      </c>
      <c r="D1102" s="5" t="str">
        <f t="shared" si="252"/>
        <v>12Go Link</v>
      </c>
      <c r="E1102" s="4" t="s">
        <v>855</v>
      </c>
    </row>
    <row r="1103">
      <c r="A1103" s="4" t="s">
        <v>848</v>
      </c>
      <c r="B1103" s="4" t="s">
        <v>848</v>
      </c>
      <c r="C1103" s="4" t="s">
        <v>857</v>
      </c>
      <c r="D1103" s="5" t="str">
        <f t="shared" si="252"/>
        <v>12Go Link</v>
      </c>
      <c r="E1103" s="4" t="s">
        <v>569</v>
      </c>
    </row>
    <row r="1104">
      <c r="A1104" s="4" t="s">
        <v>848</v>
      </c>
      <c r="B1104" s="4" t="s">
        <v>848</v>
      </c>
      <c r="C1104" s="4" t="s">
        <v>858</v>
      </c>
      <c r="D1104" s="5" t="str">
        <f t="shared" ref="D1104:D1111" si="253">HYPERLINK("https://12go.asia/en/travel/Seoul-City/Gimpo-Airport", "12Go Link")</f>
        <v>12Go Link</v>
      </c>
      <c r="E1104" s="4" t="s">
        <v>850</v>
      </c>
    </row>
    <row r="1105">
      <c r="A1105" s="4" t="s">
        <v>848</v>
      </c>
      <c r="B1105" s="4" t="s">
        <v>848</v>
      </c>
      <c r="C1105" s="4" t="s">
        <v>858</v>
      </c>
      <c r="D1105" s="5" t="str">
        <f t="shared" si="253"/>
        <v>12Go Link</v>
      </c>
      <c r="E1105" s="4" t="s">
        <v>851</v>
      </c>
    </row>
    <row r="1106">
      <c r="A1106" s="4" t="s">
        <v>848</v>
      </c>
      <c r="B1106" s="4" t="s">
        <v>848</v>
      </c>
      <c r="C1106" s="4" t="s">
        <v>858</v>
      </c>
      <c r="D1106" s="5" t="str">
        <f t="shared" si="253"/>
        <v>12Go Link</v>
      </c>
      <c r="E1106" s="4" t="s">
        <v>852</v>
      </c>
    </row>
    <row r="1107">
      <c r="A1107" s="4" t="s">
        <v>848</v>
      </c>
      <c r="B1107" s="4" t="s">
        <v>848</v>
      </c>
      <c r="C1107" s="4" t="s">
        <v>858</v>
      </c>
      <c r="D1107" s="5" t="str">
        <f t="shared" si="253"/>
        <v>12Go Link</v>
      </c>
      <c r="E1107" s="4" t="s">
        <v>568</v>
      </c>
    </row>
    <row r="1108">
      <c r="A1108" s="4" t="s">
        <v>848</v>
      </c>
      <c r="B1108" s="4" t="s">
        <v>848</v>
      </c>
      <c r="C1108" s="4" t="s">
        <v>858</v>
      </c>
      <c r="D1108" s="5" t="str">
        <f t="shared" si="253"/>
        <v>12Go Link</v>
      </c>
      <c r="E1108" s="4" t="s">
        <v>853</v>
      </c>
    </row>
    <row r="1109">
      <c r="A1109" s="4" t="s">
        <v>848</v>
      </c>
      <c r="B1109" s="4" t="s">
        <v>848</v>
      </c>
      <c r="C1109" s="4" t="s">
        <v>858</v>
      </c>
      <c r="D1109" s="5" t="str">
        <f t="shared" si="253"/>
        <v>12Go Link</v>
      </c>
      <c r="E1109" s="4" t="s">
        <v>854</v>
      </c>
    </row>
    <row r="1110">
      <c r="A1110" s="4" t="s">
        <v>848</v>
      </c>
      <c r="B1110" s="4" t="s">
        <v>848</v>
      </c>
      <c r="C1110" s="4" t="s">
        <v>858</v>
      </c>
      <c r="D1110" s="5" t="str">
        <f t="shared" si="253"/>
        <v>12Go Link</v>
      </c>
      <c r="E1110" s="4" t="s">
        <v>855</v>
      </c>
    </row>
    <row r="1111">
      <c r="A1111" s="4" t="s">
        <v>848</v>
      </c>
      <c r="B1111" s="4" t="s">
        <v>848</v>
      </c>
      <c r="C1111" s="4" t="s">
        <v>858</v>
      </c>
      <c r="D1111" s="5" t="str">
        <f t="shared" si="253"/>
        <v>12Go Link</v>
      </c>
      <c r="E1111" s="4" t="s">
        <v>569</v>
      </c>
    </row>
    <row r="1112">
      <c r="A1112" s="4" t="s">
        <v>848</v>
      </c>
      <c r="B1112" s="4" t="s">
        <v>859</v>
      </c>
      <c r="C1112" s="4" t="s">
        <v>860</v>
      </c>
      <c r="D1112" s="5" t="str">
        <f>HYPERLINK("https://12go.asia/en/travel/Dongdaemun-History-and-Culture-Park/Everland", "12Go Link")</f>
        <v>12Go Link</v>
      </c>
      <c r="E1112" s="4" t="s">
        <v>861</v>
      </c>
    </row>
    <row r="1113">
      <c r="A1113" s="4" t="s">
        <v>848</v>
      </c>
      <c r="B1113" s="4" t="s">
        <v>859</v>
      </c>
      <c r="C1113" s="4" t="s">
        <v>862</v>
      </c>
      <c r="D1113" s="5" t="str">
        <f>HYPERLINK("https://12go.asia/en/travel/Hapjeong-Station/Everland", "12Go Link")</f>
        <v>12Go Link</v>
      </c>
      <c r="E1113" s="4" t="s">
        <v>861</v>
      </c>
    </row>
    <row r="1114">
      <c r="A1114" s="4" t="s">
        <v>848</v>
      </c>
      <c r="B1114" s="4" t="s">
        <v>859</v>
      </c>
      <c r="C1114" s="4" t="s">
        <v>863</v>
      </c>
      <c r="D1114" s="5" t="str">
        <f>HYPERLINK("https://12go.asia/en/travel/Hongik-University-Station-Exit-4/Everland", "12Go Link")</f>
        <v>12Go Link</v>
      </c>
      <c r="E1114" s="4" t="s">
        <v>861</v>
      </c>
    </row>
    <row r="1115">
      <c r="A1115" s="4" t="s">
        <v>848</v>
      </c>
      <c r="B1115" s="4" t="s">
        <v>859</v>
      </c>
      <c r="C1115" s="4" t="s">
        <v>864</v>
      </c>
      <c r="D1115" s="5" t="str">
        <f>HYPERLINK("https://12go.asia/en/travel/Jongno-3-ga-Station/Everland", "12Go Link")</f>
        <v>12Go Link</v>
      </c>
      <c r="E1115" s="4" t="s">
        <v>861</v>
      </c>
    </row>
    <row r="1116">
      <c r="A1116" s="4" t="s">
        <v>848</v>
      </c>
      <c r="B1116" s="4" t="s">
        <v>859</v>
      </c>
      <c r="C1116" s="4" t="s">
        <v>865</v>
      </c>
      <c r="D1116" s="5" t="str">
        <f>HYPERLINK("https://12go.asia/en/travel/Myeongdong/Everland", "12Go Link")</f>
        <v>12Go Link</v>
      </c>
      <c r="E1116" s="4" t="s">
        <v>861</v>
      </c>
    </row>
    <row r="1117">
      <c r="A1117" s="4" t="s">
        <v>848</v>
      </c>
      <c r="B1117" s="4" t="s">
        <v>859</v>
      </c>
      <c r="C1117" s="4" t="s">
        <v>866</v>
      </c>
      <c r="D1117" s="5" t="str">
        <f>HYPERLINK("https://12go.asia/en/travel/Seoul-Station/Everland", "12Go Link")</f>
        <v>12Go Link</v>
      </c>
      <c r="E1117" s="4" t="s">
        <v>861</v>
      </c>
    </row>
    <row r="1118">
      <c r="A1118" s="6" t="s">
        <v>867</v>
      </c>
      <c r="B1118" s="6" t="s">
        <v>868</v>
      </c>
      <c r="C1118" s="6" t="s">
        <v>869</v>
      </c>
      <c r="D1118" s="7" t="str">
        <f>HYPERLINK("https://12go.asia/en/travel/Ambanpola/Ambepussa", "12Go Link")</f>
        <v>12Go Link</v>
      </c>
      <c r="E1118" s="6" t="s">
        <v>870</v>
      </c>
    </row>
    <row r="1119">
      <c r="A1119" s="6" t="s">
        <v>867</v>
      </c>
      <c r="B1119" s="6" t="s">
        <v>871</v>
      </c>
      <c r="C1119" s="6" t="s">
        <v>872</v>
      </c>
      <c r="D1119" s="7" t="str">
        <f>HYPERLINK("https://12go.asia/en/travel/Ambanpola/Anuradhapura", "12Go Link")</f>
        <v>12Go Link</v>
      </c>
      <c r="E1119" s="6" t="s">
        <v>870</v>
      </c>
    </row>
    <row r="1120">
      <c r="A1120" s="6" t="s">
        <v>867</v>
      </c>
      <c r="B1120" s="6" t="s">
        <v>871</v>
      </c>
      <c r="C1120" s="6" t="s">
        <v>873</v>
      </c>
      <c r="D1120" s="7" t="str">
        <f>HYPERLINK("https://12go.asia/en/travel/Ambanpola/Shrawasthipura", "12Go Link")</f>
        <v>12Go Link</v>
      </c>
      <c r="E1120" s="6" t="s">
        <v>870</v>
      </c>
    </row>
    <row r="1121">
      <c r="A1121" s="6" t="s">
        <v>867</v>
      </c>
      <c r="B1121" s="6" t="s">
        <v>874</v>
      </c>
      <c r="C1121" s="6" t="s">
        <v>875</v>
      </c>
      <c r="D1121" s="7" t="str">
        <f>HYPERLINK("https://12go.asia/en/travel/Ambanpola/Colombo-Fort", "12Go Link")</f>
        <v>12Go Link</v>
      </c>
      <c r="E1121" s="6" t="s">
        <v>870</v>
      </c>
    </row>
    <row r="1122">
      <c r="A1122" s="6" t="s">
        <v>867</v>
      </c>
      <c r="B1122" s="6" t="s">
        <v>874</v>
      </c>
      <c r="C1122" s="6" t="s">
        <v>876</v>
      </c>
      <c r="D1122" s="7" t="str">
        <f>HYPERLINK("https://12go.asia/en/travel/Ambanpola/Mount-Lavinia", "12Go Link")</f>
        <v>12Go Link</v>
      </c>
      <c r="E1122" s="6" t="s">
        <v>870</v>
      </c>
    </row>
    <row r="1123">
      <c r="A1123" s="6" t="s">
        <v>867</v>
      </c>
      <c r="B1123" s="6" t="s">
        <v>874</v>
      </c>
      <c r="C1123" s="6" t="s">
        <v>877</v>
      </c>
      <c r="D1123" s="7" t="str">
        <f>HYPERLINK("https://12go.asia/en/travel/Ambanpola/Wellawatta", "12Go Link")</f>
        <v>12Go Link</v>
      </c>
      <c r="E1123" s="6" t="s">
        <v>870</v>
      </c>
    </row>
    <row r="1124">
      <c r="A1124" s="6" t="s">
        <v>867</v>
      </c>
      <c r="B1124" s="6" t="s">
        <v>878</v>
      </c>
      <c r="C1124" s="6" t="s">
        <v>879</v>
      </c>
      <c r="D1124" s="7" t="str">
        <f>HYPERLINK("https://12go.asia/en/travel/Ambanpola/Gampaha", "12Go Link")</f>
        <v>12Go Link</v>
      </c>
      <c r="E1124" s="6" t="s">
        <v>870</v>
      </c>
    </row>
    <row r="1125">
      <c r="A1125" s="6" t="s">
        <v>867</v>
      </c>
      <c r="B1125" s="6" t="s">
        <v>880</v>
      </c>
      <c r="C1125" s="6" t="s">
        <v>881</v>
      </c>
      <c r="D1125" s="7" t="str">
        <f>HYPERLINK("https://12go.asia/en/travel/Ambanpola/Ganewatta", "12Go Link")</f>
        <v>12Go Link</v>
      </c>
      <c r="E1125" s="6" t="s">
        <v>870</v>
      </c>
    </row>
    <row r="1126">
      <c r="A1126" s="6" t="s">
        <v>867</v>
      </c>
      <c r="B1126" s="6" t="s">
        <v>882</v>
      </c>
      <c r="C1126" s="6" t="s">
        <v>883</v>
      </c>
      <c r="D1126" s="7" t="str">
        <f>HYPERLINK("https://12go.asia/en/travel/Ambanpola/Jaffna-Train-Station", "12Go Link")</f>
        <v>12Go Link</v>
      </c>
      <c r="E1126" s="6" t="s">
        <v>870</v>
      </c>
    </row>
    <row r="1127">
      <c r="A1127" s="6" t="s">
        <v>867</v>
      </c>
      <c r="B1127" s="6" t="s">
        <v>884</v>
      </c>
      <c r="C1127" s="6" t="s">
        <v>885</v>
      </c>
      <c r="D1127" s="7" t="str">
        <f>HYPERLINK("https://12go.asia/en/travel/Ambanpola/Kankesanthurai", "12Go Link")</f>
        <v>12Go Link</v>
      </c>
      <c r="E1127" s="6" t="s">
        <v>870</v>
      </c>
    </row>
    <row r="1128">
      <c r="A1128" s="6" t="s">
        <v>867</v>
      </c>
      <c r="B1128" s="6" t="s">
        <v>886</v>
      </c>
      <c r="C1128" s="6" t="s">
        <v>887</v>
      </c>
      <c r="D1128" s="7" t="str">
        <f>HYPERLINK("https://12go.asia/en/travel/Ambanpola/Kilinochchi", "12Go Link")</f>
        <v>12Go Link</v>
      </c>
      <c r="E1128" s="6" t="s">
        <v>870</v>
      </c>
    </row>
    <row r="1129">
      <c r="A1129" s="6" t="s">
        <v>867</v>
      </c>
      <c r="B1129" s="6" t="s">
        <v>888</v>
      </c>
      <c r="C1129" s="6" t="s">
        <v>889</v>
      </c>
      <c r="D1129" s="7" t="str">
        <f>HYPERLINK("https://12go.asia/en/travel/Ambanpola/Kodikamam", "12Go Link")</f>
        <v>12Go Link</v>
      </c>
      <c r="E1129" s="6" t="s">
        <v>870</v>
      </c>
    </row>
    <row r="1130">
      <c r="A1130" s="6" t="s">
        <v>867</v>
      </c>
      <c r="B1130" s="6" t="s">
        <v>890</v>
      </c>
      <c r="C1130" s="6" t="s">
        <v>891</v>
      </c>
      <c r="D1130" s="7" t="str">
        <f>HYPERLINK("https://12go.asia/en/travel/Ambanpola/Alawwa", "12Go Link")</f>
        <v>12Go Link</v>
      </c>
      <c r="E1130" s="6" t="s">
        <v>870</v>
      </c>
    </row>
    <row r="1131">
      <c r="A1131" s="6" t="s">
        <v>867</v>
      </c>
      <c r="B1131" s="6" t="s">
        <v>890</v>
      </c>
      <c r="C1131" s="6" t="s">
        <v>892</v>
      </c>
      <c r="D1131" s="7" t="str">
        <f>HYPERLINK("https://12go.asia/en/travel/Ambanpola/Kurunegala", "12Go Link")</f>
        <v>12Go Link</v>
      </c>
      <c r="E1131" s="6" t="s">
        <v>870</v>
      </c>
    </row>
    <row r="1132">
      <c r="A1132" s="6" t="s">
        <v>867</v>
      </c>
      <c r="B1132" s="6" t="s">
        <v>890</v>
      </c>
      <c r="C1132" s="6" t="s">
        <v>893</v>
      </c>
      <c r="D1132" s="7" t="str">
        <f>HYPERLINK("https://12go.asia/en/travel/Ambanpola/Wellawa", "12Go Link")</f>
        <v>12Go Link</v>
      </c>
      <c r="E1132" s="6" t="s">
        <v>870</v>
      </c>
    </row>
    <row r="1133">
      <c r="A1133" s="6" t="s">
        <v>867</v>
      </c>
      <c r="B1133" s="6" t="s">
        <v>894</v>
      </c>
      <c r="C1133" s="6" t="s">
        <v>895</v>
      </c>
      <c r="D1133" s="7" t="str">
        <f>HYPERLINK("https://12go.asia/en/travel/Ambanpola/Galgamuwa", "12Go Link")</f>
        <v>12Go Link</v>
      </c>
      <c r="E1133" s="6" t="s">
        <v>870</v>
      </c>
    </row>
    <row r="1134">
      <c r="A1134" s="6" t="s">
        <v>867</v>
      </c>
      <c r="B1134" s="6" t="s">
        <v>894</v>
      </c>
      <c r="C1134" s="6" t="s">
        <v>896</v>
      </c>
      <c r="D1134" s="7" t="str">
        <f>HYPERLINK("https://12go.asia/en/travel/Ambanpola/Maho", "12Go Link")</f>
        <v>12Go Link</v>
      </c>
      <c r="E1134" s="6" t="s">
        <v>870</v>
      </c>
    </row>
    <row r="1135">
      <c r="A1135" s="6" t="s">
        <v>867</v>
      </c>
      <c r="B1135" s="6" t="s">
        <v>894</v>
      </c>
      <c r="C1135" s="6" t="s">
        <v>897</v>
      </c>
      <c r="D1135" s="7" t="str">
        <f>HYPERLINK("https://12go.asia/en/travel/Ambanpola/Nagollagama", "12Go Link")</f>
        <v>12Go Link</v>
      </c>
      <c r="E1135" s="6" t="s">
        <v>870</v>
      </c>
    </row>
    <row r="1136">
      <c r="A1136" s="6" t="s">
        <v>867</v>
      </c>
      <c r="B1136" s="6" t="s">
        <v>898</v>
      </c>
      <c r="C1136" s="6" t="s">
        <v>899</v>
      </c>
      <c r="D1136" s="7" t="str">
        <f>HYPERLINK("https://12go.asia/en/travel/Ambanpola/Mirigama", "12Go Link")</f>
        <v>12Go Link</v>
      </c>
      <c r="E1136" s="6" t="s">
        <v>870</v>
      </c>
    </row>
    <row r="1137">
      <c r="A1137" s="6" t="s">
        <v>867</v>
      </c>
      <c r="B1137" s="6" t="s">
        <v>900</v>
      </c>
      <c r="C1137" s="6" t="s">
        <v>901</v>
      </c>
      <c r="D1137" s="7" t="str">
        <f>HYPERLINK("https://12go.asia/en/travel/Ambanpola/Senarathgama", "12Go Link")</f>
        <v>12Go Link</v>
      </c>
      <c r="E1137" s="6" t="s">
        <v>870</v>
      </c>
    </row>
    <row r="1138">
      <c r="A1138" s="6" t="s">
        <v>867</v>
      </c>
      <c r="B1138" s="6" t="s">
        <v>902</v>
      </c>
      <c r="C1138" s="6" t="s">
        <v>903</v>
      </c>
      <c r="D1138" s="7" t="str">
        <f>HYPERLINK("https://12go.asia/en/travel/Ambanpola/Polgahawela", "12Go Link")</f>
        <v>12Go Link</v>
      </c>
      <c r="E1138" s="6" t="s">
        <v>870</v>
      </c>
    </row>
    <row r="1139">
      <c r="A1139" s="6" t="s">
        <v>867</v>
      </c>
      <c r="B1139" s="6" t="s">
        <v>904</v>
      </c>
      <c r="C1139" s="6" t="s">
        <v>905</v>
      </c>
      <c r="D1139" s="7" t="str">
        <f>HYPERLINK("https://12go.asia/en/travel/Ambanpola/Talawa", "12Go Link")</f>
        <v>12Go Link</v>
      </c>
      <c r="E1139" s="6" t="s">
        <v>870</v>
      </c>
    </row>
    <row r="1140">
      <c r="A1140" s="6" t="s">
        <v>867</v>
      </c>
      <c r="B1140" s="6" t="s">
        <v>906</v>
      </c>
      <c r="C1140" s="6" t="s">
        <v>907</v>
      </c>
      <c r="D1140" s="7" t="str">
        <f>HYPERLINK("https://12go.asia/en/travel/Ambanpola/Thambuttegama", "12Go Link")</f>
        <v>12Go Link</v>
      </c>
      <c r="E1140" s="6" t="s">
        <v>870</v>
      </c>
    </row>
    <row r="1141">
      <c r="A1141" s="6" t="s">
        <v>867</v>
      </c>
      <c r="B1141" s="6" t="s">
        <v>908</v>
      </c>
      <c r="C1141" s="6" t="s">
        <v>909</v>
      </c>
      <c r="D1141" s="7" t="str">
        <f>HYPERLINK("https://12go.asia/en/travel/Ambanpola/Vavuniya", "12Go Link")</f>
        <v>12Go Link</v>
      </c>
      <c r="E1141" s="6" t="s">
        <v>870</v>
      </c>
    </row>
    <row r="1142">
      <c r="A1142" s="6" t="s">
        <v>867</v>
      </c>
      <c r="B1142" s="6" t="s">
        <v>910</v>
      </c>
      <c r="C1142" s="6" t="s">
        <v>911</v>
      </c>
      <c r="D1142" s="7" t="str">
        <f>HYPERLINK("https://12go.asia/en/travel/Ambanpola/Veyangoda", "12Go Link")</f>
        <v>12Go Link</v>
      </c>
      <c r="E1142" s="6" t="s">
        <v>870</v>
      </c>
    </row>
    <row r="1143">
      <c r="A1143" s="8" t="s">
        <v>868</v>
      </c>
      <c r="B1143" s="8" t="s">
        <v>867</v>
      </c>
      <c r="C1143" s="8" t="s">
        <v>912</v>
      </c>
      <c r="D1143" s="9" t="str">
        <f>HYPERLINK("https://12go.asia/en/travel/Ambepussa/Ambanpola", "12Go Link")</f>
        <v>12Go Link</v>
      </c>
      <c r="E1143" s="8" t="s">
        <v>870</v>
      </c>
    </row>
    <row r="1144">
      <c r="A1144" s="8" t="s">
        <v>868</v>
      </c>
      <c r="B1144" s="8" t="s">
        <v>871</v>
      </c>
      <c r="C1144" s="8" t="s">
        <v>913</v>
      </c>
      <c r="D1144" s="9" t="str">
        <f>HYPERLINK("https://12go.asia/en/travel/Ambepussa/Anuradhapura", "12Go Link")</f>
        <v>12Go Link</v>
      </c>
      <c r="E1144" s="8" t="s">
        <v>870</v>
      </c>
    </row>
    <row r="1145">
      <c r="A1145" s="8" t="s">
        <v>868</v>
      </c>
      <c r="B1145" s="8" t="s">
        <v>871</v>
      </c>
      <c r="C1145" s="8" t="s">
        <v>914</v>
      </c>
      <c r="D1145" s="9" t="str">
        <f>HYPERLINK("https://12go.asia/en/travel/Ambepussa/Shrawasthipura", "12Go Link")</f>
        <v>12Go Link</v>
      </c>
      <c r="E1145" s="8" t="s">
        <v>870</v>
      </c>
    </row>
    <row r="1146">
      <c r="A1146" s="8" t="s">
        <v>868</v>
      </c>
      <c r="B1146" s="8" t="s">
        <v>874</v>
      </c>
      <c r="C1146" s="8" t="s">
        <v>915</v>
      </c>
      <c r="D1146" s="9" t="str">
        <f>HYPERLINK("https://12go.asia/en/travel/Ambepussa/Colombo-Fort", "12Go Link")</f>
        <v>12Go Link</v>
      </c>
      <c r="E1146" s="8" t="s">
        <v>870</v>
      </c>
    </row>
    <row r="1147">
      <c r="A1147" s="8" t="s">
        <v>868</v>
      </c>
      <c r="B1147" s="8" t="s">
        <v>874</v>
      </c>
      <c r="C1147" s="8" t="s">
        <v>916</v>
      </c>
      <c r="D1147" s="9" t="str">
        <f>HYPERLINK("https://12go.asia/en/travel/Ambepussa/Mount-Lavinia", "12Go Link")</f>
        <v>12Go Link</v>
      </c>
      <c r="E1147" s="8" t="s">
        <v>870</v>
      </c>
    </row>
    <row r="1148">
      <c r="A1148" s="8" t="s">
        <v>868</v>
      </c>
      <c r="B1148" s="8" t="s">
        <v>874</v>
      </c>
      <c r="C1148" s="8" t="s">
        <v>917</v>
      </c>
      <c r="D1148" s="9" t="str">
        <f>HYPERLINK("https://12go.asia/en/travel/Ambepussa/Wellawatta", "12Go Link")</f>
        <v>12Go Link</v>
      </c>
      <c r="E1148" s="8" t="s">
        <v>870</v>
      </c>
    </row>
    <row r="1149">
      <c r="A1149" s="8" t="s">
        <v>868</v>
      </c>
      <c r="B1149" s="8" t="s">
        <v>878</v>
      </c>
      <c r="C1149" s="8" t="s">
        <v>918</v>
      </c>
      <c r="D1149" s="9" t="str">
        <f>HYPERLINK("https://12go.asia/en/travel/Ambepussa/Gampaha", "12Go Link")</f>
        <v>12Go Link</v>
      </c>
      <c r="E1149" s="8" t="s">
        <v>870</v>
      </c>
    </row>
    <row r="1150">
      <c r="A1150" s="8" t="s">
        <v>868</v>
      </c>
      <c r="B1150" s="8" t="s">
        <v>880</v>
      </c>
      <c r="C1150" s="8" t="s">
        <v>919</v>
      </c>
      <c r="D1150" s="9" t="str">
        <f>HYPERLINK("https://12go.asia/en/travel/Ambepussa/Ganewatta", "12Go Link")</f>
        <v>12Go Link</v>
      </c>
      <c r="E1150" s="8" t="s">
        <v>870</v>
      </c>
    </row>
    <row r="1151">
      <c r="A1151" s="8" t="s">
        <v>868</v>
      </c>
      <c r="B1151" s="8" t="s">
        <v>882</v>
      </c>
      <c r="C1151" s="8" t="s">
        <v>920</v>
      </c>
      <c r="D1151" s="9" t="str">
        <f>HYPERLINK("https://12go.asia/en/travel/Ambepussa/Jaffna-Train-Station", "12Go Link")</f>
        <v>12Go Link</v>
      </c>
      <c r="E1151" s="8" t="s">
        <v>870</v>
      </c>
    </row>
    <row r="1152">
      <c r="A1152" s="8" t="s">
        <v>868</v>
      </c>
      <c r="B1152" s="8" t="s">
        <v>884</v>
      </c>
      <c r="C1152" s="8" t="s">
        <v>921</v>
      </c>
      <c r="D1152" s="9" t="str">
        <f>HYPERLINK("https://12go.asia/en/travel/Ambepussa/Kankesanthurai", "12Go Link")</f>
        <v>12Go Link</v>
      </c>
      <c r="E1152" s="8" t="s">
        <v>870</v>
      </c>
    </row>
    <row r="1153">
      <c r="A1153" s="8" t="s">
        <v>868</v>
      </c>
      <c r="B1153" s="8" t="s">
        <v>886</v>
      </c>
      <c r="C1153" s="8" t="s">
        <v>922</v>
      </c>
      <c r="D1153" s="9" t="str">
        <f>HYPERLINK("https://12go.asia/en/travel/Ambepussa/Kilinochchi", "12Go Link")</f>
        <v>12Go Link</v>
      </c>
      <c r="E1153" s="8" t="s">
        <v>870</v>
      </c>
    </row>
    <row r="1154">
      <c r="A1154" s="8" t="s">
        <v>868</v>
      </c>
      <c r="B1154" s="8" t="s">
        <v>888</v>
      </c>
      <c r="C1154" s="8" t="s">
        <v>923</v>
      </c>
      <c r="D1154" s="9" t="str">
        <f>HYPERLINK("https://12go.asia/en/travel/Ambepussa/Kodikamam", "12Go Link")</f>
        <v>12Go Link</v>
      </c>
      <c r="E1154" s="8" t="s">
        <v>870</v>
      </c>
    </row>
    <row r="1155">
      <c r="A1155" s="8" t="s">
        <v>868</v>
      </c>
      <c r="B1155" s="8" t="s">
        <v>890</v>
      </c>
      <c r="C1155" s="8" t="s">
        <v>924</v>
      </c>
      <c r="D1155" s="9" t="str">
        <f>HYPERLINK("https://12go.asia/en/travel/Ambepussa/Alawwa", "12Go Link")</f>
        <v>12Go Link</v>
      </c>
      <c r="E1155" s="8" t="s">
        <v>870</v>
      </c>
    </row>
    <row r="1156">
      <c r="A1156" s="8" t="s">
        <v>868</v>
      </c>
      <c r="B1156" s="8" t="s">
        <v>890</v>
      </c>
      <c r="C1156" s="8" t="s">
        <v>925</v>
      </c>
      <c r="D1156" s="9" t="str">
        <f>HYPERLINK("https://12go.asia/en/travel/Ambepussa/Kurunegala", "12Go Link")</f>
        <v>12Go Link</v>
      </c>
      <c r="E1156" s="8" t="s">
        <v>870</v>
      </c>
    </row>
    <row r="1157">
      <c r="A1157" s="8" t="s">
        <v>868</v>
      </c>
      <c r="B1157" s="8" t="s">
        <v>890</v>
      </c>
      <c r="C1157" s="8" t="s">
        <v>926</v>
      </c>
      <c r="D1157" s="9" t="str">
        <f>HYPERLINK("https://12go.asia/en/travel/Ambepussa/Wellawa", "12Go Link")</f>
        <v>12Go Link</v>
      </c>
      <c r="E1157" s="8" t="s">
        <v>870</v>
      </c>
    </row>
    <row r="1158">
      <c r="A1158" s="8" t="s">
        <v>868</v>
      </c>
      <c r="B1158" s="8" t="s">
        <v>894</v>
      </c>
      <c r="C1158" s="8" t="s">
        <v>927</v>
      </c>
      <c r="D1158" s="9" t="str">
        <f>HYPERLINK("https://12go.asia/en/travel/Ambepussa/Galgamuwa", "12Go Link")</f>
        <v>12Go Link</v>
      </c>
      <c r="E1158" s="8" t="s">
        <v>870</v>
      </c>
    </row>
    <row r="1159">
      <c r="A1159" s="8" t="s">
        <v>868</v>
      </c>
      <c r="B1159" s="8" t="s">
        <v>894</v>
      </c>
      <c r="C1159" s="8" t="s">
        <v>928</v>
      </c>
      <c r="D1159" s="9" t="str">
        <f>HYPERLINK("https://12go.asia/en/travel/Ambepussa/Maho", "12Go Link")</f>
        <v>12Go Link</v>
      </c>
      <c r="E1159" s="8" t="s">
        <v>870</v>
      </c>
    </row>
    <row r="1160">
      <c r="A1160" s="8" t="s">
        <v>868</v>
      </c>
      <c r="B1160" s="8" t="s">
        <v>894</v>
      </c>
      <c r="C1160" s="8" t="s">
        <v>929</v>
      </c>
      <c r="D1160" s="9" t="str">
        <f>HYPERLINK("https://12go.asia/en/travel/Ambepussa/Nagollagama", "12Go Link")</f>
        <v>12Go Link</v>
      </c>
      <c r="E1160" s="8" t="s">
        <v>870</v>
      </c>
    </row>
    <row r="1161">
      <c r="A1161" s="8" t="s">
        <v>868</v>
      </c>
      <c r="B1161" s="8" t="s">
        <v>898</v>
      </c>
      <c r="C1161" s="8" t="s">
        <v>930</v>
      </c>
      <c r="D1161" s="9" t="str">
        <f>HYPERLINK("https://12go.asia/en/travel/Ambepussa/Mirigama", "12Go Link")</f>
        <v>12Go Link</v>
      </c>
      <c r="E1161" s="8" t="s">
        <v>870</v>
      </c>
    </row>
    <row r="1162">
      <c r="A1162" s="8" t="s">
        <v>868</v>
      </c>
      <c r="B1162" s="8" t="s">
        <v>900</v>
      </c>
      <c r="C1162" s="8" t="s">
        <v>931</v>
      </c>
      <c r="D1162" s="9" t="str">
        <f>HYPERLINK("https://12go.asia/en/travel/Ambepussa/Senarathgama", "12Go Link")</f>
        <v>12Go Link</v>
      </c>
      <c r="E1162" s="8" t="s">
        <v>870</v>
      </c>
    </row>
    <row r="1163">
      <c r="A1163" s="8" t="s">
        <v>868</v>
      </c>
      <c r="B1163" s="8" t="s">
        <v>902</v>
      </c>
      <c r="C1163" s="8" t="s">
        <v>932</v>
      </c>
      <c r="D1163" s="9" t="str">
        <f>HYPERLINK("https://12go.asia/en/travel/Ambepussa/Polgahawela", "12Go Link")</f>
        <v>12Go Link</v>
      </c>
      <c r="E1163" s="8" t="s">
        <v>870</v>
      </c>
    </row>
    <row r="1164">
      <c r="A1164" s="8" t="s">
        <v>868</v>
      </c>
      <c r="B1164" s="8" t="s">
        <v>904</v>
      </c>
      <c r="C1164" s="8" t="s">
        <v>933</v>
      </c>
      <c r="D1164" s="9" t="str">
        <f>HYPERLINK("https://12go.asia/en/travel/Ambepussa/Talawa", "12Go Link")</f>
        <v>12Go Link</v>
      </c>
      <c r="E1164" s="8" t="s">
        <v>870</v>
      </c>
    </row>
    <row r="1165">
      <c r="A1165" s="8" t="s">
        <v>868</v>
      </c>
      <c r="B1165" s="8" t="s">
        <v>906</v>
      </c>
      <c r="C1165" s="8" t="s">
        <v>934</v>
      </c>
      <c r="D1165" s="9" t="str">
        <f>HYPERLINK("https://12go.asia/en/travel/Ambepussa/Thambuttegama", "12Go Link")</f>
        <v>12Go Link</v>
      </c>
      <c r="E1165" s="8" t="s">
        <v>870</v>
      </c>
    </row>
    <row r="1166">
      <c r="A1166" s="8" t="s">
        <v>868</v>
      </c>
      <c r="B1166" s="8" t="s">
        <v>908</v>
      </c>
      <c r="C1166" s="8" t="s">
        <v>935</v>
      </c>
      <c r="D1166" s="9" t="str">
        <f>HYPERLINK("https://12go.asia/en/travel/Ambepussa/Vavuniya", "12Go Link")</f>
        <v>12Go Link</v>
      </c>
      <c r="E1166" s="8" t="s">
        <v>870</v>
      </c>
    </row>
    <row r="1167">
      <c r="A1167" s="8" t="s">
        <v>868</v>
      </c>
      <c r="B1167" s="8" t="s">
        <v>910</v>
      </c>
      <c r="C1167" s="8" t="s">
        <v>936</v>
      </c>
      <c r="D1167" s="9" t="str">
        <f>HYPERLINK("https://12go.asia/en/travel/Ambepussa/Veyangoda", "12Go Link")</f>
        <v>12Go Link</v>
      </c>
      <c r="E1167" s="8" t="s">
        <v>870</v>
      </c>
    </row>
    <row r="1168">
      <c r="A1168" s="6" t="s">
        <v>871</v>
      </c>
      <c r="B1168" s="6" t="s">
        <v>867</v>
      </c>
      <c r="C1168" s="6" t="s">
        <v>937</v>
      </c>
      <c r="D1168" s="7" t="str">
        <f>HYPERLINK("https://12go.asia/en/travel/Anuradhapura/Ambanpola", "12Go Link")</f>
        <v>12Go Link</v>
      </c>
      <c r="E1168" s="6" t="s">
        <v>870</v>
      </c>
    </row>
    <row r="1169">
      <c r="A1169" s="6" t="s">
        <v>871</v>
      </c>
      <c r="B1169" s="6" t="s">
        <v>867</v>
      </c>
      <c r="C1169" s="6" t="s">
        <v>938</v>
      </c>
      <c r="D1169" s="7" t="str">
        <f>HYPERLINK("https://12go.asia/en/travel/Shrawasthipura/Ambanpola", "12Go Link")</f>
        <v>12Go Link</v>
      </c>
      <c r="E1169" s="6" t="s">
        <v>870</v>
      </c>
    </row>
    <row r="1170">
      <c r="A1170" s="6" t="s">
        <v>871</v>
      </c>
      <c r="B1170" s="6" t="s">
        <v>868</v>
      </c>
      <c r="C1170" s="6" t="s">
        <v>939</v>
      </c>
      <c r="D1170" s="7" t="str">
        <f>HYPERLINK("https://12go.asia/en/travel/Anuradhapura/Ambepussa", "12Go Link")</f>
        <v>12Go Link</v>
      </c>
      <c r="E1170" s="6" t="s">
        <v>870</v>
      </c>
    </row>
    <row r="1171">
      <c r="A1171" s="6" t="s">
        <v>871</v>
      </c>
      <c r="B1171" s="6" t="s">
        <v>868</v>
      </c>
      <c r="C1171" s="6" t="s">
        <v>940</v>
      </c>
      <c r="D1171" s="7" t="str">
        <f>HYPERLINK("https://12go.asia/en/travel/Shrawasthipura/Ambepussa", "12Go Link")</f>
        <v>12Go Link</v>
      </c>
      <c r="E1171" s="6" t="s">
        <v>870</v>
      </c>
    </row>
    <row r="1172">
      <c r="A1172" s="6" t="s">
        <v>871</v>
      </c>
      <c r="B1172" s="6" t="s">
        <v>871</v>
      </c>
      <c r="C1172" s="6" t="s">
        <v>941</v>
      </c>
      <c r="D1172" s="7" t="str">
        <f>HYPERLINK("https://12go.asia/en/travel/Anuradhapura/Shrawasthipura", "12Go Link")</f>
        <v>12Go Link</v>
      </c>
      <c r="E1172" s="6" t="s">
        <v>870</v>
      </c>
    </row>
    <row r="1173">
      <c r="A1173" s="6" t="s">
        <v>871</v>
      </c>
      <c r="B1173" s="6" t="s">
        <v>871</v>
      </c>
      <c r="C1173" s="6" t="s">
        <v>942</v>
      </c>
      <c r="D1173" s="7" t="str">
        <f>HYPERLINK("https://12go.asia/en/travel/Shrawasthipura/Anuradhapura", "12Go Link")</f>
        <v>12Go Link</v>
      </c>
      <c r="E1173" s="6" t="s">
        <v>870</v>
      </c>
    </row>
    <row r="1174">
      <c r="A1174" s="6" t="s">
        <v>871</v>
      </c>
      <c r="B1174" s="6" t="s">
        <v>874</v>
      </c>
      <c r="C1174" s="6" t="s">
        <v>943</v>
      </c>
      <c r="D1174" s="7" t="str">
        <f>HYPERLINK("https://12go.asia/en/travel/Anuradhapura/Colombo-Fort", "12Go Link")</f>
        <v>12Go Link</v>
      </c>
      <c r="E1174" s="6" t="s">
        <v>870</v>
      </c>
    </row>
    <row r="1175">
      <c r="A1175" s="6" t="s">
        <v>871</v>
      </c>
      <c r="B1175" s="6" t="s">
        <v>874</v>
      </c>
      <c r="C1175" s="6" t="s">
        <v>944</v>
      </c>
      <c r="D1175" s="7" t="str">
        <f>HYPERLINK("https://12go.asia/en/travel/Anuradhapura/Mount-Lavinia", "12Go Link")</f>
        <v>12Go Link</v>
      </c>
      <c r="E1175" s="6" t="s">
        <v>870</v>
      </c>
    </row>
    <row r="1176">
      <c r="A1176" s="6" t="s">
        <v>871</v>
      </c>
      <c r="B1176" s="6" t="s">
        <v>874</v>
      </c>
      <c r="C1176" s="6" t="s">
        <v>945</v>
      </c>
      <c r="D1176" s="7" t="str">
        <f>HYPERLINK("https://12go.asia/en/travel/Anuradhapura/Wellawatta", "12Go Link")</f>
        <v>12Go Link</v>
      </c>
      <c r="E1176" s="6" t="s">
        <v>870</v>
      </c>
    </row>
    <row r="1177">
      <c r="A1177" s="6" t="s">
        <v>871</v>
      </c>
      <c r="B1177" s="6" t="s">
        <v>874</v>
      </c>
      <c r="C1177" s="6" t="s">
        <v>946</v>
      </c>
      <c r="D1177" s="7" t="str">
        <f>HYPERLINK("https://12go.asia/en/travel/Shrawasthipura/Colombo-Fort", "12Go Link")</f>
        <v>12Go Link</v>
      </c>
      <c r="E1177" s="6" t="s">
        <v>870</v>
      </c>
    </row>
    <row r="1178">
      <c r="A1178" s="6" t="s">
        <v>871</v>
      </c>
      <c r="B1178" s="6" t="s">
        <v>874</v>
      </c>
      <c r="C1178" s="6" t="s">
        <v>947</v>
      </c>
      <c r="D1178" s="7" t="str">
        <f>HYPERLINK("https://12go.asia/en/travel/Shrawasthipura/Mount-Lavinia", "12Go Link")</f>
        <v>12Go Link</v>
      </c>
      <c r="E1178" s="6" t="s">
        <v>870</v>
      </c>
    </row>
    <row r="1179">
      <c r="A1179" s="6" t="s">
        <v>871</v>
      </c>
      <c r="B1179" s="6" t="s">
        <v>874</v>
      </c>
      <c r="C1179" s="6" t="s">
        <v>948</v>
      </c>
      <c r="D1179" s="7" t="str">
        <f>HYPERLINK("https://12go.asia/en/travel/Shrawasthipura/Wellawatta", "12Go Link")</f>
        <v>12Go Link</v>
      </c>
      <c r="E1179" s="6" t="s">
        <v>870</v>
      </c>
    </row>
    <row r="1180">
      <c r="A1180" s="6" t="s">
        <v>871</v>
      </c>
      <c r="B1180" s="6" t="s">
        <v>878</v>
      </c>
      <c r="C1180" s="6" t="s">
        <v>949</v>
      </c>
      <c r="D1180" s="7" t="str">
        <f>HYPERLINK("https://12go.asia/en/travel/Anuradhapura/Gampaha", "12Go Link")</f>
        <v>12Go Link</v>
      </c>
      <c r="E1180" s="6" t="s">
        <v>870</v>
      </c>
    </row>
    <row r="1181">
      <c r="A1181" s="6" t="s">
        <v>871</v>
      </c>
      <c r="B1181" s="6" t="s">
        <v>878</v>
      </c>
      <c r="C1181" s="6" t="s">
        <v>950</v>
      </c>
      <c r="D1181" s="7" t="str">
        <f>HYPERLINK("https://12go.asia/en/travel/Shrawasthipura/Gampaha", "12Go Link")</f>
        <v>12Go Link</v>
      </c>
      <c r="E1181" s="6" t="s">
        <v>870</v>
      </c>
    </row>
    <row r="1182">
      <c r="A1182" s="6" t="s">
        <v>871</v>
      </c>
      <c r="B1182" s="6" t="s">
        <v>880</v>
      </c>
      <c r="C1182" s="6" t="s">
        <v>951</v>
      </c>
      <c r="D1182" s="7" t="str">
        <f>HYPERLINK("https://12go.asia/en/travel/Anuradhapura/Ganewatta", "12Go Link")</f>
        <v>12Go Link</v>
      </c>
      <c r="E1182" s="6" t="s">
        <v>870</v>
      </c>
    </row>
    <row r="1183">
      <c r="A1183" s="6" t="s">
        <v>871</v>
      </c>
      <c r="B1183" s="6" t="s">
        <v>880</v>
      </c>
      <c r="C1183" s="6" t="s">
        <v>952</v>
      </c>
      <c r="D1183" s="7" t="str">
        <f>HYPERLINK("https://12go.asia/en/travel/Shrawasthipura/Ganewatta", "12Go Link")</f>
        <v>12Go Link</v>
      </c>
      <c r="E1183" s="6" t="s">
        <v>870</v>
      </c>
    </row>
    <row r="1184">
      <c r="A1184" s="6" t="s">
        <v>871</v>
      </c>
      <c r="B1184" s="6" t="s">
        <v>882</v>
      </c>
      <c r="C1184" s="6" t="s">
        <v>953</v>
      </c>
      <c r="D1184" s="7" t="str">
        <f>HYPERLINK("https://12go.asia/en/travel/Anuradhapura/Jaffna-Train-Station", "12Go Link")</f>
        <v>12Go Link</v>
      </c>
      <c r="E1184" s="6" t="s">
        <v>870</v>
      </c>
    </row>
    <row r="1185">
      <c r="A1185" s="6" t="s">
        <v>871</v>
      </c>
      <c r="B1185" s="6" t="s">
        <v>882</v>
      </c>
      <c r="C1185" s="6" t="s">
        <v>954</v>
      </c>
      <c r="D1185" s="7" t="str">
        <f>HYPERLINK("https://12go.asia/en/travel/Shrawasthipura/Jaffna-Train-Station", "12Go Link")</f>
        <v>12Go Link</v>
      </c>
      <c r="E1185" s="6" t="s">
        <v>870</v>
      </c>
    </row>
    <row r="1186">
      <c r="A1186" s="6" t="s">
        <v>871</v>
      </c>
      <c r="B1186" s="6" t="s">
        <v>884</v>
      </c>
      <c r="C1186" s="6" t="s">
        <v>955</v>
      </c>
      <c r="D1186" s="7" t="str">
        <f>HYPERLINK("https://12go.asia/en/travel/Anuradhapura/Kankesanthurai", "12Go Link")</f>
        <v>12Go Link</v>
      </c>
      <c r="E1186" s="6" t="s">
        <v>870</v>
      </c>
    </row>
    <row r="1187">
      <c r="A1187" s="6" t="s">
        <v>871</v>
      </c>
      <c r="B1187" s="6" t="s">
        <v>884</v>
      </c>
      <c r="C1187" s="6" t="s">
        <v>956</v>
      </c>
      <c r="D1187" s="7" t="str">
        <f>HYPERLINK("https://12go.asia/en/travel/Shrawasthipura/Kankesanthurai", "12Go Link")</f>
        <v>12Go Link</v>
      </c>
      <c r="E1187" s="6" t="s">
        <v>870</v>
      </c>
    </row>
    <row r="1188">
      <c r="A1188" s="6" t="s">
        <v>871</v>
      </c>
      <c r="B1188" s="6" t="s">
        <v>886</v>
      </c>
      <c r="C1188" s="6" t="s">
        <v>957</v>
      </c>
      <c r="D1188" s="7" t="str">
        <f>HYPERLINK("https://12go.asia/en/travel/Anuradhapura/Kilinochchi", "12Go Link")</f>
        <v>12Go Link</v>
      </c>
      <c r="E1188" s="6" t="s">
        <v>870</v>
      </c>
    </row>
    <row r="1189">
      <c r="A1189" s="6" t="s">
        <v>871</v>
      </c>
      <c r="B1189" s="6" t="s">
        <v>886</v>
      </c>
      <c r="C1189" s="6" t="s">
        <v>958</v>
      </c>
      <c r="D1189" s="7" t="str">
        <f>HYPERLINK("https://12go.asia/en/travel/Shrawasthipura/Kilinochchi", "12Go Link")</f>
        <v>12Go Link</v>
      </c>
      <c r="E1189" s="6" t="s">
        <v>870</v>
      </c>
    </row>
    <row r="1190">
      <c r="A1190" s="6" t="s">
        <v>871</v>
      </c>
      <c r="B1190" s="6" t="s">
        <v>888</v>
      </c>
      <c r="C1190" s="6" t="s">
        <v>959</v>
      </c>
      <c r="D1190" s="7" t="str">
        <f>HYPERLINK("https://12go.asia/en/travel/Anuradhapura/Kodikamam", "12Go Link")</f>
        <v>12Go Link</v>
      </c>
      <c r="E1190" s="6" t="s">
        <v>870</v>
      </c>
    </row>
    <row r="1191">
      <c r="A1191" s="6" t="s">
        <v>871</v>
      </c>
      <c r="B1191" s="6" t="s">
        <v>888</v>
      </c>
      <c r="C1191" s="6" t="s">
        <v>960</v>
      </c>
      <c r="D1191" s="7" t="str">
        <f>HYPERLINK("https://12go.asia/en/travel/Shrawasthipura/Kodikamam", "12Go Link")</f>
        <v>12Go Link</v>
      </c>
      <c r="E1191" s="6" t="s">
        <v>870</v>
      </c>
    </row>
    <row r="1192">
      <c r="A1192" s="6" t="s">
        <v>871</v>
      </c>
      <c r="B1192" s="6" t="s">
        <v>890</v>
      </c>
      <c r="C1192" s="6" t="s">
        <v>961</v>
      </c>
      <c r="D1192" s="7" t="str">
        <f>HYPERLINK("https://12go.asia/en/travel/Anuradhapura/Alawwa", "12Go Link")</f>
        <v>12Go Link</v>
      </c>
      <c r="E1192" s="6" t="s">
        <v>870</v>
      </c>
    </row>
    <row r="1193">
      <c r="A1193" s="6" t="s">
        <v>871</v>
      </c>
      <c r="B1193" s="6" t="s">
        <v>890</v>
      </c>
      <c r="C1193" s="6" t="s">
        <v>962</v>
      </c>
      <c r="D1193" s="7" t="str">
        <f>HYPERLINK("https://12go.asia/en/travel/Anuradhapura/Kurunegala", "12Go Link")</f>
        <v>12Go Link</v>
      </c>
      <c r="E1193" s="6" t="s">
        <v>870</v>
      </c>
    </row>
    <row r="1194">
      <c r="A1194" s="6" t="s">
        <v>871</v>
      </c>
      <c r="B1194" s="6" t="s">
        <v>890</v>
      </c>
      <c r="C1194" s="6" t="s">
        <v>963</v>
      </c>
      <c r="D1194" s="7" t="str">
        <f>HYPERLINK("https://12go.asia/en/travel/Anuradhapura/Wellawa", "12Go Link")</f>
        <v>12Go Link</v>
      </c>
      <c r="E1194" s="6" t="s">
        <v>870</v>
      </c>
    </row>
    <row r="1195">
      <c r="A1195" s="6" t="s">
        <v>871</v>
      </c>
      <c r="B1195" s="6" t="s">
        <v>890</v>
      </c>
      <c r="C1195" s="6" t="s">
        <v>964</v>
      </c>
      <c r="D1195" s="7" t="str">
        <f>HYPERLINK("https://12go.asia/en/travel/Shrawasthipura/Alawwa", "12Go Link")</f>
        <v>12Go Link</v>
      </c>
      <c r="E1195" s="6" t="s">
        <v>870</v>
      </c>
    </row>
    <row r="1196">
      <c r="A1196" s="6" t="s">
        <v>871</v>
      </c>
      <c r="B1196" s="6" t="s">
        <v>890</v>
      </c>
      <c r="C1196" s="6" t="s">
        <v>965</v>
      </c>
      <c r="D1196" s="7" t="str">
        <f>HYPERLINK("https://12go.asia/en/travel/Shrawasthipura/Kurunegala", "12Go Link")</f>
        <v>12Go Link</v>
      </c>
      <c r="E1196" s="6" t="s">
        <v>870</v>
      </c>
    </row>
    <row r="1197">
      <c r="A1197" s="6" t="s">
        <v>871</v>
      </c>
      <c r="B1197" s="6" t="s">
        <v>890</v>
      </c>
      <c r="C1197" s="6" t="s">
        <v>966</v>
      </c>
      <c r="D1197" s="7" t="str">
        <f>HYPERLINK("https://12go.asia/en/travel/Shrawasthipura/Wellawa", "12Go Link")</f>
        <v>12Go Link</v>
      </c>
      <c r="E1197" s="6" t="s">
        <v>870</v>
      </c>
    </row>
    <row r="1198">
      <c r="A1198" s="6" t="s">
        <v>871</v>
      </c>
      <c r="B1198" s="6" t="s">
        <v>894</v>
      </c>
      <c r="C1198" s="6" t="s">
        <v>967</v>
      </c>
      <c r="D1198" s="7" t="str">
        <f>HYPERLINK("https://12go.asia/en/travel/Anuradhapura/Galgamuwa", "12Go Link")</f>
        <v>12Go Link</v>
      </c>
      <c r="E1198" s="6" t="s">
        <v>870</v>
      </c>
    </row>
    <row r="1199">
      <c r="A1199" s="6" t="s">
        <v>871</v>
      </c>
      <c r="B1199" s="6" t="s">
        <v>894</v>
      </c>
      <c r="C1199" s="6" t="s">
        <v>968</v>
      </c>
      <c r="D1199" s="7" t="str">
        <f>HYPERLINK("https://12go.asia/en/travel/Anuradhapura/Maho", "12Go Link")</f>
        <v>12Go Link</v>
      </c>
      <c r="E1199" s="6" t="s">
        <v>870</v>
      </c>
    </row>
    <row r="1200">
      <c r="A1200" s="6" t="s">
        <v>871</v>
      </c>
      <c r="B1200" s="6" t="s">
        <v>894</v>
      </c>
      <c r="C1200" s="6" t="s">
        <v>969</v>
      </c>
      <c r="D1200" s="7" t="str">
        <f>HYPERLINK("https://12go.asia/en/travel/Anuradhapura/Nagollagama", "12Go Link")</f>
        <v>12Go Link</v>
      </c>
      <c r="E1200" s="6" t="s">
        <v>870</v>
      </c>
    </row>
    <row r="1201">
      <c r="A1201" s="6" t="s">
        <v>871</v>
      </c>
      <c r="B1201" s="6" t="s">
        <v>894</v>
      </c>
      <c r="C1201" s="6" t="s">
        <v>970</v>
      </c>
      <c r="D1201" s="7" t="str">
        <f>HYPERLINK("https://12go.asia/en/travel/Shrawasthipura/Galgamuwa", "12Go Link")</f>
        <v>12Go Link</v>
      </c>
      <c r="E1201" s="6" t="s">
        <v>870</v>
      </c>
    </row>
    <row r="1202">
      <c r="A1202" s="6" t="s">
        <v>871</v>
      </c>
      <c r="B1202" s="6" t="s">
        <v>894</v>
      </c>
      <c r="C1202" s="6" t="s">
        <v>971</v>
      </c>
      <c r="D1202" s="7" t="str">
        <f>HYPERLINK("https://12go.asia/en/travel/Shrawasthipura/Maho", "12Go Link")</f>
        <v>12Go Link</v>
      </c>
      <c r="E1202" s="6" t="s">
        <v>870</v>
      </c>
    </row>
    <row r="1203">
      <c r="A1203" s="6" t="s">
        <v>871</v>
      </c>
      <c r="B1203" s="6" t="s">
        <v>894</v>
      </c>
      <c r="C1203" s="6" t="s">
        <v>972</v>
      </c>
      <c r="D1203" s="7" t="str">
        <f>HYPERLINK("https://12go.asia/en/travel/Shrawasthipura/Nagollagama", "12Go Link")</f>
        <v>12Go Link</v>
      </c>
      <c r="E1203" s="6" t="s">
        <v>870</v>
      </c>
    </row>
    <row r="1204">
      <c r="A1204" s="6" t="s">
        <v>871</v>
      </c>
      <c r="B1204" s="6" t="s">
        <v>898</v>
      </c>
      <c r="C1204" s="6" t="s">
        <v>973</v>
      </c>
      <c r="D1204" s="7" t="str">
        <f>HYPERLINK("https://12go.asia/en/travel/Anuradhapura/Mirigama", "12Go Link")</f>
        <v>12Go Link</v>
      </c>
      <c r="E1204" s="6" t="s">
        <v>870</v>
      </c>
    </row>
    <row r="1205">
      <c r="A1205" s="6" t="s">
        <v>871</v>
      </c>
      <c r="B1205" s="6" t="s">
        <v>898</v>
      </c>
      <c r="C1205" s="6" t="s">
        <v>974</v>
      </c>
      <c r="D1205" s="7" t="str">
        <f>HYPERLINK("https://12go.asia/en/travel/Shrawasthipura/Mirigama", "12Go Link")</f>
        <v>12Go Link</v>
      </c>
      <c r="E1205" s="6" t="s">
        <v>870</v>
      </c>
    </row>
    <row r="1206">
      <c r="A1206" s="6" t="s">
        <v>871</v>
      </c>
      <c r="B1206" s="6" t="s">
        <v>900</v>
      </c>
      <c r="C1206" s="6" t="s">
        <v>975</v>
      </c>
      <c r="D1206" s="7" t="str">
        <f>HYPERLINK("https://12go.asia/en/travel/Anuradhapura/Senarathgama", "12Go Link")</f>
        <v>12Go Link</v>
      </c>
      <c r="E1206" s="6" t="s">
        <v>870</v>
      </c>
    </row>
    <row r="1207">
      <c r="A1207" s="6" t="s">
        <v>871</v>
      </c>
      <c r="B1207" s="6" t="s">
        <v>900</v>
      </c>
      <c r="C1207" s="6" t="s">
        <v>976</v>
      </c>
      <c r="D1207" s="7" t="str">
        <f>HYPERLINK("https://12go.asia/en/travel/Shrawasthipura/Senarathgama", "12Go Link")</f>
        <v>12Go Link</v>
      </c>
      <c r="E1207" s="6" t="s">
        <v>870</v>
      </c>
    </row>
    <row r="1208">
      <c r="A1208" s="6" t="s">
        <v>871</v>
      </c>
      <c r="B1208" s="6" t="s">
        <v>902</v>
      </c>
      <c r="C1208" s="6" t="s">
        <v>977</v>
      </c>
      <c r="D1208" s="7" t="str">
        <f>HYPERLINK("https://12go.asia/en/travel/Anuradhapura/Polgahawela", "12Go Link")</f>
        <v>12Go Link</v>
      </c>
      <c r="E1208" s="6" t="s">
        <v>870</v>
      </c>
    </row>
    <row r="1209">
      <c r="A1209" s="6" t="s">
        <v>871</v>
      </c>
      <c r="B1209" s="6" t="s">
        <v>902</v>
      </c>
      <c r="C1209" s="6" t="s">
        <v>978</v>
      </c>
      <c r="D1209" s="7" t="str">
        <f>HYPERLINK("https://12go.asia/en/travel/Shrawasthipura/Polgahawela", "12Go Link")</f>
        <v>12Go Link</v>
      </c>
      <c r="E1209" s="6" t="s">
        <v>870</v>
      </c>
    </row>
    <row r="1210">
      <c r="A1210" s="6" t="s">
        <v>871</v>
      </c>
      <c r="B1210" s="6" t="s">
        <v>904</v>
      </c>
      <c r="C1210" s="6" t="s">
        <v>979</v>
      </c>
      <c r="D1210" s="7" t="str">
        <f>HYPERLINK("https://12go.asia/en/travel/Anuradhapura/Talawa", "12Go Link")</f>
        <v>12Go Link</v>
      </c>
      <c r="E1210" s="6" t="s">
        <v>870</v>
      </c>
    </row>
    <row r="1211">
      <c r="A1211" s="6" t="s">
        <v>871</v>
      </c>
      <c r="B1211" s="6" t="s">
        <v>904</v>
      </c>
      <c r="C1211" s="6" t="s">
        <v>980</v>
      </c>
      <c r="D1211" s="7" t="str">
        <f>HYPERLINK("https://12go.asia/en/travel/Shrawasthipura/Talawa", "12Go Link")</f>
        <v>12Go Link</v>
      </c>
      <c r="E1211" s="6" t="s">
        <v>870</v>
      </c>
    </row>
    <row r="1212">
      <c r="A1212" s="6" t="s">
        <v>871</v>
      </c>
      <c r="B1212" s="6" t="s">
        <v>906</v>
      </c>
      <c r="C1212" s="6" t="s">
        <v>981</v>
      </c>
      <c r="D1212" s="7" t="str">
        <f>HYPERLINK("https://12go.asia/en/travel/Anuradhapura/Thambuttegama", "12Go Link")</f>
        <v>12Go Link</v>
      </c>
      <c r="E1212" s="6" t="s">
        <v>870</v>
      </c>
    </row>
    <row r="1213">
      <c r="A1213" s="6" t="s">
        <v>871</v>
      </c>
      <c r="B1213" s="6" t="s">
        <v>906</v>
      </c>
      <c r="C1213" s="6" t="s">
        <v>982</v>
      </c>
      <c r="D1213" s="7" t="str">
        <f>HYPERLINK("https://12go.asia/en/travel/Shrawasthipura/Thambuttegama", "12Go Link")</f>
        <v>12Go Link</v>
      </c>
      <c r="E1213" s="6" t="s">
        <v>870</v>
      </c>
    </row>
    <row r="1214">
      <c r="A1214" s="6" t="s">
        <v>871</v>
      </c>
      <c r="B1214" s="6" t="s">
        <v>908</v>
      </c>
      <c r="C1214" s="6" t="s">
        <v>983</v>
      </c>
      <c r="D1214" s="7" t="str">
        <f>HYPERLINK("https://12go.asia/en/travel/Anuradhapura/Vavuniya", "12Go Link")</f>
        <v>12Go Link</v>
      </c>
      <c r="E1214" s="6" t="s">
        <v>870</v>
      </c>
    </row>
    <row r="1215">
      <c r="A1215" s="6" t="s">
        <v>871</v>
      </c>
      <c r="B1215" s="6" t="s">
        <v>908</v>
      </c>
      <c r="C1215" s="6" t="s">
        <v>984</v>
      </c>
      <c r="D1215" s="7" t="str">
        <f>HYPERLINK("https://12go.asia/en/travel/Shrawasthipura/Vavuniya", "12Go Link")</f>
        <v>12Go Link</v>
      </c>
      <c r="E1215" s="6" t="s">
        <v>870</v>
      </c>
    </row>
    <row r="1216">
      <c r="A1216" s="6" t="s">
        <v>871</v>
      </c>
      <c r="B1216" s="6" t="s">
        <v>910</v>
      </c>
      <c r="C1216" s="6" t="s">
        <v>985</v>
      </c>
      <c r="D1216" s="7" t="str">
        <f>HYPERLINK("https://12go.asia/en/travel/Anuradhapura/Veyangoda", "12Go Link")</f>
        <v>12Go Link</v>
      </c>
      <c r="E1216" s="6" t="s">
        <v>870</v>
      </c>
    </row>
    <row r="1217">
      <c r="A1217" s="6" t="s">
        <v>871</v>
      </c>
      <c r="B1217" s="6" t="s">
        <v>910</v>
      </c>
      <c r="C1217" s="6" t="s">
        <v>986</v>
      </c>
      <c r="D1217" s="7" t="str">
        <f>HYPERLINK("https://12go.asia/en/travel/Shrawasthipura/Veyangoda", "12Go Link")</f>
        <v>12Go Link</v>
      </c>
      <c r="E1217" s="6" t="s">
        <v>870</v>
      </c>
    </row>
    <row r="1218">
      <c r="A1218" s="8" t="s">
        <v>987</v>
      </c>
      <c r="B1218" s="8" t="s">
        <v>988</v>
      </c>
      <c r="C1218" s="8" t="s">
        <v>989</v>
      </c>
      <c r="D1218" s="9" t="str">
        <f>HYPERLINK("https://12go.asia/en/travel/Arugam-Bay/Bandaranaike-Airport", "12Go Link")</f>
        <v>12Go Link</v>
      </c>
      <c r="E1218" s="8" t="s">
        <v>567</v>
      </c>
    </row>
    <row r="1219">
      <c r="A1219" s="8" t="s">
        <v>987</v>
      </c>
      <c r="B1219" s="8" t="s">
        <v>990</v>
      </c>
      <c r="C1219" s="8" t="s">
        <v>991</v>
      </c>
      <c r="D1219" s="9" t="str">
        <f>HYPERLINK("https://12go.asia/en/travel/Arugam-Bay/Ella-Hotel-Transfer", "12Go Link")</f>
        <v>12Go Link</v>
      </c>
      <c r="E1219" s="8" t="s">
        <v>567</v>
      </c>
    </row>
    <row r="1220">
      <c r="A1220" s="8" t="s">
        <v>987</v>
      </c>
      <c r="B1220" s="8" t="s">
        <v>992</v>
      </c>
      <c r="C1220" s="8" t="s">
        <v>993</v>
      </c>
      <c r="D1220" s="9" t="str">
        <f>HYPERLINK("https://12go.asia/en/travel/Arugam-Bay/Sigiriya", "12Go Link")</f>
        <v>12Go Link</v>
      </c>
      <c r="E1220" s="8" t="s">
        <v>567</v>
      </c>
    </row>
    <row r="1221">
      <c r="A1221" s="6" t="s">
        <v>874</v>
      </c>
      <c r="B1221" s="6" t="s">
        <v>867</v>
      </c>
      <c r="C1221" s="6" t="s">
        <v>994</v>
      </c>
      <c r="D1221" s="7" t="str">
        <f>HYPERLINK("https://12go.asia/en/travel/Colombo-Fort/Ambanpola", "12Go Link")</f>
        <v>12Go Link</v>
      </c>
      <c r="E1221" s="6" t="s">
        <v>870</v>
      </c>
    </row>
    <row r="1222">
      <c r="A1222" s="6" t="s">
        <v>874</v>
      </c>
      <c r="B1222" s="6" t="s">
        <v>867</v>
      </c>
      <c r="C1222" s="6" t="s">
        <v>995</v>
      </c>
      <c r="D1222" s="7" t="str">
        <f>HYPERLINK("https://12go.asia/en/travel/Mount-Lavinia/Ambanpola", "12Go Link")</f>
        <v>12Go Link</v>
      </c>
      <c r="E1222" s="6" t="s">
        <v>870</v>
      </c>
    </row>
    <row r="1223">
      <c r="A1223" s="6" t="s">
        <v>874</v>
      </c>
      <c r="B1223" s="6" t="s">
        <v>868</v>
      </c>
      <c r="C1223" s="6" t="s">
        <v>996</v>
      </c>
      <c r="D1223" s="7" t="str">
        <f>HYPERLINK("https://12go.asia/en/travel/Colombo-Fort/Ambepussa", "12Go Link")</f>
        <v>12Go Link</v>
      </c>
      <c r="E1223" s="6" t="s">
        <v>870</v>
      </c>
    </row>
    <row r="1224">
      <c r="A1224" s="6" t="s">
        <v>874</v>
      </c>
      <c r="B1224" s="6" t="s">
        <v>868</v>
      </c>
      <c r="C1224" s="6" t="s">
        <v>997</v>
      </c>
      <c r="D1224" s="7" t="str">
        <f>HYPERLINK("https://12go.asia/en/travel/Mount-Lavinia/Ambepussa", "12Go Link")</f>
        <v>12Go Link</v>
      </c>
      <c r="E1224" s="6" t="s">
        <v>870</v>
      </c>
    </row>
    <row r="1225">
      <c r="A1225" s="6" t="s">
        <v>874</v>
      </c>
      <c r="B1225" s="6" t="s">
        <v>871</v>
      </c>
      <c r="C1225" s="6" t="s">
        <v>998</v>
      </c>
      <c r="D1225" s="7" t="str">
        <f>HYPERLINK("https://12go.asia/en/travel/Colombo-Fort/Anuradhapura", "12Go Link")</f>
        <v>12Go Link</v>
      </c>
      <c r="E1225" s="6" t="s">
        <v>870</v>
      </c>
    </row>
    <row r="1226">
      <c r="A1226" s="6" t="s">
        <v>874</v>
      </c>
      <c r="B1226" s="6" t="s">
        <v>871</v>
      </c>
      <c r="C1226" s="6" t="s">
        <v>999</v>
      </c>
      <c r="D1226" s="7" t="str">
        <f>HYPERLINK("https://12go.asia/en/travel/Colombo-Fort/Shrawasthipura", "12Go Link")</f>
        <v>12Go Link</v>
      </c>
      <c r="E1226" s="6" t="s">
        <v>870</v>
      </c>
    </row>
    <row r="1227">
      <c r="A1227" s="6" t="s">
        <v>874</v>
      </c>
      <c r="B1227" s="6" t="s">
        <v>871</v>
      </c>
      <c r="C1227" s="6" t="s">
        <v>1000</v>
      </c>
      <c r="D1227" s="7" t="str">
        <f>HYPERLINK("https://12go.asia/en/travel/Mount-Lavinia/Anuradhapura", "12Go Link")</f>
        <v>12Go Link</v>
      </c>
      <c r="E1227" s="6" t="s">
        <v>870</v>
      </c>
    </row>
    <row r="1228">
      <c r="A1228" s="6" t="s">
        <v>874</v>
      </c>
      <c r="B1228" s="6" t="s">
        <v>871</v>
      </c>
      <c r="C1228" s="6" t="s">
        <v>1001</v>
      </c>
      <c r="D1228" s="7" t="str">
        <f>HYPERLINK("https://12go.asia/en/travel/Mount-Lavinia/Shrawasthipura", "12Go Link")</f>
        <v>12Go Link</v>
      </c>
      <c r="E1228" s="6" t="s">
        <v>870</v>
      </c>
    </row>
    <row r="1229">
      <c r="A1229" s="6" t="s">
        <v>874</v>
      </c>
      <c r="B1229" s="6" t="s">
        <v>987</v>
      </c>
      <c r="C1229" s="6" t="s">
        <v>1002</v>
      </c>
      <c r="D1229" s="7" t="str">
        <f>HYPERLINK("https://12go.asia/en/travel/Colombo-Bandaranaike-Airport/Arugam-Bay-Transfer", "12Go Link")</f>
        <v>12Go Link</v>
      </c>
      <c r="E1229" s="6" t="s">
        <v>608</v>
      </c>
    </row>
    <row r="1230">
      <c r="A1230" s="6" t="s">
        <v>874</v>
      </c>
      <c r="B1230" s="6" t="s">
        <v>874</v>
      </c>
      <c r="C1230" s="6" t="s">
        <v>1003</v>
      </c>
      <c r="D1230" s="7" t="str">
        <f>HYPERLINK("https://12go.asia/en/travel/Colombo-Fort/Mount-Lavinia", "12Go Link")</f>
        <v>12Go Link</v>
      </c>
      <c r="E1230" s="6" t="s">
        <v>870</v>
      </c>
    </row>
    <row r="1231">
      <c r="A1231" s="6" t="s">
        <v>874</v>
      </c>
      <c r="B1231" s="6" t="s">
        <v>874</v>
      </c>
      <c r="C1231" s="6" t="s">
        <v>1004</v>
      </c>
      <c r="D1231" s="7" t="str">
        <f>HYPERLINK("https://12go.asia/en/travel/Colombo-Fort/Wellawatta", "12Go Link")</f>
        <v>12Go Link</v>
      </c>
      <c r="E1231" s="6" t="s">
        <v>870</v>
      </c>
    </row>
    <row r="1232">
      <c r="A1232" s="6" t="s">
        <v>874</v>
      </c>
      <c r="B1232" s="6" t="s">
        <v>874</v>
      </c>
      <c r="C1232" s="6" t="s">
        <v>1005</v>
      </c>
      <c r="D1232" s="7" t="str">
        <f>HYPERLINK("https://12go.asia/en/travel/Mount-Lavinia/Colombo-Fort", "12Go Link")</f>
        <v>12Go Link</v>
      </c>
      <c r="E1232" s="6" t="s">
        <v>870</v>
      </c>
    </row>
    <row r="1233">
      <c r="A1233" s="6" t="s">
        <v>874</v>
      </c>
      <c r="B1233" s="6" t="s">
        <v>874</v>
      </c>
      <c r="C1233" s="6" t="s">
        <v>1006</v>
      </c>
      <c r="D1233" s="7" t="str">
        <f>HYPERLINK("https://12go.asia/en/travel/Wellawatta/Mount-Lavinia", "12Go Link")</f>
        <v>12Go Link</v>
      </c>
      <c r="E1233" s="6" t="s">
        <v>870</v>
      </c>
    </row>
    <row r="1234">
      <c r="A1234" s="6" t="s">
        <v>874</v>
      </c>
      <c r="B1234" s="6" t="s">
        <v>990</v>
      </c>
      <c r="C1234" s="6" t="s">
        <v>1007</v>
      </c>
      <c r="D1234" s="7" t="str">
        <f>HYPERLINK("https://12go.asia/en/travel/Colombo/Ella", "12Go Link")</f>
        <v>12Go Link</v>
      </c>
      <c r="E1234" s="6" t="s">
        <v>1008</v>
      </c>
    </row>
    <row r="1235">
      <c r="A1235" s="6" t="s">
        <v>874</v>
      </c>
      <c r="B1235" s="6" t="s">
        <v>1009</v>
      </c>
      <c r="C1235" s="6" t="s">
        <v>1010</v>
      </c>
      <c r="D1235" s="7" t="str">
        <f>HYPERLINK("https://12go.asia/en/travel/Colombo/Galle", "12Go Link")</f>
        <v>12Go Link</v>
      </c>
      <c r="E1235" s="6" t="s">
        <v>1008</v>
      </c>
    </row>
    <row r="1236">
      <c r="A1236" s="6" t="s">
        <v>874</v>
      </c>
      <c r="B1236" s="6" t="s">
        <v>878</v>
      </c>
      <c r="C1236" s="6" t="s">
        <v>1011</v>
      </c>
      <c r="D1236" s="7" t="str">
        <f>HYPERLINK("https://12go.asia/en/travel/Colombo-Fort/Gampaha", "12Go Link")</f>
        <v>12Go Link</v>
      </c>
      <c r="E1236" s="6" t="s">
        <v>870</v>
      </c>
    </row>
    <row r="1237">
      <c r="A1237" s="6" t="s">
        <v>874</v>
      </c>
      <c r="B1237" s="6" t="s">
        <v>878</v>
      </c>
      <c r="C1237" s="6" t="s">
        <v>1012</v>
      </c>
      <c r="D1237" s="7" t="str">
        <f>HYPERLINK("https://12go.asia/en/travel/Mount-Lavinia/Gampaha", "12Go Link")</f>
        <v>12Go Link</v>
      </c>
      <c r="E1237" s="6" t="s">
        <v>870</v>
      </c>
    </row>
    <row r="1238">
      <c r="A1238" s="6" t="s">
        <v>874</v>
      </c>
      <c r="B1238" s="6" t="s">
        <v>880</v>
      </c>
      <c r="C1238" s="6" t="s">
        <v>1013</v>
      </c>
      <c r="D1238" s="7" t="str">
        <f>HYPERLINK("https://12go.asia/en/travel/Colombo-Fort/Ganewatta", "12Go Link")</f>
        <v>12Go Link</v>
      </c>
      <c r="E1238" s="6" t="s">
        <v>870</v>
      </c>
    </row>
    <row r="1239">
      <c r="A1239" s="6" t="s">
        <v>874</v>
      </c>
      <c r="B1239" s="6" t="s">
        <v>880</v>
      </c>
      <c r="C1239" s="6" t="s">
        <v>1014</v>
      </c>
      <c r="D1239" s="7" t="str">
        <f>HYPERLINK("https://12go.asia/en/travel/Mount-Lavinia/Ganewatta", "12Go Link")</f>
        <v>12Go Link</v>
      </c>
      <c r="E1239" s="6" t="s">
        <v>870</v>
      </c>
    </row>
    <row r="1240">
      <c r="A1240" s="6" t="s">
        <v>874</v>
      </c>
      <c r="B1240" s="6" t="s">
        <v>882</v>
      </c>
      <c r="C1240" s="6" t="s">
        <v>1015</v>
      </c>
      <c r="D1240" s="7" t="str">
        <f>HYPERLINK("https://12go.asia/en/travel/Colombo-Fort/Jaffna-Train-Station", "12Go Link")</f>
        <v>12Go Link</v>
      </c>
      <c r="E1240" s="6" t="s">
        <v>870</v>
      </c>
    </row>
    <row r="1241">
      <c r="A1241" s="6" t="s">
        <v>874</v>
      </c>
      <c r="B1241" s="6" t="s">
        <v>882</v>
      </c>
      <c r="C1241" s="6" t="s">
        <v>1016</v>
      </c>
      <c r="D1241" s="7" t="str">
        <f>HYPERLINK("https://12go.asia/en/travel/Mount-Lavinia/Jaffna-Train-Station", "12Go Link")</f>
        <v>12Go Link</v>
      </c>
      <c r="E1241" s="6" t="s">
        <v>870</v>
      </c>
    </row>
    <row r="1242">
      <c r="A1242" s="6" t="s">
        <v>874</v>
      </c>
      <c r="B1242" s="6" t="s">
        <v>1017</v>
      </c>
      <c r="C1242" s="6" t="s">
        <v>1018</v>
      </c>
      <c r="D1242" s="7" t="str">
        <f>HYPERLINK("https://12go.asia/en/travel/Colombo-Transfer/Kandy-Transfer", "12Go Link")</f>
        <v>12Go Link</v>
      </c>
      <c r="E1242" s="6" t="s">
        <v>1019</v>
      </c>
    </row>
    <row r="1243">
      <c r="A1243" s="6" t="s">
        <v>874</v>
      </c>
      <c r="B1243" s="6" t="s">
        <v>884</v>
      </c>
      <c r="C1243" s="6" t="s">
        <v>1020</v>
      </c>
      <c r="D1243" s="7" t="str">
        <f>HYPERLINK("https://12go.asia/en/travel/Colombo-Fort/Kankesanthurai", "12Go Link")</f>
        <v>12Go Link</v>
      </c>
      <c r="E1243" s="6" t="s">
        <v>870</v>
      </c>
    </row>
    <row r="1244">
      <c r="A1244" s="6" t="s">
        <v>874</v>
      </c>
      <c r="B1244" s="6" t="s">
        <v>884</v>
      </c>
      <c r="C1244" s="6" t="s">
        <v>1021</v>
      </c>
      <c r="D1244" s="7" t="str">
        <f>HYPERLINK("https://12go.asia/en/travel/Mount-Lavinia/Kankesanthurai", "12Go Link")</f>
        <v>12Go Link</v>
      </c>
      <c r="E1244" s="6" t="s">
        <v>870</v>
      </c>
    </row>
    <row r="1245">
      <c r="A1245" s="6" t="s">
        <v>874</v>
      </c>
      <c r="B1245" s="6" t="s">
        <v>886</v>
      </c>
      <c r="C1245" s="6" t="s">
        <v>1022</v>
      </c>
      <c r="D1245" s="7" t="str">
        <f>HYPERLINK("https://12go.asia/en/travel/Colombo-Fort/Kilinochchi", "12Go Link")</f>
        <v>12Go Link</v>
      </c>
      <c r="E1245" s="6" t="s">
        <v>870</v>
      </c>
    </row>
    <row r="1246">
      <c r="A1246" s="6" t="s">
        <v>874</v>
      </c>
      <c r="B1246" s="6" t="s">
        <v>886</v>
      </c>
      <c r="C1246" s="6" t="s">
        <v>1023</v>
      </c>
      <c r="D1246" s="7" t="str">
        <f>HYPERLINK("https://12go.asia/en/travel/Mount-Lavinia/Kilinochchi", "12Go Link")</f>
        <v>12Go Link</v>
      </c>
      <c r="E1246" s="6" t="s">
        <v>870</v>
      </c>
    </row>
    <row r="1247">
      <c r="A1247" s="6" t="s">
        <v>874</v>
      </c>
      <c r="B1247" s="6" t="s">
        <v>888</v>
      </c>
      <c r="C1247" s="6" t="s">
        <v>1024</v>
      </c>
      <c r="D1247" s="7" t="str">
        <f>HYPERLINK("https://12go.asia/en/travel/Colombo-Fort/Kodikamam", "12Go Link")</f>
        <v>12Go Link</v>
      </c>
      <c r="E1247" s="6" t="s">
        <v>870</v>
      </c>
    </row>
    <row r="1248">
      <c r="A1248" s="6" t="s">
        <v>874</v>
      </c>
      <c r="B1248" s="6" t="s">
        <v>888</v>
      </c>
      <c r="C1248" s="6" t="s">
        <v>1025</v>
      </c>
      <c r="D1248" s="7" t="str">
        <f>HYPERLINK("https://12go.asia/en/travel/Mount-Lavinia/Kodikamam", "12Go Link")</f>
        <v>12Go Link</v>
      </c>
      <c r="E1248" s="6" t="s">
        <v>870</v>
      </c>
    </row>
    <row r="1249">
      <c r="A1249" s="6" t="s">
        <v>874</v>
      </c>
      <c r="B1249" s="6" t="s">
        <v>890</v>
      </c>
      <c r="C1249" s="6" t="s">
        <v>1026</v>
      </c>
      <c r="D1249" s="7" t="str">
        <f>HYPERLINK("https://12go.asia/en/travel/Colombo-Fort/Alawwa", "12Go Link")</f>
        <v>12Go Link</v>
      </c>
      <c r="E1249" s="6" t="s">
        <v>870</v>
      </c>
    </row>
    <row r="1250">
      <c r="A1250" s="6" t="s">
        <v>874</v>
      </c>
      <c r="B1250" s="6" t="s">
        <v>890</v>
      </c>
      <c r="C1250" s="6" t="s">
        <v>1027</v>
      </c>
      <c r="D1250" s="7" t="str">
        <f>HYPERLINK("https://12go.asia/en/travel/Colombo-Fort/Kurunegala", "12Go Link")</f>
        <v>12Go Link</v>
      </c>
      <c r="E1250" s="6" t="s">
        <v>870</v>
      </c>
    </row>
    <row r="1251">
      <c r="A1251" s="6" t="s">
        <v>874</v>
      </c>
      <c r="B1251" s="6" t="s">
        <v>890</v>
      </c>
      <c r="C1251" s="6" t="s">
        <v>1028</v>
      </c>
      <c r="D1251" s="7" t="str">
        <f>HYPERLINK("https://12go.asia/en/travel/Colombo-Fort/Wellawa", "12Go Link")</f>
        <v>12Go Link</v>
      </c>
      <c r="E1251" s="6" t="s">
        <v>870</v>
      </c>
    </row>
    <row r="1252">
      <c r="A1252" s="6" t="s">
        <v>874</v>
      </c>
      <c r="B1252" s="6" t="s">
        <v>890</v>
      </c>
      <c r="C1252" s="6" t="s">
        <v>1029</v>
      </c>
      <c r="D1252" s="7" t="str">
        <f>HYPERLINK("https://12go.asia/en/travel/Mount-Lavinia/Alawwa", "12Go Link")</f>
        <v>12Go Link</v>
      </c>
      <c r="E1252" s="6" t="s">
        <v>870</v>
      </c>
    </row>
    <row r="1253">
      <c r="A1253" s="6" t="s">
        <v>874</v>
      </c>
      <c r="B1253" s="6" t="s">
        <v>890</v>
      </c>
      <c r="C1253" s="6" t="s">
        <v>1030</v>
      </c>
      <c r="D1253" s="7" t="str">
        <f>HYPERLINK("https://12go.asia/en/travel/Mount-Lavinia/Kurunegala", "12Go Link")</f>
        <v>12Go Link</v>
      </c>
      <c r="E1253" s="6" t="s">
        <v>870</v>
      </c>
    </row>
    <row r="1254">
      <c r="A1254" s="6" t="s">
        <v>874</v>
      </c>
      <c r="B1254" s="6" t="s">
        <v>890</v>
      </c>
      <c r="C1254" s="6" t="s">
        <v>1031</v>
      </c>
      <c r="D1254" s="7" t="str">
        <f>HYPERLINK("https://12go.asia/en/travel/Mount-Lavinia/Wellawa", "12Go Link")</f>
        <v>12Go Link</v>
      </c>
      <c r="E1254" s="6" t="s">
        <v>870</v>
      </c>
    </row>
    <row r="1255">
      <c r="A1255" s="6" t="s">
        <v>874</v>
      </c>
      <c r="B1255" s="6" t="s">
        <v>894</v>
      </c>
      <c r="C1255" s="6" t="s">
        <v>1032</v>
      </c>
      <c r="D1255" s="7" t="str">
        <f>HYPERLINK("https://12go.asia/en/travel/Colombo-Fort/Galgamuwa", "12Go Link")</f>
        <v>12Go Link</v>
      </c>
      <c r="E1255" s="6" t="s">
        <v>870</v>
      </c>
    </row>
    <row r="1256">
      <c r="A1256" s="6" t="s">
        <v>874</v>
      </c>
      <c r="B1256" s="6" t="s">
        <v>894</v>
      </c>
      <c r="C1256" s="6" t="s">
        <v>1033</v>
      </c>
      <c r="D1256" s="7" t="str">
        <f>HYPERLINK("https://12go.asia/en/travel/Colombo-Fort/Maho", "12Go Link")</f>
        <v>12Go Link</v>
      </c>
      <c r="E1256" s="6" t="s">
        <v>870</v>
      </c>
    </row>
    <row r="1257">
      <c r="A1257" s="6" t="s">
        <v>874</v>
      </c>
      <c r="B1257" s="6" t="s">
        <v>894</v>
      </c>
      <c r="C1257" s="6" t="s">
        <v>1034</v>
      </c>
      <c r="D1257" s="7" t="str">
        <f>HYPERLINK("https://12go.asia/en/travel/Colombo-Fort/Nagollagama", "12Go Link")</f>
        <v>12Go Link</v>
      </c>
      <c r="E1257" s="6" t="s">
        <v>870</v>
      </c>
    </row>
    <row r="1258">
      <c r="A1258" s="6" t="s">
        <v>874</v>
      </c>
      <c r="B1258" s="6" t="s">
        <v>894</v>
      </c>
      <c r="C1258" s="6" t="s">
        <v>1035</v>
      </c>
      <c r="D1258" s="7" t="str">
        <f>HYPERLINK("https://12go.asia/en/travel/Mount-Lavinia/Galgamuwa", "12Go Link")</f>
        <v>12Go Link</v>
      </c>
      <c r="E1258" s="6" t="s">
        <v>870</v>
      </c>
    </row>
    <row r="1259">
      <c r="A1259" s="6" t="s">
        <v>874</v>
      </c>
      <c r="B1259" s="6" t="s">
        <v>894</v>
      </c>
      <c r="C1259" s="6" t="s">
        <v>1036</v>
      </c>
      <c r="D1259" s="7" t="str">
        <f>HYPERLINK("https://12go.asia/en/travel/Mount-Lavinia/Maho", "12Go Link")</f>
        <v>12Go Link</v>
      </c>
      <c r="E1259" s="6" t="s">
        <v>870</v>
      </c>
    </row>
    <row r="1260">
      <c r="A1260" s="6" t="s">
        <v>874</v>
      </c>
      <c r="B1260" s="6" t="s">
        <v>894</v>
      </c>
      <c r="C1260" s="6" t="s">
        <v>1037</v>
      </c>
      <c r="D1260" s="7" t="str">
        <f>HYPERLINK("https://12go.asia/en/travel/Mount-Lavinia/Nagollagama", "12Go Link")</f>
        <v>12Go Link</v>
      </c>
      <c r="E1260" s="6" t="s">
        <v>870</v>
      </c>
    </row>
    <row r="1261">
      <c r="A1261" s="6" t="s">
        <v>874</v>
      </c>
      <c r="B1261" s="6" t="s">
        <v>1038</v>
      </c>
      <c r="C1261" s="6" t="s">
        <v>1039</v>
      </c>
      <c r="D1261" s="7" t="str">
        <f>HYPERLINK("https://12go.asia/en/travel/Colombo/Matara", "12Go Link")</f>
        <v>12Go Link</v>
      </c>
      <c r="E1261" s="6" t="s">
        <v>1008</v>
      </c>
    </row>
    <row r="1262">
      <c r="A1262" s="6" t="s">
        <v>874</v>
      </c>
      <c r="B1262" s="6" t="s">
        <v>898</v>
      </c>
      <c r="C1262" s="6" t="s">
        <v>1040</v>
      </c>
      <c r="D1262" s="7" t="str">
        <f>HYPERLINK("https://12go.asia/en/travel/Colombo-Fort/Mirigama", "12Go Link")</f>
        <v>12Go Link</v>
      </c>
      <c r="E1262" s="6" t="s">
        <v>870</v>
      </c>
    </row>
    <row r="1263">
      <c r="A1263" s="6" t="s">
        <v>874</v>
      </c>
      <c r="B1263" s="6" t="s">
        <v>898</v>
      </c>
      <c r="C1263" s="6" t="s">
        <v>1041</v>
      </c>
      <c r="D1263" s="7" t="str">
        <f>HYPERLINK("https://12go.asia/en/travel/Mount-Lavinia/Mirigama", "12Go Link")</f>
        <v>12Go Link</v>
      </c>
      <c r="E1263" s="6" t="s">
        <v>870</v>
      </c>
    </row>
    <row r="1264">
      <c r="A1264" s="6" t="s">
        <v>874</v>
      </c>
      <c r="B1264" s="6" t="s">
        <v>900</v>
      </c>
      <c r="C1264" s="6" t="s">
        <v>1042</v>
      </c>
      <c r="D1264" s="7" t="str">
        <f>HYPERLINK("https://12go.asia/en/travel/Colombo-Fort/Senarathgama", "12Go Link")</f>
        <v>12Go Link</v>
      </c>
      <c r="E1264" s="6" t="s">
        <v>870</v>
      </c>
    </row>
    <row r="1265">
      <c r="A1265" s="6" t="s">
        <v>874</v>
      </c>
      <c r="B1265" s="6" t="s">
        <v>900</v>
      </c>
      <c r="C1265" s="6" t="s">
        <v>1043</v>
      </c>
      <c r="D1265" s="7" t="str">
        <f>HYPERLINK("https://12go.asia/en/travel/Mount-Lavinia/Senarathgama", "12Go Link")</f>
        <v>12Go Link</v>
      </c>
      <c r="E1265" s="6" t="s">
        <v>870</v>
      </c>
    </row>
    <row r="1266">
      <c r="A1266" s="6" t="s">
        <v>874</v>
      </c>
      <c r="B1266" s="6" t="s">
        <v>1044</v>
      </c>
      <c r="C1266" s="6" t="s">
        <v>1045</v>
      </c>
      <c r="D1266" s="7" t="str">
        <f>HYPERLINK("https://12go.asia/en/travel/Pettah-Bus-Station/Nuwara-Eliya-Main-Bus-Station", "12Go Link")</f>
        <v>12Go Link</v>
      </c>
      <c r="E1266" s="6" t="s">
        <v>506</v>
      </c>
    </row>
    <row r="1267">
      <c r="A1267" s="6" t="s">
        <v>874</v>
      </c>
      <c r="B1267" s="6" t="s">
        <v>1044</v>
      </c>
      <c r="C1267" s="6" t="s">
        <v>1046</v>
      </c>
      <c r="D1267" s="7" t="str">
        <f>HYPERLINK("https://12go.asia/en/travel/Pettah-Bus-Station/Nuwara-Eliya-Post-Office", "12Go Link")</f>
        <v>12Go Link</v>
      </c>
      <c r="E1267" s="6" t="s">
        <v>506</v>
      </c>
    </row>
    <row r="1268">
      <c r="A1268" s="6" t="s">
        <v>874</v>
      </c>
      <c r="B1268" s="6" t="s">
        <v>902</v>
      </c>
      <c r="C1268" s="6" t="s">
        <v>1047</v>
      </c>
      <c r="D1268" s="7" t="str">
        <f>HYPERLINK("https://12go.asia/en/travel/Colombo-Fort/Polgahawela", "12Go Link")</f>
        <v>12Go Link</v>
      </c>
      <c r="E1268" s="6" t="s">
        <v>870</v>
      </c>
    </row>
    <row r="1269">
      <c r="A1269" s="6" t="s">
        <v>874</v>
      </c>
      <c r="B1269" s="6" t="s">
        <v>902</v>
      </c>
      <c r="C1269" s="6" t="s">
        <v>1048</v>
      </c>
      <c r="D1269" s="7" t="str">
        <f>HYPERLINK("https://12go.asia/en/travel/Mount-Lavinia/Polgahawela", "12Go Link")</f>
        <v>12Go Link</v>
      </c>
      <c r="E1269" s="6" t="s">
        <v>870</v>
      </c>
    </row>
    <row r="1270">
      <c r="A1270" s="6" t="s">
        <v>874</v>
      </c>
      <c r="B1270" s="6" t="s">
        <v>1049</v>
      </c>
      <c r="C1270" s="6" t="s">
        <v>1050</v>
      </c>
      <c r="D1270" s="7" t="str">
        <f>HYPERLINK("https://12go.asia/en/travel/Wellawatte-42Ln/Food-City-Pottuvil", "12Go Link")</f>
        <v>12Go Link</v>
      </c>
      <c r="E1270" s="6" t="s">
        <v>506</v>
      </c>
    </row>
    <row r="1271">
      <c r="A1271" s="6" t="s">
        <v>874</v>
      </c>
      <c r="B1271" s="6" t="s">
        <v>904</v>
      </c>
      <c r="C1271" s="6" t="s">
        <v>1051</v>
      </c>
      <c r="D1271" s="7" t="str">
        <f>HYPERLINK("https://12go.asia/en/travel/Colombo-Fort/Talawa", "12Go Link")</f>
        <v>12Go Link</v>
      </c>
      <c r="E1271" s="6" t="s">
        <v>870</v>
      </c>
    </row>
    <row r="1272">
      <c r="A1272" s="6" t="s">
        <v>874</v>
      </c>
      <c r="B1272" s="6" t="s">
        <v>904</v>
      </c>
      <c r="C1272" s="6" t="s">
        <v>1052</v>
      </c>
      <c r="D1272" s="7" t="str">
        <f>HYPERLINK("https://12go.asia/en/travel/Mount-Lavinia/Talawa", "12Go Link")</f>
        <v>12Go Link</v>
      </c>
      <c r="E1272" s="6" t="s">
        <v>870</v>
      </c>
    </row>
    <row r="1273">
      <c r="A1273" s="6" t="s">
        <v>874</v>
      </c>
      <c r="B1273" s="6" t="s">
        <v>906</v>
      </c>
      <c r="C1273" s="6" t="s">
        <v>1053</v>
      </c>
      <c r="D1273" s="7" t="str">
        <f>HYPERLINK("https://12go.asia/en/travel/Colombo-Fort/Thambuttegama", "12Go Link")</f>
        <v>12Go Link</v>
      </c>
      <c r="E1273" s="6" t="s">
        <v>870</v>
      </c>
    </row>
    <row r="1274">
      <c r="A1274" s="6" t="s">
        <v>874</v>
      </c>
      <c r="B1274" s="6" t="s">
        <v>906</v>
      </c>
      <c r="C1274" s="6" t="s">
        <v>1054</v>
      </c>
      <c r="D1274" s="7" t="str">
        <f>HYPERLINK("https://12go.asia/en/travel/Mount-Lavinia/Thambuttegama", "12Go Link")</f>
        <v>12Go Link</v>
      </c>
      <c r="E1274" s="6" t="s">
        <v>870</v>
      </c>
    </row>
    <row r="1275">
      <c r="A1275" s="6" t="s">
        <v>874</v>
      </c>
      <c r="B1275" s="6" t="s">
        <v>1055</v>
      </c>
      <c r="C1275" s="6" t="s">
        <v>1056</v>
      </c>
      <c r="D1275" s="7" t="str">
        <f>HYPERLINK("https://12go.asia/en/travel/Colombo/Tangalle", "12Go Link")</f>
        <v>12Go Link</v>
      </c>
      <c r="E1275" s="6" t="s">
        <v>1008</v>
      </c>
    </row>
    <row r="1276">
      <c r="A1276" s="6" t="s">
        <v>874</v>
      </c>
      <c r="B1276" s="6" t="s">
        <v>1057</v>
      </c>
      <c r="C1276" s="6" t="s">
        <v>1058</v>
      </c>
      <c r="D1276" s="7" t="str">
        <f>HYPERLINK("https://12go.asia/en/travel/Colombo-Bandaranaike-Airport/Trincomalee-Transfer", "12Go Link")</f>
        <v>12Go Link</v>
      </c>
      <c r="E1276" s="6" t="s">
        <v>608</v>
      </c>
    </row>
    <row r="1277">
      <c r="A1277" s="6" t="s">
        <v>874</v>
      </c>
      <c r="B1277" s="6" t="s">
        <v>1057</v>
      </c>
      <c r="C1277" s="6" t="s">
        <v>1059</v>
      </c>
      <c r="D1277" s="7" t="str">
        <f>HYPERLINK("https://12go.asia/en/travel/Pettah-Bus-Station/Trincomalee-Post-Office", "12Go Link")</f>
        <v>12Go Link</v>
      </c>
      <c r="E1277" s="6" t="s">
        <v>506</v>
      </c>
    </row>
    <row r="1278">
      <c r="A1278" s="6" t="s">
        <v>874</v>
      </c>
      <c r="B1278" s="6" t="s">
        <v>908</v>
      </c>
      <c r="C1278" s="6" t="s">
        <v>1060</v>
      </c>
      <c r="D1278" s="7" t="str">
        <f>HYPERLINK("https://12go.asia/en/travel/Colombo-Fort/Vavuniya", "12Go Link")</f>
        <v>12Go Link</v>
      </c>
      <c r="E1278" s="6" t="s">
        <v>870</v>
      </c>
    </row>
    <row r="1279">
      <c r="A1279" s="6" t="s">
        <v>874</v>
      </c>
      <c r="B1279" s="6" t="s">
        <v>908</v>
      </c>
      <c r="C1279" s="6" t="s">
        <v>1061</v>
      </c>
      <c r="D1279" s="7" t="str">
        <f>HYPERLINK("https://12go.asia/en/travel/Mount-Lavinia/Vavuniya", "12Go Link")</f>
        <v>12Go Link</v>
      </c>
      <c r="E1279" s="6" t="s">
        <v>870</v>
      </c>
    </row>
    <row r="1280">
      <c r="A1280" s="6" t="s">
        <v>874</v>
      </c>
      <c r="B1280" s="6" t="s">
        <v>910</v>
      </c>
      <c r="C1280" s="6" t="s">
        <v>1062</v>
      </c>
      <c r="D1280" s="7" t="str">
        <f>HYPERLINK("https://12go.asia/en/travel/Colombo-Fort/Veyangoda", "12Go Link")</f>
        <v>12Go Link</v>
      </c>
      <c r="E1280" s="6" t="s">
        <v>870</v>
      </c>
    </row>
    <row r="1281">
      <c r="A1281" s="6" t="s">
        <v>874</v>
      </c>
      <c r="B1281" s="6" t="s">
        <v>910</v>
      </c>
      <c r="C1281" s="6" t="s">
        <v>1063</v>
      </c>
      <c r="D1281" s="7" t="str">
        <f>HYPERLINK("https://12go.asia/en/travel/Mount-Lavinia/Veyangoda", "12Go Link")</f>
        <v>12Go Link</v>
      </c>
      <c r="E1281" s="6" t="s">
        <v>870</v>
      </c>
    </row>
    <row r="1282">
      <c r="A1282" s="8" t="s">
        <v>988</v>
      </c>
      <c r="B1282" s="8" t="s">
        <v>987</v>
      </c>
      <c r="C1282" s="8" t="s">
        <v>1064</v>
      </c>
      <c r="D1282" s="9" t="str">
        <f>HYPERLINK("https://12go.asia/en/travel/Bandaranaike-Airport/Arugam-Bay", "12Go Link")</f>
        <v>12Go Link</v>
      </c>
      <c r="E1282" s="8" t="s">
        <v>567</v>
      </c>
    </row>
    <row r="1283">
      <c r="A1283" s="8" t="s">
        <v>988</v>
      </c>
      <c r="B1283" s="8" t="s">
        <v>990</v>
      </c>
      <c r="C1283" s="8" t="s">
        <v>1065</v>
      </c>
      <c r="D1283" s="9" t="str">
        <f>HYPERLINK("https://12go.asia/en/travel/Colombo-Airport/Ella", "12Go Link")</f>
        <v>12Go Link</v>
      </c>
      <c r="E1283" s="8" t="s">
        <v>1066</v>
      </c>
    </row>
    <row r="1284">
      <c r="A1284" s="8" t="s">
        <v>988</v>
      </c>
      <c r="B1284" s="8" t="s">
        <v>1009</v>
      </c>
      <c r="C1284" s="8" t="s">
        <v>1067</v>
      </c>
      <c r="D1284" s="9" t="str">
        <f>HYPERLINK("https://12go.asia/en/travel/Colombo-Airport/Galle", "12Go Link")</f>
        <v>12Go Link</v>
      </c>
      <c r="E1284" s="8" t="s">
        <v>1066</v>
      </c>
    </row>
    <row r="1285">
      <c r="A1285" s="8" t="s">
        <v>988</v>
      </c>
      <c r="B1285" s="8" t="s">
        <v>1017</v>
      </c>
      <c r="C1285" s="8" t="s">
        <v>1068</v>
      </c>
      <c r="D1285" s="9" t="str">
        <f>HYPERLINK("https://12go.asia/en/travel/Bandaranaike-Airport/Kandy-Transfer", "12Go Link")</f>
        <v>12Go Link</v>
      </c>
      <c r="E1285" s="8" t="s">
        <v>1019</v>
      </c>
    </row>
    <row r="1286">
      <c r="A1286" s="8" t="s">
        <v>988</v>
      </c>
      <c r="B1286" s="8" t="s">
        <v>1017</v>
      </c>
      <c r="C1286" s="8" t="s">
        <v>1069</v>
      </c>
      <c r="D1286" s="9" t="str">
        <f>HYPERLINK("https://12go.asia/en/travel/Colombo-Airport/Kandy", "12Go Link")</f>
        <v>12Go Link</v>
      </c>
      <c r="E1286" s="8" t="s">
        <v>1066</v>
      </c>
    </row>
    <row r="1287">
      <c r="A1287" s="8" t="s">
        <v>988</v>
      </c>
      <c r="B1287" s="8" t="s">
        <v>1055</v>
      </c>
      <c r="C1287" s="8" t="s">
        <v>1070</v>
      </c>
      <c r="D1287" s="9" t="str">
        <f>HYPERLINK("https://12go.asia/en/travel/Colombo-Airport/Tangalle", "12Go Link")</f>
        <v>12Go Link</v>
      </c>
      <c r="E1287" s="8" t="s">
        <v>1066</v>
      </c>
    </row>
    <row r="1288">
      <c r="A1288" s="6" t="s">
        <v>990</v>
      </c>
      <c r="B1288" s="6" t="s">
        <v>987</v>
      </c>
      <c r="C1288" s="6" t="s">
        <v>1071</v>
      </c>
      <c r="D1288" s="7" t="str">
        <f>HYPERLINK("https://12go.asia/en/travel/Ella-Hotel-Transfer/Arugam-Bay", "12Go Link")</f>
        <v>12Go Link</v>
      </c>
      <c r="E1288" s="6" t="s">
        <v>567</v>
      </c>
    </row>
    <row r="1289">
      <c r="A1289" s="6" t="s">
        <v>990</v>
      </c>
      <c r="B1289" s="6" t="s">
        <v>1017</v>
      </c>
      <c r="C1289" s="6" t="s">
        <v>1072</v>
      </c>
      <c r="D1289" s="7" t="str">
        <f>HYPERLINK("https://12go.asia/en/travel/Ella/Kandy-Transfer", "12Go Link")</f>
        <v>12Go Link</v>
      </c>
      <c r="E1289" s="6" t="s">
        <v>1019</v>
      </c>
    </row>
    <row r="1290">
      <c r="A1290" s="6" t="s">
        <v>990</v>
      </c>
      <c r="B1290" s="6" t="s">
        <v>1057</v>
      </c>
      <c r="C1290" s="6" t="s">
        <v>1073</v>
      </c>
      <c r="D1290" s="7" t="str">
        <f>HYPERLINK("https://12go.asia/en/travel/Ella-Hotel-Transfer/Trincomalee-Hotel-Transfer", "12Go Link")</f>
        <v>12Go Link</v>
      </c>
      <c r="E1290" s="6" t="s">
        <v>567</v>
      </c>
    </row>
    <row r="1291">
      <c r="A1291" s="8" t="s">
        <v>878</v>
      </c>
      <c r="B1291" s="8" t="s">
        <v>867</v>
      </c>
      <c r="C1291" s="8" t="s">
        <v>1074</v>
      </c>
      <c r="D1291" s="9" t="str">
        <f>HYPERLINK("https://12go.asia/en/travel/Gampaha/Ambanpola", "12Go Link")</f>
        <v>12Go Link</v>
      </c>
      <c r="E1291" s="8" t="s">
        <v>870</v>
      </c>
    </row>
    <row r="1292">
      <c r="A1292" s="8" t="s">
        <v>878</v>
      </c>
      <c r="B1292" s="8" t="s">
        <v>868</v>
      </c>
      <c r="C1292" s="8" t="s">
        <v>1075</v>
      </c>
      <c r="D1292" s="9" t="str">
        <f>HYPERLINK("https://12go.asia/en/travel/Gampaha/Ambepussa", "12Go Link")</f>
        <v>12Go Link</v>
      </c>
      <c r="E1292" s="8" t="s">
        <v>870</v>
      </c>
    </row>
    <row r="1293">
      <c r="A1293" s="8" t="s">
        <v>878</v>
      </c>
      <c r="B1293" s="8" t="s">
        <v>871</v>
      </c>
      <c r="C1293" s="8" t="s">
        <v>1076</v>
      </c>
      <c r="D1293" s="9" t="str">
        <f>HYPERLINK("https://12go.asia/en/travel/Gampaha/Anuradhapura", "12Go Link")</f>
        <v>12Go Link</v>
      </c>
      <c r="E1293" s="8" t="s">
        <v>870</v>
      </c>
    </row>
    <row r="1294">
      <c r="A1294" s="8" t="s">
        <v>878</v>
      </c>
      <c r="B1294" s="8" t="s">
        <v>871</v>
      </c>
      <c r="C1294" s="8" t="s">
        <v>1077</v>
      </c>
      <c r="D1294" s="9" t="str">
        <f>HYPERLINK("https://12go.asia/en/travel/Gampaha/Shrawasthipura", "12Go Link")</f>
        <v>12Go Link</v>
      </c>
      <c r="E1294" s="8" t="s">
        <v>870</v>
      </c>
    </row>
    <row r="1295">
      <c r="A1295" s="8" t="s">
        <v>878</v>
      </c>
      <c r="B1295" s="8" t="s">
        <v>874</v>
      </c>
      <c r="C1295" s="8" t="s">
        <v>1078</v>
      </c>
      <c r="D1295" s="9" t="str">
        <f>HYPERLINK("https://12go.asia/en/travel/Gampaha/Colombo-Fort", "12Go Link")</f>
        <v>12Go Link</v>
      </c>
      <c r="E1295" s="8" t="s">
        <v>870</v>
      </c>
    </row>
    <row r="1296">
      <c r="A1296" s="8" t="s">
        <v>878</v>
      </c>
      <c r="B1296" s="8" t="s">
        <v>874</v>
      </c>
      <c r="C1296" s="8" t="s">
        <v>1079</v>
      </c>
      <c r="D1296" s="9" t="str">
        <f>HYPERLINK("https://12go.asia/en/travel/Gampaha/Mount-Lavinia", "12Go Link")</f>
        <v>12Go Link</v>
      </c>
      <c r="E1296" s="8" t="s">
        <v>870</v>
      </c>
    </row>
    <row r="1297">
      <c r="A1297" s="8" t="s">
        <v>878</v>
      </c>
      <c r="B1297" s="8" t="s">
        <v>874</v>
      </c>
      <c r="C1297" s="8" t="s">
        <v>1080</v>
      </c>
      <c r="D1297" s="9" t="str">
        <f>HYPERLINK("https://12go.asia/en/travel/Gampaha/Wellawatta", "12Go Link")</f>
        <v>12Go Link</v>
      </c>
      <c r="E1297" s="8" t="s">
        <v>870</v>
      </c>
    </row>
    <row r="1298">
      <c r="A1298" s="8" t="s">
        <v>878</v>
      </c>
      <c r="B1298" s="8" t="s">
        <v>880</v>
      </c>
      <c r="C1298" s="8" t="s">
        <v>1081</v>
      </c>
      <c r="D1298" s="9" t="str">
        <f>HYPERLINK("https://12go.asia/en/travel/Gampaha/Ganewatta", "12Go Link")</f>
        <v>12Go Link</v>
      </c>
      <c r="E1298" s="8" t="s">
        <v>870</v>
      </c>
    </row>
    <row r="1299">
      <c r="A1299" s="8" t="s">
        <v>878</v>
      </c>
      <c r="B1299" s="8" t="s">
        <v>882</v>
      </c>
      <c r="C1299" s="8" t="s">
        <v>1082</v>
      </c>
      <c r="D1299" s="9" t="str">
        <f>HYPERLINK("https://12go.asia/en/travel/Gampaha/Jaffna-Train-Station", "12Go Link")</f>
        <v>12Go Link</v>
      </c>
      <c r="E1299" s="8" t="s">
        <v>870</v>
      </c>
    </row>
    <row r="1300">
      <c r="A1300" s="8" t="s">
        <v>878</v>
      </c>
      <c r="B1300" s="8" t="s">
        <v>884</v>
      </c>
      <c r="C1300" s="8" t="s">
        <v>1083</v>
      </c>
      <c r="D1300" s="9" t="str">
        <f>HYPERLINK("https://12go.asia/en/travel/Gampaha/Kankesanthurai", "12Go Link")</f>
        <v>12Go Link</v>
      </c>
      <c r="E1300" s="8" t="s">
        <v>870</v>
      </c>
    </row>
    <row r="1301">
      <c r="A1301" s="8" t="s">
        <v>878</v>
      </c>
      <c r="B1301" s="8" t="s">
        <v>886</v>
      </c>
      <c r="C1301" s="8" t="s">
        <v>1084</v>
      </c>
      <c r="D1301" s="9" t="str">
        <f>HYPERLINK("https://12go.asia/en/travel/Gampaha/Kilinochchi", "12Go Link")</f>
        <v>12Go Link</v>
      </c>
      <c r="E1301" s="8" t="s">
        <v>870</v>
      </c>
    </row>
    <row r="1302">
      <c r="A1302" s="8" t="s">
        <v>878</v>
      </c>
      <c r="B1302" s="8" t="s">
        <v>888</v>
      </c>
      <c r="C1302" s="8" t="s">
        <v>1085</v>
      </c>
      <c r="D1302" s="9" t="str">
        <f>HYPERLINK("https://12go.asia/en/travel/Gampaha/Kodikamam", "12Go Link")</f>
        <v>12Go Link</v>
      </c>
      <c r="E1302" s="8" t="s">
        <v>870</v>
      </c>
    </row>
    <row r="1303">
      <c r="A1303" s="8" t="s">
        <v>878</v>
      </c>
      <c r="B1303" s="8" t="s">
        <v>890</v>
      </c>
      <c r="C1303" s="8" t="s">
        <v>1086</v>
      </c>
      <c r="D1303" s="9" t="str">
        <f>HYPERLINK("https://12go.asia/en/travel/Gampaha/Alawwa", "12Go Link")</f>
        <v>12Go Link</v>
      </c>
      <c r="E1303" s="8" t="s">
        <v>870</v>
      </c>
    </row>
    <row r="1304">
      <c r="A1304" s="8" t="s">
        <v>878</v>
      </c>
      <c r="B1304" s="8" t="s">
        <v>890</v>
      </c>
      <c r="C1304" s="8" t="s">
        <v>1087</v>
      </c>
      <c r="D1304" s="9" t="str">
        <f>HYPERLINK("https://12go.asia/en/travel/Gampaha/Kurunegala", "12Go Link")</f>
        <v>12Go Link</v>
      </c>
      <c r="E1304" s="8" t="s">
        <v>870</v>
      </c>
    </row>
    <row r="1305">
      <c r="A1305" s="8" t="s">
        <v>878</v>
      </c>
      <c r="B1305" s="8" t="s">
        <v>890</v>
      </c>
      <c r="C1305" s="8" t="s">
        <v>1088</v>
      </c>
      <c r="D1305" s="9" t="str">
        <f>HYPERLINK("https://12go.asia/en/travel/Gampaha/Wellawa", "12Go Link")</f>
        <v>12Go Link</v>
      </c>
      <c r="E1305" s="8" t="s">
        <v>870</v>
      </c>
    </row>
    <row r="1306">
      <c r="A1306" s="8" t="s">
        <v>878</v>
      </c>
      <c r="B1306" s="8" t="s">
        <v>894</v>
      </c>
      <c r="C1306" s="8" t="s">
        <v>1089</v>
      </c>
      <c r="D1306" s="9" t="str">
        <f>HYPERLINK("https://12go.asia/en/travel/Gampaha/Galgamuwa", "12Go Link")</f>
        <v>12Go Link</v>
      </c>
      <c r="E1306" s="8" t="s">
        <v>870</v>
      </c>
    </row>
    <row r="1307">
      <c r="A1307" s="8" t="s">
        <v>878</v>
      </c>
      <c r="B1307" s="8" t="s">
        <v>894</v>
      </c>
      <c r="C1307" s="8" t="s">
        <v>1090</v>
      </c>
      <c r="D1307" s="9" t="str">
        <f>HYPERLINK("https://12go.asia/en/travel/Gampaha/Maho", "12Go Link")</f>
        <v>12Go Link</v>
      </c>
      <c r="E1307" s="8" t="s">
        <v>870</v>
      </c>
    </row>
    <row r="1308">
      <c r="A1308" s="8" t="s">
        <v>878</v>
      </c>
      <c r="B1308" s="8" t="s">
        <v>894</v>
      </c>
      <c r="C1308" s="8" t="s">
        <v>1091</v>
      </c>
      <c r="D1308" s="9" t="str">
        <f>HYPERLINK("https://12go.asia/en/travel/Gampaha/Nagollagama", "12Go Link")</f>
        <v>12Go Link</v>
      </c>
      <c r="E1308" s="8" t="s">
        <v>870</v>
      </c>
    </row>
    <row r="1309">
      <c r="A1309" s="8" t="s">
        <v>878</v>
      </c>
      <c r="B1309" s="8" t="s">
        <v>898</v>
      </c>
      <c r="C1309" s="8" t="s">
        <v>1092</v>
      </c>
      <c r="D1309" s="9" t="str">
        <f>HYPERLINK("https://12go.asia/en/travel/Gampaha/Mirigama", "12Go Link")</f>
        <v>12Go Link</v>
      </c>
      <c r="E1309" s="8" t="s">
        <v>870</v>
      </c>
    </row>
    <row r="1310">
      <c r="A1310" s="8" t="s">
        <v>878</v>
      </c>
      <c r="B1310" s="8" t="s">
        <v>900</v>
      </c>
      <c r="C1310" s="8" t="s">
        <v>1093</v>
      </c>
      <c r="D1310" s="9" t="str">
        <f>HYPERLINK("https://12go.asia/en/travel/Gampaha/Senarathgama", "12Go Link")</f>
        <v>12Go Link</v>
      </c>
      <c r="E1310" s="8" t="s">
        <v>870</v>
      </c>
    </row>
    <row r="1311">
      <c r="A1311" s="8" t="s">
        <v>878</v>
      </c>
      <c r="B1311" s="8" t="s">
        <v>902</v>
      </c>
      <c r="C1311" s="8" t="s">
        <v>1094</v>
      </c>
      <c r="D1311" s="9" t="str">
        <f>HYPERLINK("https://12go.asia/en/travel/Gampaha/Polgahawela", "12Go Link")</f>
        <v>12Go Link</v>
      </c>
      <c r="E1311" s="8" t="s">
        <v>870</v>
      </c>
    </row>
    <row r="1312">
      <c r="A1312" s="8" t="s">
        <v>878</v>
      </c>
      <c r="B1312" s="8" t="s">
        <v>904</v>
      </c>
      <c r="C1312" s="8" t="s">
        <v>1095</v>
      </c>
      <c r="D1312" s="9" t="str">
        <f>HYPERLINK("https://12go.asia/en/travel/Gampaha/Talawa", "12Go Link")</f>
        <v>12Go Link</v>
      </c>
      <c r="E1312" s="8" t="s">
        <v>870</v>
      </c>
    </row>
    <row r="1313">
      <c r="A1313" s="8" t="s">
        <v>878</v>
      </c>
      <c r="B1313" s="8" t="s">
        <v>906</v>
      </c>
      <c r="C1313" s="8" t="s">
        <v>1096</v>
      </c>
      <c r="D1313" s="9" t="str">
        <f>HYPERLINK("https://12go.asia/en/travel/Gampaha/Thambuttegama", "12Go Link")</f>
        <v>12Go Link</v>
      </c>
      <c r="E1313" s="8" t="s">
        <v>870</v>
      </c>
    </row>
    <row r="1314">
      <c r="A1314" s="8" t="s">
        <v>878</v>
      </c>
      <c r="B1314" s="8" t="s">
        <v>908</v>
      </c>
      <c r="C1314" s="8" t="s">
        <v>1097</v>
      </c>
      <c r="D1314" s="9" t="str">
        <f>HYPERLINK("https://12go.asia/en/travel/Gampaha/Vavuniya", "12Go Link")</f>
        <v>12Go Link</v>
      </c>
      <c r="E1314" s="8" t="s">
        <v>870</v>
      </c>
    </row>
    <row r="1315">
      <c r="A1315" s="8" t="s">
        <v>878</v>
      </c>
      <c r="B1315" s="8" t="s">
        <v>910</v>
      </c>
      <c r="C1315" s="8" t="s">
        <v>1098</v>
      </c>
      <c r="D1315" s="9" t="str">
        <f>HYPERLINK("https://12go.asia/en/travel/Gampaha/Veyangoda", "12Go Link")</f>
        <v>12Go Link</v>
      </c>
      <c r="E1315" s="8" t="s">
        <v>870</v>
      </c>
    </row>
    <row r="1316">
      <c r="A1316" s="6" t="s">
        <v>880</v>
      </c>
      <c r="B1316" s="6" t="s">
        <v>867</v>
      </c>
      <c r="C1316" s="6" t="s">
        <v>1099</v>
      </c>
      <c r="D1316" s="7" t="str">
        <f>HYPERLINK("https://12go.asia/en/travel/Ganewatta/Ambanpola", "12Go Link")</f>
        <v>12Go Link</v>
      </c>
      <c r="E1316" s="6" t="s">
        <v>870</v>
      </c>
    </row>
    <row r="1317">
      <c r="A1317" s="6" t="s">
        <v>880</v>
      </c>
      <c r="B1317" s="6" t="s">
        <v>868</v>
      </c>
      <c r="C1317" s="6" t="s">
        <v>1100</v>
      </c>
      <c r="D1317" s="7" t="str">
        <f>HYPERLINK("https://12go.asia/en/travel/Ganewatta/Ambepussa", "12Go Link")</f>
        <v>12Go Link</v>
      </c>
      <c r="E1317" s="6" t="s">
        <v>870</v>
      </c>
    </row>
    <row r="1318">
      <c r="A1318" s="6" t="s">
        <v>880</v>
      </c>
      <c r="B1318" s="6" t="s">
        <v>871</v>
      </c>
      <c r="C1318" s="6" t="s">
        <v>1101</v>
      </c>
      <c r="D1318" s="7" t="str">
        <f>HYPERLINK("https://12go.asia/en/travel/Ganewatta/Anuradhapura", "12Go Link")</f>
        <v>12Go Link</v>
      </c>
      <c r="E1318" s="6" t="s">
        <v>870</v>
      </c>
    </row>
    <row r="1319">
      <c r="A1319" s="6" t="s">
        <v>880</v>
      </c>
      <c r="B1319" s="6" t="s">
        <v>871</v>
      </c>
      <c r="C1319" s="6" t="s">
        <v>1102</v>
      </c>
      <c r="D1319" s="7" t="str">
        <f>HYPERLINK("https://12go.asia/en/travel/Ganewatta/Shrawasthipura", "12Go Link")</f>
        <v>12Go Link</v>
      </c>
      <c r="E1319" s="6" t="s">
        <v>870</v>
      </c>
    </row>
    <row r="1320">
      <c r="A1320" s="6" t="s">
        <v>880</v>
      </c>
      <c r="B1320" s="6" t="s">
        <v>874</v>
      </c>
      <c r="C1320" s="6" t="s">
        <v>1103</v>
      </c>
      <c r="D1320" s="7" t="str">
        <f>HYPERLINK("https://12go.asia/en/travel/Ganewatta/Colombo-Fort", "12Go Link")</f>
        <v>12Go Link</v>
      </c>
      <c r="E1320" s="6" t="s">
        <v>870</v>
      </c>
    </row>
    <row r="1321">
      <c r="A1321" s="6" t="s">
        <v>880</v>
      </c>
      <c r="B1321" s="6" t="s">
        <v>874</v>
      </c>
      <c r="C1321" s="6" t="s">
        <v>1104</v>
      </c>
      <c r="D1321" s="7" t="str">
        <f>HYPERLINK("https://12go.asia/en/travel/Ganewatta/Mount-Lavinia", "12Go Link")</f>
        <v>12Go Link</v>
      </c>
      <c r="E1321" s="6" t="s">
        <v>870</v>
      </c>
    </row>
    <row r="1322">
      <c r="A1322" s="6" t="s">
        <v>880</v>
      </c>
      <c r="B1322" s="6" t="s">
        <v>874</v>
      </c>
      <c r="C1322" s="6" t="s">
        <v>1105</v>
      </c>
      <c r="D1322" s="7" t="str">
        <f>HYPERLINK("https://12go.asia/en/travel/Ganewatta/Wellawatta", "12Go Link")</f>
        <v>12Go Link</v>
      </c>
      <c r="E1322" s="6" t="s">
        <v>870</v>
      </c>
    </row>
    <row r="1323">
      <c r="A1323" s="6" t="s">
        <v>880</v>
      </c>
      <c r="B1323" s="6" t="s">
        <v>878</v>
      </c>
      <c r="C1323" s="6" t="s">
        <v>1106</v>
      </c>
      <c r="D1323" s="7" t="str">
        <f>HYPERLINK("https://12go.asia/en/travel/Ganewatta/Gampaha", "12Go Link")</f>
        <v>12Go Link</v>
      </c>
      <c r="E1323" s="6" t="s">
        <v>870</v>
      </c>
    </row>
    <row r="1324">
      <c r="A1324" s="6" t="s">
        <v>880</v>
      </c>
      <c r="B1324" s="6" t="s">
        <v>882</v>
      </c>
      <c r="C1324" s="6" t="s">
        <v>1107</v>
      </c>
      <c r="D1324" s="7" t="str">
        <f>HYPERLINK("https://12go.asia/en/travel/Ganewatta/Jaffna-Train-Station", "12Go Link")</f>
        <v>12Go Link</v>
      </c>
      <c r="E1324" s="6" t="s">
        <v>870</v>
      </c>
    </row>
    <row r="1325">
      <c r="A1325" s="6" t="s">
        <v>880</v>
      </c>
      <c r="B1325" s="6" t="s">
        <v>884</v>
      </c>
      <c r="C1325" s="6" t="s">
        <v>1108</v>
      </c>
      <c r="D1325" s="7" t="str">
        <f>HYPERLINK("https://12go.asia/en/travel/Ganewatta/Kankesanthurai", "12Go Link")</f>
        <v>12Go Link</v>
      </c>
      <c r="E1325" s="6" t="s">
        <v>870</v>
      </c>
    </row>
    <row r="1326">
      <c r="A1326" s="6" t="s">
        <v>880</v>
      </c>
      <c r="B1326" s="6" t="s">
        <v>886</v>
      </c>
      <c r="C1326" s="6" t="s">
        <v>1109</v>
      </c>
      <c r="D1326" s="7" t="str">
        <f>HYPERLINK("https://12go.asia/en/travel/Ganewatta/Kilinochchi", "12Go Link")</f>
        <v>12Go Link</v>
      </c>
      <c r="E1326" s="6" t="s">
        <v>870</v>
      </c>
    </row>
    <row r="1327">
      <c r="A1327" s="6" t="s">
        <v>880</v>
      </c>
      <c r="B1327" s="6" t="s">
        <v>888</v>
      </c>
      <c r="C1327" s="6" t="s">
        <v>1110</v>
      </c>
      <c r="D1327" s="7" t="str">
        <f>HYPERLINK("https://12go.asia/en/travel/Ganewatta/Kodikamam", "12Go Link")</f>
        <v>12Go Link</v>
      </c>
      <c r="E1327" s="6" t="s">
        <v>870</v>
      </c>
    </row>
    <row r="1328">
      <c r="A1328" s="6" t="s">
        <v>880</v>
      </c>
      <c r="B1328" s="6" t="s">
        <v>890</v>
      </c>
      <c r="C1328" s="6" t="s">
        <v>1111</v>
      </c>
      <c r="D1328" s="7" t="str">
        <f>HYPERLINK("https://12go.asia/en/travel/Ganewatta/Alawwa", "12Go Link")</f>
        <v>12Go Link</v>
      </c>
      <c r="E1328" s="6" t="s">
        <v>870</v>
      </c>
    </row>
    <row r="1329">
      <c r="A1329" s="6" t="s">
        <v>880</v>
      </c>
      <c r="B1329" s="6" t="s">
        <v>890</v>
      </c>
      <c r="C1329" s="6" t="s">
        <v>1112</v>
      </c>
      <c r="D1329" s="7" t="str">
        <f>HYPERLINK("https://12go.asia/en/travel/Ganewatta/Kurunegala", "12Go Link")</f>
        <v>12Go Link</v>
      </c>
      <c r="E1329" s="6" t="s">
        <v>870</v>
      </c>
    </row>
    <row r="1330">
      <c r="A1330" s="6" t="s">
        <v>880</v>
      </c>
      <c r="B1330" s="6" t="s">
        <v>890</v>
      </c>
      <c r="C1330" s="6" t="s">
        <v>1113</v>
      </c>
      <c r="D1330" s="7" t="str">
        <f>HYPERLINK("https://12go.asia/en/travel/Ganewatta/Wellawa", "12Go Link")</f>
        <v>12Go Link</v>
      </c>
      <c r="E1330" s="6" t="s">
        <v>870</v>
      </c>
    </row>
    <row r="1331">
      <c r="A1331" s="6" t="s">
        <v>880</v>
      </c>
      <c r="B1331" s="6" t="s">
        <v>894</v>
      </c>
      <c r="C1331" s="6" t="s">
        <v>1114</v>
      </c>
      <c r="D1331" s="7" t="str">
        <f>HYPERLINK("https://12go.asia/en/travel/Ganewatta/Galgamuwa", "12Go Link")</f>
        <v>12Go Link</v>
      </c>
      <c r="E1331" s="6" t="s">
        <v>870</v>
      </c>
    </row>
    <row r="1332">
      <c r="A1332" s="6" t="s">
        <v>880</v>
      </c>
      <c r="B1332" s="6" t="s">
        <v>894</v>
      </c>
      <c r="C1332" s="6" t="s">
        <v>1115</v>
      </c>
      <c r="D1332" s="7" t="str">
        <f>HYPERLINK("https://12go.asia/en/travel/Ganewatta/Maho", "12Go Link")</f>
        <v>12Go Link</v>
      </c>
      <c r="E1332" s="6" t="s">
        <v>870</v>
      </c>
    </row>
    <row r="1333">
      <c r="A1333" s="6" t="s">
        <v>880</v>
      </c>
      <c r="B1333" s="6" t="s">
        <v>894</v>
      </c>
      <c r="C1333" s="6" t="s">
        <v>1116</v>
      </c>
      <c r="D1333" s="7" t="str">
        <f>HYPERLINK("https://12go.asia/en/travel/Ganewatta/Nagollagama", "12Go Link")</f>
        <v>12Go Link</v>
      </c>
      <c r="E1333" s="6" t="s">
        <v>870</v>
      </c>
    </row>
    <row r="1334">
      <c r="A1334" s="6" t="s">
        <v>880</v>
      </c>
      <c r="B1334" s="6" t="s">
        <v>898</v>
      </c>
      <c r="C1334" s="6" t="s">
        <v>1117</v>
      </c>
      <c r="D1334" s="7" t="str">
        <f>HYPERLINK("https://12go.asia/en/travel/Ganewatta/Mirigama", "12Go Link")</f>
        <v>12Go Link</v>
      </c>
      <c r="E1334" s="6" t="s">
        <v>870</v>
      </c>
    </row>
    <row r="1335">
      <c r="A1335" s="6" t="s">
        <v>880</v>
      </c>
      <c r="B1335" s="6" t="s">
        <v>900</v>
      </c>
      <c r="C1335" s="6" t="s">
        <v>1118</v>
      </c>
      <c r="D1335" s="7" t="str">
        <f>HYPERLINK("https://12go.asia/en/travel/Ganewatta/Senarathgama", "12Go Link")</f>
        <v>12Go Link</v>
      </c>
      <c r="E1335" s="6" t="s">
        <v>870</v>
      </c>
    </row>
    <row r="1336">
      <c r="A1336" s="6" t="s">
        <v>880</v>
      </c>
      <c r="B1336" s="6" t="s">
        <v>902</v>
      </c>
      <c r="C1336" s="6" t="s">
        <v>1119</v>
      </c>
      <c r="D1336" s="7" t="str">
        <f>HYPERLINK("https://12go.asia/en/travel/Ganewatta/Polgahawela", "12Go Link")</f>
        <v>12Go Link</v>
      </c>
      <c r="E1336" s="6" t="s">
        <v>870</v>
      </c>
    </row>
    <row r="1337">
      <c r="A1337" s="6" t="s">
        <v>880</v>
      </c>
      <c r="B1337" s="6" t="s">
        <v>904</v>
      </c>
      <c r="C1337" s="6" t="s">
        <v>1120</v>
      </c>
      <c r="D1337" s="7" t="str">
        <f>HYPERLINK("https://12go.asia/en/travel/Ganewatta/Talawa", "12Go Link")</f>
        <v>12Go Link</v>
      </c>
      <c r="E1337" s="6" t="s">
        <v>870</v>
      </c>
    </row>
    <row r="1338">
      <c r="A1338" s="6" t="s">
        <v>880</v>
      </c>
      <c r="B1338" s="6" t="s">
        <v>906</v>
      </c>
      <c r="C1338" s="6" t="s">
        <v>1121</v>
      </c>
      <c r="D1338" s="7" t="str">
        <f>HYPERLINK("https://12go.asia/en/travel/Ganewatta/Thambuttegama", "12Go Link")</f>
        <v>12Go Link</v>
      </c>
      <c r="E1338" s="6" t="s">
        <v>870</v>
      </c>
    </row>
    <row r="1339">
      <c r="A1339" s="6" t="s">
        <v>880</v>
      </c>
      <c r="B1339" s="6" t="s">
        <v>908</v>
      </c>
      <c r="C1339" s="6" t="s">
        <v>1122</v>
      </c>
      <c r="D1339" s="7" t="str">
        <f>HYPERLINK("https://12go.asia/en/travel/Ganewatta/Vavuniya", "12Go Link")</f>
        <v>12Go Link</v>
      </c>
      <c r="E1339" s="6" t="s">
        <v>870</v>
      </c>
    </row>
    <row r="1340">
      <c r="A1340" s="6" t="s">
        <v>880</v>
      </c>
      <c r="B1340" s="6" t="s">
        <v>910</v>
      </c>
      <c r="C1340" s="6" t="s">
        <v>1123</v>
      </c>
      <c r="D1340" s="7" t="str">
        <f>HYPERLINK("https://12go.asia/en/travel/Ganewatta/Veyangoda", "12Go Link")</f>
        <v>12Go Link</v>
      </c>
      <c r="E1340" s="6" t="s">
        <v>870</v>
      </c>
    </row>
    <row r="1341">
      <c r="A1341" s="8" t="s">
        <v>1124</v>
      </c>
      <c r="B1341" s="8" t="s">
        <v>1017</v>
      </c>
      <c r="C1341" s="8" t="s">
        <v>1125</v>
      </c>
      <c r="D1341" s="9" t="str">
        <f>HYPERLINK("https://12go.asia/en/travel/Habarana/Kandy-Transfer", "12Go Link")</f>
        <v>12Go Link</v>
      </c>
      <c r="E1341" s="8" t="s">
        <v>1019</v>
      </c>
    </row>
    <row r="1342">
      <c r="A1342" s="6" t="s">
        <v>882</v>
      </c>
      <c r="B1342" s="6" t="s">
        <v>867</v>
      </c>
      <c r="C1342" s="6" t="s">
        <v>1126</v>
      </c>
      <c r="D1342" s="7" t="str">
        <f>HYPERLINK("https://12go.asia/en/travel/Jaffna-Train-Station/Ambanpola", "12Go Link")</f>
        <v>12Go Link</v>
      </c>
      <c r="E1342" s="6" t="s">
        <v>870</v>
      </c>
    </row>
    <row r="1343">
      <c r="A1343" s="6" t="s">
        <v>882</v>
      </c>
      <c r="B1343" s="6" t="s">
        <v>868</v>
      </c>
      <c r="C1343" s="6" t="s">
        <v>1127</v>
      </c>
      <c r="D1343" s="7" t="str">
        <f>HYPERLINK("https://12go.asia/en/travel/Jaffna-Train-Station/Ambepussa", "12Go Link")</f>
        <v>12Go Link</v>
      </c>
      <c r="E1343" s="6" t="s">
        <v>870</v>
      </c>
    </row>
    <row r="1344">
      <c r="A1344" s="6" t="s">
        <v>882</v>
      </c>
      <c r="B1344" s="6" t="s">
        <v>871</v>
      </c>
      <c r="C1344" s="6" t="s">
        <v>1128</v>
      </c>
      <c r="D1344" s="7" t="str">
        <f>HYPERLINK("https://12go.asia/en/travel/Jaffna-Train-Station/Anuradhapura", "12Go Link")</f>
        <v>12Go Link</v>
      </c>
      <c r="E1344" s="6" t="s">
        <v>870</v>
      </c>
    </row>
    <row r="1345">
      <c r="A1345" s="6" t="s">
        <v>882</v>
      </c>
      <c r="B1345" s="6" t="s">
        <v>871</v>
      </c>
      <c r="C1345" s="6" t="s">
        <v>1129</v>
      </c>
      <c r="D1345" s="7" t="str">
        <f>HYPERLINK("https://12go.asia/en/travel/Jaffna-Train-Station/Shrawasthipura", "12Go Link")</f>
        <v>12Go Link</v>
      </c>
      <c r="E1345" s="6" t="s">
        <v>870</v>
      </c>
    </row>
    <row r="1346">
      <c r="A1346" s="6" t="s">
        <v>882</v>
      </c>
      <c r="B1346" s="6" t="s">
        <v>874</v>
      </c>
      <c r="C1346" s="6" t="s">
        <v>1130</v>
      </c>
      <c r="D1346" s="7" t="str">
        <f>HYPERLINK("https://12go.asia/en/travel/Jaffna-Train-Station/Colombo-Fort", "12Go Link")</f>
        <v>12Go Link</v>
      </c>
      <c r="E1346" s="6" t="s">
        <v>870</v>
      </c>
    </row>
    <row r="1347">
      <c r="A1347" s="6" t="s">
        <v>882</v>
      </c>
      <c r="B1347" s="6" t="s">
        <v>874</v>
      </c>
      <c r="C1347" s="6" t="s">
        <v>1131</v>
      </c>
      <c r="D1347" s="7" t="str">
        <f>HYPERLINK("https://12go.asia/en/travel/Jaffna-Train-Station/Mount-Lavinia", "12Go Link")</f>
        <v>12Go Link</v>
      </c>
      <c r="E1347" s="6" t="s">
        <v>870</v>
      </c>
    </row>
    <row r="1348">
      <c r="A1348" s="6" t="s">
        <v>882</v>
      </c>
      <c r="B1348" s="6" t="s">
        <v>874</v>
      </c>
      <c r="C1348" s="6" t="s">
        <v>1132</v>
      </c>
      <c r="D1348" s="7" t="str">
        <f>HYPERLINK("https://12go.asia/en/travel/Jaffna-Train-Station/Wellawatta", "12Go Link")</f>
        <v>12Go Link</v>
      </c>
      <c r="E1348" s="6" t="s">
        <v>870</v>
      </c>
    </row>
    <row r="1349">
      <c r="A1349" s="6" t="s">
        <v>882</v>
      </c>
      <c r="B1349" s="6" t="s">
        <v>878</v>
      </c>
      <c r="C1349" s="6" t="s">
        <v>1133</v>
      </c>
      <c r="D1349" s="7" t="str">
        <f>HYPERLINK("https://12go.asia/en/travel/Jaffna-Train-Station/Gampaha", "12Go Link")</f>
        <v>12Go Link</v>
      </c>
      <c r="E1349" s="6" t="s">
        <v>870</v>
      </c>
    </row>
    <row r="1350">
      <c r="A1350" s="6" t="s">
        <v>882</v>
      </c>
      <c r="B1350" s="6" t="s">
        <v>880</v>
      </c>
      <c r="C1350" s="6" t="s">
        <v>1134</v>
      </c>
      <c r="D1350" s="7" t="str">
        <f>HYPERLINK("https://12go.asia/en/travel/Jaffna-Train-Station/Ganewatta", "12Go Link")</f>
        <v>12Go Link</v>
      </c>
      <c r="E1350" s="6" t="s">
        <v>870</v>
      </c>
    </row>
    <row r="1351">
      <c r="A1351" s="6" t="s">
        <v>882</v>
      </c>
      <c r="B1351" s="6" t="s">
        <v>884</v>
      </c>
      <c r="C1351" s="6" t="s">
        <v>1135</v>
      </c>
      <c r="D1351" s="7" t="str">
        <f>HYPERLINK("https://12go.asia/en/travel/Jaffna-Train-Station/Kankesanthurai", "12Go Link")</f>
        <v>12Go Link</v>
      </c>
      <c r="E1351" s="6" t="s">
        <v>870</v>
      </c>
    </row>
    <row r="1352">
      <c r="A1352" s="6" t="s">
        <v>882</v>
      </c>
      <c r="B1352" s="6" t="s">
        <v>886</v>
      </c>
      <c r="C1352" s="6" t="s">
        <v>1136</v>
      </c>
      <c r="D1352" s="7" t="str">
        <f>HYPERLINK("https://12go.asia/en/travel/Jaffna-Train-Station/Kilinochchi", "12Go Link")</f>
        <v>12Go Link</v>
      </c>
      <c r="E1352" s="6" t="s">
        <v>870</v>
      </c>
    </row>
    <row r="1353">
      <c r="A1353" s="6" t="s">
        <v>882</v>
      </c>
      <c r="B1353" s="6" t="s">
        <v>888</v>
      </c>
      <c r="C1353" s="6" t="s">
        <v>1137</v>
      </c>
      <c r="D1353" s="7" t="str">
        <f>HYPERLINK("https://12go.asia/en/travel/Jaffna-Train-Station/Kodikamam", "12Go Link")</f>
        <v>12Go Link</v>
      </c>
      <c r="E1353" s="6" t="s">
        <v>870</v>
      </c>
    </row>
    <row r="1354">
      <c r="A1354" s="6" t="s">
        <v>882</v>
      </c>
      <c r="B1354" s="6" t="s">
        <v>890</v>
      </c>
      <c r="C1354" s="6" t="s">
        <v>1138</v>
      </c>
      <c r="D1354" s="7" t="str">
        <f>HYPERLINK("https://12go.asia/en/travel/Jaffna-Train-Station/Alawwa", "12Go Link")</f>
        <v>12Go Link</v>
      </c>
      <c r="E1354" s="6" t="s">
        <v>870</v>
      </c>
    </row>
    <row r="1355">
      <c r="A1355" s="6" t="s">
        <v>882</v>
      </c>
      <c r="B1355" s="6" t="s">
        <v>890</v>
      </c>
      <c r="C1355" s="6" t="s">
        <v>1139</v>
      </c>
      <c r="D1355" s="7" t="str">
        <f>HYPERLINK("https://12go.asia/en/travel/Jaffna-Train-Station/Kurunegala", "12Go Link")</f>
        <v>12Go Link</v>
      </c>
      <c r="E1355" s="6" t="s">
        <v>870</v>
      </c>
    </row>
    <row r="1356">
      <c r="A1356" s="6" t="s">
        <v>882</v>
      </c>
      <c r="B1356" s="6" t="s">
        <v>890</v>
      </c>
      <c r="C1356" s="6" t="s">
        <v>1140</v>
      </c>
      <c r="D1356" s="7" t="str">
        <f>HYPERLINK("https://12go.asia/en/travel/Jaffna-Train-Station/Wellawa", "12Go Link")</f>
        <v>12Go Link</v>
      </c>
      <c r="E1356" s="6" t="s">
        <v>870</v>
      </c>
    </row>
    <row r="1357">
      <c r="A1357" s="6" t="s">
        <v>882</v>
      </c>
      <c r="B1357" s="6" t="s">
        <v>894</v>
      </c>
      <c r="C1357" s="6" t="s">
        <v>1141</v>
      </c>
      <c r="D1357" s="7" t="str">
        <f>HYPERLINK("https://12go.asia/en/travel/Jaffna-Train-Station/Galgamuwa", "12Go Link")</f>
        <v>12Go Link</v>
      </c>
      <c r="E1357" s="6" t="s">
        <v>870</v>
      </c>
    </row>
    <row r="1358">
      <c r="A1358" s="6" t="s">
        <v>882</v>
      </c>
      <c r="B1358" s="6" t="s">
        <v>894</v>
      </c>
      <c r="C1358" s="6" t="s">
        <v>1142</v>
      </c>
      <c r="D1358" s="7" t="str">
        <f>HYPERLINK("https://12go.asia/en/travel/Jaffna-Train-Station/Maho", "12Go Link")</f>
        <v>12Go Link</v>
      </c>
      <c r="E1358" s="6" t="s">
        <v>870</v>
      </c>
    </row>
    <row r="1359">
      <c r="A1359" s="6" t="s">
        <v>882</v>
      </c>
      <c r="B1359" s="6" t="s">
        <v>894</v>
      </c>
      <c r="C1359" s="6" t="s">
        <v>1143</v>
      </c>
      <c r="D1359" s="7" t="str">
        <f>HYPERLINK("https://12go.asia/en/travel/Jaffna-Train-Station/Nagollagama", "12Go Link")</f>
        <v>12Go Link</v>
      </c>
      <c r="E1359" s="6" t="s">
        <v>870</v>
      </c>
    </row>
    <row r="1360">
      <c r="A1360" s="6" t="s">
        <v>882</v>
      </c>
      <c r="B1360" s="6" t="s">
        <v>898</v>
      </c>
      <c r="C1360" s="6" t="s">
        <v>1144</v>
      </c>
      <c r="D1360" s="7" t="str">
        <f>HYPERLINK("https://12go.asia/en/travel/Jaffna-Train-Station/Mirigama", "12Go Link")</f>
        <v>12Go Link</v>
      </c>
      <c r="E1360" s="6" t="s">
        <v>870</v>
      </c>
    </row>
    <row r="1361">
      <c r="A1361" s="6" t="s">
        <v>882</v>
      </c>
      <c r="B1361" s="6" t="s">
        <v>900</v>
      </c>
      <c r="C1361" s="6" t="s">
        <v>1145</v>
      </c>
      <c r="D1361" s="7" t="str">
        <f>HYPERLINK("https://12go.asia/en/travel/Jaffna-Train-Station/Senarathgama", "12Go Link")</f>
        <v>12Go Link</v>
      </c>
      <c r="E1361" s="6" t="s">
        <v>870</v>
      </c>
    </row>
    <row r="1362">
      <c r="A1362" s="6" t="s">
        <v>882</v>
      </c>
      <c r="B1362" s="6" t="s">
        <v>902</v>
      </c>
      <c r="C1362" s="6" t="s">
        <v>1146</v>
      </c>
      <c r="D1362" s="7" t="str">
        <f>HYPERLINK("https://12go.asia/en/travel/Jaffna-Train-Station/Polgahawela", "12Go Link")</f>
        <v>12Go Link</v>
      </c>
      <c r="E1362" s="6" t="s">
        <v>870</v>
      </c>
    </row>
    <row r="1363">
      <c r="A1363" s="6" t="s">
        <v>882</v>
      </c>
      <c r="B1363" s="6" t="s">
        <v>904</v>
      </c>
      <c r="C1363" s="6" t="s">
        <v>1147</v>
      </c>
      <c r="D1363" s="7" t="str">
        <f>HYPERLINK("https://12go.asia/en/travel/Jaffna-Train-Station/Talawa", "12Go Link")</f>
        <v>12Go Link</v>
      </c>
      <c r="E1363" s="6" t="s">
        <v>870</v>
      </c>
    </row>
    <row r="1364">
      <c r="A1364" s="6" t="s">
        <v>882</v>
      </c>
      <c r="B1364" s="6" t="s">
        <v>906</v>
      </c>
      <c r="C1364" s="6" t="s">
        <v>1148</v>
      </c>
      <c r="D1364" s="7" t="str">
        <f>HYPERLINK("https://12go.asia/en/travel/Jaffna-Train-Station/Thambuttegama", "12Go Link")</f>
        <v>12Go Link</v>
      </c>
      <c r="E1364" s="6" t="s">
        <v>870</v>
      </c>
    </row>
    <row r="1365">
      <c r="A1365" s="6" t="s">
        <v>882</v>
      </c>
      <c r="B1365" s="6" t="s">
        <v>908</v>
      </c>
      <c r="C1365" s="6" t="s">
        <v>1149</v>
      </c>
      <c r="D1365" s="7" t="str">
        <f>HYPERLINK("https://12go.asia/en/travel/Jaffna-Train-Station/Vavuniya", "12Go Link")</f>
        <v>12Go Link</v>
      </c>
      <c r="E1365" s="6" t="s">
        <v>870</v>
      </c>
    </row>
    <row r="1366">
      <c r="A1366" s="6" t="s">
        <v>882</v>
      </c>
      <c r="B1366" s="6" t="s">
        <v>910</v>
      </c>
      <c r="C1366" s="6" t="s">
        <v>1150</v>
      </c>
      <c r="D1366" s="7" t="str">
        <f>HYPERLINK("https://12go.asia/en/travel/Jaffna-Train-Station/Veyangoda", "12Go Link")</f>
        <v>12Go Link</v>
      </c>
      <c r="E1366" s="6" t="s">
        <v>870</v>
      </c>
    </row>
    <row r="1367">
      <c r="A1367" s="8" t="s">
        <v>884</v>
      </c>
      <c r="B1367" s="8" t="s">
        <v>867</v>
      </c>
      <c r="C1367" s="8" t="s">
        <v>1151</v>
      </c>
      <c r="D1367" s="9" t="str">
        <f>HYPERLINK("https://12go.asia/en/travel/Kankesanthurai/Ambanpola", "12Go Link")</f>
        <v>12Go Link</v>
      </c>
      <c r="E1367" s="8" t="s">
        <v>870</v>
      </c>
    </row>
    <row r="1368">
      <c r="A1368" s="8" t="s">
        <v>884</v>
      </c>
      <c r="B1368" s="8" t="s">
        <v>868</v>
      </c>
      <c r="C1368" s="8" t="s">
        <v>1152</v>
      </c>
      <c r="D1368" s="9" t="str">
        <f>HYPERLINK("https://12go.asia/en/travel/Kankesanthurai/Ambepussa", "12Go Link")</f>
        <v>12Go Link</v>
      </c>
      <c r="E1368" s="8" t="s">
        <v>870</v>
      </c>
    </row>
    <row r="1369">
      <c r="A1369" s="8" t="s">
        <v>884</v>
      </c>
      <c r="B1369" s="8" t="s">
        <v>871</v>
      </c>
      <c r="C1369" s="8" t="s">
        <v>1153</v>
      </c>
      <c r="D1369" s="9" t="str">
        <f>HYPERLINK("https://12go.asia/en/travel/Kankesanthurai/Anuradhapura", "12Go Link")</f>
        <v>12Go Link</v>
      </c>
      <c r="E1369" s="8" t="s">
        <v>870</v>
      </c>
    </row>
    <row r="1370">
      <c r="A1370" s="8" t="s">
        <v>884</v>
      </c>
      <c r="B1370" s="8" t="s">
        <v>871</v>
      </c>
      <c r="C1370" s="8" t="s">
        <v>1154</v>
      </c>
      <c r="D1370" s="9" t="str">
        <f>HYPERLINK("https://12go.asia/en/travel/Kankesanthurai/Shrawasthipura", "12Go Link")</f>
        <v>12Go Link</v>
      </c>
      <c r="E1370" s="8" t="s">
        <v>870</v>
      </c>
    </row>
    <row r="1371">
      <c r="A1371" s="8" t="s">
        <v>884</v>
      </c>
      <c r="B1371" s="8" t="s">
        <v>874</v>
      </c>
      <c r="C1371" s="8" t="s">
        <v>1155</v>
      </c>
      <c r="D1371" s="9" t="str">
        <f>HYPERLINK("https://12go.asia/en/travel/Kankesanthurai/Colombo-Fort", "12Go Link")</f>
        <v>12Go Link</v>
      </c>
      <c r="E1371" s="8" t="s">
        <v>870</v>
      </c>
    </row>
    <row r="1372">
      <c r="A1372" s="8" t="s">
        <v>884</v>
      </c>
      <c r="B1372" s="8" t="s">
        <v>874</v>
      </c>
      <c r="C1372" s="8" t="s">
        <v>1156</v>
      </c>
      <c r="D1372" s="9" t="str">
        <f>HYPERLINK("https://12go.asia/en/travel/Kankesanthurai/Mount-Lavinia", "12Go Link")</f>
        <v>12Go Link</v>
      </c>
      <c r="E1372" s="8" t="s">
        <v>870</v>
      </c>
    </row>
    <row r="1373">
      <c r="A1373" s="8" t="s">
        <v>884</v>
      </c>
      <c r="B1373" s="8" t="s">
        <v>874</v>
      </c>
      <c r="C1373" s="8" t="s">
        <v>1157</v>
      </c>
      <c r="D1373" s="9" t="str">
        <f>HYPERLINK("https://12go.asia/en/travel/Kankesanthurai/Wellawatta", "12Go Link")</f>
        <v>12Go Link</v>
      </c>
      <c r="E1373" s="8" t="s">
        <v>870</v>
      </c>
    </row>
    <row r="1374">
      <c r="A1374" s="8" t="s">
        <v>884</v>
      </c>
      <c r="B1374" s="8" t="s">
        <v>878</v>
      </c>
      <c r="C1374" s="8" t="s">
        <v>1158</v>
      </c>
      <c r="D1374" s="9" t="str">
        <f>HYPERLINK("https://12go.asia/en/travel/Kankesanthurai/Gampaha", "12Go Link")</f>
        <v>12Go Link</v>
      </c>
      <c r="E1374" s="8" t="s">
        <v>870</v>
      </c>
    </row>
    <row r="1375">
      <c r="A1375" s="8" t="s">
        <v>884</v>
      </c>
      <c r="B1375" s="8" t="s">
        <v>880</v>
      </c>
      <c r="C1375" s="8" t="s">
        <v>1159</v>
      </c>
      <c r="D1375" s="9" t="str">
        <f>HYPERLINK("https://12go.asia/en/travel/Kankesanthurai/Ganewatta", "12Go Link")</f>
        <v>12Go Link</v>
      </c>
      <c r="E1375" s="8" t="s">
        <v>870</v>
      </c>
    </row>
    <row r="1376">
      <c r="A1376" s="8" t="s">
        <v>884</v>
      </c>
      <c r="B1376" s="8" t="s">
        <v>882</v>
      </c>
      <c r="C1376" s="8" t="s">
        <v>1160</v>
      </c>
      <c r="D1376" s="9" t="str">
        <f>HYPERLINK("https://12go.asia/en/travel/Kankesanthurai/Jaffna-Train-Station", "12Go Link")</f>
        <v>12Go Link</v>
      </c>
      <c r="E1376" s="8" t="s">
        <v>870</v>
      </c>
    </row>
    <row r="1377">
      <c r="A1377" s="8" t="s">
        <v>884</v>
      </c>
      <c r="B1377" s="8" t="s">
        <v>886</v>
      </c>
      <c r="C1377" s="8" t="s">
        <v>1161</v>
      </c>
      <c r="D1377" s="9" t="str">
        <f>HYPERLINK("https://12go.asia/en/travel/Kankesanthurai/Kilinochchi", "12Go Link")</f>
        <v>12Go Link</v>
      </c>
      <c r="E1377" s="8" t="s">
        <v>870</v>
      </c>
    </row>
    <row r="1378">
      <c r="A1378" s="8" t="s">
        <v>884</v>
      </c>
      <c r="B1378" s="8" t="s">
        <v>888</v>
      </c>
      <c r="C1378" s="8" t="s">
        <v>1162</v>
      </c>
      <c r="D1378" s="9" t="str">
        <f>HYPERLINK("https://12go.asia/en/travel/Kankesanthurai/Kodikamam", "12Go Link")</f>
        <v>12Go Link</v>
      </c>
      <c r="E1378" s="8" t="s">
        <v>870</v>
      </c>
    </row>
    <row r="1379">
      <c r="A1379" s="8" t="s">
        <v>884</v>
      </c>
      <c r="B1379" s="8" t="s">
        <v>890</v>
      </c>
      <c r="C1379" s="8" t="s">
        <v>1163</v>
      </c>
      <c r="D1379" s="9" t="str">
        <f>HYPERLINK("https://12go.asia/en/travel/Kankesanthurai/Alawwa", "12Go Link")</f>
        <v>12Go Link</v>
      </c>
      <c r="E1379" s="8" t="s">
        <v>870</v>
      </c>
    </row>
    <row r="1380">
      <c r="A1380" s="8" t="s">
        <v>884</v>
      </c>
      <c r="B1380" s="8" t="s">
        <v>890</v>
      </c>
      <c r="C1380" s="8" t="s">
        <v>1164</v>
      </c>
      <c r="D1380" s="9" t="str">
        <f>HYPERLINK("https://12go.asia/en/travel/Kankesanthurai/Kurunegala", "12Go Link")</f>
        <v>12Go Link</v>
      </c>
      <c r="E1380" s="8" t="s">
        <v>870</v>
      </c>
    </row>
    <row r="1381">
      <c r="A1381" s="8" t="s">
        <v>884</v>
      </c>
      <c r="B1381" s="8" t="s">
        <v>890</v>
      </c>
      <c r="C1381" s="8" t="s">
        <v>1165</v>
      </c>
      <c r="D1381" s="9" t="str">
        <f>HYPERLINK("https://12go.asia/en/travel/Kankesanthurai/Wellawa", "12Go Link")</f>
        <v>12Go Link</v>
      </c>
      <c r="E1381" s="8" t="s">
        <v>870</v>
      </c>
    </row>
    <row r="1382">
      <c r="A1382" s="8" t="s">
        <v>884</v>
      </c>
      <c r="B1382" s="8" t="s">
        <v>894</v>
      </c>
      <c r="C1382" s="8" t="s">
        <v>1166</v>
      </c>
      <c r="D1382" s="9" t="str">
        <f>HYPERLINK("https://12go.asia/en/travel/Kankesanthurai/Galgamuwa", "12Go Link")</f>
        <v>12Go Link</v>
      </c>
      <c r="E1382" s="8" t="s">
        <v>870</v>
      </c>
    </row>
    <row r="1383">
      <c r="A1383" s="8" t="s">
        <v>884</v>
      </c>
      <c r="B1383" s="8" t="s">
        <v>894</v>
      </c>
      <c r="C1383" s="8" t="s">
        <v>1167</v>
      </c>
      <c r="D1383" s="9" t="str">
        <f>HYPERLINK("https://12go.asia/en/travel/Kankesanthurai/Maho", "12Go Link")</f>
        <v>12Go Link</v>
      </c>
      <c r="E1383" s="8" t="s">
        <v>870</v>
      </c>
    </row>
    <row r="1384">
      <c r="A1384" s="8" t="s">
        <v>884</v>
      </c>
      <c r="B1384" s="8" t="s">
        <v>894</v>
      </c>
      <c r="C1384" s="8" t="s">
        <v>1168</v>
      </c>
      <c r="D1384" s="9" t="str">
        <f>HYPERLINK("https://12go.asia/en/travel/Kankesanthurai/Nagollagama", "12Go Link")</f>
        <v>12Go Link</v>
      </c>
      <c r="E1384" s="8" t="s">
        <v>870</v>
      </c>
    </row>
    <row r="1385">
      <c r="A1385" s="8" t="s">
        <v>884</v>
      </c>
      <c r="B1385" s="8" t="s">
        <v>898</v>
      </c>
      <c r="C1385" s="8" t="s">
        <v>1169</v>
      </c>
      <c r="D1385" s="9" t="str">
        <f>HYPERLINK("https://12go.asia/en/travel/Kankesanthurai/Mirigama", "12Go Link")</f>
        <v>12Go Link</v>
      </c>
      <c r="E1385" s="8" t="s">
        <v>870</v>
      </c>
    </row>
    <row r="1386">
      <c r="A1386" s="8" t="s">
        <v>884</v>
      </c>
      <c r="B1386" s="8" t="s">
        <v>900</v>
      </c>
      <c r="C1386" s="8" t="s">
        <v>1170</v>
      </c>
      <c r="D1386" s="9" t="str">
        <f>HYPERLINK("https://12go.asia/en/travel/Kankesanthurai/Senarathgama", "12Go Link")</f>
        <v>12Go Link</v>
      </c>
      <c r="E1386" s="8" t="s">
        <v>870</v>
      </c>
    </row>
    <row r="1387">
      <c r="A1387" s="8" t="s">
        <v>884</v>
      </c>
      <c r="B1387" s="8" t="s">
        <v>902</v>
      </c>
      <c r="C1387" s="8" t="s">
        <v>1171</v>
      </c>
      <c r="D1387" s="9" t="str">
        <f>HYPERLINK("https://12go.asia/en/travel/Kankesanthurai/Polgahawela", "12Go Link")</f>
        <v>12Go Link</v>
      </c>
      <c r="E1387" s="8" t="s">
        <v>870</v>
      </c>
    </row>
    <row r="1388">
      <c r="A1388" s="8" t="s">
        <v>884</v>
      </c>
      <c r="B1388" s="8" t="s">
        <v>904</v>
      </c>
      <c r="C1388" s="8" t="s">
        <v>1172</v>
      </c>
      <c r="D1388" s="9" t="str">
        <f>HYPERLINK("https://12go.asia/en/travel/Kankesanthurai/Talawa", "12Go Link")</f>
        <v>12Go Link</v>
      </c>
      <c r="E1388" s="8" t="s">
        <v>870</v>
      </c>
    </row>
    <row r="1389">
      <c r="A1389" s="8" t="s">
        <v>884</v>
      </c>
      <c r="B1389" s="8" t="s">
        <v>906</v>
      </c>
      <c r="C1389" s="8" t="s">
        <v>1173</v>
      </c>
      <c r="D1389" s="9" t="str">
        <f>HYPERLINK("https://12go.asia/en/travel/Kankesanthurai/Thambuttegama", "12Go Link")</f>
        <v>12Go Link</v>
      </c>
      <c r="E1389" s="8" t="s">
        <v>870</v>
      </c>
    </row>
    <row r="1390">
      <c r="A1390" s="8" t="s">
        <v>884</v>
      </c>
      <c r="B1390" s="8" t="s">
        <v>908</v>
      </c>
      <c r="C1390" s="8" t="s">
        <v>1174</v>
      </c>
      <c r="D1390" s="9" t="str">
        <f>HYPERLINK("https://12go.asia/en/travel/Kankesanthurai/Vavuniya", "12Go Link")</f>
        <v>12Go Link</v>
      </c>
      <c r="E1390" s="8" t="s">
        <v>870</v>
      </c>
    </row>
    <row r="1391">
      <c r="A1391" s="8" t="s">
        <v>884</v>
      </c>
      <c r="B1391" s="8" t="s">
        <v>910</v>
      </c>
      <c r="C1391" s="8" t="s">
        <v>1175</v>
      </c>
      <c r="D1391" s="9" t="str">
        <f>HYPERLINK("https://12go.asia/en/travel/Kankesanthurai/Veyangoda", "12Go Link")</f>
        <v>12Go Link</v>
      </c>
      <c r="E1391" s="8" t="s">
        <v>870</v>
      </c>
    </row>
    <row r="1392">
      <c r="A1392" s="6" t="s">
        <v>886</v>
      </c>
      <c r="B1392" s="6" t="s">
        <v>867</v>
      </c>
      <c r="C1392" s="6" t="s">
        <v>1176</v>
      </c>
      <c r="D1392" s="7" t="str">
        <f>HYPERLINK("https://12go.asia/en/travel/Kilinochchi/Ambanpola", "12Go Link")</f>
        <v>12Go Link</v>
      </c>
      <c r="E1392" s="6" t="s">
        <v>870</v>
      </c>
    </row>
    <row r="1393">
      <c r="A1393" s="6" t="s">
        <v>886</v>
      </c>
      <c r="B1393" s="6" t="s">
        <v>868</v>
      </c>
      <c r="C1393" s="6" t="s">
        <v>1177</v>
      </c>
      <c r="D1393" s="7" t="str">
        <f>HYPERLINK("https://12go.asia/en/travel/Kilinochchi/Ambepussa", "12Go Link")</f>
        <v>12Go Link</v>
      </c>
      <c r="E1393" s="6" t="s">
        <v>870</v>
      </c>
    </row>
    <row r="1394">
      <c r="A1394" s="6" t="s">
        <v>886</v>
      </c>
      <c r="B1394" s="6" t="s">
        <v>871</v>
      </c>
      <c r="C1394" s="6" t="s">
        <v>1178</v>
      </c>
      <c r="D1394" s="7" t="str">
        <f>HYPERLINK("https://12go.asia/en/travel/Kilinochchi/Anuradhapura", "12Go Link")</f>
        <v>12Go Link</v>
      </c>
      <c r="E1394" s="6" t="s">
        <v>870</v>
      </c>
    </row>
    <row r="1395">
      <c r="A1395" s="6" t="s">
        <v>886</v>
      </c>
      <c r="B1395" s="6" t="s">
        <v>871</v>
      </c>
      <c r="C1395" s="6" t="s">
        <v>1179</v>
      </c>
      <c r="D1395" s="7" t="str">
        <f>HYPERLINK("https://12go.asia/en/travel/Kilinochchi/Shrawasthipura", "12Go Link")</f>
        <v>12Go Link</v>
      </c>
      <c r="E1395" s="6" t="s">
        <v>870</v>
      </c>
    </row>
    <row r="1396">
      <c r="A1396" s="6" t="s">
        <v>886</v>
      </c>
      <c r="B1396" s="6" t="s">
        <v>874</v>
      </c>
      <c r="C1396" s="6" t="s">
        <v>1180</v>
      </c>
      <c r="D1396" s="7" t="str">
        <f>HYPERLINK("https://12go.asia/en/travel/Kilinochchi/Colombo-Fort", "12Go Link")</f>
        <v>12Go Link</v>
      </c>
      <c r="E1396" s="6" t="s">
        <v>870</v>
      </c>
    </row>
    <row r="1397">
      <c r="A1397" s="6" t="s">
        <v>886</v>
      </c>
      <c r="B1397" s="6" t="s">
        <v>874</v>
      </c>
      <c r="C1397" s="6" t="s">
        <v>1181</v>
      </c>
      <c r="D1397" s="7" t="str">
        <f>HYPERLINK("https://12go.asia/en/travel/Kilinochchi/Mount-Lavinia", "12Go Link")</f>
        <v>12Go Link</v>
      </c>
      <c r="E1397" s="6" t="s">
        <v>870</v>
      </c>
    </row>
    <row r="1398">
      <c r="A1398" s="6" t="s">
        <v>886</v>
      </c>
      <c r="B1398" s="6" t="s">
        <v>874</v>
      </c>
      <c r="C1398" s="6" t="s">
        <v>1182</v>
      </c>
      <c r="D1398" s="7" t="str">
        <f>HYPERLINK("https://12go.asia/en/travel/Kilinochchi/Wellawatta", "12Go Link")</f>
        <v>12Go Link</v>
      </c>
      <c r="E1398" s="6" t="s">
        <v>870</v>
      </c>
    </row>
    <row r="1399">
      <c r="A1399" s="6" t="s">
        <v>886</v>
      </c>
      <c r="B1399" s="6" t="s">
        <v>878</v>
      </c>
      <c r="C1399" s="6" t="s">
        <v>1183</v>
      </c>
      <c r="D1399" s="7" t="str">
        <f>HYPERLINK("https://12go.asia/en/travel/Kilinochchi/Gampaha", "12Go Link")</f>
        <v>12Go Link</v>
      </c>
      <c r="E1399" s="6" t="s">
        <v>870</v>
      </c>
    </row>
    <row r="1400">
      <c r="A1400" s="6" t="s">
        <v>886</v>
      </c>
      <c r="B1400" s="6" t="s">
        <v>880</v>
      </c>
      <c r="C1400" s="6" t="s">
        <v>1184</v>
      </c>
      <c r="D1400" s="7" t="str">
        <f>HYPERLINK("https://12go.asia/en/travel/Kilinochchi/Ganewatta", "12Go Link")</f>
        <v>12Go Link</v>
      </c>
      <c r="E1400" s="6" t="s">
        <v>870</v>
      </c>
    </row>
    <row r="1401">
      <c r="A1401" s="6" t="s">
        <v>886</v>
      </c>
      <c r="B1401" s="6" t="s">
        <v>882</v>
      </c>
      <c r="C1401" s="6" t="s">
        <v>1185</v>
      </c>
      <c r="D1401" s="7" t="str">
        <f>HYPERLINK("https://12go.asia/en/travel/Kilinochchi/Jaffna-Train-Station", "12Go Link")</f>
        <v>12Go Link</v>
      </c>
      <c r="E1401" s="6" t="s">
        <v>870</v>
      </c>
    </row>
    <row r="1402">
      <c r="A1402" s="6" t="s">
        <v>886</v>
      </c>
      <c r="B1402" s="6" t="s">
        <v>884</v>
      </c>
      <c r="C1402" s="6" t="s">
        <v>1186</v>
      </c>
      <c r="D1402" s="7" t="str">
        <f>HYPERLINK("https://12go.asia/en/travel/Kilinochchi/Kankesanthurai", "12Go Link")</f>
        <v>12Go Link</v>
      </c>
      <c r="E1402" s="6" t="s">
        <v>870</v>
      </c>
    </row>
    <row r="1403">
      <c r="A1403" s="6" t="s">
        <v>886</v>
      </c>
      <c r="B1403" s="6" t="s">
        <v>888</v>
      </c>
      <c r="C1403" s="6" t="s">
        <v>1187</v>
      </c>
      <c r="D1403" s="7" t="str">
        <f>HYPERLINK("https://12go.asia/en/travel/Kilinochchi/Kodikamam", "12Go Link")</f>
        <v>12Go Link</v>
      </c>
      <c r="E1403" s="6" t="s">
        <v>870</v>
      </c>
    </row>
    <row r="1404">
      <c r="A1404" s="6" t="s">
        <v>886</v>
      </c>
      <c r="B1404" s="6" t="s">
        <v>890</v>
      </c>
      <c r="C1404" s="6" t="s">
        <v>1188</v>
      </c>
      <c r="D1404" s="7" t="str">
        <f>HYPERLINK("https://12go.asia/en/travel/Kilinochchi/Alawwa", "12Go Link")</f>
        <v>12Go Link</v>
      </c>
      <c r="E1404" s="6" t="s">
        <v>870</v>
      </c>
    </row>
    <row r="1405">
      <c r="A1405" s="6" t="s">
        <v>886</v>
      </c>
      <c r="B1405" s="6" t="s">
        <v>890</v>
      </c>
      <c r="C1405" s="6" t="s">
        <v>1189</v>
      </c>
      <c r="D1405" s="7" t="str">
        <f>HYPERLINK("https://12go.asia/en/travel/Kilinochchi/Kurunegala", "12Go Link")</f>
        <v>12Go Link</v>
      </c>
      <c r="E1405" s="6" t="s">
        <v>870</v>
      </c>
    </row>
    <row r="1406">
      <c r="A1406" s="6" t="s">
        <v>886</v>
      </c>
      <c r="B1406" s="6" t="s">
        <v>890</v>
      </c>
      <c r="C1406" s="6" t="s">
        <v>1190</v>
      </c>
      <c r="D1406" s="7" t="str">
        <f>HYPERLINK("https://12go.asia/en/travel/Kilinochchi/Wellawa", "12Go Link")</f>
        <v>12Go Link</v>
      </c>
      <c r="E1406" s="6" t="s">
        <v>870</v>
      </c>
    </row>
    <row r="1407">
      <c r="A1407" s="6" t="s">
        <v>886</v>
      </c>
      <c r="B1407" s="6" t="s">
        <v>894</v>
      </c>
      <c r="C1407" s="6" t="s">
        <v>1191</v>
      </c>
      <c r="D1407" s="7" t="str">
        <f>HYPERLINK("https://12go.asia/en/travel/Kilinochchi/Galgamuwa", "12Go Link")</f>
        <v>12Go Link</v>
      </c>
      <c r="E1407" s="6" t="s">
        <v>870</v>
      </c>
    </row>
    <row r="1408">
      <c r="A1408" s="6" t="s">
        <v>886</v>
      </c>
      <c r="B1408" s="6" t="s">
        <v>894</v>
      </c>
      <c r="C1408" s="6" t="s">
        <v>1192</v>
      </c>
      <c r="D1408" s="7" t="str">
        <f>HYPERLINK("https://12go.asia/en/travel/Kilinochchi/Maho", "12Go Link")</f>
        <v>12Go Link</v>
      </c>
      <c r="E1408" s="6" t="s">
        <v>870</v>
      </c>
    </row>
    <row r="1409">
      <c r="A1409" s="6" t="s">
        <v>886</v>
      </c>
      <c r="B1409" s="6" t="s">
        <v>894</v>
      </c>
      <c r="C1409" s="6" t="s">
        <v>1193</v>
      </c>
      <c r="D1409" s="7" t="str">
        <f>HYPERLINK("https://12go.asia/en/travel/Kilinochchi/Nagollagama", "12Go Link")</f>
        <v>12Go Link</v>
      </c>
      <c r="E1409" s="6" t="s">
        <v>870</v>
      </c>
    </row>
    <row r="1410">
      <c r="A1410" s="6" t="s">
        <v>886</v>
      </c>
      <c r="B1410" s="6" t="s">
        <v>898</v>
      </c>
      <c r="C1410" s="6" t="s">
        <v>1194</v>
      </c>
      <c r="D1410" s="7" t="str">
        <f>HYPERLINK("https://12go.asia/en/travel/Kilinochchi/Mirigama", "12Go Link")</f>
        <v>12Go Link</v>
      </c>
      <c r="E1410" s="6" t="s">
        <v>870</v>
      </c>
    </row>
    <row r="1411">
      <c r="A1411" s="6" t="s">
        <v>886</v>
      </c>
      <c r="B1411" s="6" t="s">
        <v>900</v>
      </c>
      <c r="C1411" s="6" t="s">
        <v>1195</v>
      </c>
      <c r="D1411" s="7" t="str">
        <f>HYPERLINK("https://12go.asia/en/travel/Kilinochchi/Senarathgama", "12Go Link")</f>
        <v>12Go Link</v>
      </c>
      <c r="E1411" s="6" t="s">
        <v>870</v>
      </c>
    </row>
    <row r="1412">
      <c r="A1412" s="6" t="s">
        <v>886</v>
      </c>
      <c r="B1412" s="6" t="s">
        <v>902</v>
      </c>
      <c r="C1412" s="6" t="s">
        <v>1196</v>
      </c>
      <c r="D1412" s="7" t="str">
        <f>HYPERLINK("https://12go.asia/en/travel/Kilinochchi/Polgahawela", "12Go Link")</f>
        <v>12Go Link</v>
      </c>
      <c r="E1412" s="6" t="s">
        <v>870</v>
      </c>
    </row>
    <row r="1413">
      <c r="A1413" s="6" t="s">
        <v>886</v>
      </c>
      <c r="B1413" s="6" t="s">
        <v>904</v>
      </c>
      <c r="C1413" s="6" t="s">
        <v>1197</v>
      </c>
      <c r="D1413" s="7" t="str">
        <f>HYPERLINK("https://12go.asia/en/travel/Kilinochchi/Talawa", "12Go Link")</f>
        <v>12Go Link</v>
      </c>
      <c r="E1413" s="6" t="s">
        <v>870</v>
      </c>
    </row>
    <row r="1414">
      <c r="A1414" s="6" t="s">
        <v>886</v>
      </c>
      <c r="B1414" s="6" t="s">
        <v>906</v>
      </c>
      <c r="C1414" s="6" t="s">
        <v>1198</v>
      </c>
      <c r="D1414" s="7" t="str">
        <f>HYPERLINK("https://12go.asia/en/travel/Kilinochchi/Thambuttegama", "12Go Link")</f>
        <v>12Go Link</v>
      </c>
      <c r="E1414" s="6" t="s">
        <v>870</v>
      </c>
    </row>
    <row r="1415">
      <c r="A1415" s="6" t="s">
        <v>886</v>
      </c>
      <c r="B1415" s="6" t="s">
        <v>908</v>
      </c>
      <c r="C1415" s="6" t="s">
        <v>1199</v>
      </c>
      <c r="D1415" s="7" t="str">
        <f>HYPERLINK("https://12go.asia/en/travel/Kilinochchi/Vavuniya", "12Go Link")</f>
        <v>12Go Link</v>
      </c>
      <c r="E1415" s="6" t="s">
        <v>870</v>
      </c>
    </row>
    <row r="1416">
      <c r="A1416" s="6" t="s">
        <v>886</v>
      </c>
      <c r="B1416" s="6" t="s">
        <v>910</v>
      </c>
      <c r="C1416" s="6" t="s">
        <v>1200</v>
      </c>
      <c r="D1416" s="7" t="str">
        <f>HYPERLINK("https://12go.asia/en/travel/Kilinochchi/Veyangoda", "12Go Link")</f>
        <v>12Go Link</v>
      </c>
      <c r="E1416" s="6" t="s">
        <v>870</v>
      </c>
    </row>
    <row r="1417">
      <c r="A1417" s="8" t="s">
        <v>888</v>
      </c>
      <c r="B1417" s="8" t="s">
        <v>867</v>
      </c>
      <c r="C1417" s="8" t="s">
        <v>1201</v>
      </c>
      <c r="D1417" s="9" t="str">
        <f>HYPERLINK("https://12go.asia/en/travel/Kodikamam/Ambanpola", "12Go Link")</f>
        <v>12Go Link</v>
      </c>
      <c r="E1417" s="8" t="s">
        <v>870</v>
      </c>
    </row>
    <row r="1418">
      <c r="A1418" s="8" t="s">
        <v>888</v>
      </c>
      <c r="B1418" s="8" t="s">
        <v>868</v>
      </c>
      <c r="C1418" s="8" t="s">
        <v>1202</v>
      </c>
      <c r="D1418" s="9" t="str">
        <f>HYPERLINK("https://12go.asia/en/travel/Kodikamam/Ambepussa", "12Go Link")</f>
        <v>12Go Link</v>
      </c>
      <c r="E1418" s="8" t="s">
        <v>870</v>
      </c>
    </row>
    <row r="1419">
      <c r="A1419" s="8" t="s">
        <v>888</v>
      </c>
      <c r="B1419" s="8" t="s">
        <v>871</v>
      </c>
      <c r="C1419" s="8" t="s">
        <v>1203</v>
      </c>
      <c r="D1419" s="9" t="str">
        <f>HYPERLINK("https://12go.asia/en/travel/Kodikamam/Anuradhapura", "12Go Link")</f>
        <v>12Go Link</v>
      </c>
      <c r="E1419" s="8" t="s">
        <v>870</v>
      </c>
    </row>
    <row r="1420">
      <c r="A1420" s="8" t="s">
        <v>888</v>
      </c>
      <c r="B1420" s="8" t="s">
        <v>871</v>
      </c>
      <c r="C1420" s="8" t="s">
        <v>1204</v>
      </c>
      <c r="D1420" s="9" t="str">
        <f>HYPERLINK("https://12go.asia/en/travel/Kodikamam/Shrawasthipura", "12Go Link")</f>
        <v>12Go Link</v>
      </c>
      <c r="E1420" s="8" t="s">
        <v>870</v>
      </c>
    </row>
    <row r="1421">
      <c r="A1421" s="8" t="s">
        <v>888</v>
      </c>
      <c r="B1421" s="8" t="s">
        <v>874</v>
      </c>
      <c r="C1421" s="8" t="s">
        <v>1205</v>
      </c>
      <c r="D1421" s="9" t="str">
        <f>HYPERLINK("https://12go.asia/en/travel/Kodikamam/Colombo-Fort", "12Go Link")</f>
        <v>12Go Link</v>
      </c>
      <c r="E1421" s="8" t="s">
        <v>870</v>
      </c>
    </row>
    <row r="1422">
      <c r="A1422" s="8" t="s">
        <v>888</v>
      </c>
      <c r="B1422" s="8" t="s">
        <v>874</v>
      </c>
      <c r="C1422" s="8" t="s">
        <v>1206</v>
      </c>
      <c r="D1422" s="9" t="str">
        <f>HYPERLINK("https://12go.asia/en/travel/Kodikamam/Mount-Lavinia", "12Go Link")</f>
        <v>12Go Link</v>
      </c>
      <c r="E1422" s="8" t="s">
        <v>870</v>
      </c>
    </row>
    <row r="1423">
      <c r="A1423" s="8" t="s">
        <v>888</v>
      </c>
      <c r="B1423" s="8" t="s">
        <v>874</v>
      </c>
      <c r="C1423" s="8" t="s">
        <v>1207</v>
      </c>
      <c r="D1423" s="9" t="str">
        <f>HYPERLINK("https://12go.asia/en/travel/Kodikamam/Wellawatta", "12Go Link")</f>
        <v>12Go Link</v>
      </c>
      <c r="E1423" s="8" t="s">
        <v>870</v>
      </c>
    </row>
    <row r="1424">
      <c r="A1424" s="8" t="s">
        <v>888</v>
      </c>
      <c r="B1424" s="8" t="s">
        <v>878</v>
      </c>
      <c r="C1424" s="8" t="s">
        <v>1208</v>
      </c>
      <c r="D1424" s="9" t="str">
        <f>HYPERLINK("https://12go.asia/en/travel/Kodikamam/Gampaha", "12Go Link")</f>
        <v>12Go Link</v>
      </c>
      <c r="E1424" s="8" t="s">
        <v>870</v>
      </c>
    </row>
    <row r="1425">
      <c r="A1425" s="8" t="s">
        <v>888</v>
      </c>
      <c r="B1425" s="8" t="s">
        <v>880</v>
      </c>
      <c r="C1425" s="8" t="s">
        <v>1209</v>
      </c>
      <c r="D1425" s="9" t="str">
        <f>HYPERLINK("https://12go.asia/en/travel/Kodikamam/Ganewatta", "12Go Link")</f>
        <v>12Go Link</v>
      </c>
      <c r="E1425" s="8" t="s">
        <v>870</v>
      </c>
    </row>
    <row r="1426">
      <c r="A1426" s="8" t="s">
        <v>888</v>
      </c>
      <c r="B1426" s="8" t="s">
        <v>882</v>
      </c>
      <c r="C1426" s="8" t="s">
        <v>1210</v>
      </c>
      <c r="D1426" s="9" t="str">
        <f>HYPERLINK("https://12go.asia/en/travel/Kodikamam/Jaffna-Train-Station", "12Go Link")</f>
        <v>12Go Link</v>
      </c>
      <c r="E1426" s="8" t="s">
        <v>870</v>
      </c>
    </row>
    <row r="1427">
      <c r="A1427" s="8" t="s">
        <v>888</v>
      </c>
      <c r="B1427" s="8" t="s">
        <v>884</v>
      </c>
      <c r="C1427" s="8" t="s">
        <v>1211</v>
      </c>
      <c r="D1427" s="9" t="str">
        <f>HYPERLINK("https://12go.asia/en/travel/Kodikamam/Kankesanthurai", "12Go Link")</f>
        <v>12Go Link</v>
      </c>
      <c r="E1427" s="8" t="s">
        <v>870</v>
      </c>
    </row>
    <row r="1428">
      <c r="A1428" s="8" t="s">
        <v>888</v>
      </c>
      <c r="B1428" s="8" t="s">
        <v>886</v>
      </c>
      <c r="C1428" s="8" t="s">
        <v>1212</v>
      </c>
      <c r="D1428" s="9" t="str">
        <f>HYPERLINK("https://12go.asia/en/travel/Kodikamam/Kilinochchi", "12Go Link")</f>
        <v>12Go Link</v>
      </c>
      <c r="E1428" s="8" t="s">
        <v>870</v>
      </c>
    </row>
    <row r="1429">
      <c r="A1429" s="8" t="s">
        <v>888</v>
      </c>
      <c r="B1429" s="8" t="s">
        <v>890</v>
      </c>
      <c r="C1429" s="8" t="s">
        <v>1213</v>
      </c>
      <c r="D1429" s="9" t="str">
        <f>HYPERLINK("https://12go.asia/en/travel/Kodikamam/Alawwa", "12Go Link")</f>
        <v>12Go Link</v>
      </c>
      <c r="E1429" s="8" t="s">
        <v>870</v>
      </c>
    </row>
    <row r="1430">
      <c r="A1430" s="8" t="s">
        <v>888</v>
      </c>
      <c r="B1430" s="8" t="s">
        <v>890</v>
      </c>
      <c r="C1430" s="8" t="s">
        <v>1214</v>
      </c>
      <c r="D1430" s="9" t="str">
        <f>HYPERLINK("https://12go.asia/en/travel/Kodikamam/Kurunegala", "12Go Link")</f>
        <v>12Go Link</v>
      </c>
      <c r="E1430" s="8" t="s">
        <v>870</v>
      </c>
    </row>
    <row r="1431">
      <c r="A1431" s="8" t="s">
        <v>888</v>
      </c>
      <c r="B1431" s="8" t="s">
        <v>890</v>
      </c>
      <c r="C1431" s="8" t="s">
        <v>1215</v>
      </c>
      <c r="D1431" s="9" t="str">
        <f>HYPERLINK("https://12go.asia/en/travel/Kodikamam/Wellawa", "12Go Link")</f>
        <v>12Go Link</v>
      </c>
      <c r="E1431" s="8" t="s">
        <v>870</v>
      </c>
    </row>
    <row r="1432">
      <c r="A1432" s="8" t="s">
        <v>888</v>
      </c>
      <c r="B1432" s="8" t="s">
        <v>894</v>
      </c>
      <c r="C1432" s="8" t="s">
        <v>1216</v>
      </c>
      <c r="D1432" s="9" t="str">
        <f>HYPERLINK("https://12go.asia/en/travel/Kodikamam/Galgamuwa", "12Go Link")</f>
        <v>12Go Link</v>
      </c>
      <c r="E1432" s="8" t="s">
        <v>870</v>
      </c>
    </row>
    <row r="1433">
      <c r="A1433" s="8" t="s">
        <v>888</v>
      </c>
      <c r="B1433" s="8" t="s">
        <v>894</v>
      </c>
      <c r="C1433" s="8" t="s">
        <v>1217</v>
      </c>
      <c r="D1433" s="9" t="str">
        <f>HYPERLINK("https://12go.asia/en/travel/Kodikamam/Maho", "12Go Link")</f>
        <v>12Go Link</v>
      </c>
      <c r="E1433" s="8" t="s">
        <v>870</v>
      </c>
    </row>
    <row r="1434">
      <c r="A1434" s="8" t="s">
        <v>888</v>
      </c>
      <c r="B1434" s="8" t="s">
        <v>894</v>
      </c>
      <c r="C1434" s="8" t="s">
        <v>1218</v>
      </c>
      <c r="D1434" s="9" t="str">
        <f>HYPERLINK("https://12go.asia/en/travel/Kodikamam/Nagollagama", "12Go Link")</f>
        <v>12Go Link</v>
      </c>
      <c r="E1434" s="8" t="s">
        <v>870</v>
      </c>
    </row>
    <row r="1435">
      <c r="A1435" s="8" t="s">
        <v>888</v>
      </c>
      <c r="B1435" s="8" t="s">
        <v>898</v>
      </c>
      <c r="C1435" s="8" t="s">
        <v>1219</v>
      </c>
      <c r="D1435" s="9" t="str">
        <f>HYPERLINK("https://12go.asia/en/travel/Kodikamam/Mirigama", "12Go Link")</f>
        <v>12Go Link</v>
      </c>
      <c r="E1435" s="8" t="s">
        <v>870</v>
      </c>
    </row>
    <row r="1436">
      <c r="A1436" s="8" t="s">
        <v>888</v>
      </c>
      <c r="B1436" s="8" t="s">
        <v>900</v>
      </c>
      <c r="C1436" s="8" t="s">
        <v>1220</v>
      </c>
      <c r="D1436" s="9" t="str">
        <f>HYPERLINK("https://12go.asia/en/travel/Kodikamam/Senarathgama", "12Go Link")</f>
        <v>12Go Link</v>
      </c>
      <c r="E1436" s="8" t="s">
        <v>870</v>
      </c>
    </row>
    <row r="1437">
      <c r="A1437" s="8" t="s">
        <v>888</v>
      </c>
      <c r="B1437" s="8" t="s">
        <v>902</v>
      </c>
      <c r="C1437" s="8" t="s">
        <v>1221</v>
      </c>
      <c r="D1437" s="9" t="str">
        <f>HYPERLINK("https://12go.asia/en/travel/Kodikamam/Polgahawela", "12Go Link")</f>
        <v>12Go Link</v>
      </c>
      <c r="E1437" s="8" t="s">
        <v>870</v>
      </c>
    </row>
    <row r="1438">
      <c r="A1438" s="8" t="s">
        <v>888</v>
      </c>
      <c r="B1438" s="8" t="s">
        <v>904</v>
      </c>
      <c r="C1438" s="8" t="s">
        <v>1222</v>
      </c>
      <c r="D1438" s="9" t="str">
        <f>HYPERLINK("https://12go.asia/en/travel/Kodikamam/Talawa", "12Go Link")</f>
        <v>12Go Link</v>
      </c>
      <c r="E1438" s="8" t="s">
        <v>870</v>
      </c>
    </row>
    <row r="1439">
      <c r="A1439" s="8" t="s">
        <v>888</v>
      </c>
      <c r="B1439" s="8" t="s">
        <v>906</v>
      </c>
      <c r="C1439" s="8" t="s">
        <v>1223</v>
      </c>
      <c r="D1439" s="9" t="str">
        <f>HYPERLINK("https://12go.asia/en/travel/Kodikamam/Thambuttegama", "12Go Link")</f>
        <v>12Go Link</v>
      </c>
      <c r="E1439" s="8" t="s">
        <v>870</v>
      </c>
    </row>
    <row r="1440">
      <c r="A1440" s="8" t="s">
        <v>888</v>
      </c>
      <c r="B1440" s="8" t="s">
        <v>908</v>
      </c>
      <c r="C1440" s="8" t="s">
        <v>1224</v>
      </c>
      <c r="D1440" s="9" t="str">
        <f>HYPERLINK("https://12go.asia/en/travel/Kodikamam/Vavuniya", "12Go Link")</f>
        <v>12Go Link</v>
      </c>
      <c r="E1440" s="8" t="s">
        <v>870</v>
      </c>
    </row>
    <row r="1441">
      <c r="A1441" s="8" t="s">
        <v>888</v>
      </c>
      <c r="B1441" s="8" t="s">
        <v>910</v>
      </c>
      <c r="C1441" s="8" t="s">
        <v>1225</v>
      </c>
      <c r="D1441" s="9" t="str">
        <f>HYPERLINK("https://12go.asia/en/travel/Kodikamam/Veyangoda", "12Go Link")</f>
        <v>12Go Link</v>
      </c>
      <c r="E1441" s="8" t="s">
        <v>870</v>
      </c>
    </row>
    <row r="1442">
      <c r="A1442" s="6" t="s">
        <v>890</v>
      </c>
      <c r="B1442" s="6" t="s">
        <v>867</v>
      </c>
      <c r="C1442" s="6" t="s">
        <v>1226</v>
      </c>
      <c r="D1442" s="7" t="str">
        <f>HYPERLINK("https://12go.asia/en/travel/Alawwa/Ambanpola", "12Go Link")</f>
        <v>12Go Link</v>
      </c>
      <c r="E1442" s="6" t="s">
        <v>870</v>
      </c>
    </row>
    <row r="1443">
      <c r="A1443" s="6" t="s">
        <v>890</v>
      </c>
      <c r="B1443" s="6" t="s">
        <v>867</v>
      </c>
      <c r="C1443" s="6" t="s">
        <v>1227</v>
      </c>
      <c r="D1443" s="7" t="str">
        <f>HYPERLINK("https://12go.asia/en/travel/Kurunegala/Ambanpola", "12Go Link")</f>
        <v>12Go Link</v>
      </c>
      <c r="E1443" s="6" t="s">
        <v>870</v>
      </c>
    </row>
    <row r="1444">
      <c r="A1444" s="6" t="s">
        <v>890</v>
      </c>
      <c r="B1444" s="6" t="s">
        <v>867</v>
      </c>
      <c r="C1444" s="6" t="s">
        <v>1228</v>
      </c>
      <c r="D1444" s="7" t="str">
        <f>HYPERLINK("https://12go.asia/en/travel/Wellawa/Ambanpola", "12Go Link")</f>
        <v>12Go Link</v>
      </c>
      <c r="E1444" s="6" t="s">
        <v>870</v>
      </c>
    </row>
    <row r="1445">
      <c r="A1445" s="6" t="s">
        <v>890</v>
      </c>
      <c r="B1445" s="6" t="s">
        <v>868</v>
      </c>
      <c r="C1445" s="6" t="s">
        <v>1229</v>
      </c>
      <c r="D1445" s="7" t="str">
        <f>HYPERLINK("https://12go.asia/en/travel/Alawwa/Ambepussa", "12Go Link")</f>
        <v>12Go Link</v>
      </c>
      <c r="E1445" s="6" t="s">
        <v>870</v>
      </c>
    </row>
    <row r="1446">
      <c r="A1446" s="6" t="s">
        <v>890</v>
      </c>
      <c r="B1446" s="6" t="s">
        <v>868</v>
      </c>
      <c r="C1446" s="6" t="s">
        <v>1230</v>
      </c>
      <c r="D1446" s="7" t="str">
        <f>HYPERLINK("https://12go.asia/en/travel/Kurunegala/Ambepussa", "12Go Link")</f>
        <v>12Go Link</v>
      </c>
      <c r="E1446" s="6" t="s">
        <v>870</v>
      </c>
    </row>
    <row r="1447">
      <c r="A1447" s="6" t="s">
        <v>890</v>
      </c>
      <c r="B1447" s="6" t="s">
        <v>868</v>
      </c>
      <c r="C1447" s="6" t="s">
        <v>1231</v>
      </c>
      <c r="D1447" s="7" t="str">
        <f>HYPERLINK("https://12go.asia/en/travel/Wellawa/Ambepussa", "12Go Link")</f>
        <v>12Go Link</v>
      </c>
      <c r="E1447" s="6" t="s">
        <v>870</v>
      </c>
    </row>
    <row r="1448">
      <c r="A1448" s="6" t="s">
        <v>890</v>
      </c>
      <c r="B1448" s="6" t="s">
        <v>871</v>
      </c>
      <c r="C1448" s="6" t="s">
        <v>1232</v>
      </c>
      <c r="D1448" s="7" t="str">
        <f>HYPERLINK("https://12go.asia/en/travel/Alawwa/Anuradhapura", "12Go Link")</f>
        <v>12Go Link</v>
      </c>
      <c r="E1448" s="6" t="s">
        <v>870</v>
      </c>
    </row>
    <row r="1449">
      <c r="A1449" s="6" t="s">
        <v>890</v>
      </c>
      <c r="B1449" s="6" t="s">
        <v>871</v>
      </c>
      <c r="C1449" s="6" t="s">
        <v>1233</v>
      </c>
      <c r="D1449" s="7" t="str">
        <f>HYPERLINK("https://12go.asia/en/travel/Alawwa/Shrawasthipura", "12Go Link")</f>
        <v>12Go Link</v>
      </c>
      <c r="E1449" s="6" t="s">
        <v>870</v>
      </c>
    </row>
    <row r="1450">
      <c r="A1450" s="6" t="s">
        <v>890</v>
      </c>
      <c r="B1450" s="6" t="s">
        <v>871</v>
      </c>
      <c r="C1450" s="6" t="s">
        <v>1234</v>
      </c>
      <c r="D1450" s="7" t="str">
        <f>HYPERLINK("https://12go.asia/en/travel/Kurunegala/Anuradhapura", "12Go Link")</f>
        <v>12Go Link</v>
      </c>
      <c r="E1450" s="6" t="s">
        <v>870</v>
      </c>
    </row>
    <row r="1451">
      <c r="A1451" s="6" t="s">
        <v>890</v>
      </c>
      <c r="B1451" s="6" t="s">
        <v>871</v>
      </c>
      <c r="C1451" s="6" t="s">
        <v>1235</v>
      </c>
      <c r="D1451" s="7" t="str">
        <f>HYPERLINK("https://12go.asia/en/travel/Kurunegala/Shrawasthipura", "12Go Link")</f>
        <v>12Go Link</v>
      </c>
      <c r="E1451" s="6" t="s">
        <v>870</v>
      </c>
    </row>
    <row r="1452">
      <c r="A1452" s="6" t="s">
        <v>890</v>
      </c>
      <c r="B1452" s="6" t="s">
        <v>871</v>
      </c>
      <c r="C1452" s="6" t="s">
        <v>1236</v>
      </c>
      <c r="D1452" s="7" t="str">
        <f>HYPERLINK("https://12go.asia/en/travel/Wellawa/Anuradhapura", "12Go Link")</f>
        <v>12Go Link</v>
      </c>
      <c r="E1452" s="6" t="s">
        <v>870</v>
      </c>
    </row>
    <row r="1453">
      <c r="A1453" s="6" t="s">
        <v>890</v>
      </c>
      <c r="B1453" s="6" t="s">
        <v>871</v>
      </c>
      <c r="C1453" s="6" t="s">
        <v>1237</v>
      </c>
      <c r="D1453" s="7" t="str">
        <f>HYPERLINK("https://12go.asia/en/travel/Wellawa/Shrawasthipura", "12Go Link")</f>
        <v>12Go Link</v>
      </c>
      <c r="E1453" s="6" t="s">
        <v>870</v>
      </c>
    </row>
    <row r="1454">
      <c r="A1454" s="6" t="s">
        <v>890</v>
      </c>
      <c r="B1454" s="6" t="s">
        <v>874</v>
      </c>
      <c r="C1454" s="6" t="s">
        <v>1238</v>
      </c>
      <c r="D1454" s="7" t="str">
        <f>HYPERLINK("https://12go.asia/en/travel/Alawwa/Colombo-Fort", "12Go Link")</f>
        <v>12Go Link</v>
      </c>
      <c r="E1454" s="6" t="s">
        <v>870</v>
      </c>
    </row>
    <row r="1455">
      <c r="A1455" s="6" t="s">
        <v>890</v>
      </c>
      <c r="B1455" s="6" t="s">
        <v>874</v>
      </c>
      <c r="C1455" s="6" t="s">
        <v>1239</v>
      </c>
      <c r="D1455" s="7" t="str">
        <f>HYPERLINK("https://12go.asia/en/travel/Alawwa/Mount-Lavinia", "12Go Link")</f>
        <v>12Go Link</v>
      </c>
      <c r="E1455" s="6" t="s">
        <v>870</v>
      </c>
    </row>
    <row r="1456">
      <c r="A1456" s="6" t="s">
        <v>890</v>
      </c>
      <c r="B1456" s="6" t="s">
        <v>874</v>
      </c>
      <c r="C1456" s="6" t="s">
        <v>1240</v>
      </c>
      <c r="D1456" s="7" t="str">
        <f>HYPERLINK("https://12go.asia/en/travel/Alawwa/Wellawatta", "12Go Link")</f>
        <v>12Go Link</v>
      </c>
      <c r="E1456" s="6" t="s">
        <v>870</v>
      </c>
    </row>
    <row r="1457">
      <c r="A1457" s="6" t="s">
        <v>890</v>
      </c>
      <c r="B1457" s="6" t="s">
        <v>874</v>
      </c>
      <c r="C1457" s="6" t="s">
        <v>1241</v>
      </c>
      <c r="D1457" s="7" t="str">
        <f>HYPERLINK("https://12go.asia/en/travel/Kurunegala/Colombo-Fort", "12Go Link")</f>
        <v>12Go Link</v>
      </c>
      <c r="E1457" s="6" t="s">
        <v>870</v>
      </c>
    </row>
    <row r="1458">
      <c r="A1458" s="6" t="s">
        <v>890</v>
      </c>
      <c r="B1458" s="6" t="s">
        <v>874</v>
      </c>
      <c r="C1458" s="6" t="s">
        <v>1242</v>
      </c>
      <c r="D1458" s="7" t="str">
        <f>HYPERLINK("https://12go.asia/en/travel/Kurunegala/Mount-Lavinia", "12Go Link")</f>
        <v>12Go Link</v>
      </c>
      <c r="E1458" s="6" t="s">
        <v>870</v>
      </c>
    </row>
    <row r="1459">
      <c r="A1459" s="6" t="s">
        <v>890</v>
      </c>
      <c r="B1459" s="6" t="s">
        <v>874</v>
      </c>
      <c r="C1459" s="6" t="s">
        <v>1243</v>
      </c>
      <c r="D1459" s="7" t="str">
        <f>HYPERLINK("https://12go.asia/en/travel/Kurunegala/Wellawatta", "12Go Link")</f>
        <v>12Go Link</v>
      </c>
      <c r="E1459" s="6" t="s">
        <v>870</v>
      </c>
    </row>
    <row r="1460">
      <c r="A1460" s="6" t="s">
        <v>890</v>
      </c>
      <c r="B1460" s="6" t="s">
        <v>874</v>
      </c>
      <c r="C1460" s="6" t="s">
        <v>1244</v>
      </c>
      <c r="D1460" s="7" t="str">
        <f>HYPERLINK("https://12go.asia/en/travel/Wellawa/Colombo-Fort", "12Go Link")</f>
        <v>12Go Link</v>
      </c>
      <c r="E1460" s="6" t="s">
        <v>870</v>
      </c>
    </row>
    <row r="1461">
      <c r="A1461" s="6" t="s">
        <v>890</v>
      </c>
      <c r="B1461" s="6" t="s">
        <v>874</v>
      </c>
      <c r="C1461" s="6" t="s">
        <v>1245</v>
      </c>
      <c r="D1461" s="7" t="str">
        <f>HYPERLINK("https://12go.asia/en/travel/Wellawa/Mount-Lavinia", "12Go Link")</f>
        <v>12Go Link</v>
      </c>
      <c r="E1461" s="6" t="s">
        <v>870</v>
      </c>
    </row>
    <row r="1462">
      <c r="A1462" s="6" t="s">
        <v>890</v>
      </c>
      <c r="B1462" s="6" t="s">
        <v>874</v>
      </c>
      <c r="C1462" s="6" t="s">
        <v>1246</v>
      </c>
      <c r="D1462" s="7" t="str">
        <f>HYPERLINK("https://12go.asia/en/travel/Wellawa/Wellawatta", "12Go Link")</f>
        <v>12Go Link</v>
      </c>
      <c r="E1462" s="6" t="s">
        <v>870</v>
      </c>
    </row>
    <row r="1463">
      <c r="A1463" s="6" t="s">
        <v>890</v>
      </c>
      <c r="B1463" s="6" t="s">
        <v>878</v>
      </c>
      <c r="C1463" s="6" t="s">
        <v>1247</v>
      </c>
      <c r="D1463" s="7" t="str">
        <f>HYPERLINK("https://12go.asia/en/travel/Alawwa/Gampaha", "12Go Link")</f>
        <v>12Go Link</v>
      </c>
      <c r="E1463" s="6" t="s">
        <v>870</v>
      </c>
    </row>
    <row r="1464">
      <c r="A1464" s="6" t="s">
        <v>890</v>
      </c>
      <c r="B1464" s="6" t="s">
        <v>878</v>
      </c>
      <c r="C1464" s="6" t="s">
        <v>1248</v>
      </c>
      <c r="D1464" s="7" t="str">
        <f>HYPERLINK("https://12go.asia/en/travel/Kurunegala/Gampaha", "12Go Link")</f>
        <v>12Go Link</v>
      </c>
      <c r="E1464" s="6" t="s">
        <v>870</v>
      </c>
    </row>
    <row r="1465">
      <c r="A1465" s="6" t="s">
        <v>890</v>
      </c>
      <c r="B1465" s="6" t="s">
        <v>878</v>
      </c>
      <c r="C1465" s="6" t="s">
        <v>1249</v>
      </c>
      <c r="D1465" s="7" t="str">
        <f>HYPERLINK("https://12go.asia/en/travel/Wellawa/Gampaha", "12Go Link")</f>
        <v>12Go Link</v>
      </c>
      <c r="E1465" s="6" t="s">
        <v>870</v>
      </c>
    </row>
    <row r="1466">
      <c r="A1466" s="6" t="s">
        <v>890</v>
      </c>
      <c r="B1466" s="6" t="s">
        <v>880</v>
      </c>
      <c r="C1466" s="6" t="s">
        <v>1250</v>
      </c>
      <c r="D1466" s="7" t="str">
        <f>HYPERLINK("https://12go.asia/en/travel/Alawwa/Ganewatta", "12Go Link")</f>
        <v>12Go Link</v>
      </c>
      <c r="E1466" s="6" t="s">
        <v>870</v>
      </c>
    </row>
    <row r="1467">
      <c r="A1467" s="6" t="s">
        <v>890</v>
      </c>
      <c r="B1467" s="6" t="s">
        <v>880</v>
      </c>
      <c r="C1467" s="6" t="s">
        <v>1251</v>
      </c>
      <c r="D1467" s="7" t="str">
        <f>HYPERLINK("https://12go.asia/en/travel/Kurunegala/Ganewatta", "12Go Link")</f>
        <v>12Go Link</v>
      </c>
      <c r="E1467" s="6" t="s">
        <v>870</v>
      </c>
    </row>
    <row r="1468">
      <c r="A1468" s="6" t="s">
        <v>890</v>
      </c>
      <c r="B1468" s="6" t="s">
        <v>880</v>
      </c>
      <c r="C1468" s="6" t="s">
        <v>1252</v>
      </c>
      <c r="D1468" s="7" t="str">
        <f>HYPERLINK("https://12go.asia/en/travel/Wellawa/Ganewatta", "12Go Link")</f>
        <v>12Go Link</v>
      </c>
      <c r="E1468" s="6" t="s">
        <v>870</v>
      </c>
    </row>
    <row r="1469">
      <c r="A1469" s="6" t="s">
        <v>890</v>
      </c>
      <c r="B1469" s="6" t="s">
        <v>882</v>
      </c>
      <c r="C1469" s="6" t="s">
        <v>1253</v>
      </c>
      <c r="D1469" s="7" t="str">
        <f>HYPERLINK("https://12go.asia/en/travel/Alawwa/Jaffna-Train-Station", "12Go Link")</f>
        <v>12Go Link</v>
      </c>
      <c r="E1469" s="6" t="s">
        <v>870</v>
      </c>
    </row>
    <row r="1470">
      <c r="A1470" s="6" t="s">
        <v>890</v>
      </c>
      <c r="B1470" s="6" t="s">
        <v>882</v>
      </c>
      <c r="C1470" s="6" t="s">
        <v>1254</v>
      </c>
      <c r="D1470" s="7" t="str">
        <f>HYPERLINK("https://12go.asia/en/travel/Kurunegala/Jaffna-Train-Station", "12Go Link")</f>
        <v>12Go Link</v>
      </c>
      <c r="E1470" s="6" t="s">
        <v>870</v>
      </c>
    </row>
    <row r="1471">
      <c r="A1471" s="6" t="s">
        <v>890</v>
      </c>
      <c r="B1471" s="6" t="s">
        <v>882</v>
      </c>
      <c r="C1471" s="6" t="s">
        <v>1255</v>
      </c>
      <c r="D1471" s="7" t="str">
        <f>HYPERLINK("https://12go.asia/en/travel/Wellawa/Jaffna-Train-Station", "12Go Link")</f>
        <v>12Go Link</v>
      </c>
      <c r="E1471" s="6" t="s">
        <v>870</v>
      </c>
    </row>
    <row r="1472">
      <c r="A1472" s="6" t="s">
        <v>890</v>
      </c>
      <c r="B1472" s="6" t="s">
        <v>884</v>
      </c>
      <c r="C1472" s="6" t="s">
        <v>1256</v>
      </c>
      <c r="D1472" s="7" t="str">
        <f>HYPERLINK("https://12go.asia/en/travel/Alawwa/Kankesanthurai", "12Go Link")</f>
        <v>12Go Link</v>
      </c>
      <c r="E1472" s="6" t="s">
        <v>870</v>
      </c>
    </row>
    <row r="1473">
      <c r="A1473" s="6" t="s">
        <v>890</v>
      </c>
      <c r="B1473" s="6" t="s">
        <v>884</v>
      </c>
      <c r="C1473" s="6" t="s">
        <v>1257</v>
      </c>
      <c r="D1473" s="7" t="str">
        <f>HYPERLINK("https://12go.asia/en/travel/Kurunegala/Kankesanthurai", "12Go Link")</f>
        <v>12Go Link</v>
      </c>
      <c r="E1473" s="6" t="s">
        <v>870</v>
      </c>
    </row>
    <row r="1474">
      <c r="A1474" s="6" t="s">
        <v>890</v>
      </c>
      <c r="B1474" s="6" t="s">
        <v>884</v>
      </c>
      <c r="C1474" s="6" t="s">
        <v>1258</v>
      </c>
      <c r="D1474" s="7" t="str">
        <f>HYPERLINK("https://12go.asia/en/travel/Wellawa/Kankesanthurai", "12Go Link")</f>
        <v>12Go Link</v>
      </c>
      <c r="E1474" s="6" t="s">
        <v>870</v>
      </c>
    </row>
    <row r="1475">
      <c r="A1475" s="6" t="s">
        <v>890</v>
      </c>
      <c r="B1475" s="6" t="s">
        <v>886</v>
      </c>
      <c r="C1475" s="6" t="s">
        <v>1259</v>
      </c>
      <c r="D1475" s="7" t="str">
        <f>HYPERLINK("https://12go.asia/en/travel/Alawwa/Kilinochchi", "12Go Link")</f>
        <v>12Go Link</v>
      </c>
      <c r="E1475" s="6" t="s">
        <v>870</v>
      </c>
    </row>
    <row r="1476">
      <c r="A1476" s="6" t="s">
        <v>890</v>
      </c>
      <c r="B1476" s="6" t="s">
        <v>886</v>
      </c>
      <c r="C1476" s="6" t="s">
        <v>1260</v>
      </c>
      <c r="D1476" s="7" t="str">
        <f>HYPERLINK("https://12go.asia/en/travel/Kurunegala/Kilinochchi", "12Go Link")</f>
        <v>12Go Link</v>
      </c>
      <c r="E1476" s="6" t="s">
        <v>870</v>
      </c>
    </row>
    <row r="1477">
      <c r="A1477" s="6" t="s">
        <v>890</v>
      </c>
      <c r="B1477" s="6" t="s">
        <v>886</v>
      </c>
      <c r="C1477" s="6" t="s">
        <v>1261</v>
      </c>
      <c r="D1477" s="7" t="str">
        <f>HYPERLINK("https://12go.asia/en/travel/Wellawa/Kilinochchi", "12Go Link")</f>
        <v>12Go Link</v>
      </c>
      <c r="E1477" s="6" t="s">
        <v>870</v>
      </c>
    </row>
    <row r="1478">
      <c r="A1478" s="6" t="s">
        <v>890</v>
      </c>
      <c r="B1478" s="6" t="s">
        <v>888</v>
      </c>
      <c r="C1478" s="6" t="s">
        <v>1262</v>
      </c>
      <c r="D1478" s="7" t="str">
        <f>HYPERLINK("https://12go.asia/en/travel/Alawwa/Kodikamam", "12Go Link")</f>
        <v>12Go Link</v>
      </c>
      <c r="E1478" s="6" t="s">
        <v>870</v>
      </c>
    </row>
    <row r="1479">
      <c r="A1479" s="6" t="s">
        <v>890</v>
      </c>
      <c r="B1479" s="6" t="s">
        <v>888</v>
      </c>
      <c r="C1479" s="6" t="s">
        <v>1263</v>
      </c>
      <c r="D1479" s="7" t="str">
        <f>HYPERLINK("https://12go.asia/en/travel/Kurunegala/Kodikamam", "12Go Link")</f>
        <v>12Go Link</v>
      </c>
      <c r="E1479" s="6" t="s">
        <v>870</v>
      </c>
    </row>
    <row r="1480">
      <c r="A1480" s="6" t="s">
        <v>890</v>
      </c>
      <c r="B1480" s="6" t="s">
        <v>888</v>
      </c>
      <c r="C1480" s="6" t="s">
        <v>1264</v>
      </c>
      <c r="D1480" s="7" t="str">
        <f>HYPERLINK("https://12go.asia/en/travel/Wellawa/Kodikamam", "12Go Link")</f>
        <v>12Go Link</v>
      </c>
      <c r="E1480" s="6" t="s">
        <v>870</v>
      </c>
    </row>
    <row r="1481">
      <c r="A1481" s="6" t="s">
        <v>890</v>
      </c>
      <c r="B1481" s="6" t="s">
        <v>890</v>
      </c>
      <c r="C1481" s="6" t="s">
        <v>1265</v>
      </c>
      <c r="D1481" s="7" t="str">
        <f>HYPERLINK("https://12go.asia/en/travel/Alawwa/Kurunegala", "12Go Link")</f>
        <v>12Go Link</v>
      </c>
      <c r="E1481" s="6" t="s">
        <v>870</v>
      </c>
    </row>
    <row r="1482">
      <c r="A1482" s="6" t="s">
        <v>890</v>
      </c>
      <c r="B1482" s="6" t="s">
        <v>890</v>
      </c>
      <c r="C1482" s="6" t="s">
        <v>1266</v>
      </c>
      <c r="D1482" s="7" t="str">
        <f>HYPERLINK("https://12go.asia/en/travel/Alawwa/Wellawa", "12Go Link")</f>
        <v>12Go Link</v>
      </c>
      <c r="E1482" s="6" t="s">
        <v>870</v>
      </c>
    </row>
    <row r="1483">
      <c r="A1483" s="6" t="s">
        <v>890</v>
      </c>
      <c r="B1483" s="6" t="s">
        <v>890</v>
      </c>
      <c r="C1483" s="6" t="s">
        <v>1267</v>
      </c>
      <c r="D1483" s="7" t="str">
        <f>HYPERLINK("https://12go.asia/en/travel/Kurunegala/Alawwa", "12Go Link")</f>
        <v>12Go Link</v>
      </c>
      <c r="E1483" s="6" t="s">
        <v>870</v>
      </c>
    </row>
    <row r="1484">
      <c r="A1484" s="6" t="s">
        <v>890</v>
      </c>
      <c r="B1484" s="6" t="s">
        <v>890</v>
      </c>
      <c r="C1484" s="6" t="s">
        <v>1268</v>
      </c>
      <c r="D1484" s="7" t="str">
        <f>HYPERLINK("https://12go.asia/en/travel/Kurunegala/Wellawa", "12Go Link")</f>
        <v>12Go Link</v>
      </c>
      <c r="E1484" s="6" t="s">
        <v>870</v>
      </c>
    </row>
    <row r="1485">
      <c r="A1485" s="6" t="s">
        <v>890</v>
      </c>
      <c r="B1485" s="6" t="s">
        <v>890</v>
      </c>
      <c r="C1485" s="6" t="s">
        <v>1269</v>
      </c>
      <c r="D1485" s="7" t="str">
        <f>HYPERLINK("https://12go.asia/en/travel/Wellawa/Alawwa", "12Go Link")</f>
        <v>12Go Link</v>
      </c>
      <c r="E1485" s="6" t="s">
        <v>870</v>
      </c>
    </row>
    <row r="1486">
      <c r="A1486" s="6" t="s">
        <v>890</v>
      </c>
      <c r="B1486" s="6" t="s">
        <v>890</v>
      </c>
      <c r="C1486" s="6" t="s">
        <v>1270</v>
      </c>
      <c r="D1486" s="7" t="str">
        <f>HYPERLINK("https://12go.asia/en/travel/Wellawa/Kurunegala", "12Go Link")</f>
        <v>12Go Link</v>
      </c>
      <c r="E1486" s="6" t="s">
        <v>870</v>
      </c>
    </row>
    <row r="1487">
      <c r="A1487" s="6" t="s">
        <v>890</v>
      </c>
      <c r="B1487" s="6" t="s">
        <v>894</v>
      </c>
      <c r="C1487" s="6" t="s">
        <v>1271</v>
      </c>
      <c r="D1487" s="7" t="str">
        <f>HYPERLINK("https://12go.asia/en/travel/Alawwa/Galgamuwa", "12Go Link")</f>
        <v>12Go Link</v>
      </c>
      <c r="E1487" s="6" t="s">
        <v>870</v>
      </c>
    </row>
    <row r="1488">
      <c r="A1488" s="6" t="s">
        <v>890</v>
      </c>
      <c r="B1488" s="6" t="s">
        <v>894</v>
      </c>
      <c r="C1488" s="6" t="s">
        <v>1272</v>
      </c>
      <c r="D1488" s="7" t="str">
        <f>HYPERLINK("https://12go.asia/en/travel/Alawwa/Maho", "12Go Link")</f>
        <v>12Go Link</v>
      </c>
      <c r="E1488" s="6" t="s">
        <v>870</v>
      </c>
    </row>
    <row r="1489">
      <c r="A1489" s="6" t="s">
        <v>890</v>
      </c>
      <c r="B1489" s="6" t="s">
        <v>894</v>
      </c>
      <c r="C1489" s="6" t="s">
        <v>1273</v>
      </c>
      <c r="D1489" s="7" t="str">
        <f>HYPERLINK("https://12go.asia/en/travel/Alawwa/Nagollagama", "12Go Link")</f>
        <v>12Go Link</v>
      </c>
      <c r="E1489" s="6" t="s">
        <v>870</v>
      </c>
    </row>
    <row r="1490">
      <c r="A1490" s="6" t="s">
        <v>890</v>
      </c>
      <c r="B1490" s="6" t="s">
        <v>894</v>
      </c>
      <c r="C1490" s="6" t="s">
        <v>1274</v>
      </c>
      <c r="D1490" s="7" t="str">
        <f>HYPERLINK("https://12go.asia/en/travel/Kurunegala/Galgamuwa", "12Go Link")</f>
        <v>12Go Link</v>
      </c>
      <c r="E1490" s="6" t="s">
        <v>870</v>
      </c>
    </row>
    <row r="1491">
      <c r="A1491" s="6" t="s">
        <v>890</v>
      </c>
      <c r="B1491" s="6" t="s">
        <v>894</v>
      </c>
      <c r="C1491" s="6" t="s">
        <v>1275</v>
      </c>
      <c r="D1491" s="7" t="str">
        <f>HYPERLINK("https://12go.asia/en/travel/Kurunegala/Maho", "12Go Link")</f>
        <v>12Go Link</v>
      </c>
      <c r="E1491" s="6" t="s">
        <v>870</v>
      </c>
    </row>
    <row r="1492">
      <c r="A1492" s="6" t="s">
        <v>890</v>
      </c>
      <c r="B1492" s="6" t="s">
        <v>894</v>
      </c>
      <c r="C1492" s="6" t="s">
        <v>1276</v>
      </c>
      <c r="D1492" s="7" t="str">
        <f>HYPERLINK("https://12go.asia/en/travel/Kurunegala/Nagollagama", "12Go Link")</f>
        <v>12Go Link</v>
      </c>
      <c r="E1492" s="6" t="s">
        <v>870</v>
      </c>
    </row>
    <row r="1493">
      <c r="A1493" s="6" t="s">
        <v>890</v>
      </c>
      <c r="B1493" s="6" t="s">
        <v>894</v>
      </c>
      <c r="C1493" s="6" t="s">
        <v>1277</v>
      </c>
      <c r="D1493" s="7" t="str">
        <f>HYPERLINK("https://12go.asia/en/travel/Wellawa/Galgamuwa", "12Go Link")</f>
        <v>12Go Link</v>
      </c>
      <c r="E1493" s="6" t="s">
        <v>870</v>
      </c>
    </row>
    <row r="1494">
      <c r="A1494" s="6" t="s">
        <v>890</v>
      </c>
      <c r="B1494" s="6" t="s">
        <v>894</v>
      </c>
      <c r="C1494" s="6" t="s">
        <v>1278</v>
      </c>
      <c r="D1494" s="7" t="str">
        <f>HYPERLINK("https://12go.asia/en/travel/Wellawa/Maho", "12Go Link")</f>
        <v>12Go Link</v>
      </c>
      <c r="E1494" s="6" t="s">
        <v>870</v>
      </c>
    </row>
    <row r="1495">
      <c r="A1495" s="6" t="s">
        <v>890</v>
      </c>
      <c r="B1495" s="6" t="s">
        <v>894</v>
      </c>
      <c r="C1495" s="6" t="s">
        <v>1279</v>
      </c>
      <c r="D1495" s="7" t="str">
        <f>HYPERLINK("https://12go.asia/en/travel/Wellawa/Nagollagama", "12Go Link")</f>
        <v>12Go Link</v>
      </c>
      <c r="E1495" s="6" t="s">
        <v>870</v>
      </c>
    </row>
    <row r="1496">
      <c r="A1496" s="6" t="s">
        <v>890</v>
      </c>
      <c r="B1496" s="6" t="s">
        <v>898</v>
      </c>
      <c r="C1496" s="6" t="s">
        <v>1280</v>
      </c>
      <c r="D1496" s="7" t="str">
        <f>HYPERLINK("https://12go.asia/en/travel/Alawwa/Mirigama", "12Go Link")</f>
        <v>12Go Link</v>
      </c>
      <c r="E1496" s="6" t="s">
        <v>870</v>
      </c>
    </row>
    <row r="1497">
      <c r="A1497" s="6" t="s">
        <v>890</v>
      </c>
      <c r="B1497" s="6" t="s">
        <v>898</v>
      </c>
      <c r="C1497" s="6" t="s">
        <v>1281</v>
      </c>
      <c r="D1497" s="7" t="str">
        <f>HYPERLINK("https://12go.asia/en/travel/Kurunegala/Mirigama", "12Go Link")</f>
        <v>12Go Link</v>
      </c>
      <c r="E1497" s="6" t="s">
        <v>870</v>
      </c>
    </row>
    <row r="1498">
      <c r="A1498" s="6" t="s">
        <v>890</v>
      </c>
      <c r="B1498" s="6" t="s">
        <v>898</v>
      </c>
      <c r="C1498" s="6" t="s">
        <v>1282</v>
      </c>
      <c r="D1498" s="7" t="str">
        <f>HYPERLINK("https://12go.asia/en/travel/Wellawa/Mirigama", "12Go Link")</f>
        <v>12Go Link</v>
      </c>
      <c r="E1498" s="6" t="s">
        <v>870</v>
      </c>
    </row>
    <row r="1499">
      <c r="A1499" s="6" t="s">
        <v>890</v>
      </c>
      <c r="B1499" s="6" t="s">
        <v>900</v>
      </c>
      <c r="C1499" s="6" t="s">
        <v>1283</v>
      </c>
      <c r="D1499" s="7" t="str">
        <f>HYPERLINK("https://12go.asia/en/travel/Alawwa/Senarathgama", "12Go Link")</f>
        <v>12Go Link</v>
      </c>
      <c r="E1499" s="6" t="s">
        <v>870</v>
      </c>
    </row>
    <row r="1500">
      <c r="A1500" s="6" t="s">
        <v>890</v>
      </c>
      <c r="B1500" s="6" t="s">
        <v>900</v>
      </c>
      <c r="C1500" s="6" t="s">
        <v>1284</v>
      </c>
      <c r="D1500" s="7" t="str">
        <f>HYPERLINK("https://12go.asia/en/travel/Kurunegala/Senarathgama", "12Go Link")</f>
        <v>12Go Link</v>
      </c>
      <c r="E1500" s="6" t="s">
        <v>870</v>
      </c>
    </row>
    <row r="1501">
      <c r="A1501" s="6" t="s">
        <v>890</v>
      </c>
      <c r="B1501" s="6" t="s">
        <v>900</v>
      </c>
      <c r="C1501" s="6" t="s">
        <v>1285</v>
      </c>
      <c r="D1501" s="7" t="str">
        <f>HYPERLINK("https://12go.asia/en/travel/Wellawa/Senarathgama", "12Go Link")</f>
        <v>12Go Link</v>
      </c>
      <c r="E1501" s="6" t="s">
        <v>870</v>
      </c>
    </row>
    <row r="1502">
      <c r="A1502" s="6" t="s">
        <v>890</v>
      </c>
      <c r="B1502" s="6" t="s">
        <v>902</v>
      </c>
      <c r="C1502" s="6" t="s">
        <v>1286</v>
      </c>
      <c r="D1502" s="7" t="str">
        <f>HYPERLINK("https://12go.asia/en/travel/Alawwa/Polgahawela", "12Go Link")</f>
        <v>12Go Link</v>
      </c>
      <c r="E1502" s="6" t="s">
        <v>870</v>
      </c>
    </row>
    <row r="1503">
      <c r="A1503" s="6" t="s">
        <v>890</v>
      </c>
      <c r="B1503" s="6" t="s">
        <v>902</v>
      </c>
      <c r="C1503" s="6" t="s">
        <v>1287</v>
      </c>
      <c r="D1503" s="7" t="str">
        <f>HYPERLINK("https://12go.asia/en/travel/Kurunegala/Polgahawela", "12Go Link")</f>
        <v>12Go Link</v>
      </c>
      <c r="E1503" s="6" t="s">
        <v>870</v>
      </c>
    </row>
    <row r="1504">
      <c r="A1504" s="6" t="s">
        <v>890</v>
      </c>
      <c r="B1504" s="6" t="s">
        <v>902</v>
      </c>
      <c r="C1504" s="6" t="s">
        <v>1288</v>
      </c>
      <c r="D1504" s="7" t="str">
        <f>HYPERLINK("https://12go.asia/en/travel/Wellawa/Polgahawela", "12Go Link")</f>
        <v>12Go Link</v>
      </c>
      <c r="E1504" s="6" t="s">
        <v>870</v>
      </c>
    </row>
    <row r="1505">
      <c r="A1505" s="6" t="s">
        <v>890</v>
      </c>
      <c r="B1505" s="6" t="s">
        <v>904</v>
      </c>
      <c r="C1505" s="6" t="s">
        <v>1289</v>
      </c>
      <c r="D1505" s="7" t="str">
        <f>HYPERLINK("https://12go.asia/en/travel/Alawwa/Talawa", "12Go Link")</f>
        <v>12Go Link</v>
      </c>
      <c r="E1505" s="6" t="s">
        <v>870</v>
      </c>
    </row>
    <row r="1506">
      <c r="A1506" s="6" t="s">
        <v>890</v>
      </c>
      <c r="B1506" s="6" t="s">
        <v>904</v>
      </c>
      <c r="C1506" s="6" t="s">
        <v>1290</v>
      </c>
      <c r="D1506" s="7" t="str">
        <f>HYPERLINK("https://12go.asia/en/travel/Kurunegala/Talawa", "12Go Link")</f>
        <v>12Go Link</v>
      </c>
      <c r="E1506" s="6" t="s">
        <v>870</v>
      </c>
    </row>
    <row r="1507">
      <c r="A1507" s="6" t="s">
        <v>890</v>
      </c>
      <c r="B1507" s="6" t="s">
        <v>904</v>
      </c>
      <c r="C1507" s="6" t="s">
        <v>1291</v>
      </c>
      <c r="D1507" s="7" t="str">
        <f>HYPERLINK("https://12go.asia/en/travel/Wellawa/Talawa", "12Go Link")</f>
        <v>12Go Link</v>
      </c>
      <c r="E1507" s="6" t="s">
        <v>870</v>
      </c>
    </row>
    <row r="1508">
      <c r="A1508" s="6" t="s">
        <v>890</v>
      </c>
      <c r="B1508" s="6" t="s">
        <v>906</v>
      </c>
      <c r="C1508" s="6" t="s">
        <v>1292</v>
      </c>
      <c r="D1508" s="7" t="str">
        <f>HYPERLINK("https://12go.asia/en/travel/Alawwa/Thambuttegama", "12Go Link")</f>
        <v>12Go Link</v>
      </c>
      <c r="E1508" s="6" t="s">
        <v>870</v>
      </c>
    </row>
    <row r="1509">
      <c r="A1509" s="6" t="s">
        <v>890</v>
      </c>
      <c r="B1509" s="6" t="s">
        <v>906</v>
      </c>
      <c r="C1509" s="6" t="s">
        <v>1293</v>
      </c>
      <c r="D1509" s="7" t="str">
        <f>HYPERLINK("https://12go.asia/en/travel/Kurunegala/Thambuttegama", "12Go Link")</f>
        <v>12Go Link</v>
      </c>
      <c r="E1509" s="6" t="s">
        <v>870</v>
      </c>
    </row>
    <row r="1510">
      <c r="A1510" s="6" t="s">
        <v>890</v>
      </c>
      <c r="B1510" s="6" t="s">
        <v>906</v>
      </c>
      <c r="C1510" s="6" t="s">
        <v>1294</v>
      </c>
      <c r="D1510" s="7" t="str">
        <f>HYPERLINK("https://12go.asia/en/travel/Wellawa/Thambuttegama", "12Go Link")</f>
        <v>12Go Link</v>
      </c>
      <c r="E1510" s="6" t="s">
        <v>870</v>
      </c>
    </row>
    <row r="1511">
      <c r="A1511" s="6" t="s">
        <v>890</v>
      </c>
      <c r="B1511" s="6" t="s">
        <v>908</v>
      </c>
      <c r="C1511" s="6" t="s">
        <v>1295</v>
      </c>
      <c r="D1511" s="7" t="str">
        <f>HYPERLINK("https://12go.asia/en/travel/Alawwa/Vavuniya", "12Go Link")</f>
        <v>12Go Link</v>
      </c>
      <c r="E1511" s="6" t="s">
        <v>870</v>
      </c>
    </row>
    <row r="1512">
      <c r="A1512" s="6" t="s">
        <v>890</v>
      </c>
      <c r="B1512" s="6" t="s">
        <v>908</v>
      </c>
      <c r="C1512" s="6" t="s">
        <v>1296</v>
      </c>
      <c r="D1512" s="7" t="str">
        <f>HYPERLINK("https://12go.asia/en/travel/Kurunegala/Vavuniya", "12Go Link")</f>
        <v>12Go Link</v>
      </c>
      <c r="E1512" s="6" t="s">
        <v>870</v>
      </c>
    </row>
    <row r="1513">
      <c r="A1513" s="6" t="s">
        <v>890</v>
      </c>
      <c r="B1513" s="6" t="s">
        <v>908</v>
      </c>
      <c r="C1513" s="6" t="s">
        <v>1297</v>
      </c>
      <c r="D1513" s="7" t="str">
        <f>HYPERLINK("https://12go.asia/en/travel/Wellawa/Vavuniya", "12Go Link")</f>
        <v>12Go Link</v>
      </c>
      <c r="E1513" s="6" t="s">
        <v>870</v>
      </c>
    </row>
    <row r="1514">
      <c r="A1514" s="6" t="s">
        <v>890</v>
      </c>
      <c r="B1514" s="6" t="s">
        <v>910</v>
      </c>
      <c r="C1514" s="6" t="s">
        <v>1298</v>
      </c>
      <c r="D1514" s="7" t="str">
        <f>HYPERLINK("https://12go.asia/en/travel/Alawwa/Veyangoda", "12Go Link")</f>
        <v>12Go Link</v>
      </c>
      <c r="E1514" s="6" t="s">
        <v>870</v>
      </c>
    </row>
    <row r="1515">
      <c r="A1515" s="6" t="s">
        <v>890</v>
      </c>
      <c r="B1515" s="6" t="s">
        <v>910</v>
      </c>
      <c r="C1515" s="6" t="s">
        <v>1299</v>
      </c>
      <c r="D1515" s="7" t="str">
        <f>HYPERLINK("https://12go.asia/en/travel/Kurunegala/Veyangoda", "12Go Link")</f>
        <v>12Go Link</v>
      </c>
      <c r="E1515" s="6" t="s">
        <v>870</v>
      </c>
    </row>
    <row r="1516">
      <c r="A1516" s="6" t="s">
        <v>890</v>
      </c>
      <c r="B1516" s="6" t="s">
        <v>910</v>
      </c>
      <c r="C1516" s="6" t="s">
        <v>1300</v>
      </c>
      <c r="D1516" s="7" t="str">
        <f>HYPERLINK("https://12go.asia/en/travel/Wellawa/Veyangoda", "12Go Link")</f>
        <v>12Go Link</v>
      </c>
      <c r="E1516" s="6" t="s">
        <v>870</v>
      </c>
    </row>
    <row r="1517">
      <c r="A1517" s="8" t="s">
        <v>894</v>
      </c>
      <c r="B1517" s="8" t="s">
        <v>867</v>
      </c>
      <c r="C1517" s="8" t="s">
        <v>1301</v>
      </c>
      <c r="D1517" s="9" t="str">
        <f>HYPERLINK("https://12go.asia/en/travel/Galgamuwa/Ambanpola", "12Go Link")</f>
        <v>12Go Link</v>
      </c>
      <c r="E1517" s="8" t="s">
        <v>870</v>
      </c>
    </row>
    <row r="1518">
      <c r="A1518" s="8" t="s">
        <v>894</v>
      </c>
      <c r="B1518" s="8" t="s">
        <v>867</v>
      </c>
      <c r="C1518" s="8" t="s">
        <v>1302</v>
      </c>
      <c r="D1518" s="9" t="str">
        <f>HYPERLINK("https://12go.asia/en/travel/Maho/Ambanpola", "12Go Link")</f>
        <v>12Go Link</v>
      </c>
      <c r="E1518" s="8" t="s">
        <v>870</v>
      </c>
    </row>
    <row r="1519">
      <c r="A1519" s="8" t="s">
        <v>894</v>
      </c>
      <c r="B1519" s="8" t="s">
        <v>867</v>
      </c>
      <c r="C1519" s="8" t="s">
        <v>1303</v>
      </c>
      <c r="D1519" s="9" t="str">
        <f>HYPERLINK("https://12go.asia/en/travel/Nagollagama/Ambanpola", "12Go Link")</f>
        <v>12Go Link</v>
      </c>
      <c r="E1519" s="8" t="s">
        <v>870</v>
      </c>
    </row>
    <row r="1520">
      <c r="A1520" s="8" t="s">
        <v>894</v>
      </c>
      <c r="B1520" s="8" t="s">
        <v>868</v>
      </c>
      <c r="C1520" s="8" t="s">
        <v>1304</v>
      </c>
      <c r="D1520" s="9" t="str">
        <f>HYPERLINK("https://12go.asia/en/travel/Galgamuwa/Ambepussa", "12Go Link")</f>
        <v>12Go Link</v>
      </c>
      <c r="E1520" s="8" t="s">
        <v>870</v>
      </c>
    </row>
    <row r="1521">
      <c r="A1521" s="8" t="s">
        <v>894</v>
      </c>
      <c r="B1521" s="8" t="s">
        <v>868</v>
      </c>
      <c r="C1521" s="8" t="s">
        <v>1305</v>
      </c>
      <c r="D1521" s="9" t="str">
        <f>HYPERLINK("https://12go.asia/en/travel/Maho/Ambepussa", "12Go Link")</f>
        <v>12Go Link</v>
      </c>
      <c r="E1521" s="8" t="s">
        <v>870</v>
      </c>
    </row>
    <row r="1522">
      <c r="A1522" s="8" t="s">
        <v>894</v>
      </c>
      <c r="B1522" s="8" t="s">
        <v>868</v>
      </c>
      <c r="C1522" s="8" t="s">
        <v>1306</v>
      </c>
      <c r="D1522" s="9" t="str">
        <f>HYPERLINK("https://12go.asia/en/travel/Nagollagama/Ambepussa", "12Go Link")</f>
        <v>12Go Link</v>
      </c>
      <c r="E1522" s="8" t="s">
        <v>870</v>
      </c>
    </row>
    <row r="1523">
      <c r="A1523" s="8" t="s">
        <v>894</v>
      </c>
      <c r="B1523" s="8" t="s">
        <v>871</v>
      </c>
      <c r="C1523" s="8" t="s">
        <v>1307</v>
      </c>
      <c r="D1523" s="9" t="str">
        <f>HYPERLINK("https://12go.asia/en/travel/Galgamuwa/Anuradhapura", "12Go Link")</f>
        <v>12Go Link</v>
      </c>
      <c r="E1523" s="8" t="s">
        <v>870</v>
      </c>
    </row>
    <row r="1524">
      <c r="A1524" s="8" t="s">
        <v>894</v>
      </c>
      <c r="B1524" s="8" t="s">
        <v>871</v>
      </c>
      <c r="C1524" s="8" t="s">
        <v>1308</v>
      </c>
      <c r="D1524" s="9" t="str">
        <f>HYPERLINK("https://12go.asia/en/travel/Galgamuwa/Shrawasthipura", "12Go Link")</f>
        <v>12Go Link</v>
      </c>
      <c r="E1524" s="8" t="s">
        <v>870</v>
      </c>
    </row>
    <row r="1525">
      <c r="A1525" s="8" t="s">
        <v>894</v>
      </c>
      <c r="B1525" s="8" t="s">
        <v>871</v>
      </c>
      <c r="C1525" s="8" t="s">
        <v>1309</v>
      </c>
      <c r="D1525" s="9" t="str">
        <f>HYPERLINK("https://12go.asia/en/travel/Maho/Anuradhapura", "12Go Link")</f>
        <v>12Go Link</v>
      </c>
      <c r="E1525" s="8" t="s">
        <v>870</v>
      </c>
    </row>
    <row r="1526">
      <c r="A1526" s="8" t="s">
        <v>894</v>
      </c>
      <c r="B1526" s="8" t="s">
        <v>871</v>
      </c>
      <c r="C1526" s="8" t="s">
        <v>1310</v>
      </c>
      <c r="D1526" s="9" t="str">
        <f>HYPERLINK("https://12go.asia/en/travel/Maho/Shrawasthipura", "12Go Link")</f>
        <v>12Go Link</v>
      </c>
      <c r="E1526" s="8" t="s">
        <v>870</v>
      </c>
    </row>
    <row r="1527">
      <c r="A1527" s="8" t="s">
        <v>894</v>
      </c>
      <c r="B1527" s="8" t="s">
        <v>871</v>
      </c>
      <c r="C1527" s="8" t="s">
        <v>1311</v>
      </c>
      <c r="D1527" s="9" t="str">
        <f>HYPERLINK("https://12go.asia/en/travel/Nagollagama/Anuradhapura", "12Go Link")</f>
        <v>12Go Link</v>
      </c>
      <c r="E1527" s="8" t="s">
        <v>870</v>
      </c>
    </row>
    <row r="1528">
      <c r="A1528" s="8" t="s">
        <v>894</v>
      </c>
      <c r="B1528" s="8" t="s">
        <v>871</v>
      </c>
      <c r="C1528" s="8" t="s">
        <v>1312</v>
      </c>
      <c r="D1528" s="9" t="str">
        <f>HYPERLINK("https://12go.asia/en/travel/Nagollagama/Shrawasthipura", "12Go Link")</f>
        <v>12Go Link</v>
      </c>
      <c r="E1528" s="8" t="s">
        <v>870</v>
      </c>
    </row>
    <row r="1529">
      <c r="A1529" s="8" t="s">
        <v>894</v>
      </c>
      <c r="B1529" s="8" t="s">
        <v>874</v>
      </c>
      <c r="C1529" s="8" t="s">
        <v>1313</v>
      </c>
      <c r="D1529" s="9" t="str">
        <f>HYPERLINK("https://12go.asia/en/travel/Galgamuwa/Colombo-Fort", "12Go Link")</f>
        <v>12Go Link</v>
      </c>
      <c r="E1529" s="8" t="s">
        <v>870</v>
      </c>
    </row>
    <row r="1530">
      <c r="A1530" s="8" t="s">
        <v>894</v>
      </c>
      <c r="B1530" s="8" t="s">
        <v>874</v>
      </c>
      <c r="C1530" s="8" t="s">
        <v>1314</v>
      </c>
      <c r="D1530" s="9" t="str">
        <f>HYPERLINK("https://12go.asia/en/travel/Galgamuwa/Mount-Lavinia", "12Go Link")</f>
        <v>12Go Link</v>
      </c>
      <c r="E1530" s="8" t="s">
        <v>870</v>
      </c>
    </row>
    <row r="1531">
      <c r="A1531" s="8" t="s">
        <v>894</v>
      </c>
      <c r="B1531" s="8" t="s">
        <v>874</v>
      </c>
      <c r="C1531" s="8" t="s">
        <v>1315</v>
      </c>
      <c r="D1531" s="9" t="str">
        <f>HYPERLINK("https://12go.asia/en/travel/Galgamuwa/Wellawatta", "12Go Link")</f>
        <v>12Go Link</v>
      </c>
      <c r="E1531" s="8" t="s">
        <v>870</v>
      </c>
    </row>
    <row r="1532">
      <c r="A1532" s="8" t="s">
        <v>894</v>
      </c>
      <c r="B1532" s="8" t="s">
        <v>874</v>
      </c>
      <c r="C1532" s="8" t="s">
        <v>1316</v>
      </c>
      <c r="D1532" s="9" t="str">
        <f>HYPERLINK("https://12go.asia/en/travel/Maho/Colombo-Fort", "12Go Link")</f>
        <v>12Go Link</v>
      </c>
      <c r="E1532" s="8" t="s">
        <v>870</v>
      </c>
    </row>
    <row r="1533">
      <c r="A1533" s="8" t="s">
        <v>894</v>
      </c>
      <c r="B1533" s="8" t="s">
        <v>874</v>
      </c>
      <c r="C1533" s="8" t="s">
        <v>1317</v>
      </c>
      <c r="D1533" s="9" t="str">
        <f>HYPERLINK("https://12go.asia/en/travel/Maho/Mount-Lavinia", "12Go Link")</f>
        <v>12Go Link</v>
      </c>
      <c r="E1533" s="8" t="s">
        <v>870</v>
      </c>
    </row>
    <row r="1534">
      <c r="A1534" s="8" t="s">
        <v>894</v>
      </c>
      <c r="B1534" s="8" t="s">
        <v>874</v>
      </c>
      <c r="C1534" s="8" t="s">
        <v>1318</v>
      </c>
      <c r="D1534" s="9" t="str">
        <f>HYPERLINK("https://12go.asia/en/travel/Maho/Wellawatta", "12Go Link")</f>
        <v>12Go Link</v>
      </c>
      <c r="E1534" s="8" t="s">
        <v>870</v>
      </c>
    </row>
    <row r="1535">
      <c r="A1535" s="8" t="s">
        <v>894</v>
      </c>
      <c r="B1535" s="8" t="s">
        <v>874</v>
      </c>
      <c r="C1535" s="8" t="s">
        <v>1319</v>
      </c>
      <c r="D1535" s="9" t="str">
        <f>HYPERLINK("https://12go.asia/en/travel/Nagollagama/Colombo-Fort", "12Go Link")</f>
        <v>12Go Link</v>
      </c>
      <c r="E1535" s="8" t="s">
        <v>870</v>
      </c>
    </row>
    <row r="1536">
      <c r="A1536" s="8" t="s">
        <v>894</v>
      </c>
      <c r="B1536" s="8" t="s">
        <v>874</v>
      </c>
      <c r="C1536" s="8" t="s">
        <v>1320</v>
      </c>
      <c r="D1536" s="9" t="str">
        <f>HYPERLINK("https://12go.asia/en/travel/Nagollagama/Mount-Lavinia", "12Go Link")</f>
        <v>12Go Link</v>
      </c>
      <c r="E1536" s="8" t="s">
        <v>870</v>
      </c>
    </row>
    <row r="1537">
      <c r="A1537" s="8" t="s">
        <v>894</v>
      </c>
      <c r="B1537" s="8" t="s">
        <v>874</v>
      </c>
      <c r="C1537" s="8" t="s">
        <v>1321</v>
      </c>
      <c r="D1537" s="9" t="str">
        <f>HYPERLINK("https://12go.asia/en/travel/Nagollagama/Wellawatta", "12Go Link")</f>
        <v>12Go Link</v>
      </c>
      <c r="E1537" s="8" t="s">
        <v>870</v>
      </c>
    </row>
    <row r="1538">
      <c r="A1538" s="8" t="s">
        <v>894</v>
      </c>
      <c r="B1538" s="8" t="s">
        <v>878</v>
      </c>
      <c r="C1538" s="8" t="s">
        <v>1322</v>
      </c>
      <c r="D1538" s="9" t="str">
        <f>HYPERLINK("https://12go.asia/en/travel/Galgamuwa/Gampaha", "12Go Link")</f>
        <v>12Go Link</v>
      </c>
      <c r="E1538" s="8" t="s">
        <v>870</v>
      </c>
    </row>
    <row r="1539">
      <c r="A1539" s="8" t="s">
        <v>894</v>
      </c>
      <c r="B1539" s="8" t="s">
        <v>878</v>
      </c>
      <c r="C1539" s="8" t="s">
        <v>1323</v>
      </c>
      <c r="D1539" s="9" t="str">
        <f>HYPERLINK("https://12go.asia/en/travel/Maho/Gampaha", "12Go Link")</f>
        <v>12Go Link</v>
      </c>
      <c r="E1539" s="8" t="s">
        <v>870</v>
      </c>
    </row>
    <row r="1540">
      <c r="A1540" s="8" t="s">
        <v>894</v>
      </c>
      <c r="B1540" s="8" t="s">
        <v>878</v>
      </c>
      <c r="C1540" s="8" t="s">
        <v>1324</v>
      </c>
      <c r="D1540" s="9" t="str">
        <f>HYPERLINK("https://12go.asia/en/travel/Nagollagama/Gampaha", "12Go Link")</f>
        <v>12Go Link</v>
      </c>
      <c r="E1540" s="8" t="s">
        <v>870</v>
      </c>
    </row>
    <row r="1541">
      <c r="A1541" s="8" t="s">
        <v>894</v>
      </c>
      <c r="B1541" s="8" t="s">
        <v>880</v>
      </c>
      <c r="C1541" s="8" t="s">
        <v>1325</v>
      </c>
      <c r="D1541" s="9" t="str">
        <f>HYPERLINK("https://12go.asia/en/travel/Galgamuwa/Ganewatta", "12Go Link")</f>
        <v>12Go Link</v>
      </c>
      <c r="E1541" s="8" t="s">
        <v>870</v>
      </c>
    </row>
    <row r="1542">
      <c r="A1542" s="8" t="s">
        <v>894</v>
      </c>
      <c r="B1542" s="8" t="s">
        <v>880</v>
      </c>
      <c r="C1542" s="8" t="s">
        <v>1326</v>
      </c>
      <c r="D1542" s="9" t="str">
        <f>HYPERLINK("https://12go.asia/en/travel/Maho/Ganewatta", "12Go Link")</f>
        <v>12Go Link</v>
      </c>
      <c r="E1542" s="8" t="s">
        <v>870</v>
      </c>
    </row>
    <row r="1543">
      <c r="A1543" s="8" t="s">
        <v>894</v>
      </c>
      <c r="B1543" s="8" t="s">
        <v>880</v>
      </c>
      <c r="C1543" s="8" t="s">
        <v>1327</v>
      </c>
      <c r="D1543" s="9" t="str">
        <f>HYPERLINK("https://12go.asia/en/travel/Nagollagama/Ganewatta", "12Go Link")</f>
        <v>12Go Link</v>
      </c>
      <c r="E1543" s="8" t="s">
        <v>870</v>
      </c>
    </row>
    <row r="1544">
      <c r="A1544" s="8" t="s">
        <v>894</v>
      </c>
      <c r="B1544" s="8" t="s">
        <v>882</v>
      </c>
      <c r="C1544" s="8" t="s">
        <v>1328</v>
      </c>
      <c r="D1544" s="9" t="str">
        <f>HYPERLINK("https://12go.asia/en/travel/Galgamuwa/Jaffna-Train-Station", "12Go Link")</f>
        <v>12Go Link</v>
      </c>
      <c r="E1544" s="8" t="s">
        <v>870</v>
      </c>
    </row>
    <row r="1545">
      <c r="A1545" s="8" t="s">
        <v>894</v>
      </c>
      <c r="B1545" s="8" t="s">
        <v>882</v>
      </c>
      <c r="C1545" s="8" t="s">
        <v>1329</v>
      </c>
      <c r="D1545" s="9" t="str">
        <f>HYPERLINK("https://12go.asia/en/travel/Maho/Jaffna-Train-Station", "12Go Link")</f>
        <v>12Go Link</v>
      </c>
      <c r="E1545" s="8" t="s">
        <v>870</v>
      </c>
    </row>
    <row r="1546">
      <c r="A1546" s="8" t="s">
        <v>894</v>
      </c>
      <c r="B1546" s="8" t="s">
        <v>882</v>
      </c>
      <c r="C1546" s="8" t="s">
        <v>1330</v>
      </c>
      <c r="D1546" s="9" t="str">
        <f>HYPERLINK("https://12go.asia/en/travel/Nagollagama/Jaffna-Train-Station", "12Go Link")</f>
        <v>12Go Link</v>
      </c>
      <c r="E1546" s="8" t="s">
        <v>870</v>
      </c>
    </row>
    <row r="1547">
      <c r="A1547" s="8" t="s">
        <v>894</v>
      </c>
      <c r="B1547" s="8" t="s">
        <v>884</v>
      </c>
      <c r="C1547" s="8" t="s">
        <v>1331</v>
      </c>
      <c r="D1547" s="9" t="str">
        <f>HYPERLINK("https://12go.asia/en/travel/Galgamuwa/Kankesanthurai", "12Go Link")</f>
        <v>12Go Link</v>
      </c>
      <c r="E1547" s="8" t="s">
        <v>870</v>
      </c>
    </row>
    <row r="1548">
      <c r="A1548" s="8" t="s">
        <v>894</v>
      </c>
      <c r="B1548" s="8" t="s">
        <v>884</v>
      </c>
      <c r="C1548" s="8" t="s">
        <v>1332</v>
      </c>
      <c r="D1548" s="9" t="str">
        <f>HYPERLINK("https://12go.asia/en/travel/Maho/Kankesanthurai", "12Go Link")</f>
        <v>12Go Link</v>
      </c>
      <c r="E1548" s="8" t="s">
        <v>870</v>
      </c>
    </row>
    <row r="1549">
      <c r="A1549" s="8" t="s">
        <v>894</v>
      </c>
      <c r="B1549" s="8" t="s">
        <v>884</v>
      </c>
      <c r="C1549" s="8" t="s">
        <v>1333</v>
      </c>
      <c r="D1549" s="9" t="str">
        <f>HYPERLINK("https://12go.asia/en/travel/Nagollagama/Kankesanthurai", "12Go Link")</f>
        <v>12Go Link</v>
      </c>
      <c r="E1549" s="8" t="s">
        <v>870</v>
      </c>
    </row>
    <row r="1550">
      <c r="A1550" s="8" t="s">
        <v>894</v>
      </c>
      <c r="B1550" s="8" t="s">
        <v>886</v>
      </c>
      <c r="C1550" s="8" t="s">
        <v>1334</v>
      </c>
      <c r="D1550" s="9" t="str">
        <f>HYPERLINK("https://12go.asia/en/travel/Galgamuwa/Kilinochchi", "12Go Link")</f>
        <v>12Go Link</v>
      </c>
      <c r="E1550" s="8" t="s">
        <v>870</v>
      </c>
    </row>
    <row r="1551">
      <c r="A1551" s="8" t="s">
        <v>894</v>
      </c>
      <c r="B1551" s="8" t="s">
        <v>886</v>
      </c>
      <c r="C1551" s="8" t="s">
        <v>1335</v>
      </c>
      <c r="D1551" s="9" t="str">
        <f>HYPERLINK("https://12go.asia/en/travel/Maho/Kilinochchi", "12Go Link")</f>
        <v>12Go Link</v>
      </c>
      <c r="E1551" s="8" t="s">
        <v>870</v>
      </c>
    </row>
    <row r="1552">
      <c r="A1552" s="8" t="s">
        <v>894</v>
      </c>
      <c r="B1552" s="8" t="s">
        <v>886</v>
      </c>
      <c r="C1552" s="8" t="s">
        <v>1336</v>
      </c>
      <c r="D1552" s="9" t="str">
        <f>HYPERLINK("https://12go.asia/en/travel/Nagollagama/Kilinochchi", "12Go Link")</f>
        <v>12Go Link</v>
      </c>
      <c r="E1552" s="8" t="s">
        <v>870</v>
      </c>
    </row>
    <row r="1553">
      <c r="A1553" s="8" t="s">
        <v>894</v>
      </c>
      <c r="B1553" s="8" t="s">
        <v>888</v>
      </c>
      <c r="C1553" s="8" t="s">
        <v>1337</v>
      </c>
      <c r="D1553" s="9" t="str">
        <f>HYPERLINK("https://12go.asia/en/travel/Galgamuwa/Kodikamam", "12Go Link")</f>
        <v>12Go Link</v>
      </c>
      <c r="E1553" s="8" t="s">
        <v>870</v>
      </c>
    </row>
    <row r="1554">
      <c r="A1554" s="8" t="s">
        <v>894</v>
      </c>
      <c r="B1554" s="8" t="s">
        <v>888</v>
      </c>
      <c r="C1554" s="8" t="s">
        <v>1338</v>
      </c>
      <c r="D1554" s="9" t="str">
        <f>HYPERLINK("https://12go.asia/en/travel/Maho/Kodikamam", "12Go Link")</f>
        <v>12Go Link</v>
      </c>
      <c r="E1554" s="8" t="s">
        <v>870</v>
      </c>
    </row>
    <row r="1555">
      <c r="A1555" s="8" t="s">
        <v>894</v>
      </c>
      <c r="B1555" s="8" t="s">
        <v>888</v>
      </c>
      <c r="C1555" s="8" t="s">
        <v>1339</v>
      </c>
      <c r="D1555" s="9" t="str">
        <f>HYPERLINK("https://12go.asia/en/travel/Nagollagama/Kodikamam", "12Go Link")</f>
        <v>12Go Link</v>
      </c>
      <c r="E1555" s="8" t="s">
        <v>870</v>
      </c>
    </row>
    <row r="1556">
      <c r="A1556" s="8" t="s">
        <v>894</v>
      </c>
      <c r="B1556" s="8" t="s">
        <v>890</v>
      </c>
      <c r="C1556" s="8" t="s">
        <v>1340</v>
      </c>
      <c r="D1556" s="9" t="str">
        <f>HYPERLINK("https://12go.asia/en/travel/Galgamuwa/Alawwa", "12Go Link")</f>
        <v>12Go Link</v>
      </c>
      <c r="E1556" s="8" t="s">
        <v>870</v>
      </c>
    </row>
    <row r="1557">
      <c r="A1557" s="8" t="s">
        <v>894</v>
      </c>
      <c r="B1557" s="8" t="s">
        <v>890</v>
      </c>
      <c r="C1557" s="8" t="s">
        <v>1341</v>
      </c>
      <c r="D1557" s="9" t="str">
        <f>HYPERLINK("https://12go.asia/en/travel/Galgamuwa/Kurunegala", "12Go Link")</f>
        <v>12Go Link</v>
      </c>
      <c r="E1557" s="8" t="s">
        <v>870</v>
      </c>
    </row>
    <row r="1558">
      <c r="A1558" s="8" t="s">
        <v>894</v>
      </c>
      <c r="B1558" s="8" t="s">
        <v>890</v>
      </c>
      <c r="C1558" s="8" t="s">
        <v>1342</v>
      </c>
      <c r="D1558" s="9" t="str">
        <f>HYPERLINK("https://12go.asia/en/travel/Galgamuwa/Wellawa", "12Go Link")</f>
        <v>12Go Link</v>
      </c>
      <c r="E1558" s="8" t="s">
        <v>870</v>
      </c>
    </row>
    <row r="1559">
      <c r="A1559" s="8" t="s">
        <v>894</v>
      </c>
      <c r="B1559" s="8" t="s">
        <v>890</v>
      </c>
      <c r="C1559" s="8" t="s">
        <v>1343</v>
      </c>
      <c r="D1559" s="9" t="str">
        <f>HYPERLINK("https://12go.asia/en/travel/Maho/Alawwa", "12Go Link")</f>
        <v>12Go Link</v>
      </c>
      <c r="E1559" s="8" t="s">
        <v>870</v>
      </c>
    </row>
    <row r="1560">
      <c r="A1560" s="8" t="s">
        <v>894</v>
      </c>
      <c r="B1560" s="8" t="s">
        <v>890</v>
      </c>
      <c r="C1560" s="8" t="s">
        <v>1344</v>
      </c>
      <c r="D1560" s="9" t="str">
        <f>HYPERLINK("https://12go.asia/en/travel/Maho/Kurunegala", "12Go Link")</f>
        <v>12Go Link</v>
      </c>
      <c r="E1560" s="8" t="s">
        <v>870</v>
      </c>
    </row>
    <row r="1561">
      <c r="A1561" s="8" t="s">
        <v>894</v>
      </c>
      <c r="B1561" s="8" t="s">
        <v>890</v>
      </c>
      <c r="C1561" s="8" t="s">
        <v>1345</v>
      </c>
      <c r="D1561" s="9" t="str">
        <f>HYPERLINK("https://12go.asia/en/travel/Maho/Wellawa", "12Go Link")</f>
        <v>12Go Link</v>
      </c>
      <c r="E1561" s="8" t="s">
        <v>870</v>
      </c>
    </row>
    <row r="1562">
      <c r="A1562" s="8" t="s">
        <v>894</v>
      </c>
      <c r="B1562" s="8" t="s">
        <v>890</v>
      </c>
      <c r="C1562" s="8" t="s">
        <v>1346</v>
      </c>
      <c r="D1562" s="9" t="str">
        <f>HYPERLINK("https://12go.asia/en/travel/Nagollagama/Alawwa", "12Go Link")</f>
        <v>12Go Link</v>
      </c>
      <c r="E1562" s="8" t="s">
        <v>870</v>
      </c>
    </row>
    <row r="1563">
      <c r="A1563" s="8" t="s">
        <v>894</v>
      </c>
      <c r="B1563" s="8" t="s">
        <v>890</v>
      </c>
      <c r="C1563" s="8" t="s">
        <v>1347</v>
      </c>
      <c r="D1563" s="9" t="str">
        <f>HYPERLINK("https://12go.asia/en/travel/Nagollagama/Kurunegala", "12Go Link")</f>
        <v>12Go Link</v>
      </c>
      <c r="E1563" s="8" t="s">
        <v>870</v>
      </c>
    </row>
    <row r="1564">
      <c r="A1564" s="8" t="s">
        <v>894</v>
      </c>
      <c r="B1564" s="8" t="s">
        <v>890</v>
      </c>
      <c r="C1564" s="8" t="s">
        <v>1348</v>
      </c>
      <c r="D1564" s="9" t="str">
        <f>HYPERLINK("https://12go.asia/en/travel/Nagollagama/Wellawa", "12Go Link")</f>
        <v>12Go Link</v>
      </c>
      <c r="E1564" s="8" t="s">
        <v>870</v>
      </c>
    </row>
    <row r="1565">
      <c r="A1565" s="8" t="s">
        <v>894</v>
      </c>
      <c r="B1565" s="8" t="s">
        <v>894</v>
      </c>
      <c r="C1565" s="8" t="s">
        <v>1349</v>
      </c>
      <c r="D1565" s="9" t="str">
        <f>HYPERLINK("https://12go.asia/en/travel/Galgamuwa/Maho", "12Go Link")</f>
        <v>12Go Link</v>
      </c>
      <c r="E1565" s="8" t="s">
        <v>870</v>
      </c>
    </row>
    <row r="1566">
      <c r="A1566" s="8" t="s">
        <v>894</v>
      </c>
      <c r="B1566" s="8" t="s">
        <v>894</v>
      </c>
      <c r="C1566" s="8" t="s">
        <v>1350</v>
      </c>
      <c r="D1566" s="9" t="str">
        <f>HYPERLINK("https://12go.asia/en/travel/Galgamuwa/Nagollagama", "12Go Link")</f>
        <v>12Go Link</v>
      </c>
      <c r="E1566" s="8" t="s">
        <v>870</v>
      </c>
    </row>
    <row r="1567">
      <c r="A1567" s="8" t="s">
        <v>894</v>
      </c>
      <c r="B1567" s="8" t="s">
        <v>894</v>
      </c>
      <c r="C1567" s="8" t="s">
        <v>1351</v>
      </c>
      <c r="D1567" s="9" t="str">
        <f>HYPERLINK("https://12go.asia/en/travel/Maho/Galgamuwa", "12Go Link")</f>
        <v>12Go Link</v>
      </c>
      <c r="E1567" s="8" t="s">
        <v>870</v>
      </c>
    </row>
    <row r="1568">
      <c r="A1568" s="8" t="s">
        <v>894</v>
      </c>
      <c r="B1568" s="8" t="s">
        <v>894</v>
      </c>
      <c r="C1568" s="8" t="s">
        <v>1352</v>
      </c>
      <c r="D1568" s="9" t="str">
        <f>HYPERLINK("https://12go.asia/en/travel/Maho/Nagollagama", "12Go Link")</f>
        <v>12Go Link</v>
      </c>
      <c r="E1568" s="8" t="s">
        <v>870</v>
      </c>
    </row>
    <row r="1569">
      <c r="A1569" s="8" t="s">
        <v>894</v>
      </c>
      <c r="B1569" s="8" t="s">
        <v>894</v>
      </c>
      <c r="C1569" s="8" t="s">
        <v>1353</v>
      </c>
      <c r="D1569" s="9" t="str">
        <f>HYPERLINK("https://12go.asia/en/travel/Nagollagama/Galgamuwa", "12Go Link")</f>
        <v>12Go Link</v>
      </c>
      <c r="E1569" s="8" t="s">
        <v>870</v>
      </c>
    </row>
    <row r="1570">
      <c r="A1570" s="8" t="s">
        <v>894</v>
      </c>
      <c r="B1570" s="8" t="s">
        <v>894</v>
      </c>
      <c r="C1570" s="8" t="s">
        <v>1354</v>
      </c>
      <c r="D1570" s="9" t="str">
        <f>HYPERLINK("https://12go.asia/en/travel/Nagollagama/Maho", "12Go Link")</f>
        <v>12Go Link</v>
      </c>
      <c r="E1570" s="8" t="s">
        <v>870</v>
      </c>
    </row>
    <row r="1571">
      <c r="A1571" s="8" t="s">
        <v>894</v>
      </c>
      <c r="B1571" s="8" t="s">
        <v>898</v>
      </c>
      <c r="C1571" s="8" t="s">
        <v>1355</v>
      </c>
      <c r="D1571" s="9" t="str">
        <f>HYPERLINK("https://12go.asia/en/travel/Galgamuwa/Mirigama", "12Go Link")</f>
        <v>12Go Link</v>
      </c>
      <c r="E1571" s="8" t="s">
        <v>870</v>
      </c>
    </row>
    <row r="1572">
      <c r="A1572" s="8" t="s">
        <v>894</v>
      </c>
      <c r="B1572" s="8" t="s">
        <v>898</v>
      </c>
      <c r="C1572" s="8" t="s">
        <v>1356</v>
      </c>
      <c r="D1572" s="9" t="str">
        <f>HYPERLINK("https://12go.asia/en/travel/Maho/Mirigama", "12Go Link")</f>
        <v>12Go Link</v>
      </c>
      <c r="E1572" s="8" t="s">
        <v>870</v>
      </c>
    </row>
    <row r="1573">
      <c r="A1573" s="8" t="s">
        <v>894</v>
      </c>
      <c r="B1573" s="8" t="s">
        <v>898</v>
      </c>
      <c r="C1573" s="8" t="s">
        <v>1357</v>
      </c>
      <c r="D1573" s="9" t="str">
        <f>HYPERLINK("https://12go.asia/en/travel/Nagollagama/Mirigama", "12Go Link")</f>
        <v>12Go Link</v>
      </c>
      <c r="E1573" s="8" t="s">
        <v>870</v>
      </c>
    </row>
    <row r="1574">
      <c r="A1574" s="8" t="s">
        <v>894</v>
      </c>
      <c r="B1574" s="8" t="s">
        <v>900</v>
      </c>
      <c r="C1574" s="8" t="s">
        <v>1358</v>
      </c>
      <c r="D1574" s="9" t="str">
        <f>HYPERLINK("https://12go.asia/en/travel/Galgamuwa/Senarathgama", "12Go Link")</f>
        <v>12Go Link</v>
      </c>
      <c r="E1574" s="8" t="s">
        <v>870</v>
      </c>
    </row>
    <row r="1575">
      <c r="A1575" s="8" t="s">
        <v>894</v>
      </c>
      <c r="B1575" s="8" t="s">
        <v>900</v>
      </c>
      <c r="C1575" s="8" t="s">
        <v>1359</v>
      </c>
      <c r="D1575" s="9" t="str">
        <f>HYPERLINK("https://12go.asia/en/travel/Maho/Senarathgama", "12Go Link")</f>
        <v>12Go Link</v>
      </c>
      <c r="E1575" s="8" t="s">
        <v>870</v>
      </c>
    </row>
    <row r="1576">
      <c r="A1576" s="8" t="s">
        <v>894</v>
      </c>
      <c r="B1576" s="8" t="s">
        <v>900</v>
      </c>
      <c r="C1576" s="8" t="s">
        <v>1360</v>
      </c>
      <c r="D1576" s="9" t="str">
        <f>HYPERLINK("https://12go.asia/en/travel/Nagollagama/Senarathgama", "12Go Link")</f>
        <v>12Go Link</v>
      </c>
      <c r="E1576" s="8" t="s">
        <v>870</v>
      </c>
    </row>
    <row r="1577">
      <c r="A1577" s="8" t="s">
        <v>894</v>
      </c>
      <c r="B1577" s="8" t="s">
        <v>902</v>
      </c>
      <c r="C1577" s="8" t="s">
        <v>1361</v>
      </c>
      <c r="D1577" s="9" t="str">
        <f>HYPERLINK("https://12go.asia/en/travel/Galgamuwa/Polgahawela", "12Go Link")</f>
        <v>12Go Link</v>
      </c>
      <c r="E1577" s="8" t="s">
        <v>870</v>
      </c>
    </row>
    <row r="1578">
      <c r="A1578" s="8" t="s">
        <v>894</v>
      </c>
      <c r="B1578" s="8" t="s">
        <v>902</v>
      </c>
      <c r="C1578" s="8" t="s">
        <v>1362</v>
      </c>
      <c r="D1578" s="9" t="str">
        <f>HYPERLINK("https://12go.asia/en/travel/Maho/Polgahawela", "12Go Link")</f>
        <v>12Go Link</v>
      </c>
      <c r="E1578" s="8" t="s">
        <v>870</v>
      </c>
    </row>
    <row r="1579">
      <c r="A1579" s="8" t="s">
        <v>894</v>
      </c>
      <c r="B1579" s="8" t="s">
        <v>902</v>
      </c>
      <c r="C1579" s="8" t="s">
        <v>1363</v>
      </c>
      <c r="D1579" s="9" t="str">
        <f>HYPERLINK("https://12go.asia/en/travel/Nagollagama/Polgahawela", "12Go Link")</f>
        <v>12Go Link</v>
      </c>
      <c r="E1579" s="8" t="s">
        <v>870</v>
      </c>
    </row>
    <row r="1580">
      <c r="A1580" s="8" t="s">
        <v>894</v>
      </c>
      <c r="B1580" s="8" t="s">
        <v>904</v>
      </c>
      <c r="C1580" s="8" t="s">
        <v>1364</v>
      </c>
      <c r="D1580" s="9" t="str">
        <f>HYPERLINK("https://12go.asia/en/travel/Galgamuwa/Talawa", "12Go Link")</f>
        <v>12Go Link</v>
      </c>
      <c r="E1580" s="8" t="s">
        <v>870</v>
      </c>
    </row>
    <row r="1581">
      <c r="A1581" s="8" t="s">
        <v>894</v>
      </c>
      <c r="B1581" s="8" t="s">
        <v>904</v>
      </c>
      <c r="C1581" s="8" t="s">
        <v>1365</v>
      </c>
      <c r="D1581" s="9" t="str">
        <f>HYPERLINK("https://12go.asia/en/travel/Maho/Talawa", "12Go Link")</f>
        <v>12Go Link</v>
      </c>
      <c r="E1581" s="8" t="s">
        <v>870</v>
      </c>
    </row>
    <row r="1582">
      <c r="A1582" s="8" t="s">
        <v>894</v>
      </c>
      <c r="B1582" s="8" t="s">
        <v>904</v>
      </c>
      <c r="C1582" s="8" t="s">
        <v>1366</v>
      </c>
      <c r="D1582" s="9" t="str">
        <f>HYPERLINK("https://12go.asia/en/travel/Nagollagama/Talawa", "12Go Link")</f>
        <v>12Go Link</v>
      </c>
      <c r="E1582" s="8" t="s">
        <v>870</v>
      </c>
    </row>
    <row r="1583">
      <c r="A1583" s="8" t="s">
        <v>894</v>
      </c>
      <c r="B1583" s="8" t="s">
        <v>906</v>
      </c>
      <c r="C1583" s="8" t="s">
        <v>1367</v>
      </c>
      <c r="D1583" s="9" t="str">
        <f>HYPERLINK("https://12go.asia/en/travel/Galgamuwa/Thambuttegama", "12Go Link")</f>
        <v>12Go Link</v>
      </c>
      <c r="E1583" s="8" t="s">
        <v>870</v>
      </c>
    </row>
    <row r="1584">
      <c r="A1584" s="8" t="s">
        <v>894</v>
      </c>
      <c r="B1584" s="8" t="s">
        <v>906</v>
      </c>
      <c r="C1584" s="8" t="s">
        <v>1368</v>
      </c>
      <c r="D1584" s="9" t="str">
        <f>HYPERLINK("https://12go.asia/en/travel/Maho/Thambuttegama", "12Go Link")</f>
        <v>12Go Link</v>
      </c>
      <c r="E1584" s="8" t="s">
        <v>870</v>
      </c>
    </row>
    <row r="1585">
      <c r="A1585" s="8" t="s">
        <v>894</v>
      </c>
      <c r="B1585" s="8" t="s">
        <v>906</v>
      </c>
      <c r="C1585" s="8" t="s">
        <v>1369</v>
      </c>
      <c r="D1585" s="9" t="str">
        <f>HYPERLINK("https://12go.asia/en/travel/Nagollagama/Thambuttegama", "12Go Link")</f>
        <v>12Go Link</v>
      </c>
      <c r="E1585" s="8" t="s">
        <v>870</v>
      </c>
    </row>
    <row r="1586">
      <c r="A1586" s="8" t="s">
        <v>894</v>
      </c>
      <c r="B1586" s="8" t="s">
        <v>908</v>
      </c>
      <c r="C1586" s="8" t="s">
        <v>1370</v>
      </c>
      <c r="D1586" s="9" t="str">
        <f>HYPERLINK("https://12go.asia/en/travel/Galgamuwa/Vavuniya", "12Go Link")</f>
        <v>12Go Link</v>
      </c>
      <c r="E1586" s="8" t="s">
        <v>870</v>
      </c>
    </row>
    <row r="1587">
      <c r="A1587" s="8" t="s">
        <v>894</v>
      </c>
      <c r="B1587" s="8" t="s">
        <v>908</v>
      </c>
      <c r="C1587" s="8" t="s">
        <v>1371</v>
      </c>
      <c r="D1587" s="9" t="str">
        <f>HYPERLINK("https://12go.asia/en/travel/Maho/Vavuniya", "12Go Link")</f>
        <v>12Go Link</v>
      </c>
      <c r="E1587" s="8" t="s">
        <v>870</v>
      </c>
    </row>
    <row r="1588">
      <c r="A1588" s="8" t="s">
        <v>894</v>
      </c>
      <c r="B1588" s="8" t="s">
        <v>908</v>
      </c>
      <c r="C1588" s="8" t="s">
        <v>1372</v>
      </c>
      <c r="D1588" s="9" t="str">
        <f>HYPERLINK("https://12go.asia/en/travel/Nagollagama/Vavuniya", "12Go Link")</f>
        <v>12Go Link</v>
      </c>
      <c r="E1588" s="8" t="s">
        <v>870</v>
      </c>
    </row>
    <row r="1589">
      <c r="A1589" s="8" t="s">
        <v>894</v>
      </c>
      <c r="B1589" s="8" t="s">
        <v>910</v>
      </c>
      <c r="C1589" s="8" t="s">
        <v>1373</v>
      </c>
      <c r="D1589" s="9" t="str">
        <f>HYPERLINK("https://12go.asia/en/travel/Galgamuwa/Veyangoda", "12Go Link")</f>
        <v>12Go Link</v>
      </c>
      <c r="E1589" s="8" t="s">
        <v>870</v>
      </c>
    </row>
    <row r="1590">
      <c r="A1590" s="8" t="s">
        <v>894</v>
      </c>
      <c r="B1590" s="8" t="s">
        <v>910</v>
      </c>
      <c r="C1590" s="8" t="s">
        <v>1374</v>
      </c>
      <c r="D1590" s="9" t="str">
        <f>HYPERLINK("https://12go.asia/en/travel/Maho/Veyangoda", "12Go Link")</f>
        <v>12Go Link</v>
      </c>
      <c r="E1590" s="8" t="s">
        <v>870</v>
      </c>
    </row>
    <row r="1591">
      <c r="A1591" s="8" t="s">
        <v>894</v>
      </c>
      <c r="B1591" s="8" t="s">
        <v>910</v>
      </c>
      <c r="C1591" s="8" t="s">
        <v>1375</v>
      </c>
      <c r="D1591" s="9" t="str">
        <f>HYPERLINK("https://12go.asia/en/travel/Nagollagama/Veyangoda", "12Go Link")</f>
        <v>12Go Link</v>
      </c>
      <c r="E1591" s="8" t="s">
        <v>870</v>
      </c>
    </row>
    <row r="1592">
      <c r="A1592" s="6" t="s">
        <v>898</v>
      </c>
      <c r="B1592" s="6" t="s">
        <v>867</v>
      </c>
      <c r="C1592" s="6" t="s">
        <v>1376</v>
      </c>
      <c r="D1592" s="7" t="str">
        <f>HYPERLINK("https://12go.asia/en/travel/Mirigama/Ambanpola", "12Go Link")</f>
        <v>12Go Link</v>
      </c>
      <c r="E1592" s="6" t="s">
        <v>870</v>
      </c>
    </row>
    <row r="1593">
      <c r="A1593" s="6" t="s">
        <v>898</v>
      </c>
      <c r="B1593" s="6" t="s">
        <v>868</v>
      </c>
      <c r="C1593" s="6" t="s">
        <v>1377</v>
      </c>
      <c r="D1593" s="7" t="str">
        <f>HYPERLINK("https://12go.asia/en/travel/Mirigama/Ambepussa", "12Go Link")</f>
        <v>12Go Link</v>
      </c>
      <c r="E1593" s="6" t="s">
        <v>870</v>
      </c>
    </row>
    <row r="1594">
      <c r="A1594" s="6" t="s">
        <v>898</v>
      </c>
      <c r="B1594" s="6" t="s">
        <v>871</v>
      </c>
      <c r="C1594" s="6" t="s">
        <v>1378</v>
      </c>
      <c r="D1594" s="7" t="str">
        <f>HYPERLINK("https://12go.asia/en/travel/Mirigama/Anuradhapura", "12Go Link")</f>
        <v>12Go Link</v>
      </c>
      <c r="E1594" s="6" t="s">
        <v>870</v>
      </c>
    </row>
    <row r="1595">
      <c r="A1595" s="6" t="s">
        <v>898</v>
      </c>
      <c r="B1595" s="6" t="s">
        <v>871</v>
      </c>
      <c r="C1595" s="6" t="s">
        <v>1379</v>
      </c>
      <c r="D1595" s="7" t="str">
        <f>HYPERLINK("https://12go.asia/en/travel/Mirigama/Shrawasthipura", "12Go Link")</f>
        <v>12Go Link</v>
      </c>
      <c r="E1595" s="6" t="s">
        <v>870</v>
      </c>
    </row>
    <row r="1596">
      <c r="A1596" s="6" t="s">
        <v>898</v>
      </c>
      <c r="B1596" s="6" t="s">
        <v>874</v>
      </c>
      <c r="C1596" s="6" t="s">
        <v>1380</v>
      </c>
      <c r="D1596" s="7" t="str">
        <f>HYPERLINK("https://12go.asia/en/travel/Mirigama/Colombo-Fort", "12Go Link")</f>
        <v>12Go Link</v>
      </c>
      <c r="E1596" s="6" t="s">
        <v>870</v>
      </c>
    </row>
    <row r="1597">
      <c r="A1597" s="6" t="s">
        <v>898</v>
      </c>
      <c r="B1597" s="6" t="s">
        <v>874</v>
      </c>
      <c r="C1597" s="6" t="s">
        <v>1381</v>
      </c>
      <c r="D1597" s="7" t="str">
        <f>HYPERLINK("https://12go.asia/en/travel/Mirigama/Mount-Lavinia", "12Go Link")</f>
        <v>12Go Link</v>
      </c>
      <c r="E1597" s="6" t="s">
        <v>870</v>
      </c>
    </row>
    <row r="1598">
      <c r="A1598" s="6" t="s">
        <v>898</v>
      </c>
      <c r="B1598" s="6" t="s">
        <v>874</v>
      </c>
      <c r="C1598" s="6" t="s">
        <v>1382</v>
      </c>
      <c r="D1598" s="7" t="str">
        <f>HYPERLINK("https://12go.asia/en/travel/Mirigama/Wellawatta", "12Go Link")</f>
        <v>12Go Link</v>
      </c>
      <c r="E1598" s="6" t="s">
        <v>870</v>
      </c>
    </row>
    <row r="1599">
      <c r="A1599" s="6" t="s">
        <v>898</v>
      </c>
      <c r="B1599" s="6" t="s">
        <v>878</v>
      </c>
      <c r="C1599" s="6" t="s">
        <v>1383</v>
      </c>
      <c r="D1599" s="7" t="str">
        <f>HYPERLINK("https://12go.asia/en/travel/Mirigama/Gampaha", "12Go Link")</f>
        <v>12Go Link</v>
      </c>
      <c r="E1599" s="6" t="s">
        <v>870</v>
      </c>
    </row>
    <row r="1600">
      <c r="A1600" s="6" t="s">
        <v>898</v>
      </c>
      <c r="B1600" s="6" t="s">
        <v>880</v>
      </c>
      <c r="C1600" s="6" t="s">
        <v>1384</v>
      </c>
      <c r="D1600" s="7" t="str">
        <f>HYPERLINK("https://12go.asia/en/travel/Mirigama/Ganewatta", "12Go Link")</f>
        <v>12Go Link</v>
      </c>
      <c r="E1600" s="6" t="s">
        <v>870</v>
      </c>
    </row>
    <row r="1601">
      <c r="A1601" s="6" t="s">
        <v>898</v>
      </c>
      <c r="B1601" s="6" t="s">
        <v>882</v>
      </c>
      <c r="C1601" s="6" t="s">
        <v>1385</v>
      </c>
      <c r="D1601" s="7" t="str">
        <f>HYPERLINK("https://12go.asia/en/travel/Mirigama/Jaffna-Train-Station", "12Go Link")</f>
        <v>12Go Link</v>
      </c>
      <c r="E1601" s="6" t="s">
        <v>870</v>
      </c>
    </row>
    <row r="1602">
      <c r="A1602" s="6" t="s">
        <v>898</v>
      </c>
      <c r="B1602" s="6" t="s">
        <v>884</v>
      </c>
      <c r="C1602" s="6" t="s">
        <v>1386</v>
      </c>
      <c r="D1602" s="7" t="str">
        <f>HYPERLINK("https://12go.asia/en/travel/Mirigama/Kankesanthurai", "12Go Link")</f>
        <v>12Go Link</v>
      </c>
      <c r="E1602" s="6" t="s">
        <v>870</v>
      </c>
    </row>
    <row r="1603">
      <c r="A1603" s="6" t="s">
        <v>898</v>
      </c>
      <c r="B1603" s="6" t="s">
        <v>886</v>
      </c>
      <c r="C1603" s="6" t="s">
        <v>1387</v>
      </c>
      <c r="D1603" s="7" t="str">
        <f>HYPERLINK("https://12go.asia/en/travel/Mirigama/Kilinochchi", "12Go Link")</f>
        <v>12Go Link</v>
      </c>
      <c r="E1603" s="6" t="s">
        <v>870</v>
      </c>
    </row>
    <row r="1604">
      <c r="A1604" s="6" t="s">
        <v>898</v>
      </c>
      <c r="B1604" s="6" t="s">
        <v>888</v>
      </c>
      <c r="C1604" s="6" t="s">
        <v>1388</v>
      </c>
      <c r="D1604" s="7" t="str">
        <f>HYPERLINK("https://12go.asia/en/travel/Mirigama/Kodikamam", "12Go Link")</f>
        <v>12Go Link</v>
      </c>
      <c r="E1604" s="6" t="s">
        <v>870</v>
      </c>
    </row>
    <row r="1605">
      <c r="A1605" s="6" t="s">
        <v>898</v>
      </c>
      <c r="B1605" s="6" t="s">
        <v>890</v>
      </c>
      <c r="C1605" s="6" t="s">
        <v>1389</v>
      </c>
      <c r="D1605" s="7" t="str">
        <f>HYPERLINK("https://12go.asia/en/travel/Mirigama/Alawwa", "12Go Link")</f>
        <v>12Go Link</v>
      </c>
      <c r="E1605" s="6" t="s">
        <v>870</v>
      </c>
    </row>
    <row r="1606">
      <c r="A1606" s="6" t="s">
        <v>898</v>
      </c>
      <c r="B1606" s="6" t="s">
        <v>890</v>
      </c>
      <c r="C1606" s="6" t="s">
        <v>1390</v>
      </c>
      <c r="D1606" s="7" t="str">
        <f>HYPERLINK("https://12go.asia/en/travel/Mirigama/Kurunegala", "12Go Link")</f>
        <v>12Go Link</v>
      </c>
      <c r="E1606" s="6" t="s">
        <v>870</v>
      </c>
    </row>
    <row r="1607">
      <c r="A1607" s="6" t="s">
        <v>898</v>
      </c>
      <c r="B1607" s="6" t="s">
        <v>890</v>
      </c>
      <c r="C1607" s="6" t="s">
        <v>1391</v>
      </c>
      <c r="D1607" s="7" t="str">
        <f>HYPERLINK("https://12go.asia/en/travel/Mirigama/Wellawa", "12Go Link")</f>
        <v>12Go Link</v>
      </c>
      <c r="E1607" s="6" t="s">
        <v>870</v>
      </c>
    </row>
    <row r="1608">
      <c r="A1608" s="6" t="s">
        <v>898</v>
      </c>
      <c r="B1608" s="6" t="s">
        <v>894</v>
      </c>
      <c r="C1608" s="6" t="s">
        <v>1392</v>
      </c>
      <c r="D1608" s="7" t="str">
        <f>HYPERLINK("https://12go.asia/en/travel/Mirigama/Galgamuwa", "12Go Link")</f>
        <v>12Go Link</v>
      </c>
      <c r="E1608" s="6" t="s">
        <v>870</v>
      </c>
    </row>
    <row r="1609">
      <c r="A1609" s="6" t="s">
        <v>898</v>
      </c>
      <c r="B1609" s="6" t="s">
        <v>894</v>
      </c>
      <c r="C1609" s="6" t="s">
        <v>1393</v>
      </c>
      <c r="D1609" s="7" t="str">
        <f>HYPERLINK("https://12go.asia/en/travel/Mirigama/Maho", "12Go Link")</f>
        <v>12Go Link</v>
      </c>
      <c r="E1609" s="6" t="s">
        <v>870</v>
      </c>
    </row>
    <row r="1610">
      <c r="A1610" s="6" t="s">
        <v>898</v>
      </c>
      <c r="B1610" s="6" t="s">
        <v>894</v>
      </c>
      <c r="C1610" s="6" t="s">
        <v>1394</v>
      </c>
      <c r="D1610" s="7" t="str">
        <f>HYPERLINK("https://12go.asia/en/travel/Mirigama/Nagollagama", "12Go Link")</f>
        <v>12Go Link</v>
      </c>
      <c r="E1610" s="6" t="s">
        <v>870</v>
      </c>
    </row>
    <row r="1611">
      <c r="A1611" s="6" t="s">
        <v>898</v>
      </c>
      <c r="B1611" s="6" t="s">
        <v>900</v>
      </c>
      <c r="C1611" s="6" t="s">
        <v>1395</v>
      </c>
      <c r="D1611" s="7" t="str">
        <f>HYPERLINK("https://12go.asia/en/travel/Mirigama/Senarathgama", "12Go Link")</f>
        <v>12Go Link</v>
      </c>
      <c r="E1611" s="6" t="s">
        <v>870</v>
      </c>
    </row>
    <row r="1612">
      <c r="A1612" s="6" t="s">
        <v>898</v>
      </c>
      <c r="B1612" s="6" t="s">
        <v>902</v>
      </c>
      <c r="C1612" s="6" t="s">
        <v>1396</v>
      </c>
      <c r="D1612" s="7" t="str">
        <f>HYPERLINK("https://12go.asia/en/travel/Mirigama/Polgahawela", "12Go Link")</f>
        <v>12Go Link</v>
      </c>
      <c r="E1612" s="6" t="s">
        <v>870</v>
      </c>
    </row>
    <row r="1613">
      <c r="A1613" s="6" t="s">
        <v>898</v>
      </c>
      <c r="B1613" s="6" t="s">
        <v>904</v>
      </c>
      <c r="C1613" s="6" t="s">
        <v>1397</v>
      </c>
      <c r="D1613" s="7" t="str">
        <f>HYPERLINK("https://12go.asia/en/travel/Mirigama/Talawa", "12Go Link")</f>
        <v>12Go Link</v>
      </c>
      <c r="E1613" s="6" t="s">
        <v>870</v>
      </c>
    </row>
    <row r="1614">
      <c r="A1614" s="6" t="s">
        <v>898</v>
      </c>
      <c r="B1614" s="6" t="s">
        <v>906</v>
      </c>
      <c r="C1614" s="6" t="s">
        <v>1398</v>
      </c>
      <c r="D1614" s="7" t="str">
        <f>HYPERLINK("https://12go.asia/en/travel/Mirigama/Thambuttegama", "12Go Link")</f>
        <v>12Go Link</v>
      </c>
      <c r="E1614" s="6" t="s">
        <v>870</v>
      </c>
    </row>
    <row r="1615">
      <c r="A1615" s="6" t="s">
        <v>898</v>
      </c>
      <c r="B1615" s="6" t="s">
        <v>908</v>
      </c>
      <c r="C1615" s="6" t="s">
        <v>1399</v>
      </c>
      <c r="D1615" s="7" t="str">
        <f>HYPERLINK("https://12go.asia/en/travel/Mirigama/Vavuniya", "12Go Link")</f>
        <v>12Go Link</v>
      </c>
      <c r="E1615" s="6" t="s">
        <v>870</v>
      </c>
    </row>
    <row r="1616">
      <c r="A1616" s="6" t="s">
        <v>898</v>
      </c>
      <c r="B1616" s="6" t="s">
        <v>910</v>
      </c>
      <c r="C1616" s="6" t="s">
        <v>1400</v>
      </c>
      <c r="D1616" s="7" t="str">
        <f>HYPERLINK("https://12go.asia/en/travel/Mirigama/Veyangoda", "12Go Link")</f>
        <v>12Go Link</v>
      </c>
      <c r="E1616" s="6" t="s">
        <v>870</v>
      </c>
    </row>
    <row r="1617">
      <c r="A1617" s="8" t="s">
        <v>1401</v>
      </c>
      <c r="B1617" s="8" t="s">
        <v>987</v>
      </c>
      <c r="C1617" s="8" t="s">
        <v>1402</v>
      </c>
      <c r="D1617" s="9" t="str">
        <f>HYPERLINK("https://12go.asia/en/travel/Mirissa-Hotel-Transfer/Arugam-Bay", "12Go Link")</f>
        <v>12Go Link</v>
      </c>
      <c r="E1617" s="8" t="s">
        <v>567</v>
      </c>
    </row>
    <row r="1618">
      <c r="A1618" s="8" t="s">
        <v>1401</v>
      </c>
      <c r="B1618" s="8" t="s">
        <v>1057</v>
      </c>
      <c r="C1618" s="8" t="s">
        <v>1403</v>
      </c>
      <c r="D1618" s="9" t="str">
        <f>HYPERLINK("https://12go.asia/en/travel/Mirissa-Hotel-Transfer/Trincomalee-Hotel-Transfer", "12Go Link")</f>
        <v>12Go Link</v>
      </c>
      <c r="E1618" s="8" t="s">
        <v>567</v>
      </c>
    </row>
    <row r="1619">
      <c r="A1619" s="6" t="s">
        <v>1404</v>
      </c>
      <c r="B1619" s="6" t="s">
        <v>990</v>
      </c>
      <c r="C1619" s="6" t="s">
        <v>1405</v>
      </c>
      <c r="D1619" s="7" t="str">
        <f>HYPERLINK("https://12go.asia/en/travel/Negombo-Transfer/Ella", "12Go Link")</f>
        <v>12Go Link</v>
      </c>
      <c r="E1619" s="6" t="s">
        <v>1008</v>
      </c>
    </row>
    <row r="1620">
      <c r="A1620" s="6" t="s">
        <v>1404</v>
      </c>
      <c r="B1620" s="6" t="s">
        <v>1017</v>
      </c>
      <c r="C1620" s="6" t="s">
        <v>1406</v>
      </c>
      <c r="D1620" s="7" t="str">
        <f>HYPERLINK("https://12go.asia/en/travel/Negombo-Transfer/Kandy-Transfer", "12Go Link")</f>
        <v>12Go Link</v>
      </c>
      <c r="E1620" s="6" t="s">
        <v>1019</v>
      </c>
    </row>
    <row r="1621">
      <c r="A1621" s="6" t="s">
        <v>1404</v>
      </c>
      <c r="B1621" s="6" t="s">
        <v>992</v>
      </c>
      <c r="C1621" s="6" t="s">
        <v>1407</v>
      </c>
      <c r="D1621" s="7" t="str">
        <f>HYPERLINK("https://12go.asia/en/travel/Negombo-Transfer/Sigiriya-Transfer", "12Go Link")</f>
        <v>12Go Link</v>
      </c>
      <c r="E1621" s="6" t="s">
        <v>608</v>
      </c>
    </row>
    <row r="1622">
      <c r="A1622" s="8" t="s">
        <v>900</v>
      </c>
      <c r="B1622" s="8" t="s">
        <v>867</v>
      </c>
      <c r="C1622" s="8" t="s">
        <v>1408</v>
      </c>
      <c r="D1622" s="9" t="str">
        <f>HYPERLINK("https://12go.asia/en/travel/Senarathgama/Ambanpola", "12Go Link")</f>
        <v>12Go Link</v>
      </c>
      <c r="E1622" s="8" t="s">
        <v>870</v>
      </c>
    </row>
    <row r="1623">
      <c r="A1623" s="8" t="s">
        <v>900</v>
      </c>
      <c r="B1623" s="8" t="s">
        <v>868</v>
      </c>
      <c r="C1623" s="8" t="s">
        <v>1409</v>
      </c>
      <c r="D1623" s="9" t="str">
        <f>HYPERLINK("https://12go.asia/en/travel/Senarathgama/Ambepussa", "12Go Link")</f>
        <v>12Go Link</v>
      </c>
      <c r="E1623" s="8" t="s">
        <v>870</v>
      </c>
    </row>
    <row r="1624">
      <c r="A1624" s="8" t="s">
        <v>900</v>
      </c>
      <c r="B1624" s="8" t="s">
        <v>871</v>
      </c>
      <c r="C1624" s="8" t="s">
        <v>1410</v>
      </c>
      <c r="D1624" s="9" t="str">
        <f>HYPERLINK("https://12go.asia/en/travel/Senarathgama/Anuradhapura", "12Go Link")</f>
        <v>12Go Link</v>
      </c>
      <c r="E1624" s="8" t="s">
        <v>870</v>
      </c>
    </row>
    <row r="1625">
      <c r="A1625" s="8" t="s">
        <v>900</v>
      </c>
      <c r="B1625" s="8" t="s">
        <v>871</v>
      </c>
      <c r="C1625" s="8" t="s">
        <v>1411</v>
      </c>
      <c r="D1625" s="9" t="str">
        <f>HYPERLINK("https://12go.asia/en/travel/Senarathgama/Shrawasthipura", "12Go Link")</f>
        <v>12Go Link</v>
      </c>
      <c r="E1625" s="8" t="s">
        <v>870</v>
      </c>
    </row>
    <row r="1626">
      <c r="A1626" s="8" t="s">
        <v>900</v>
      </c>
      <c r="B1626" s="8" t="s">
        <v>874</v>
      </c>
      <c r="C1626" s="8" t="s">
        <v>1412</v>
      </c>
      <c r="D1626" s="9" t="str">
        <f>HYPERLINK("https://12go.asia/en/travel/Senarathgama/Colombo-Fort", "12Go Link")</f>
        <v>12Go Link</v>
      </c>
      <c r="E1626" s="8" t="s">
        <v>870</v>
      </c>
    </row>
    <row r="1627">
      <c r="A1627" s="8" t="s">
        <v>900</v>
      </c>
      <c r="B1627" s="8" t="s">
        <v>874</v>
      </c>
      <c r="C1627" s="8" t="s">
        <v>1413</v>
      </c>
      <c r="D1627" s="9" t="str">
        <f>HYPERLINK("https://12go.asia/en/travel/Senarathgama/Mount-Lavinia", "12Go Link")</f>
        <v>12Go Link</v>
      </c>
      <c r="E1627" s="8" t="s">
        <v>870</v>
      </c>
    </row>
    <row r="1628">
      <c r="A1628" s="8" t="s">
        <v>900</v>
      </c>
      <c r="B1628" s="8" t="s">
        <v>874</v>
      </c>
      <c r="C1628" s="8" t="s">
        <v>1414</v>
      </c>
      <c r="D1628" s="9" t="str">
        <f>HYPERLINK("https://12go.asia/en/travel/Senarathgama/Wellawatta", "12Go Link")</f>
        <v>12Go Link</v>
      </c>
      <c r="E1628" s="8" t="s">
        <v>870</v>
      </c>
    </row>
    <row r="1629">
      <c r="A1629" s="8" t="s">
        <v>900</v>
      </c>
      <c r="B1629" s="8" t="s">
        <v>878</v>
      </c>
      <c r="C1629" s="8" t="s">
        <v>1415</v>
      </c>
      <c r="D1629" s="9" t="str">
        <f>HYPERLINK("https://12go.asia/en/travel/Senarathgama/Gampaha", "12Go Link")</f>
        <v>12Go Link</v>
      </c>
      <c r="E1629" s="8" t="s">
        <v>870</v>
      </c>
    </row>
    <row r="1630">
      <c r="A1630" s="8" t="s">
        <v>900</v>
      </c>
      <c r="B1630" s="8" t="s">
        <v>880</v>
      </c>
      <c r="C1630" s="8" t="s">
        <v>1416</v>
      </c>
      <c r="D1630" s="9" t="str">
        <f>HYPERLINK("https://12go.asia/en/travel/Senarathgama/Ganewatta", "12Go Link")</f>
        <v>12Go Link</v>
      </c>
      <c r="E1630" s="8" t="s">
        <v>870</v>
      </c>
    </row>
    <row r="1631">
      <c r="A1631" s="8" t="s">
        <v>900</v>
      </c>
      <c r="B1631" s="8" t="s">
        <v>882</v>
      </c>
      <c r="C1631" s="8" t="s">
        <v>1417</v>
      </c>
      <c r="D1631" s="9" t="str">
        <f>HYPERLINK("https://12go.asia/en/travel/Senarathgama/Jaffna-Train-Station", "12Go Link")</f>
        <v>12Go Link</v>
      </c>
      <c r="E1631" s="8" t="s">
        <v>870</v>
      </c>
    </row>
    <row r="1632">
      <c r="A1632" s="8" t="s">
        <v>900</v>
      </c>
      <c r="B1632" s="8" t="s">
        <v>884</v>
      </c>
      <c r="C1632" s="8" t="s">
        <v>1418</v>
      </c>
      <c r="D1632" s="9" t="str">
        <f>HYPERLINK("https://12go.asia/en/travel/Senarathgama/Kankesanthurai", "12Go Link")</f>
        <v>12Go Link</v>
      </c>
      <c r="E1632" s="8" t="s">
        <v>870</v>
      </c>
    </row>
    <row r="1633">
      <c r="A1633" s="8" t="s">
        <v>900</v>
      </c>
      <c r="B1633" s="8" t="s">
        <v>886</v>
      </c>
      <c r="C1633" s="8" t="s">
        <v>1419</v>
      </c>
      <c r="D1633" s="9" t="str">
        <f>HYPERLINK("https://12go.asia/en/travel/Senarathgama/Kilinochchi", "12Go Link")</f>
        <v>12Go Link</v>
      </c>
      <c r="E1633" s="8" t="s">
        <v>870</v>
      </c>
    </row>
    <row r="1634">
      <c r="A1634" s="8" t="s">
        <v>900</v>
      </c>
      <c r="B1634" s="8" t="s">
        <v>888</v>
      </c>
      <c r="C1634" s="8" t="s">
        <v>1420</v>
      </c>
      <c r="D1634" s="9" t="str">
        <f>HYPERLINK("https://12go.asia/en/travel/Senarathgama/Kodikamam", "12Go Link")</f>
        <v>12Go Link</v>
      </c>
      <c r="E1634" s="8" t="s">
        <v>870</v>
      </c>
    </row>
    <row r="1635">
      <c r="A1635" s="8" t="s">
        <v>900</v>
      </c>
      <c r="B1635" s="8" t="s">
        <v>890</v>
      </c>
      <c r="C1635" s="8" t="s">
        <v>1421</v>
      </c>
      <c r="D1635" s="9" t="str">
        <f>HYPERLINK("https://12go.asia/en/travel/Senarathgama/Alawwa", "12Go Link")</f>
        <v>12Go Link</v>
      </c>
      <c r="E1635" s="8" t="s">
        <v>870</v>
      </c>
    </row>
    <row r="1636">
      <c r="A1636" s="8" t="s">
        <v>900</v>
      </c>
      <c r="B1636" s="8" t="s">
        <v>890</v>
      </c>
      <c r="C1636" s="8" t="s">
        <v>1422</v>
      </c>
      <c r="D1636" s="9" t="str">
        <f>HYPERLINK("https://12go.asia/en/travel/Senarathgama/Kurunegala", "12Go Link")</f>
        <v>12Go Link</v>
      </c>
      <c r="E1636" s="8" t="s">
        <v>870</v>
      </c>
    </row>
    <row r="1637">
      <c r="A1637" s="8" t="s">
        <v>900</v>
      </c>
      <c r="B1637" s="8" t="s">
        <v>890</v>
      </c>
      <c r="C1637" s="8" t="s">
        <v>1423</v>
      </c>
      <c r="D1637" s="9" t="str">
        <f>HYPERLINK("https://12go.asia/en/travel/Senarathgama/Wellawa", "12Go Link")</f>
        <v>12Go Link</v>
      </c>
      <c r="E1637" s="8" t="s">
        <v>870</v>
      </c>
    </row>
    <row r="1638">
      <c r="A1638" s="8" t="s">
        <v>900</v>
      </c>
      <c r="B1638" s="8" t="s">
        <v>894</v>
      </c>
      <c r="C1638" s="8" t="s">
        <v>1424</v>
      </c>
      <c r="D1638" s="9" t="str">
        <f>HYPERLINK("https://12go.asia/en/travel/Senarathgama/Galgamuwa", "12Go Link")</f>
        <v>12Go Link</v>
      </c>
      <c r="E1638" s="8" t="s">
        <v>870</v>
      </c>
    </row>
    <row r="1639">
      <c r="A1639" s="8" t="s">
        <v>900</v>
      </c>
      <c r="B1639" s="8" t="s">
        <v>894</v>
      </c>
      <c r="C1639" s="8" t="s">
        <v>1425</v>
      </c>
      <c r="D1639" s="9" t="str">
        <f>HYPERLINK("https://12go.asia/en/travel/Senarathgama/Maho", "12Go Link")</f>
        <v>12Go Link</v>
      </c>
      <c r="E1639" s="8" t="s">
        <v>870</v>
      </c>
    </row>
    <row r="1640">
      <c r="A1640" s="8" t="s">
        <v>900</v>
      </c>
      <c r="B1640" s="8" t="s">
        <v>894</v>
      </c>
      <c r="C1640" s="8" t="s">
        <v>1426</v>
      </c>
      <c r="D1640" s="9" t="str">
        <f>HYPERLINK("https://12go.asia/en/travel/Senarathgama/Nagollagama", "12Go Link")</f>
        <v>12Go Link</v>
      </c>
      <c r="E1640" s="8" t="s">
        <v>870</v>
      </c>
    </row>
    <row r="1641">
      <c r="A1641" s="8" t="s">
        <v>900</v>
      </c>
      <c r="B1641" s="8" t="s">
        <v>898</v>
      </c>
      <c r="C1641" s="8" t="s">
        <v>1427</v>
      </c>
      <c r="D1641" s="9" t="str">
        <f>HYPERLINK("https://12go.asia/en/travel/Senarathgama/Mirigama", "12Go Link")</f>
        <v>12Go Link</v>
      </c>
      <c r="E1641" s="8" t="s">
        <v>870</v>
      </c>
    </row>
    <row r="1642">
      <c r="A1642" s="8" t="s">
        <v>900</v>
      </c>
      <c r="B1642" s="8" t="s">
        <v>902</v>
      </c>
      <c r="C1642" s="8" t="s">
        <v>1428</v>
      </c>
      <c r="D1642" s="9" t="str">
        <f>HYPERLINK("https://12go.asia/en/travel/Senarathgama/Polgahawela", "12Go Link")</f>
        <v>12Go Link</v>
      </c>
      <c r="E1642" s="8" t="s">
        <v>870</v>
      </c>
    </row>
    <row r="1643">
      <c r="A1643" s="8" t="s">
        <v>900</v>
      </c>
      <c r="B1643" s="8" t="s">
        <v>904</v>
      </c>
      <c r="C1643" s="8" t="s">
        <v>1429</v>
      </c>
      <c r="D1643" s="9" t="str">
        <f>HYPERLINK("https://12go.asia/en/travel/Senarathgama/Talawa", "12Go Link")</f>
        <v>12Go Link</v>
      </c>
      <c r="E1643" s="8" t="s">
        <v>870</v>
      </c>
    </row>
    <row r="1644">
      <c r="A1644" s="8" t="s">
        <v>900</v>
      </c>
      <c r="B1644" s="8" t="s">
        <v>906</v>
      </c>
      <c r="C1644" s="8" t="s">
        <v>1430</v>
      </c>
      <c r="D1644" s="9" t="str">
        <f>HYPERLINK("https://12go.asia/en/travel/Senarathgama/Thambuttegama", "12Go Link")</f>
        <v>12Go Link</v>
      </c>
      <c r="E1644" s="8" t="s">
        <v>870</v>
      </c>
    </row>
    <row r="1645">
      <c r="A1645" s="8" t="s">
        <v>900</v>
      </c>
      <c r="B1645" s="8" t="s">
        <v>908</v>
      </c>
      <c r="C1645" s="8" t="s">
        <v>1431</v>
      </c>
      <c r="D1645" s="9" t="str">
        <f>HYPERLINK("https://12go.asia/en/travel/Senarathgama/Vavuniya", "12Go Link")</f>
        <v>12Go Link</v>
      </c>
      <c r="E1645" s="8" t="s">
        <v>870</v>
      </c>
    </row>
    <row r="1646">
      <c r="A1646" s="8" t="s">
        <v>900</v>
      </c>
      <c r="B1646" s="8" t="s">
        <v>910</v>
      </c>
      <c r="C1646" s="8" t="s">
        <v>1432</v>
      </c>
      <c r="D1646" s="9" t="str">
        <f>HYPERLINK("https://12go.asia/en/travel/Senarathgama/Veyangoda", "12Go Link")</f>
        <v>12Go Link</v>
      </c>
      <c r="E1646" s="8" t="s">
        <v>870</v>
      </c>
    </row>
    <row r="1647">
      <c r="A1647" s="6" t="s">
        <v>1044</v>
      </c>
      <c r="B1647" s="6" t="s">
        <v>1017</v>
      </c>
      <c r="C1647" s="6" t="s">
        <v>1433</v>
      </c>
      <c r="D1647" s="7" t="str">
        <f>HYPERLINK("https://12go.asia/en/travel/Nuwara-Eliya/Kandy-Transfer", "12Go Link")</f>
        <v>12Go Link</v>
      </c>
      <c r="E1647" s="6" t="s">
        <v>1019</v>
      </c>
    </row>
    <row r="1648">
      <c r="A1648" s="8" t="s">
        <v>902</v>
      </c>
      <c r="B1648" s="8" t="s">
        <v>867</v>
      </c>
      <c r="C1648" s="8" t="s">
        <v>1434</v>
      </c>
      <c r="D1648" s="9" t="str">
        <f>HYPERLINK("https://12go.asia/en/travel/Polgahawela/Ambanpola", "12Go Link")</f>
        <v>12Go Link</v>
      </c>
      <c r="E1648" s="8" t="s">
        <v>870</v>
      </c>
    </row>
    <row r="1649">
      <c r="A1649" s="8" t="s">
        <v>902</v>
      </c>
      <c r="B1649" s="8" t="s">
        <v>868</v>
      </c>
      <c r="C1649" s="8" t="s">
        <v>1435</v>
      </c>
      <c r="D1649" s="9" t="str">
        <f>HYPERLINK("https://12go.asia/en/travel/Polgahawela/Ambepussa", "12Go Link")</f>
        <v>12Go Link</v>
      </c>
      <c r="E1649" s="8" t="s">
        <v>870</v>
      </c>
    </row>
    <row r="1650">
      <c r="A1650" s="8" t="s">
        <v>902</v>
      </c>
      <c r="B1650" s="8" t="s">
        <v>871</v>
      </c>
      <c r="C1650" s="8" t="s">
        <v>1436</v>
      </c>
      <c r="D1650" s="9" t="str">
        <f>HYPERLINK("https://12go.asia/en/travel/Polgahawela/Anuradhapura", "12Go Link")</f>
        <v>12Go Link</v>
      </c>
      <c r="E1650" s="8" t="s">
        <v>870</v>
      </c>
    </row>
    <row r="1651">
      <c r="A1651" s="8" t="s">
        <v>902</v>
      </c>
      <c r="B1651" s="8" t="s">
        <v>871</v>
      </c>
      <c r="C1651" s="8" t="s">
        <v>1437</v>
      </c>
      <c r="D1651" s="9" t="str">
        <f>HYPERLINK("https://12go.asia/en/travel/Polgahawela/Shrawasthipura", "12Go Link")</f>
        <v>12Go Link</v>
      </c>
      <c r="E1651" s="8" t="s">
        <v>870</v>
      </c>
    </row>
    <row r="1652">
      <c r="A1652" s="8" t="s">
        <v>902</v>
      </c>
      <c r="B1652" s="8" t="s">
        <v>874</v>
      </c>
      <c r="C1652" s="8" t="s">
        <v>1438</v>
      </c>
      <c r="D1652" s="9" t="str">
        <f>HYPERLINK("https://12go.asia/en/travel/Polgahawela/Colombo-Fort", "12Go Link")</f>
        <v>12Go Link</v>
      </c>
      <c r="E1652" s="8" t="s">
        <v>870</v>
      </c>
    </row>
    <row r="1653">
      <c r="A1653" s="8" t="s">
        <v>902</v>
      </c>
      <c r="B1653" s="8" t="s">
        <v>874</v>
      </c>
      <c r="C1653" s="8" t="s">
        <v>1439</v>
      </c>
      <c r="D1653" s="9" t="str">
        <f>HYPERLINK("https://12go.asia/en/travel/Polgahawela/Mount-Lavinia", "12Go Link")</f>
        <v>12Go Link</v>
      </c>
      <c r="E1653" s="8" t="s">
        <v>870</v>
      </c>
    </row>
    <row r="1654">
      <c r="A1654" s="8" t="s">
        <v>902</v>
      </c>
      <c r="B1654" s="8" t="s">
        <v>874</v>
      </c>
      <c r="C1654" s="8" t="s">
        <v>1440</v>
      </c>
      <c r="D1654" s="9" t="str">
        <f>HYPERLINK("https://12go.asia/en/travel/Polgahawela/Wellawatta", "12Go Link")</f>
        <v>12Go Link</v>
      </c>
      <c r="E1654" s="8" t="s">
        <v>870</v>
      </c>
    </row>
    <row r="1655">
      <c r="A1655" s="8" t="s">
        <v>902</v>
      </c>
      <c r="B1655" s="8" t="s">
        <v>878</v>
      </c>
      <c r="C1655" s="8" t="s">
        <v>1441</v>
      </c>
      <c r="D1655" s="9" t="str">
        <f>HYPERLINK("https://12go.asia/en/travel/Polgahawela/Gampaha", "12Go Link")</f>
        <v>12Go Link</v>
      </c>
      <c r="E1655" s="8" t="s">
        <v>870</v>
      </c>
    </row>
    <row r="1656">
      <c r="A1656" s="8" t="s">
        <v>902</v>
      </c>
      <c r="B1656" s="8" t="s">
        <v>880</v>
      </c>
      <c r="C1656" s="8" t="s">
        <v>1442</v>
      </c>
      <c r="D1656" s="9" t="str">
        <f>HYPERLINK("https://12go.asia/en/travel/Polgahawela/Ganewatta", "12Go Link")</f>
        <v>12Go Link</v>
      </c>
      <c r="E1656" s="8" t="s">
        <v>870</v>
      </c>
    </row>
    <row r="1657">
      <c r="A1657" s="8" t="s">
        <v>902</v>
      </c>
      <c r="B1657" s="8" t="s">
        <v>882</v>
      </c>
      <c r="C1657" s="8" t="s">
        <v>1443</v>
      </c>
      <c r="D1657" s="9" t="str">
        <f>HYPERLINK("https://12go.asia/en/travel/Polgahawela/Jaffna-Train-Station", "12Go Link")</f>
        <v>12Go Link</v>
      </c>
      <c r="E1657" s="8" t="s">
        <v>870</v>
      </c>
    </row>
    <row r="1658">
      <c r="A1658" s="8" t="s">
        <v>902</v>
      </c>
      <c r="B1658" s="8" t="s">
        <v>884</v>
      </c>
      <c r="C1658" s="8" t="s">
        <v>1444</v>
      </c>
      <c r="D1658" s="9" t="str">
        <f>HYPERLINK("https://12go.asia/en/travel/Polgahawela/Kankesanthurai", "12Go Link")</f>
        <v>12Go Link</v>
      </c>
      <c r="E1658" s="8" t="s">
        <v>870</v>
      </c>
    </row>
    <row r="1659">
      <c r="A1659" s="8" t="s">
        <v>902</v>
      </c>
      <c r="B1659" s="8" t="s">
        <v>886</v>
      </c>
      <c r="C1659" s="8" t="s">
        <v>1445</v>
      </c>
      <c r="D1659" s="9" t="str">
        <f>HYPERLINK("https://12go.asia/en/travel/Polgahawela/Kilinochchi", "12Go Link")</f>
        <v>12Go Link</v>
      </c>
      <c r="E1659" s="8" t="s">
        <v>870</v>
      </c>
    </row>
    <row r="1660">
      <c r="A1660" s="8" t="s">
        <v>902</v>
      </c>
      <c r="B1660" s="8" t="s">
        <v>888</v>
      </c>
      <c r="C1660" s="8" t="s">
        <v>1446</v>
      </c>
      <c r="D1660" s="9" t="str">
        <f>HYPERLINK("https://12go.asia/en/travel/Polgahawela/Kodikamam", "12Go Link")</f>
        <v>12Go Link</v>
      </c>
      <c r="E1660" s="8" t="s">
        <v>870</v>
      </c>
    </row>
    <row r="1661">
      <c r="A1661" s="8" t="s">
        <v>902</v>
      </c>
      <c r="B1661" s="8" t="s">
        <v>890</v>
      </c>
      <c r="C1661" s="8" t="s">
        <v>1447</v>
      </c>
      <c r="D1661" s="9" t="str">
        <f>HYPERLINK("https://12go.asia/en/travel/Polgahawela/Alawwa", "12Go Link")</f>
        <v>12Go Link</v>
      </c>
      <c r="E1661" s="8" t="s">
        <v>870</v>
      </c>
    </row>
    <row r="1662">
      <c r="A1662" s="8" t="s">
        <v>902</v>
      </c>
      <c r="B1662" s="8" t="s">
        <v>890</v>
      </c>
      <c r="C1662" s="8" t="s">
        <v>1448</v>
      </c>
      <c r="D1662" s="9" t="str">
        <f>HYPERLINK("https://12go.asia/en/travel/Polgahawela/Kurunegala", "12Go Link")</f>
        <v>12Go Link</v>
      </c>
      <c r="E1662" s="8" t="s">
        <v>870</v>
      </c>
    </row>
    <row r="1663">
      <c r="A1663" s="8" t="s">
        <v>902</v>
      </c>
      <c r="B1663" s="8" t="s">
        <v>890</v>
      </c>
      <c r="C1663" s="8" t="s">
        <v>1449</v>
      </c>
      <c r="D1663" s="9" t="str">
        <f>HYPERLINK("https://12go.asia/en/travel/Polgahawela/Wellawa", "12Go Link")</f>
        <v>12Go Link</v>
      </c>
      <c r="E1663" s="8" t="s">
        <v>870</v>
      </c>
    </row>
    <row r="1664">
      <c r="A1664" s="8" t="s">
        <v>902</v>
      </c>
      <c r="B1664" s="8" t="s">
        <v>894</v>
      </c>
      <c r="C1664" s="8" t="s">
        <v>1450</v>
      </c>
      <c r="D1664" s="9" t="str">
        <f>HYPERLINK("https://12go.asia/en/travel/Polgahawela/Galgamuwa", "12Go Link")</f>
        <v>12Go Link</v>
      </c>
      <c r="E1664" s="8" t="s">
        <v>870</v>
      </c>
    </row>
    <row r="1665">
      <c r="A1665" s="8" t="s">
        <v>902</v>
      </c>
      <c r="B1665" s="8" t="s">
        <v>894</v>
      </c>
      <c r="C1665" s="8" t="s">
        <v>1451</v>
      </c>
      <c r="D1665" s="9" t="str">
        <f>HYPERLINK("https://12go.asia/en/travel/Polgahawela/Maho", "12Go Link")</f>
        <v>12Go Link</v>
      </c>
      <c r="E1665" s="8" t="s">
        <v>870</v>
      </c>
    </row>
    <row r="1666">
      <c r="A1666" s="8" t="s">
        <v>902</v>
      </c>
      <c r="B1666" s="8" t="s">
        <v>894</v>
      </c>
      <c r="C1666" s="8" t="s">
        <v>1452</v>
      </c>
      <c r="D1666" s="9" t="str">
        <f>HYPERLINK("https://12go.asia/en/travel/Polgahawela/Nagollagama", "12Go Link")</f>
        <v>12Go Link</v>
      </c>
      <c r="E1666" s="8" t="s">
        <v>870</v>
      </c>
    </row>
    <row r="1667">
      <c r="A1667" s="8" t="s">
        <v>902</v>
      </c>
      <c r="B1667" s="8" t="s">
        <v>898</v>
      </c>
      <c r="C1667" s="8" t="s">
        <v>1453</v>
      </c>
      <c r="D1667" s="9" t="str">
        <f>HYPERLINK("https://12go.asia/en/travel/Polgahawela/Mirigama", "12Go Link")</f>
        <v>12Go Link</v>
      </c>
      <c r="E1667" s="8" t="s">
        <v>870</v>
      </c>
    </row>
    <row r="1668">
      <c r="A1668" s="8" t="s">
        <v>902</v>
      </c>
      <c r="B1668" s="8" t="s">
        <v>900</v>
      </c>
      <c r="C1668" s="8" t="s">
        <v>1454</v>
      </c>
      <c r="D1668" s="9" t="str">
        <f>HYPERLINK("https://12go.asia/en/travel/Polgahawela/Senarathgama", "12Go Link")</f>
        <v>12Go Link</v>
      </c>
      <c r="E1668" s="8" t="s">
        <v>870</v>
      </c>
    </row>
    <row r="1669">
      <c r="A1669" s="8" t="s">
        <v>902</v>
      </c>
      <c r="B1669" s="8" t="s">
        <v>904</v>
      </c>
      <c r="C1669" s="8" t="s">
        <v>1455</v>
      </c>
      <c r="D1669" s="9" t="str">
        <f>HYPERLINK("https://12go.asia/en/travel/Polgahawela/Talawa", "12Go Link")</f>
        <v>12Go Link</v>
      </c>
      <c r="E1669" s="8" t="s">
        <v>870</v>
      </c>
    </row>
    <row r="1670">
      <c r="A1670" s="8" t="s">
        <v>902</v>
      </c>
      <c r="B1670" s="8" t="s">
        <v>906</v>
      </c>
      <c r="C1670" s="8" t="s">
        <v>1456</v>
      </c>
      <c r="D1670" s="9" t="str">
        <f>HYPERLINK("https://12go.asia/en/travel/Polgahawela/Thambuttegama", "12Go Link")</f>
        <v>12Go Link</v>
      </c>
      <c r="E1670" s="8" t="s">
        <v>870</v>
      </c>
    </row>
    <row r="1671">
      <c r="A1671" s="8" t="s">
        <v>902</v>
      </c>
      <c r="B1671" s="8" t="s">
        <v>908</v>
      </c>
      <c r="C1671" s="8" t="s">
        <v>1457</v>
      </c>
      <c r="D1671" s="9" t="str">
        <f>HYPERLINK("https://12go.asia/en/travel/Polgahawela/Vavuniya", "12Go Link")</f>
        <v>12Go Link</v>
      </c>
      <c r="E1671" s="8" t="s">
        <v>870</v>
      </c>
    </row>
    <row r="1672">
      <c r="A1672" s="8" t="s">
        <v>902</v>
      </c>
      <c r="B1672" s="8" t="s">
        <v>910</v>
      </c>
      <c r="C1672" s="8" t="s">
        <v>1458</v>
      </c>
      <c r="D1672" s="9" t="str">
        <f>HYPERLINK("https://12go.asia/en/travel/Polgahawela/Veyangoda", "12Go Link")</f>
        <v>12Go Link</v>
      </c>
      <c r="E1672" s="8" t="s">
        <v>870</v>
      </c>
    </row>
    <row r="1673">
      <c r="A1673" s="6" t="s">
        <v>1049</v>
      </c>
      <c r="B1673" s="6" t="s">
        <v>874</v>
      </c>
      <c r="C1673" s="6" t="s">
        <v>1459</v>
      </c>
      <c r="D1673" s="7" t="str">
        <f>HYPERLINK("https://12go.asia/en/travel/Food-City-Pottuvil/Wellawatte-42Ln", "12Go Link")</f>
        <v>12Go Link</v>
      </c>
      <c r="E1673" s="6" t="s">
        <v>506</v>
      </c>
    </row>
    <row r="1674">
      <c r="A1674" s="8" t="s">
        <v>992</v>
      </c>
      <c r="B1674" s="8" t="s">
        <v>987</v>
      </c>
      <c r="C1674" s="8" t="s">
        <v>1460</v>
      </c>
      <c r="D1674" s="9" t="str">
        <f>HYPERLINK("https://12go.asia/en/travel/Sigiriya/Arugam-Bay", "12Go Link")</f>
        <v>12Go Link</v>
      </c>
      <c r="E1674" s="8" t="s">
        <v>567</v>
      </c>
    </row>
    <row r="1675">
      <c r="A1675" s="8" t="s">
        <v>992</v>
      </c>
      <c r="B1675" s="8" t="s">
        <v>1017</v>
      </c>
      <c r="C1675" s="8" t="s">
        <v>1461</v>
      </c>
      <c r="D1675" s="9" t="str">
        <f>HYPERLINK("https://12go.asia/en/travel/Sigiriya/Kandy-Transfer", "12Go Link")</f>
        <v>12Go Link</v>
      </c>
      <c r="E1675" s="8" t="s">
        <v>1019</v>
      </c>
    </row>
    <row r="1676">
      <c r="A1676" s="8" t="s">
        <v>992</v>
      </c>
      <c r="B1676" s="8" t="s">
        <v>1404</v>
      </c>
      <c r="C1676" s="8" t="s">
        <v>1462</v>
      </c>
      <c r="D1676" s="9" t="str">
        <f>HYPERLINK("https://12go.asia/en/travel/Sigiriya-Transfer/Negombo-Transfer", "12Go Link")</f>
        <v>12Go Link</v>
      </c>
      <c r="E1676" s="8" t="s">
        <v>608</v>
      </c>
    </row>
    <row r="1677">
      <c r="A1677" s="6" t="s">
        <v>904</v>
      </c>
      <c r="B1677" s="6" t="s">
        <v>867</v>
      </c>
      <c r="C1677" s="6" t="s">
        <v>1463</v>
      </c>
      <c r="D1677" s="7" t="str">
        <f>HYPERLINK("https://12go.asia/en/travel/Talawa/Ambanpola", "12Go Link")</f>
        <v>12Go Link</v>
      </c>
      <c r="E1677" s="6" t="s">
        <v>870</v>
      </c>
    </row>
    <row r="1678">
      <c r="A1678" s="6" t="s">
        <v>904</v>
      </c>
      <c r="B1678" s="6" t="s">
        <v>868</v>
      </c>
      <c r="C1678" s="6" t="s">
        <v>1464</v>
      </c>
      <c r="D1678" s="7" t="str">
        <f>HYPERLINK("https://12go.asia/en/travel/Talawa/Ambepussa", "12Go Link")</f>
        <v>12Go Link</v>
      </c>
      <c r="E1678" s="6" t="s">
        <v>870</v>
      </c>
    </row>
    <row r="1679">
      <c r="A1679" s="6" t="s">
        <v>904</v>
      </c>
      <c r="B1679" s="6" t="s">
        <v>871</v>
      </c>
      <c r="C1679" s="6" t="s">
        <v>1465</v>
      </c>
      <c r="D1679" s="7" t="str">
        <f>HYPERLINK("https://12go.asia/en/travel/Talawa/Anuradhapura", "12Go Link")</f>
        <v>12Go Link</v>
      </c>
      <c r="E1679" s="6" t="s">
        <v>870</v>
      </c>
    </row>
    <row r="1680">
      <c r="A1680" s="6" t="s">
        <v>904</v>
      </c>
      <c r="B1680" s="6" t="s">
        <v>871</v>
      </c>
      <c r="C1680" s="6" t="s">
        <v>1466</v>
      </c>
      <c r="D1680" s="7" t="str">
        <f>HYPERLINK("https://12go.asia/en/travel/Talawa/Shrawasthipura", "12Go Link")</f>
        <v>12Go Link</v>
      </c>
      <c r="E1680" s="6" t="s">
        <v>870</v>
      </c>
    </row>
    <row r="1681">
      <c r="A1681" s="6" t="s">
        <v>904</v>
      </c>
      <c r="B1681" s="6" t="s">
        <v>874</v>
      </c>
      <c r="C1681" s="6" t="s">
        <v>1467</v>
      </c>
      <c r="D1681" s="7" t="str">
        <f>HYPERLINK("https://12go.asia/en/travel/Talawa/Colombo-Fort", "12Go Link")</f>
        <v>12Go Link</v>
      </c>
      <c r="E1681" s="6" t="s">
        <v>870</v>
      </c>
    </row>
    <row r="1682">
      <c r="A1682" s="6" t="s">
        <v>904</v>
      </c>
      <c r="B1682" s="6" t="s">
        <v>874</v>
      </c>
      <c r="C1682" s="6" t="s">
        <v>1468</v>
      </c>
      <c r="D1682" s="7" t="str">
        <f>HYPERLINK("https://12go.asia/en/travel/Talawa/Mount-Lavinia", "12Go Link")</f>
        <v>12Go Link</v>
      </c>
      <c r="E1682" s="6" t="s">
        <v>870</v>
      </c>
    </row>
    <row r="1683">
      <c r="A1683" s="6" t="s">
        <v>904</v>
      </c>
      <c r="B1683" s="6" t="s">
        <v>874</v>
      </c>
      <c r="C1683" s="6" t="s">
        <v>1469</v>
      </c>
      <c r="D1683" s="7" t="str">
        <f>HYPERLINK("https://12go.asia/en/travel/Talawa/Wellawatta", "12Go Link")</f>
        <v>12Go Link</v>
      </c>
      <c r="E1683" s="6" t="s">
        <v>870</v>
      </c>
    </row>
    <row r="1684">
      <c r="A1684" s="6" t="s">
        <v>904</v>
      </c>
      <c r="B1684" s="6" t="s">
        <v>878</v>
      </c>
      <c r="C1684" s="6" t="s">
        <v>1470</v>
      </c>
      <c r="D1684" s="7" t="str">
        <f>HYPERLINK("https://12go.asia/en/travel/Talawa/Gampaha", "12Go Link")</f>
        <v>12Go Link</v>
      </c>
      <c r="E1684" s="6" t="s">
        <v>870</v>
      </c>
    </row>
    <row r="1685">
      <c r="A1685" s="6" t="s">
        <v>904</v>
      </c>
      <c r="B1685" s="6" t="s">
        <v>880</v>
      </c>
      <c r="C1685" s="6" t="s">
        <v>1471</v>
      </c>
      <c r="D1685" s="7" t="str">
        <f>HYPERLINK("https://12go.asia/en/travel/Talawa/Ganewatta", "12Go Link")</f>
        <v>12Go Link</v>
      </c>
      <c r="E1685" s="6" t="s">
        <v>870</v>
      </c>
    </row>
    <row r="1686">
      <c r="A1686" s="6" t="s">
        <v>904</v>
      </c>
      <c r="B1686" s="6" t="s">
        <v>882</v>
      </c>
      <c r="C1686" s="6" t="s">
        <v>1472</v>
      </c>
      <c r="D1686" s="7" t="str">
        <f>HYPERLINK("https://12go.asia/en/travel/Talawa/Jaffna-Train-Station", "12Go Link")</f>
        <v>12Go Link</v>
      </c>
      <c r="E1686" s="6" t="s">
        <v>870</v>
      </c>
    </row>
    <row r="1687">
      <c r="A1687" s="6" t="s">
        <v>904</v>
      </c>
      <c r="B1687" s="6" t="s">
        <v>884</v>
      </c>
      <c r="C1687" s="6" t="s">
        <v>1473</v>
      </c>
      <c r="D1687" s="7" t="str">
        <f>HYPERLINK("https://12go.asia/en/travel/Talawa/Kankesanthurai", "12Go Link")</f>
        <v>12Go Link</v>
      </c>
      <c r="E1687" s="6" t="s">
        <v>870</v>
      </c>
    </row>
    <row r="1688">
      <c r="A1688" s="6" t="s">
        <v>904</v>
      </c>
      <c r="B1688" s="6" t="s">
        <v>886</v>
      </c>
      <c r="C1688" s="6" t="s">
        <v>1474</v>
      </c>
      <c r="D1688" s="7" t="str">
        <f>HYPERLINK("https://12go.asia/en/travel/Talawa/Kilinochchi", "12Go Link")</f>
        <v>12Go Link</v>
      </c>
      <c r="E1688" s="6" t="s">
        <v>870</v>
      </c>
    </row>
    <row r="1689">
      <c r="A1689" s="6" t="s">
        <v>904</v>
      </c>
      <c r="B1689" s="6" t="s">
        <v>888</v>
      </c>
      <c r="C1689" s="6" t="s">
        <v>1475</v>
      </c>
      <c r="D1689" s="7" t="str">
        <f>HYPERLINK("https://12go.asia/en/travel/Talawa/Kodikamam", "12Go Link")</f>
        <v>12Go Link</v>
      </c>
      <c r="E1689" s="6" t="s">
        <v>870</v>
      </c>
    </row>
    <row r="1690">
      <c r="A1690" s="6" t="s">
        <v>904</v>
      </c>
      <c r="B1690" s="6" t="s">
        <v>890</v>
      </c>
      <c r="C1690" s="6" t="s">
        <v>1476</v>
      </c>
      <c r="D1690" s="7" t="str">
        <f>HYPERLINK("https://12go.asia/en/travel/Talawa/Alawwa", "12Go Link")</f>
        <v>12Go Link</v>
      </c>
      <c r="E1690" s="6" t="s">
        <v>870</v>
      </c>
    </row>
    <row r="1691">
      <c r="A1691" s="6" t="s">
        <v>904</v>
      </c>
      <c r="B1691" s="6" t="s">
        <v>890</v>
      </c>
      <c r="C1691" s="6" t="s">
        <v>1477</v>
      </c>
      <c r="D1691" s="7" t="str">
        <f>HYPERLINK("https://12go.asia/en/travel/Talawa/Kurunegala", "12Go Link")</f>
        <v>12Go Link</v>
      </c>
      <c r="E1691" s="6" t="s">
        <v>870</v>
      </c>
    </row>
    <row r="1692">
      <c r="A1692" s="6" t="s">
        <v>904</v>
      </c>
      <c r="B1692" s="6" t="s">
        <v>890</v>
      </c>
      <c r="C1692" s="6" t="s">
        <v>1478</v>
      </c>
      <c r="D1692" s="7" t="str">
        <f>HYPERLINK("https://12go.asia/en/travel/Talawa/Wellawa", "12Go Link")</f>
        <v>12Go Link</v>
      </c>
      <c r="E1692" s="6" t="s">
        <v>870</v>
      </c>
    </row>
    <row r="1693">
      <c r="A1693" s="6" t="s">
        <v>904</v>
      </c>
      <c r="B1693" s="6" t="s">
        <v>894</v>
      </c>
      <c r="C1693" s="6" t="s">
        <v>1479</v>
      </c>
      <c r="D1693" s="7" t="str">
        <f>HYPERLINK("https://12go.asia/en/travel/Talawa/Galgamuwa", "12Go Link")</f>
        <v>12Go Link</v>
      </c>
      <c r="E1693" s="6" t="s">
        <v>870</v>
      </c>
    </row>
    <row r="1694">
      <c r="A1694" s="6" t="s">
        <v>904</v>
      </c>
      <c r="B1694" s="6" t="s">
        <v>894</v>
      </c>
      <c r="C1694" s="6" t="s">
        <v>1480</v>
      </c>
      <c r="D1694" s="7" t="str">
        <f>HYPERLINK("https://12go.asia/en/travel/Talawa/Maho", "12Go Link")</f>
        <v>12Go Link</v>
      </c>
      <c r="E1694" s="6" t="s">
        <v>870</v>
      </c>
    </row>
    <row r="1695">
      <c r="A1695" s="6" t="s">
        <v>904</v>
      </c>
      <c r="B1695" s="6" t="s">
        <v>894</v>
      </c>
      <c r="C1695" s="6" t="s">
        <v>1481</v>
      </c>
      <c r="D1695" s="7" t="str">
        <f>HYPERLINK("https://12go.asia/en/travel/Talawa/Nagollagama", "12Go Link")</f>
        <v>12Go Link</v>
      </c>
      <c r="E1695" s="6" t="s">
        <v>870</v>
      </c>
    </row>
    <row r="1696">
      <c r="A1696" s="6" t="s">
        <v>904</v>
      </c>
      <c r="B1696" s="6" t="s">
        <v>898</v>
      </c>
      <c r="C1696" s="6" t="s">
        <v>1482</v>
      </c>
      <c r="D1696" s="7" t="str">
        <f>HYPERLINK("https://12go.asia/en/travel/Talawa/Mirigama", "12Go Link")</f>
        <v>12Go Link</v>
      </c>
      <c r="E1696" s="6" t="s">
        <v>870</v>
      </c>
    </row>
    <row r="1697">
      <c r="A1697" s="6" t="s">
        <v>904</v>
      </c>
      <c r="B1697" s="6" t="s">
        <v>900</v>
      </c>
      <c r="C1697" s="6" t="s">
        <v>1483</v>
      </c>
      <c r="D1697" s="7" t="str">
        <f>HYPERLINK("https://12go.asia/en/travel/Talawa/Senarathgama", "12Go Link")</f>
        <v>12Go Link</v>
      </c>
      <c r="E1697" s="6" t="s">
        <v>870</v>
      </c>
    </row>
    <row r="1698">
      <c r="A1698" s="6" t="s">
        <v>904</v>
      </c>
      <c r="B1698" s="6" t="s">
        <v>902</v>
      </c>
      <c r="C1698" s="6" t="s">
        <v>1484</v>
      </c>
      <c r="D1698" s="7" t="str">
        <f>HYPERLINK("https://12go.asia/en/travel/Talawa/Polgahawela", "12Go Link")</f>
        <v>12Go Link</v>
      </c>
      <c r="E1698" s="6" t="s">
        <v>870</v>
      </c>
    </row>
    <row r="1699">
      <c r="A1699" s="6" t="s">
        <v>904</v>
      </c>
      <c r="B1699" s="6" t="s">
        <v>906</v>
      </c>
      <c r="C1699" s="6" t="s">
        <v>1485</v>
      </c>
      <c r="D1699" s="7" t="str">
        <f>HYPERLINK("https://12go.asia/en/travel/Talawa/Thambuttegama", "12Go Link")</f>
        <v>12Go Link</v>
      </c>
      <c r="E1699" s="6" t="s">
        <v>870</v>
      </c>
    </row>
    <row r="1700">
      <c r="A1700" s="6" t="s">
        <v>904</v>
      </c>
      <c r="B1700" s="6" t="s">
        <v>908</v>
      </c>
      <c r="C1700" s="6" t="s">
        <v>1486</v>
      </c>
      <c r="D1700" s="7" t="str">
        <f>HYPERLINK("https://12go.asia/en/travel/Talawa/Vavuniya", "12Go Link")</f>
        <v>12Go Link</v>
      </c>
      <c r="E1700" s="6" t="s">
        <v>870</v>
      </c>
    </row>
    <row r="1701">
      <c r="A1701" s="6" t="s">
        <v>904</v>
      </c>
      <c r="B1701" s="6" t="s">
        <v>910</v>
      </c>
      <c r="C1701" s="6" t="s">
        <v>1487</v>
      </c>
      <c r="D1701" s="7" t="str">
        <f>HYPERLINK("https://12go.asia/en/travel/Talawa/Veyangoda", "12Go Link")</f>
        <v>12Go Link</v>
      </c>
      <c r="E1701" s="6" t="s">
        <v>870</v>
      </c>
    </row>
    <row r="1702">
      <c r="A1702" s="8" t="s">
        <v>906</v>
      </c>
      <c r="B1702" s="8" t="s">
        <v>867</v>
      </c>
      <c r="C1702" s="8" t="s">
        <v>1488</v>
      </c>
      <c r="D1702" s="9" t="str">
        <f>HYPERLINK("https://12go.asia/en/travel/Thambuttegama/Ambanpola", "12Go Link")</f>
        <v>12Go Link</v>
      </c>
      <c r="E1702" s="8" t="s">
        <v>870</v>
      </c>
    </row>
    <row r="1703">
      <c r="A1703" s="8" t="s">
        <v>906</v>
      </c>
      <c r="B1703" s="8" t="s">
        <v>868</v>
      </c>
      <c r="C1703" s="8" t="s">
        <v>1489</v>
      </c>
      <c r="D1703" s="9" t="str">
        <f>HYPERLINK("https://12go.asia/en/travel/Thambuttegama/Ambepussa", "12Go Link")</f>
        <v>12Go Link</v>
      </c>
      <c r="E1703" s="8" t="s">
        <v>870</v>
      </c>
    </row>
    <row r="1704">
      <c r="A1704" s="8" t="s">
        <v>906</v>
      </c>
      <c r="B1704" s="8" t="s">
        <v>871</v>
      </c>
      <c r="C1704" s="8" t="s">
        <v>1490</v>
      </c>
      <c r="D1704" s="9" t="str">
        <f>HYPERLINK("https://12go.asia/en/travel/Thambuttegama/Anuradhapura", "12Go Link")</f>
        <v>12Go Link</v>
      </c>
      <c r="E1704" s="8" t="s">
        <v>870</v>
      </c>
    </row>
    <row r="1705">
      <c r="A1705" s="8" t="s">
        <v>906</v>
      </c>
      <c r="B1705" s="8" t="s">
        <v>871</v>
      </c>
      <c r="C1705" s="8" t="s">
        <v>1491</v>
      </c>
      <c r="D1705" s="9" t="str">
        <f>HYPERLINK("https://12go.asia/en/travel/Thambuttegama/Shrawasthipura", "12Go Link")</f>
        <v>12Go Link</v>
      </c>
      <c r="E1705" s="8" t="s">
        <v>870</v>
      </c>
    </row>
    <row r="1706">
      <c r="A1706" s="8" t="s">
        <v>906</v>
      </c>
      <c r="B1706" s="8" t="s">
        <v>874</v>
      </c>
      <c r="C1706" s="8" t="s">
        <v>1492</v>
      </c>
      <c r="D1706" s="9" t="str">
        <f>HYPERLINK("https://12go.asia/en/travel/Thambuttegama/Colombo-Fort", "12Go Link")</f>
        <v>12Go Link</v>
      </c>
      <c r="E1706" s="8" t="s">
        <v>870</v>
      </c>
    </row>
    <row r="1707">
      <c r="A1707" s="8" t="s">
        <v>906</v>
      </c>
      <c r="B1707" s="8" t="s">
        <v>874</v>
      </c>
      <c r="C1707" s="8" t="s">
        <v>1493</v>
      </c>
      <c r="D1707" s="9" t="str">
        <f>HYPERLINK("https://12go.asia/en/travel/Thambuttegama/Mount-Lavinia", "12Go Link")</f>
        <v>12Go Link</v>
      </c>
      <c r="E1707" s="8" t="s">
        <v>870</v>
      </c>
    </row>
    <row r="1708">
      <c r="A1708" s="8" t="s">
        <v>906</v>
      </c>
      <c r="B1708" s="8" t="s">
        <v>874</v>
      </c>
      <c r="C1708" s="8" t="s">
        <v>1494</v>
      </c>
      <c r="D1708" s="9" t="str">
        <f>HYPERLINK("https://12go.asia/en/travel/Thambuttegama/Wellawatta", "12Go Link")</f>
        <v>12Go Link</v>
      </c>
      <c r="E1708" s="8" t="s">
        <v>870</v>
      </c>
    </row>
    <row r="1709">
      <c r="A1709" s="8" t="s">
        <v>906</v>
      </c>
      <c r="B1709" s="8" t="s">
        <v>878</v>
      </c>
      <c r="C1709" s="8" t="s">
        <v>1495</v>
      </c>
      <c r="D1709" s="9" t="str">
        <f>HYPERLINK("https://12go.asia/en/travel/Thambuttegama/Gampaha", "12Go Link")</f>
        <v>12Go Link</v>
      </c>
      <c r="E1709" s="8" t="s">
        <v>870</v>
      </c>
    </row>
    <row r="1710">
      <c r="A1710" s="8" t="s">
        <v>906</v>
      </c>
      <c r="B1710" s="8" t="s">
        <v>880</v>
      </c>
      <c r="C1710" s="8" t="s">
        <v>1496</v>
      </c>
      <c r="D1710" s="9" t="str">
        <f>HYPERLINK("https://12go.asia/en/travel/Thambuttegama/Ganewatta", "12Go Link")</f>
        <v>12Go Link</v>
      </c>
      <c r="E1710" s="8" t="s">
        <v>870</v>
      </c>
    </row>
    <row r="1711">
      <c r="A1711" s="8" t="s">
        <v>906</v>
      </c>
      <c r="B1711" s="8" t="s">
        <v>882</v>
      </c>
      <c r="C1711" s="8" t="s">
        <v>1497</v>
      </c>
      <c r="D1711" s="9" t="str">
        <f>HYPERLINK("https://12go.asia/en/travel/Thambuttegama/Jaffna-Train-Station", "12Go Link")</f>
        <v>12Go Link</v>
      </c>
      <c r="E1711" s="8" t="s">
        <v>870</v>
      </c>
    </row>
    <row r="1712">
      <c r="A1712" s="8" t="s">
        <v>906</v>
      </c>
      <c r="B1712" s="8" t="s">
        <v>884</v>
      </c>
      <c r="C1712" s="8" t="s">
        <v>1498</v>
      </c>
      <c r="D1712" s="9" t="str">
        <f>HYPERLINK("https://12go.asia/en/travel/Thambuttegama/Kankesanthurai", "12Go Link")</f>
        <v>12Go Link</v>
      </c>
      <c r="E1712" s="8" t="s">
        <v>870</v>
      </c>
    </row>
    <row r="1713">
      <c r="A1713" s="8" t="s">
        <v>906</v>
      </c>
      <c r="B1713" s="8" t="s">
        <v>886</v>
      </c>
      <c r="C1713" s="8" t="s">
        <v>1499</v>
      </c>
      <c r="D1713" s="9" t="str">
        <f>HYPERLINK("https://12go.asia/en/travel/Thambuttegama/Kilinochchi", "12Go Link")</f>
        <v>12Go Link</v>
      </c>
      <c r="E1713" s="8" t="s">
        <v>870</v>
      </c>
    </row>
    <row r="1714">
      <c r="A1714" s="8" t="s">
        <v>906</v>
      </c>
      <c r="B1714" s="8" t="s">
        <v>888</v>
      </c>
      <c r="C1714" s="8" t="s">
        <v>1500</v>
      </c>
      <c r="D1714" s="9" t="str">
        <f>HYPERLINK("https://12go.asia/en/travel/Thambuttegama/Kodikamam", "12Go Link")</f>
        <v>12Go Link</v>
      </c>
      <c r="E1714" s="8" t="s">
        <v>870</v>
      </c>
    </row>
    <row r="1715">
      <c r="A1715" s="8" t="s">
        <v>906</v>
      </c>
      <c r="B1715" s="8" t="s">
        <v>890</v>
      </c>
      <c r="C1715" s="8" t="s">
        <v>1501</v>
      </c>
      <c r="D1715" s="9" t="str">
        <f>HYPERLINK("https://12go.asia/en/travel/Thambuttegama/Alawwa", "12Go Link")</f>
        <v>12Go Link</v>
      </c>
      <c r="E1715" s="8" t="s">
        <v>870</v>
      </c>
    </row>
    <row r="1716">
      <c r="A1716" s="8" t="s">
        <v>906</v>
      </c>
      <c r="B1716" s="8" t="s">
        <v>890</v>
      </c>
      <c r="C1716" s="8" t="s">
        <v>1502</v>
      </c>
      <c r="D1716" s="9" t="str">
        <f>HYPERLINK("https://12go.asia/en/travel/Thambuttegama/Kurunegala", "12Go Link")</f>
        <v>12Go Link</v>
      </c>
      <c r="E1716" s="8" t="s">
        <v>870</v>
      </c>
    </row>
    <row r="1717">
      <c r="A1717" s="8" t="s">
        <v>906</v>
      </c>
      <c r="B1717" s="8" t="s">
        <v>890</v>
      </c>
      <c r="C1717" s="8" t="s">
        <v>1503</v>
      </c>
      <c r="D1717" s="9" t="str">
        <f>HYPERLINK("https://12go.asia/en/travel/Thambuttegama/Wellawa", "12Go Link")</f>
        <v>12Go Link</v>
      </c>
      <c r="E1717" s="8" t="s">
        <v>870</v>
      </c>
    </row>
    <row r="1718">
      <c r="A1718" s="8" t="s">
        <v>906</v>
      </c>
      <c r="B1718" s="8" t="s">
        <v>894</v>
      </c>
      <c r="C1718" s="8" t="s">
        <v>1504</v>
      </c>
      <c r="D1718" s="9" t="str">
        <f>HYPERLINK("https://12go.asia/en/travel/Thambuttegama/Galgamuwa", "12Go Link")</f>
        <v>12Go Link</v>
      </c>
      <c r="E1718" s="8" t="s">
        <v>870</v>
      </c>
    </row>
    <row r="1719">
      <c r="A1719" s="8" t="s">
        <v>906</v>
      </c>
      <c r="B1719" s="8" t="s">
        <v>894</v>
      </c>
      <c r="C1719" s="8" t="s">
        <v>1505</v>
      </c>
      <c r="D1719" s="9" t="str">
        <f>HYPERLINK("https://12go.asia/en/travel/Thambuttegama/Maho", "12Go Link")</f>
        <v>12Go Link</v>
      </c>
      <c r="E1719" s="8" t="s">
        <v>870</v>
      </c>
    </row>
    <row r="1720">
      <c r="A1720" s="8" t="s">
        <v>906</v>
      </c>
      <c r="B1720" s="8" t="s">
        <v>894</v>
      </c>
      <c r="C1720" s="8" t="s">
        <v>1506</v>
      </c>
      <c r="D1720" s="9" t="str">
        <f>HYPERLINK("https://12go.asia/en/travel/Thambuttegama/Nagollagama", "12Go Link")</f>
        <v>12Go Link</v>
      </c>
      <c r="E1720" s="8" t="s">
        <v>870</v>
      </c>
    </row>
    <row r="1721">
      <c r="A1721" s="8" t="s">
        <v>906</v>
      </c>
      <c r="B1721" s="8" t="s">
        <v>898</v>
      </c>
      <c r="C1721" s="8" t="s">
        <v>1507</v>
      </c>
      <c r="D1721" s="9" t="str">
        <f>HYPERLINK("https://12go.asia/en/travel/Thambuttegama/Mirigama", "12Go Link")</f>
        <v>12Go Link</v>
      </c>
      <c r="E1721" s="8" t="s">
        <v>870</v>
      </c>
    </row>
    <row r="1722">
      <c r="A1722" s="8" t="s">
        <v>906</v>
      </c>
      <c r="B1722" s="8" t="s">
        <v>900</v>
      </c>
      <c r="C1722" s="8" t="s">
        <v>1508</v>
      </c>
      <c r="D1722" s="9" t="str">
        <f>HYPERLINK("https://12go.asia/en/travel/Thambuttegama/Senarathgama", "12Go Link")</f>
        <v>12Go Link</v>
      </c>
      <c r="E1722" s="8" t="s">
        <v>870</v>
      </c>
    </row>
    <row r="1723">
      <c r="A1723" s="8" t="s">
        <v>906</v>
      </c>
      <c r="B1723" s="8" t="s">
        <v>902</v>
      </c>
      <c r="C1723" s="8" t="s">
        <v>1509</v>
      </c>
      <c r="D1723" s="9" t="str">
        <f>HYPERLINK("https://12go.asia/en/travel/Thambuttegama/Polgahawela", "12Go Link")</f>
        <v>12Go Link</v>
      </c>
      <c r="E1723" s="8" t="s">
        <v>870</v>
      </c>
    </row>
    <row r="1724">
      <c r="A1724" s="8" t="s">
        <v>906</v>
      </c>
      <c r="B1724" s="8" t="s">
        <v>904</v>
      </c>
      <c r="C1724" s="8" t="s">
        <v>1510</v>
      </c>
      <c r="D1724" s="9" t="str">
        <f>HYPERLINK("https://12go.asia/en/travel/Thambuttegama/Talawa", "12Go Link")</f>
        <v>12Go Link</v>
      </c>
      <c r="E1724" s="8" t="s">
        <v>870</v>
      </c>
    </row>
    <row r="1725">
      <c r="A1725" s="8" t="s">
        <v>906</v>
      </c>
      <c r="B1725" s="8" t="s">
        <v>908</v>
      </c>
      <c r="C1725" s="8" t="s">
        <v>1511</v>
      </c>
      <c r="D1725" s="9" t="str">
        <f>HYPERLINK("https://12go.asia/en/travel/Thambuttegama/Vavuniya", "12Go Link")</f>
        <v>12Go Link</v>
      </c>
      <c r="E1725" s="8" t="s">
        <v>870</v>
      </c>
    </row>
    <row r="1726">
      <c r="A1726" s="8" t="s">
        <v>906</v>
      </c>
      <c r="B1726" s="8" t="s">
        <v>910</v>
      </c>
      <c r="C1726" s="8" t="s">
        <v>1512</v>
      </c>
      <c r="D1726" s="9" t="str">
        <f>HYPERLINK("https://12go.asia/en/travel/Thambuttegama/Veyangoda", "12Go Link")</f>
        <v>12Go Link</v>
      </c>
      <c r="E1726" s="8" t="s">
        <v>870</v>
      </c>
    </row>
    <row r="1727">
      <c r="A1727" s="6" t="s">
        <v>1057</v>
      </c>
      <c r="B1727" s="6" t="s">
        <v>874</v>
      </c>
      <c r="C1727" s="6" t="s">
        <v>1513</v>
      </c>
      <c r="D1727" s="7" t="str">
        <f>HYPERLINK("https://12go.asia/en/travel/Trincomalee-Post-Office/Pettah-Bus-Station", "12Go Link")</f>
        <v>12Go Link</v>
      </c>
      <c r="E1727" s="6" t="s">
        <v>506</v>
      </c>
    </row>
    <row r="1728">
      <c r="A1728" s="6" t="s">
        <v>1057</v>
      </c>
      <c r="B1728" s="6" t="s">
        <v>990</v>
      </c>
      <c r="C1728" s="6" t="s">
        <v>1514</v>
      </c>
      <c r="D1728" s="7" t="str">
        <f>HYPERLINK("https://12go.asia/en/travel/Trincomalee-Hotel-Transfer/Ella-Hotel-Transfer", "12Go Link")</f>
        <v>12Go Link</v>
      </c>
      <c r="E1728" s="6" t="s">
        <v>567</v>
      </c>
    </row>
    <row r="1729">
      <c r="A1729" s="6" t="s">
        <v>1057</v>
      </c>
      <c r="B1729" s="6" t="s">
        <v>1017</v>
      </c>
      <c r="C1729" s="6" t="s">
        <v>1515</v>
      </c>
      <c r="D1729" s="7" t="str">
        <f>HYPERLINK("https://12go.asia/en/travel/Trincomalee/Kandy-Transfer", "12Go Link")</f>
        <v>12Go Link</v>
      </c>
      <c r="E1729" s="6" t="s">
        <v>1019</v>
      </c>
    </row>
    <row r="1730">
      <c r="A1730" s="8" t="s">
        <v>908</v>
      </c>
      <c r="B1730" s="8" t="s">
        <v>867</v>
      </c>
      <c r="C1730" s="8" t="s">
        <v>1516</v>
      </c>
      <c r="D1730" s="9" t="str">
        <f>HYPERLINK("https://12go.asia/en/travel/Vavuniya/Ambanpola", "12Go Link")</f>
        <v>12Go Link</v>
      </c>
      <c r="E1730" s="8" t="s">
        <v>870</v>
      </c>
    </row>
    <row r="1731">
      <c r="A1731" s="8" t="s">
        <v>908</v>
      </c>
      <c r="B1731" s="8" t="s">
        <v>868</v>
      </c>
      <c r="C1731" s="8" t="s">
        <v>1517</v>
      </c>
      <c r="D1731" s="9" t="str">
        <f>HYPERLINK("https://12go.asia/en/travel/Vavuniya/Ambepussa", "12Go Link")</f>
        <v>12Go Link</v>
      </c>
      <c r="E1731" s="8" t="s">
        <v>870</v>
      </c>
    </row>
    <row r="1732">
      <c r="A1732" s="8" t="s">
        <v>908</v>
      </c>
      <c r="B1732" s="8" t="s">
        <v>871</v>
      </c>
      <c r="C1732" s="8" t="s">
        <v>1518</v>
      </c>
      <c r="D1732" s="9" t="str">
        <f>HYPERLINK("https://12go.asia/en/travel/Vavuniya/Anuradhapura", "12Go Link")</f>
        <v>12Go Link</v>
      </c>
      <c r="E1732" s="8" t="s">
        <v>870</v>
      </c>
    </row>
    <row r="1733">
      <c r="A1733" s="8" t="s">
        <v>908</v>
      </c>
      <c r="B1733" s="8" t="s">
        <v>871</v>
      </c>
      <c r="C1733" s="8" t="s">
        <v>1519</v>
      </c>
      <c r="D1733" s="9" t="str">
        <f>HYPERLINK("https://12go.asia/en/travel/Vavuniya/Shrawasthipura", "12Go Link")</f>
        <v>12Go Link</v>
      </c>
      <c r="E1733" s="8" t="s">
        <v>870</v>
      </c>
    </row>
    <row r="1734">
      <c r="A1734" s="8" t="s">
        <v>908</v>
      </c>
      <c r="B1734" s="8" t="s">
        <v>874</v>
      </c>
      <c r="C1734" s="8" t="s">
        <v>1520</v>
      </c>
      <c r="D1734" s="9" t="str">
        <f>HYPERLINK("https://12go.asia/en/travel/Vavuniya/Colombo-Fort", "12Go Link")</f>
        <v>12Go Link</v>
      </c>
      <c r="E1734" s="8" t="s">
        <v>870</v>
      </c>
    </row>
    <row r="1735">
      <c r="A1735" s="8" t="s">
        <v>908</v>
      </c>
      <c r="B1735" s="8" t="s">
        <v>874</v>
      </c>
      <c r="C1735" s="8" t="s">
        <v>1521</v>
      </c>
      <c r="D1735" s="9" t="str">
        <f>HYPERLINK("https://12go.asia/en/travel/Vavuniya/Mount-Lavinia", "12Go Link")</f>
        <v>12Go Link</v>
      </c>
      <c r="E1735" s="8" t="s">
        <v>870</v>
      </c>
    </row>
    <row r="1736">
      <c r="A1736" s="8" t="s">
        <v>908</v>
      </c>
      <c r="B1736" s="8" t="s">
        <v>874</v>
      </c>
      <c r="C1736" s="8" t="s">
        <v>1522</v>
      </c>
      <c r="D1736" s="9" t="str">
        <f>HYPERLINK("https://12go.asia/en/travel/Vavuniya/Wellawatta", "12Go Link")</f>
        <v>12Go Link</v>
      </c>
      <c r="E1736" s="8" t="s">
        <v>870</v>
      </c>
    </row>
    <row r="1737">
      <c r="A1737" s="8" t="s">
        <v>908</v>
      </c>
      <c r="B1737" s="8" t="s">
        <v>878</v>
      </c>
      <c r="C1737" s="8" t="s">
        <v>1523</v>
      </c>
      <c r="D1737" s="9" t="str">
        <f>HYPERLINK("https://12go.asia/en/travel/Vavuniya/Gampaha", "12Go Link")</f>
        <v>12Go Link</v>
      </c>
      <c r="E1737" s="8" t="s">
        <v>870</v>
      </c>
    </row>
    <row r="1738">
      <c r="A1738" s="8" t="s">
        <v>908</v>
      </c>
      <c r="B1738" s="8" t="s">
        <v>880</v>
      </c>
      <c r="C1738" s="8" t="s">
        <v>1524</v>
      </c>
      <c r="D1738" s="9" t="str">
        <f>HYPERLINK("https://12go.asia/en/travel/Vavuniya/Ganewatta", "12Go Link")</f>
        <v>12Go Link</v>
      </c>
      <c r="E1738" s="8" t="s">
        <v>870</v>
      </c>
    </row>
    <row r="1739">
      <c r="A1739" s="8" t="s">
        <v>908</v>
      </c>
      <c r="B1739" s="8" t="s">
        <v>882</v>
      </c>
      <c r="C1739" s="8" t="s">
        <v>1525</v>
      </c>
      <c r="D1739" s="9" t="str">
        <f>HYPERLINK("https://12go.asia/en/travel/Vavuniya/Jaffna-Train-Station", "12Go Link")</f>
        <v>12Go Link</v>
      </c>
      <c r="E1739" s="8" t="s">
        <v>870</v>
      </c>
    </row>
    <row r="1740">
      <c r="A1740" s="8" t="s">
        <v>908</v>
      </c>
      <c r="B1740" s="8" t="s">
        <v>884</v>
      </c>
      <c r="C1740" s="8" t="s">
        <v>1526</v>
      </c>
      <c r="D1740" s="9" t="str">
        <f>HYPERLINK("https://12go.asia/en/travel/Vavuniya/Kankesanthurai", "12Go Link")</f>
        <v>12Go Link</v>
      </c>
      <c r="E1740" s="8" t="s">
        <v>870</v>
      </c>
    </row>
    <row r="1741">
      <c r="A1741" s="8" t="s">
        <v>908</v>
      </c>
      <c r="B1741" s="8" t="s">
        <v>886</v>
      </c>
      <c r="C1741" s="8" t="s">
        <v>1527</v>
      </c>
      <c r="D1741" s="9" t="str">
        <f>HYPERLINK("https://12go.asia/en/travel/Vavuniya/Kilinochchi", "12Go Link")</f>
        <v>12Go Link</v>
      </c>
      <c r="E1741" s="8" t="s">
        <v>870</v>
      </c>
    </row>
    <row r="1742">
      <c r="A1742" s="8" t="s">
        <v>908</v>
      </c>
      <c r="B1742" s="8" t="s">
        <v>888</v>
      </c>
      <c r="C1742" s="8" t="s">
        <v>1528</v>
      </c>
      <c r="D1742" s="9" t="str">
        <f>HYPERLINK("https://12go.asia/en/travel/Vavuniya/Kodikamam", "12Go Link")</f>
        <v>12Go Link</v>
      </c>
      <c r="E1742" s="8" t="s">
        <v>870</v>
      </c>
    </row>
    <row r="1743">
      <c r="A1743" s="8" t="s">
        <v>908</v>
      </c>
      <c r="B1743" s="8" t="s">
        <v>890</v>
      </c>
      <c r="C1743" s="8" t="s">
        <v>1529</v>
      </c>
      <c r="D1743" s="9" t="str">
        <f>HYPERLINK("https://12go.asia/en/travel/Vavuniya/Alawwa", "12Go Link")</f>
        <v>12Go Link</v>
      </c>
      <c r="E1743" s="8" t="s">
        <v>870</v>
      </c>
    </row>
    <row r="1744">
      <c r="A1744" s="8" t="s">
        <v>908</v>
      </c>
      <c r="B1744" s="8" t="s">
        <v>890</v>
      </c>
      <c r="C1744" s="8" t="s">
        <v>1530</v>
      </c>
      <c r="D1744" s="9" t="str">
        <f>HYPERLINK("https://12go.asia/en/travel/Vavuniya/Kurunegala", "12Go Link")</f>
        <v>12Go Link</v>
      </c>
      <c r="E1744" s="8" t="s">
        <v>870</v>
      </c>
    </row>
    <row r="1745">
      <c r="A1745" s="8" t="s">
        <v>908</v>
      </c>
      <c r="B1745" s="8" t="s">
        <v>890</v>
      </c>
      <c r="C1745" s="8" t="s">
        <v>1531</v>
      </c>
      <c r="D1745" s="9" t="str">
        <f>HYPERLINK("https://12go.asia/en/travel/Vavuniya/Wellawa", "12Go Link")</f>
        <v>12Go Link</v>
      </c>
      <c r="E1745" s="8" t="s">
        <v>870</v>
      </c>
    </row>
    <row r="1746">
      <c r="A1746" s="8" t="s">
        <v>908</v>
      </c>
      <c r="B1746" s="8" t="s">
        <v>894</v>
      </c>
      <c r="C1746" s="8" t="s">
        <v>1532</v>
      </c>
      <c r="D1746" s="9" t="str">
        <f>HYPERLINK("https://12go.asia/en/travel/Vavuniya/Galgamuwa", "12Go Link")</f>
        <v>12Go Link</v>
      </c>
      <c r="E1746" s="8" t="s">
        <v>870</v>
      </c>
    </row>
    <row r="1747">
      <c r="A1747" s="8" t="s">
        <v>908</v>
      </c>
      <c r="B1747" s="8" t="s">
        <v>894</v>
      </c>
      <c r="C1747" s="8" t="s">
        <v>1533</v>
      </c>
      <c r="D1747" s="9" t="str">
        <f>HYPERLINK("https://12go.asia/en/travel/Vavuniya/Maho", "12Go Link")</f>
        <v>12Go Link</v>
      </c>
      <c r="E1747" s="8" t="s">
        <v>870</v>
      </c>
    </row>
    <row r="1748">
      <c r="A1748" s="8" t="s">
        <v>908</v>
      </c>
      <c r="B1748" s="8" t="s">
        <v>894</v>
      </c>
      <c r="C1748" s="8" t="s">
        <v>1534</v>
      </c>
      <c r="D1748" s="9" t="str">
        <f>HYPERLINK("https://12go.asia/en/travel/Vavuniya/Nagollagama", "12Go Link")</f>
        <v>12Go Link</v>
      </c>
      <c r="E1748" s="8" t="s">
        <v>870</v>
      </c>
    </row>
    <row r="1749">
      <c r="A1749" s="8" t="s">
        <v>908</v>
      </c>
      <c r="B1749" s="8" t="s">
        <v>898</v>
      </c>
      <c r="C1749" s="8" t="s">
        <v>1535</v>
      </c>
      <c r="D1749" s="9" t="str">
        <f>HYPERLINK("https://12go.asia/en/travel/Vavuniya/Mirigama", "12Go Link")</f>
        <v>12Go Link</v>
      </c>
      <c r="E1749" s="8" t="s">
        <v>870</v>
      </c>
    </row>
    <row r="1750">
      <c r="A1750" s="8" t="s">
        <v>908</v>
      </c>
      <c r="B1750" s="8" t="s">
        <v>900</v>
      </c>
      <c r="C1750" s="8" t="s">
        <v>1536</v>
      </c>
      <c r="D1750" s="9" t="str">
        <f>HYPERLINK("https://12go.asia/en/travel/Vavuniya/Senarathgama", "12Go Link")</f>
        <v>12Go Link</v>
      </c>
      <c r="E1750" s="8" t="s">
        <v>870</v>
      </c>
    </row>
    <row r="1751">
      <c r="A1751" s="8" t="s">
        <v>908</v>
      </c>
      <c r="B1751" s="8" t="s">
        <v>902</v>
      </c>
      <c r="C1751" s="8" t="s">
        <v>1537</v>
      </c>
      <c r="D1751" s="9" t="str">
        <f>HYPERLINK("https://12go.asia/en/travel/Vavuniya/Polgahawela", "12Go Link")</f>
        <v>12Go Link</v>
      </c>
      <c r="E1751" s="8" t="s">
        <v>870</v>
      </c>
    </row>
    <row r="1752">
      <c r="A1752" s="8" t="s">
        <v>908</v>
      </c>
      <c r="B1752" s="8" t="s">
        <v>904</v>
      </c>
      <c r="C1752" s="8" t="s">
        <v>1538</v>
      </c>
      <c r="D1752" s="9" t="str">
        <f>HYPERLINK("https://12go.asia/en/travel/Vavuniya/Talawa", "12Go Link")</f>
        <v>12Go Link</v>
      </c>
      <c r="E1752" s="8" t="s">
        <v>870</v>
      </c>
    </row>
    <row r="1753">
      <c r="A1753" s="8" t="s">
        <v>908</v>
      </c>
      <c r="B1753" s="8" t="s">
        <v>906</v>
      </c>
      <c r="C1753" s="8" t="s">
        <v>1539</v>
      </c>
      <c r="D1753" s="9" t="str">
        <f>HYPERLINK("https://12go.asia/en/travel/Vavuniya/Thambuttegama", "12Go Link")</f>
        <v>12Go Link</v>
      </c>
      <c r="E1753" s="8" t="s">
        <v>870</v>
      </c>
    </row>
    <row r="1754">
      <c r="A1754" s="8" t="s">
        <v>908</v>
      </c>
      <c r="B1754" s="8" t="s">
        <v>910</v>
      </c>
      <c r="C1754" s="8" t="s">
        <v>1540</v>
      </c>
      <c r="D1754" s="9" t="str">
        <f>HYPERLINK("https://12go.asia/en/travel/Vavuniya/Veyangoda", "12Go Link")</f>
        <v>12Go Link</v>
      </c>
      <c r="E1754" s="8" t="s">
        <v>870</v>
      </c>
    </row>
    <row r="1755">
      <c r="A1755" s="6" t="s">
        <v>910</v>
      </c>
      <c r="B1755" s="6" t="s">
        <v>867</v>
      </c>
      <c r="C1755" s="6" t="s">
        <v>1541</v>
      </c>
      <c r="D1755" s="7" t="str">
        <f>HYPERLINK("https://12go.asia/en/travel/Veyangoda/Ambanpola", "12Go Link")</f>
        <v>12Go Link</v>
      </c>
      <c r="E1755" s="6" t="s">
        <v>870</v>
      </c>
    </row>
    <row r="1756">
      <c r="A1756" s="6" t="s">
        <v>910</v>
      </c>
      <c r="B1756" s="6" t="s">
        <v>868</v>
      </c>
      <c r="C1756" s="6" t="s">
        <v>1542</v>
      </c>
      <c r="D1756" s="7" t="str">
        <f>HYPERLINK("https://12go.asia/en/travel/Veyangoda/Ambepussa", "12Go Link")</f>
        <v>12Go Link</v>
      </c>
      <c r="E1756" s="6" t="s">
        <v>870</v>
      </c>
    </row>
    <row r="1757">
      <c r="A1757" s="6" t="s">
        <v>910</v>
      </c>
      <c r="B1757" s="6" t="s">
        <v>871</v>
      </c>
      <c r="C1757" s="6" t="s">
        <v>1543</v>
      </c>
      <c r="D1757" s="7" t="str">
        <f>HYPERLINK("https://12go.asia/en/travel/Veyangoda/Anuradhapura", "12Go Link")</f>
        <v>12Go Link</v>
      </c>
      <c r="E1757" s="6" t="s">
        <v>870</v>
      </c>
    </row>
    <row r="1758">
      <c r="A1758" s="6" t="s">
        <v>910</v>
      </c>
      <c r="B1758" s="6" t="s">
        <v>871</v>
      </c>
      <c r="C1758" s="6" t="s">
        <v>1544</v>
      </c>
      <c r="D1758" s="7" t="str">
        <f>HYPERLINK("https://12go.asia/en/travel/Veyangoda/Shrawasthipura", "12Go Link")</f>
        <v>12Go Link</v>
      </c>
      <c r="E1758" s="6" t="s">
        <v>870</v>
      </c>
    </row>
    <row r="1759">
      <c r="A1759" s="6" t="s">
        <v>910</v>
      </c>
      <c r="B1759" s="6" t="s">
        <v>874</v>
      </c>
      <c r="C1759" s="6" t="s">
        <v>1545</v>
      </c>
      <c r="D1759" s="7" t="str">
        <f>HYPERLINK("https://12go.asia/en/travel/Veyangoda/Colombo-Fort", "12Go Link")</f>
        <v>12Go Link</v>
      </c>
      <c r="E1759" s="6" t="s">
        <v>870</v>
      </c>
    </row>
    <row r="1760">
      <c r="A1760" s="6" t="s">
        <v>910</v>
      </c>
      <c r="B1760" s="6" t="s">
        <v>874</v>
      </c>
      <c r="C1760" s="6" t="s">
        <v>1546</v>
      </c>
      <c r="D1760" s="7" t="str">
        <f>HYPERLINK("https://12go.asia/en/travel/Veyangoda/Mount-Lavinia", "12Go Link")</f>
        <v>12Go Link</v>
      </c>
      <c r="E1760" s="6" t="s">
        <v>870</v>
      </c>
    </row>
    <row r="1761">
      <c r="A1761" s="6" t="s">
        <v>910</v>
      </c>
      <c r="B1761" s="6" t="s">
        <v>874</v>
      </c>
      <c r="C1761" s="6" t="s">
        <v>1547</v>
      </c>
      <c r="D1761" s="7" t="str">
        <f>HYPERLINK("https://12go.asia/en/travel/Veyangoda/Wellawatta", "12Go Link")</f>
        <v>12Go Link</v>
      </c>
      <c r="E1761" s="6" t="s">
        <v>870</v>
      </c>
    </row>
    <row r="1762">
      <c r="A1762" s="6" t="s">
        <v>910</v>
      </c>
      <c r="B1762" s="6" t="s">
        <v>878</v>
      </c>
      <c r="C1762" s="6" t="s">
        <v>1548</v>
      </c>
      <c r="D1762" s="7" t="str">
        <f>HYPERLINK("https://12go.asia/en/travel/Veyangoda/Gampaha", "12Go Link")</f>
        <v>12Go Link</v>
      </c>
      <c r="E1762" s="6" t="s">
        <v>870</v>
      </c>
    </row>
    <row r="1763">
      <c r="A1763" s="6" t="s">
        <v>910</v>
      </c>
      <c r="B1763" s="6" t="s">
        <v>880</v>
      </c>
      <c r="C1763" s="6" t="s">
        <v>1549</v>
      </c>
      <c r="D1763" s="7" t="str">
        <f>HYPERLINK("https://12go.asia/en/travel/Veyangoda/Ganewatta", "12Go Link")</f>
        <v>12Go Link</v>
      </c>
      <c r="E1763" s="6" t="s">
        <v>870</v>
      </c>
    </row>
    <row r="1764">
      <c r="A1764" s="6" t="s">
        <v>910</v>
      </c>
      <c r="B1764" s="6" t="s">
        <v>882</v>
      </c>
      <c r="C1764" s="6" t="s">
        <v>1550</v>
      </c>
      <c r="D1764" s="7" t="str">
        <f>HYPERLINK("https://12go.asia/en/travel/Veyangoda/Jaffna-Train-Station", "12Go Link")</f>
        <v>12Go Link</v>
      </c>
      <c r="E1764" s="6" t="s">
        <v>870</v>
      </c>
    </row>
    <row r="1765">
      <c r="A1765" s="6" t="s">
        <v>910</v>
      </c>
      <c r="B1765" s="6" t="s">
        <v>884</v>
      </c>
      <c r="C1765" s="6" t="s">
        <v>1551</v>
      </c>
      <c r="D1765" s="7" t="str">
        <f>HYPERLINK("https://12go.asia/en/travel/Veyangoda/Kankesanthurai", "12Go Link")</f>
        <v>12Go Link</v>
      </c>
      <c r="E1765" s="6" t="s">
        <v>870</v>
      </c>
    </row>
    <row r="1766">
      <c r="A1766" s="6" t="s">
        <v>910</v>
      </c>
      <c r="B1766" s="6" t="s">
        <v>886</v>
      </c>
      <c r="C1766" s="6" t="s">
        <v>1552</v>
      </c>
      <c r="D1766" s="7" t="str">
        <f>HYPERLINK("https://12go.asia/en/travel/Veyangoda/Kilinochchi", "12Go Link")</f>
        <v>12Go Link</v>
      </c>
      <c r="E1766" s="6" t="s">
        <v>870</v>
      </c>
    </row>
    <row r="1767">
      <c r="A1767" s="6" t="s">
        <v>910</v>
      </c>
      <c r="B1767" s="6" t="s">
        <v>888</v>
      </c>
      <c r="C1767" s="6" t="s">
        <v>1553</v>
      </c>
      <c r="D1767" s="7" t="str">
        <f>HYPERLINK("https://12go.asia/en/travel/Veyangoda/Kodikamam", "12Go Link")</f>
        <v>12Go Link</v>
      </c>
      <c r="E1767" s="6" t="s">
        <v>870</v>
      </c>
    </row>
    <row r="1768">
      <c r="A1768" s="6" t="s">
        <v>910</v>
      </c>
      <c r="B1768" s="6" t="s">
        <v>890</v>
      </c>
      <c r="C1768" s="6" t="s">
        <v>1554</v>
      </c>
      <c r="D1768" s="7" t="str">
        <f>HYPERLINK("https://12go.asia/en/travel/Veyangoda/Alawwa", "12Go Link")</f>
        <v>12Go Link</v>
      </c>
      <c r="E1768" s="6" t="s">
        <v>870</v>
      </c>
    </row>
    <row r="1769">
      <c r="A1769" s="6" t="s">
        <v>910</v>
      </c>
      <c r="B1769" s="6" t="s">
        <v>890</v>
      </c>
      <c r="C1769" s="6" t="s">
        <v>1555</v>
      </c>
      <c r="D1769" s="7" t="str">
        <f>HYPERLINK("https://12go.asia/en/travel/Veyangoda/Kurunegala", "12Go Link")</f>
        <v>12Go Link</v>
      </c>
      <c r="E1769" s="6" t="s">
        <v>870</v>
      </c>
    </row>
    <row r="1770">
      <c r="A1770" s="6" t="s">
        <v>910</v>
      </c>
      <c r="B1770" s="6" t="s">
        <v>890</v>
      </c>
      <c r="C1770" s="6" t="s">
        <v>1556</v>
      </c>
      <c r="D1770" s="7" t="str">
        <f>HYPERLINK("https://12go.asia/en/travel/Veyangoda/Wellawa", "12Go Link")</f>
        <v>12Go Link</v>
      </c>
      <c r="E1770" s="6" t="s">
        <v>870</v>
      </c>
    </row>
    <row r="1771">
      <c r="A1771" s="6" t="s">
        <v>910</v>
      </c>
      <c r="B1771" s="6" t="s">
        <v>894</v>
      </c>
      <c r="C1771" s="6" t="s">
        <v>1557</v>
      </c>
      <c r="D1771" s="7" t="str">
        <f>HYPERLINK("https://12go.asia/en/travel/Veyangoda/Galgamuwa", "12Go Link")</f>
        <v>12Go Link</v>
      </c>
      <c r="E1771" s="6" t="s">
        <v>870</v>
      </c>
    </row>
    <row r="1772">
      <c r="A1772" s="6" t="s">
        <v>910</v>
      </c>
      <c r="B1772" s="6" t="s">
        <v>894</v>
      </c>
      <c r="C1772" s="6" t="s">
        <v>1558</v>
      </c>
      <c r="D1772" s="7" t="str">
        <f>HYPERLINK("https://12go.asia/en/travel/Veyangoda/Maho", "12Go Link")</f>
        <v>12Go Link</v>
      </c>
      <c r="E1772" s="6" t="s">
        <v>870</v>
      </c>
    </row>
    <row r="1773">
      <c r="A1773" s="6" t="s">
        <v>910</v>
      </c>
      <c r="B1773" s="6" t="s">
        <v>894</v>
      </c>
      <c r="C1773" s="6" t="s">
        <v>1559</v>
      </c>
      <c r="D1773" s="7" t="str">
        <f>HYPERLINK("https://12go.asia/en/travel/Veyangoda/Nagollagama", "12Go Link")</f>
        <v>12Go Link</v>
      </c>
      <c r="E1773" s="6" t="s">
        <v>870</v>
      </c>
    </row>
    <row r="1774">
      <c r="A1774" s="6" t="s">
        <v>910</v>
      </c>
      <c r="B1774" s="6" t="s">
        <v>898</v>
      </c>
      <c r="C1774" s="6" t="s">
        <v>1560</v>
      </c>
      <c r="D1774" s="7" t="str">
        <f>HYPERLINK("https://12go.asia/en/travel/Veyangoda/Mirigama", "12Go Link")</f>
        <v>12Go Link</v>
      </c>
      <c r="E1774" s="6" t="s">
        <v>870</v>
      </c>
    </row>
    <row r="1775">
      <c r="A1775" s="6" t="s">
        <v>910</v>
      </c>
      <c r="B1775" s="6" t="s">
        <v>900</v>
      </c>
      <c r="C1775" s="6" t="s">
        <v>1561</v>
      </c>
      <c r="D1775" s="7" t="str">
        <f>HYPERLINK("https://12go.asia/en/travel/Veyangoda/Senarathgama", "12Go Link")</f>
        <v>12Go Link</v>
      </c>
      <c r="E1775" s="6" t="s">
        <v>870</v>
      </c>
    </row>
    <row r="1776">
      <c r="A1776" s="6" t="s">
        <v>910</v>
      </c>
      <c r="B1776" s="6" t="s">
        <v>902</v>
      </c>
      <c r="C1776" s="6" t="s">
        <v>1562</v>
      </c>
      <c r="D1776" s="7" t="str">
        <f>HYPERLINK("https://12go.asia/en/travel/Veyangoda/Polgahawela", "12Go Link")</f>
        <v>12Go Link</v>
      </c>
      <c r="E1776" s="6" t="s">
        <v>870</v>
      </c>
    </row>
    <row r="1777">
      <c r="A1777" s="6" t="s">
        <v>910</v>
      </c>
      <c r="B1777" s="6" t="s">
        <v>904</v>
      </c>
      <c r="C1777" s="6" t="s">
        <v>1563</v>
      </c>
      <c r="D1777" s="7" t="str">
        <f>HYPERLINK("https://12go.asia/en/travel/Veyangoda/Talawa", "12Go Link")</f>
        <v>12Go Link</v>
      </c>
      <c r="E1777" s="6" t="s">
        <v>870</v>
      </c>
    </row>
    <row r="1778">
      <c r="A1778" s="6" t="s">
        <v>910</v>
      </c>
      <c r="B1778" s="6" t="s">
        <v>906</v>
      </c>
      <c r="C1778" s="6" t="s">
        <v>1564</v>
      </c>
      <c r="D1778" s="7" t="str">
        <f>HYPERLINK("https://12go.asia/en/travel/Veyangoda/Thambuttegama", "12Go Link")</f>
        <v>12Go Link</v>
      </c>
      <c r="E1778" s="6" t="s">
        <v>870</v>
      </c>
    </row>
    <row r="1779">
      <c r="A1779" s="6" t="s">
        <v>910</v>
      </c>
      <c r="B1779" s="6" t="s">
        <v>908</v>
      </c>
      <c r="C1779" s="6" t="s">
        <v>1565</v>
      </c>
      <c r="D1779" s="7" t="str">
        <f>HYPERLINK("https://12go.asia/en/travel/Veyangoda/Vavuniya", "12Go Link")</f>
        <v>12Go Link</v>
      </c>
      <c r="E1779" s="6" t="s">
        <v>870</v>
      </c>
    </row>
    <row r="1780">
      <c r="A1780" s="4" t="s">
        <v>1566</v>
      </c>
      <c r="B1780" s="4" t="s">
        <v>1567</v>
      </c>
      <c r="C1780" s="4" t="s">
        <v>1568</v>
      </c>
      <c r="D1780" s="5" t="str">
        <f>HYPERLINK("https://12go.asia/en/travel/beigang/pingtung", "12Go Link")</f>
        <v>12Go Link</v>
      </c>
      <c r="E1780" s="4" t="s">
        <v>239</v>
      </c>
    </row>
    <row r="1781">
      <c r="A1781" s="2" t="s">
        <v>1569</v>
      </c>
      <c r="B1781" s="2" t="s">
        <v>1567</v>
      </c>
      <c r="C1781" s="2" t="s">
        <v>1570</v>
      </c>
      <c r="D1781" s="3" t="str">
        <f>HYPERLINK("https://12go.asia/en/travel/huwei/pingtung", "12Go Link")</f>
        <v>12Go Link</v>
      </c>
      <c r="E1781" s="2" t="s">
        <v>239</v>
      </c>
    </row>
    <row r="1782">
      <c r="A1782" s="4" t="s">
        <v>1571</v>
      </c>
      <c r="B1782" s="4" t="s">
        <v>1572</v>
      </c>
      <c r="C1782" s="4" t="s">
        <v>1573</v>
      </c>
      <c r="D1782" s="5" t="str">
        <f>HYPERLINK("https://12go.asia/en/travel/taichung-hsr/hsinchu-hsr", "12Go Link")</f>
        <v>12Go Link</v>
      </c>
      <c r="E1782" s="4" t="s">
        <v>239</v>
      </c>
    </row>
    <row r="1783">
      <c r="A1783" s="6" t="s">
        <v>1574</v>
      </c>
      <c r="B1783" s="6" t="s">
        <v>1575</v>
      </c>
      <c r="C1783" s="6" t="s">
        <v>1576</v>
      </c>
      <c r="D1783" s="7" t="str">
        <f>HYPERLINK("https://12go.asia/en/travel/ao-nang-transfer-except-krabi-town-and-railay/seatran-donsak-pier", "12Go Link")</f>
        <v>12Go Link</v>
      </c>
      <c r="E1783" s="6" t="s">
        <v>1577</v>
      </c>
    </row>
    <row r="1784">
      <c r="A1784" s="8" t="s">
        <v>1578</v>
      </c>
      <c r="B1784" s="8" t="s">
        <v>1579</v>
      </c>
      <c r="C1784" s="8" t="s">
        <v>1580</v>
      </c>
      <c r="D1784" s="9" t="str">
        <f>HYPERLINK("https://12go.asia/en/travel/mochit/chumphon-bus-terminal", "12Go Link")</f>
        <v>12Go Link</v>
      </c>
      <c r="E1784" s="8" t="s">
        <v>66</v>
      </c>
    </row>
    <row r="1785">
      <c r="A1785" s="6" t="s">
        <v>618</v>
      </c>
      <c r="B1785" s="6" t="s">
        <v>587</v>
      </c>
      <c r="C1785" s="6" t="s">
        <v>1581</v>
      </c>
      <c r="D1785" s="7" t="str">
        <f>HYPERLINK("https://12go.asia/en/travel/Pratu-Tha-Phae-Park/Ban-Don-Pier", "12Go Link")</f>
        <v>12Go Link</v>
      </c>
      <c r="E1785" s="6" t="s">
        <v>1582</v>
      </c>
    </row>
    <row r="1786">
      <c r="A1786" s="6" t="s">
        <v>618</v>
      </c>
      <c r="B1786" s="6" t="s">
        <v>625</v>
      </c>
      <c r="C1786" s="6" t="s">
        <v>1583</v>
      </c>
      <c r="D1786" s="7" t="str">
        <f>HYPERLINK("https://12go.asia/en/travel/Starbucks-Maya-Shopping-Mall/Chiang-Khong-Border", "12Go Link")</f>
        <v>12Go Link</v>
      </c>
      <c r="E1786" s="6" t="s">
        <v>608</v>
      </c>
    </row>
    <row r="1787">
      <c r="A1787" s="6" t="s">
        <v>618</v>
      </c>
      <c r="B1787" s="6" t="s">
        <v>625</v>
      </c>
      <c r="C1787" s="6" t="s">
        <v>1584</v>
      </c>
      <c r="D1787" s="7" t="str">
        <f>HYPERLINK("https://12go.asia/en/travel/Starbucks-Maya-Shopping-Mall/Chiang-Rai-Central-Plaza-ATM-Krungthai-Bank", "12Go Link")</f>
        <v>12Go Link</v>
      </c>
      <c r="E1787" s="6" t="s">
        <v>608</v>
      </c>
    </row>
    <row r="1788">
      <c r="A1788" s="6" t="s">
        <v>618</v>
      </c>
      <c r="B1788" s="6" t="s">
        <v>625</v>
      </c>
      <c r="C1788" s="6" t="s">
        <v>1585</v>
      </c>
      <c r="D1788" s="7" t="str">
        <f>HYPERLINK("https://12go.asia/en/travel/Starbucks-Maya-Shopping-Mall/Wat-Rong-Khun", "12Go Link")</f>
        <v>12Go Link</v>
      </c>
      <c r="E1788" s="6" t="s">
        <v>608</v>
      </c>
    </row>
    <row r="1789">
      <c r="A1789" s="8" t="s">
        <v>625</v>
      </c>
      <c r="B1789" s="8" t="s">
        <v>587</v>
      </c>
      <c r="C1789" s="8" t="s">
        <v>1586</v>
      </c>
      <c r="D1789" s="9" t="str">
        <f t="shared" ref="D1789:D1790" si="254">HYPERLINK("https://12go.asia/en/travel/Chiang-Rai/Ban-Don-Pier", "12Go Link")</f>
        <v>12Go Link</v>
      </c>
      <c r="E1789" s="8" t="s">
        <v>1582</v>
      </c>
    </row>
    <row r="1790">
      <c r="A1790" s="8" t="s">
        <v>625</v>
      </c>
      <c r="B1790" s="8" t="s">
        <v>587</v>
      </c>
      <c r="C1790" s="8" t="s">
        <v>1586</v>
      </c>
      <c r="D1790" s="9" t="str">
        <f t="shared" si="254"/>
        <v>12Go Link</v>
      </c>
      <c r="E1790" s="8" t="s">
        <v>1587</v>
      </c>
    </row>
    <row r="1791">
      <c r="A1791" s="8" t="s">
        <v>625</v>
      </c>
      <c r="B1791" s="8" t="s">
        <v>618</v>
      </c>
      <c r="C1791" s="8" t="s">
        <v>1588</v>
      </c>
      <c r="D1791" s="9" t="str">
        <f>HYPERLINK("https://12go.asia/en/travel/Chiang-Khong-Border/Starbucks-Maya-Shopping-Mall", "12Go Link")</f>
        <v>12Go Link</v>
      </c>
      <c r="E1791" s="8" t="s">
        <v>608</v>
      </c>
    </row>
    <row r="1792">
      <c r="A1792" s="8" t="s">
        <v>625</v>
      </c>
      <c r="B1792" s="8" t="s">
        <v>618</v>
      </c>
      <c r="C1792" s="8" t="s">
        <v>1589</v>
      </c>
      <c r="D1792" s="9" t="str">
        <f>HYPERLINK("https://12go.asia/en/travel/Chiang-Rai-Central-Plaza-ATM-Krungthai-Bank/Starbucks-Maya-Shopping-Mall", "12Go Link")</f>
        <v>12Go Link</v>
      </c>
      <c r="E1792" s="8" t="s">
        <v>608</v>
      </c>
    </row>
    <row r="1793">
      <c r="A1793" s="8" t="s">
        <v>625</v>
      </c>
      <c r="B1793" s="8" t="s">
        <v>618</v>
      </c>
      <c r="C1793" s="8" t="s">
        <v>1590</v>
      </c>
      <c r="D1793" s="9" t="str">
        <f>HYPERLINK("https://12go.asia/en/travel/Chiang-Rai-Town-Transfer/Chiang-Mai-Bus-Terminal-2", "12Go Link")</f>
        <v>12Go Link</v>
      </c>
      <c r="E1793" s="8" t="s">
        <v>608</v>
      </c>
    </row>
    <row r="1794">
      <c r="A1794" s="8" t="s">
        <v>625</v>
      </c>
      <c r="B1794" s="8" t="s">
        <v>618</v>
      </c>
      <c r="C1794" s="8" t="s">
        <v>1591</v>
      </c>
      <c r="D1794" s="9" t="str">
        <f>HYPERLINK("https://12go.asia/en/travel/Jed-Yod-Cafe/Chiang-Mai-Bus-Terminal-2", "12Go Link")</f>
        <v>12Go Link</v>
      </c>
      <c r="E1794" s="8" t="s">
        <v>1592</v>
      </c>
    </row>
    <row r="1795">
      <c r="A1795" s="8" t="s">
        <v>625</v>
      </c>
      <c r="B1795" s="8" t="s">
        <v>618</v>
      </c>
      <c r="C1795" s="8" t="s">
        <v>1593</v>
      </c>
      <c r="D1795" s="9" t="str">
        <f>HYPERLINK("https://12go.asia/en/travel/Jed-Yod-Cafe/Chiang-Mai-Town-Hotel-Transfer", "12Go Link")</f>
        <v>12Go Link</v>
      </c>
      <c r="E1795" s="8" t="s">
        <v>1592</v>
      </c>
    </row>
    <row r="1796">
      <c r="A1796" s="8" t="s">
        <v>625</v>
      </c>
      <c r="B1796" s="8" t="s">
        <v>618</v>
      </c>
      <c r="C1796" s="8" t="s">
        <v>1594</v>
      </c>
      <c r="D1796" s="9" t="str">
        <f>HYPERLINK("https://12go.asia/en/travel/Jed-Yod-Cafe/Chiang-Mai-Train-Station", "12Go Link")</f>
        <v>12Go Link</v>
      </c>
      <c r="E1796" s="8" t="s">
        <v>1592</v>
      </c>
    </row>
    <row r="1797">
      <c r="A1797" s="8" t="s">
        <v>625</v>
      </c>
      <c r="B1797" s="8" t="s">
        <v>618</v>
      </c>
      <c r="C1797" s="8" t="s">
        <v>1595</v>
      </c>
      <c r="D1797" s="9" t="str">
        <f>HYPERLINK("https://12go.asia/en/travel/Jed-Yod-Cafe/Tha-Phae-Gate", "12Go Link")</f>
        <v>12Go Link</v>
      </c>
      <c r="E1797" s="8" t="s">
        <v>1592</v>
      </c>
    </row>
    <row r="1798">
      <c r="A1798" s="8" t="s">
        <v>625</v>
      </c>
      <c r="B1798" s="8" t="s">
        <v>625</v>
      </c>
      <c r="C1798" s="8" t="s">
        <v>1596</v>
      </c>
      <c r="D1798" s="9" t="str">
        <f>HYPERLINK("https://12go.asia/en/travel/Chiang-Khong-Border/Chiang-Rai-Central-Plaza", "12Go Link")</f>
        <v>12Go Link</v>
      </c>
      <c r="E1798" s="8" t="s">
        <v>608</v>
      </c>
    </row>
    <row r="1799">
      <c r="A1799" s="8" t="s">
        <v>625</v>
      </c>
      <c r="B1799" s="8" t="s">
        <v>625</v>
      </c>
      <c r="C1799" s="8" t="s">
        <v>1597</v>
      </c>
      <c r="D1799" s="9" t="str">
        <f>HYPERLINK("https://12go.asia/en/travel/Chiang-Khong-Border/Chiang-Rai-Central-Plaza-ATM-Krungthai-Bank", "12Go Link")</f>
        <v>12Go Link</v>
      </c>
      <c r="E1799" s="8" t="s">
        <v>608</v>
      </c>
    </row>
    <row r="1800">
      <c r="A1800" s="8" t="s">
        <v>625</v>
      </c>
      <c r="B1800" s="8" t="s">
        <v>1598</v>
      </c>
      <c r="C1800" s="8" t="s">
        <v>1599</v>
      </c>
      <c r="D1800" s="9" t="str">
        <f>HYPERLINK("https://12go.asia/en/travel/Jed-Yod-Cafe/Pai-Hotel-Transfer", "12Go Link")</f>
        <v>12Go Link</v>
      </c>
      <c r="E1800" s="8" t="s">
        <v>1592</v>
      </c>
    </row>
    <row r="1801">
      <c r="A1801" s="6" t="s">
        <v>1575</v>
      </c>
      <c r="B1801" s="6" t="s">
        <v>1600</v>
      </c>
      <c r="C1801" s="6" t="s">
        <v>1601</v>
      </c>
      <c r="D1801" s="7" t="str">
        <f>HYPERLINK("https://12go.asia/en/travel/Donsak-Piers/Hat-Yao-pier", "12Go Link")</f>
        <v>12Go Link</v>
      </c>
      <c r="E1801" s="6" t="s">
        <v>567</v>
      </c>
    </row>
    <row r="1802">
      <c r="A1802" s="6" t="s">
        <v>1575</v>
      </c>
      <c r="B1802" s="6" t="s">
        <v>1600</v>
      </c>
      <c r="C1802" s="6" t="s">
        <v>1602</v>
      </c>
      <c r="D1802" s="7" t="str">
        <f>HYPERLINK("https://12go.asia/en/travel/Donsak-Piers/Khuan-Tung-Ku-Pier", "12Go Link")</f>
        <v>12Go Link</v>
      </c>
      <c r="E1802" s="6" t="s">
        <v>567</v>
      </c>
    </row>
    <row r="1803">
      <c r="A1803" s="8" t="s">
        <v>1603</v>
      </c>
      <c r="B1803" s="8" t="s">
        <v>1600</v>
      </c>
      <c r="C1803" s="8" t="s">
        <v>1604</v>
      </c>
      <c r="D1803" s="9" t="str">
        <f>HYPERLINK("https://12go.asia/en/travel/Hat-Yai-Town-Transfer/Hat-Yao-pier", "12Go Link")</f>
        <v>12Go Link</v>
      </c>
      <c r="E1803" s="8" t="s">
        <v>567</v>
      </c>
    </row>
    <row r="1804">
      <c r="A1804" s="8" t="s">
        <v>1603</v>
      </c>
      <c r="B1804" s="8" t="s">
        <v>1600</v>
      </c>
      <c r="C1804" s="8" t="s">
        <v>1605</v>
      </c>
      <c r="D1804" s="9" t="str">
        <f>HYPERLINK("https://12go.asia/en/travel/Hat-Yai-Town-Transfer/Khuan-Tung-Ku-Pier", "12Go Link")</f>
        <v>12Go Link</v>
      </c>
      <c r="E1804" s="8" t="s">
        <v>567</v>
      </c>
    </row>
    <row r="1805">
      <c r="A1805" s="6" t="s">
        <v>1606</v>
      </c>
      <c r="B1805" s="6" t="s">
        <v>1600</v>
      </c>
      <c r="C1805" s="6" t="s">
        <v>1607</v>
      </c>
      <c r="D1805" s="7" t="str">
        <f>HYPERLINK("https://12go.asia/en/travel/Khao-Lak-Transfer/Hat-Yao-pier", "12Go Link")</f>
        <v>12Go Link</v>
      </c>
      <c r="E1805" s="6" t="s">
        <v>567</v>
      </c>
    </row>
    <row r="1806">
      <c r="A1806" s="6" t="s">
        <v>1606</v>
      </c>
      <c r="B1806" s="6" t="s">
        <v>1600</v>
      </c>
      <c r="C1806" s="6" t="s">
        <v>1608</v>
      </c>
      <c r="D1806" s="7" t="str">
        <f>HYPERLINK("https://12go.asia/en/travel/Khao-Lak-Transfer/Khuan-Tung-Ku-Pier", "12Go Link")</f>
        <v>12Go Link</v>
      </c>
      <c r="E1806" s="6" t="s">
        <v>567</v>
      </c>
    </row>
    <row r="1807">
      <c r="A1807" s="8" t="s">
        <v>1609</v>
      </c>
      <c r="B1807" s="8" t="s">
        <v>1600</v>
      </c>
      <c r="C1807" s="8" t="s">
        <v>1610</v>
      </c>
      <c r="D1807" s="9" t="str">
        <f>HYPERLINK("https://12go.asia/en/travel/Koh-Lanta-Hotel-Transfer/Hat-Yao-pier", "12Go Link")</f>
        <v>12Go Link</v>
      </c>
      <c r="E1807" s="8" t="s">
        <v>567</v>
      </c>
    </row>
    <row r="1808">
      <c r="A1808" s="8" t="s">
        <v>1609</v>
      </c>
      <c r="B1808" s="8" t="s">
        <v>1600</v>
      </c>
      <c r="C1808" s="8" t="s">
        <v>1611</v>
      </c>
      <c r="D1808" s="9" t="str">
        <f>HYPERLINK("https://12go.asia/en/travel/Koh-Lanta-Hotel-Transfer/Khuan-Tung-Ku-Pier", "12Go Link")</f>
        <v>12Go Link</v>
      </c>
      <c r="E1808" s="8" t="s">
        <v>567</v>
      </c>
    </row>
    <row r="1809">
      <c r="A1809" s="6" t="s">
        <v>1612</v>
      </c>
      <c r="B1809" s="6" t="s">
        <v>1613</v>
      </c>
      <c r="C1809" s="6" t="s">
        <v>1614</v>
      </c>
      <c r="D1809" s="7" t="str">
        <f>HYPERLINK("https://12go.asia/en/travel/Baan-Tai-Pier/Samui-Airport", "12Go Link")</f>
        <v>12Go Link</v>
      </c>
      <c r="E1809" s="6" t="s">
        <v>492</v>
      </c>
    </row>
    <row r="1810">
      <c r="A1810" s="6" t="s">
        <v>1612</v>
      </c>
      <c r="B1810" s="6" t="s">
        <v>1615</v>
      </c>
      <c r="C1810" s="6" t="s">
        <v>1616</v>
      </c>
      <c r="D1810" s="7" t="str">
        <f>HYPERLINK("https://12go.asia/en/travel/thong-sala-koh-phangan/mae-haad-pier-koh-tao", "12Go Link")</f>
        <v>12Go Link</v>
      </c>
      <c r="E1810" s="6" t="s">
        <v>800</v>
      </c>
    </row>
    <row r="1811">
      <c r="A1811" s="8" t="s">
        <v>1617</v>
      </c>
      <c r="B1811" s="8" t="s">
        <v>1618</v>
      </c>
      <c r="C1811" s="8" t="s">
        <v>1619</v>
      </c>
      <c r="D1811" s="9" t="str">
        <f t="shared" ref="D1811:D1816" si="255">HYPERLINK("https://12go.asia/en/travel/Koh-Phi-Phi-Ton-Sai-Pier/Bangtao-Transfer", "12Go Link")</f>
        <v>12Go Link</v>
      </c>
      <c r="E1811" s="8" t="s">
        <v>1620</v>
      </c>
    </row>
    <row r="1812">
      <c r="A1812" s="8" t="s">
        <v>1617</v>
      </c>
      <c r="B1812" s="8" t="s">
        <v>1618</v>
      </c>
      <c r="C1812" s="8" t="s">
        <v>1619</v>
      </c>
      <c r="D1812" s="9" t="str">
        <f t="shared" si="255"/>
        <v>12Go Link</v>
      </c>
      <c r="E1812" s="8" t="s">
        <v>1621</v>
      </c>
    </row>
    <row r="1813">
      <c r="A1813" s="8" t="s">
        <v>1617</v>
      </c>
      <c r="B1813" s="8" t="s">
        <v>1618</v>
      </c>
      <c r="C1813" s="8" t="s">
        <v>1619</v>
      </c>
      <c r="D1813" s="9" t="str">
        <f t="shared" si="255"/>
        <v>12Go Link</v>
      </c>
      <c r="E1813" s="8" t="s">
        <v>1622</v>
      </c>
    </row>
    <row r="1814">
      <c r="A1814" s="8" t="s">
        <v>1617</v>
      </c>
      <c r="B1814" s="8" t="s">
        <v>1618</v>
      </c>
      <c r="C1814" s="8" t="s">
        <v>1619</v>
      </c>
      <c r="D1814" s="9" t="str">
        <f t="shared" si="255"/>
        <v>12Go Link</v>
      </c>
      <c r="E1814" s="8" t="s">
        <v>1623</v>
      </c>
    </row>
    <row r="1815">
      <c r="A1815" s="8" t="s">
        <v>1617</v>
      </c>
      <c r="B1815" s="8" t="s">
        <v>1618</v>
      </c>
      <c r="C1815" s="8" t="s">
        <v>1619</v>
      </c>
      <c r="D1815" s="9" t="str">
        <f t="shared" si="255"/>
        <v>12Go Link</v>
      </c>
      <c r="E1815" s="8" t="s">
        <v>1624</v>
      </c>
    </row>
    <row r="1816">
      <c r="A1816" s="8" t="s">
        <v>1617</v>
      </c>
      <c r="B1816" s="8" t="s">
        <v>1618</v>
      </c>
      <c r="C1816" s="8" t="s">
        <v>1619</v>
      </c>
      <c r="D1816" s="9" t="str">
        <f t="shared" si="255"/>
        <v>12Go Link</v>
      </c>
      <c r="E1816" s="8" t="s">
        <v>1625</v>
      </c>
    </row>
    <row r="1817">
      <c r="A1817" s="8" t="s">
        <v>1617</v>
      </c>
      <c r="B1817" s="8" t="s">
        <v>1618</v>
      </c>
      <c r="C1817" s="8" t="s">
        <v>1626</v>
      </c>
      <c r="D1817" s="9" t="str">
        <f t="shared" ref="D1817:D1822" si="256">HYPERLINK("https://12go.asia/en/travel/Koh-Phi-Phi-Ton-Sai-Pier/Boat-Lagoon-Transfer", "12Go Link")</f>
        <v>12Go Link</v>
      </c>
      <c r="E1817" s="8" t="s">
        <v>1620</v>
      </c>
    </row>
    <row r="1818">
      <c r="A1818" s="8" t="s">
        <v>1617</v>
      </c>
      <c r="B1818" s="8" t="s">
        <v>1618</v>
      </c>
      <c r="C1818" s="8" t="s">
        <v>1626</v>
      </c>
      <c r="D1818" s="9" t="str">
        <f t="shared" si="256"/>
        <v>12Go Link</v>
      </c>
      <c r="E1818" s="8" t="s">
        <v>1621</v>
      </c>
    </row>
    <row r="1819">
      <c r="A1819" s="8" t="s">
        <v>1617</v>
      </c>
      <c r="B1819" s="8" t="s">
        <v>1618</v>
      </c>
      <c r="C1819" s="8" t="s">
        <v>1626</v>
      </c>
      <c r="D1819" s="9" t="str">
        <f t="shared" si="256"/>
        <v>12Go Link</v>
      </c>
      <c r="E1819" s="8" t="s">
        <v>1622</v>
      </c>
    </row>
    <row r="1820">
      <c r="A1820" s="8" t="s">
        <v>1617</v>
      </c>
      <c r="B1820" s="8" t="s">
        <v>1618</v>
      </c>
      <c r="C1820" s="8" t="s">
        <v>1626</v>
      </c>
      <c r="D1820" s="9" t="str">
        <f t="shared" si="256"/>
        <v>12Go Link</v>
      </c>
      <c r="E1820" s="8" t="s">
        <v>1623</v>
      </c>
    </row>
    <row r="1821">
      <c r="A1821" s="8" t="s">
        <v>1617</v>
      </c>
      <c r="B1821" s="8" t="s">
        <v>1618</v>
      </c>
      <c r="C1821" s="8" t="s">
        <v>1626</v>
      </c>
      <c r="D1821" s="9" t="str">
        <f t="shared" si="256"/>
        <v>12Go Link</v>
      </c>
      <c r="E1821" s="8" t="s">
        <v>1624</v>
      </c>
    </row>
    <row r="1822">
      <c r="A1822" s="8" t="s">
        <v>1617</v>
      </c>
      <c r="B1822" s="8" t="s">
        <v>1618</v>
      </c>
      <c r="C1822" s="8" t="s">
        <v>1626</v>
      </c>
      <c r="D1822" s="9" t="str">
        <f t="shared" si="256"/>
        <v>12Go Link</v>
      </c>
      <c r="E1822" s="8" t="s">
        <v>1625</v>
      </c>
    </row>
    <row r="1823">
      <c r="A1823" s="8" t="s">
        <v>1617</v>
      </c>
      <c r="B1823" s="8" t="s">
        <v>1618</v>
      </c>
      <c r="C1823" s="8" t="s">
        <v>1627</v>
      </c>
      <c r="D1823" s="9" t="str">
        <f t="shared" ref="D1823:D1828" si="257">HYPERLINK("https://12go.asia/en/travel/Koh-Phi-Phi-Ton-Sai-Pier/Cape-Panwa-Hotel-Transfer", "12Go Link")</f>
        <v>12Go Link</v>
      </c>
      <c r="E1823" s="8" t="s">
        <v>1620</v>
      </c>
    </row>
    <row r="1824">
      <c r="A1824" s="8" t="s">
        <v>1617</v>
      </c>
      <c r="B1824" s="8" t="s">
        <v>1618</v>
      </c>
      <c r="C1824" s="8" t="s">
        <v>1627</v>
      </c>
      <c r="D1824" s="9" t="str">
        <f t="shared" si="257"/>
        <v>12Go Link</v>
      </c>
      <c r="E1824" s="8" t="s">
        <v>1621</v>
      </c>
    </row>
    <row r="1825">
      <c r="A1825" s="8" t="s">
        <v>1617</v>
      </c>
      <c r="B1825" s="8" t="s">
        <v>1618</v>
      </c>
      <c r="C1825" s="8" t="s">
        <v>1627</v>
      </c>
      <c r="D1825" s="9" t="str">
        <f t="shared" si="257"/>
        <v>12Go Link</v>
      </c>
      <c r="E1825" s="8" t="s">
        <v>1622</v>
      </c>
    </row>
    <row r="1826">
      <c r="A1826" s="8" t="s">
        <v>1617</v>
      </c>
      <c r="B1826" s="8" t="s">
        <v>1618</v>
      </c>
      <c r="C1826" s="8" t="s">
        <v>1627</v>
      </c>
      <c r="D1826" s="9" t="str">
        <f t="shared" si="257"/>
        <v>12Go Link</v>
      </c>
      <c r="E1826" s="8" t="s">
        <v>1623</v>
      </c>
    </row>
    <row r="1827">
      <c r="A1827" s="8" t="s">
        <v>1617</v>
      </c>
      <c r="B1827" s="8" t="s">
        <v>1618</v>
      </c>
      <c r="C1827" s="8" t="s">
        <v>1627</v>
      </c>
      <c r="D1827" s="9" t="str">
        <f t="shared" si="257"/>
        <v>12Go Link</v>
      </c>
      <c r="E1827" s="8" t="s">
        <v>1624</v>
      </c>
    </row>
    <row r="1828">
      <c r="A1828" s="8" t="s">
        <v>1617</v>
      </c>
      <c r="B1828" s="8" t="s">
        <v>1618</v>
      </c>
      <c r="C1828" s="8" t="s">
        <v>1627</v>
      </c>
      <c r="D1828" s="9" t="str">
        <f t="shared" si="257"/>
        <v>12Go Link</v>
      </c>
      <c r="E1828" s="8" t="s">
        <v>1625</v>
      </c>
    </row>
    <row r="1829">
      <c r="A1829" s="8" t="s">
        <v>1617</v>
      </c>
      <c r="B1829" s="8" t="s">
        <v>1618</v>
      </c>
      <c r="C1829" s="8" t="s">
        <v>1628</v>
      </c>
      <c r="D1829" s="9" t="str">
        <f t="shared" ref="D1829:D1834" si="258">HYPERLINK("https://12go.asia/en/travel/Koh-Phi-Phi-Ton-Sai-Pier/Kamala-Beach-Transfer", "12Go Link")</f>
        <v>12Go Link</v>
      </c>
      <c r="E1829" s="8" t="s">
        <v>1620</v>
      </c>
    </row>
    <row r="1830">
      <c r="A1830" s="8" t="s">
        <v>1617</v>
      </c>
      <c r="B1830" s="8" t="s">
        <v>1618</v>
      </c>
      <c r="C1830" s="8" t="s">
        <v>1628</v>
      </c>
      <c r="D1830" s="9" t="str">
        <f t="shared" si="258"/>
        <v>12Go Link</v>
      </c>
      <c r="E1830" s="8" t="s">
        <v>1621</v>
      </c>
    </row>
    <row r="1831">
      <c r="A1831" s="8" t="s">
        <v>1617</v>
      </c>
      <c r="B1831" s="8" t="s">
        <v>1618</v>
      </c>
      <c r="C1831" s="8" t="s">
        <v>1628</v>
      </c>
      <c r="D1831" s="9" t="str">
        <f t="shared" si="258"/>
        <v>12Go Link</v>
      </c>
      <c r="E1831" s="8" t="s">
        <v>1622</v>
      </c>
    </row>
    <row r="1832">
      <c r="A1832" s="8" t="s">
        <v>1617</v>
      </c>
      <c r="B1832" s="8" t="s">
        <v>1618</v>
      </c>
      <c r="C1832" s="8" t="s">
        <v>1628</v>
      </c>
      <c r="D1832" s="9" t="str">
        <f t="shared" si="258"/>
        <v>12Go Link</v>
      </c>
      <c r="E1832" s="8" t="s">
        <v>1623</v>
      </c>
    </row>
    <row r="1833">
      <c r="A1833" s="8" t="s">
        <v>1617</v>
      </c>
      <c r="B1833" s="8" t="s">
        <v>1618</v>
      </c>
      <c r="C1833" s="8" t="s">
        <v>1628</v>
      </c>
      <c r="D1833" s="9" t="str">
        <f t="shared" si="258"/>
        <v>12Go Link</v>
      </c>
      <c r="E1833" s="8" t="s">
        <v>1624</v>
      </c>
    </row>
    <row r="1834">
      <c r="A1834" s="8" t="s">
        <v>1617</v>
      </c>
      <c r="B1834" s="8" t="s">
        <v>1618</v>
      </c>
      <c r="C1834" s="8" t="s">
        <v>1628</v>
      </c>
      <c r="D1834" s="9" t="str">
        <f t="shared" si="258"/>
        <v>12Go Link</v>
      </c>
      <c r="E1834" s="8" t="s">
        <v>1625</v>
      </c>
    </row>
    <row r="1835">
      <c r="A1835" s="8" t="s">
        <v>1617</v>
      </c>
      <c r="B1835" s="8" t="s">
        <v>1618</v>
      </c>
      <c r="C1835" s="8" t="s">
        <v>1629</v>
      </c>
      <c r="D1835" s="9" t="str">
        <f t="shared" ref="D1835:D1840" si="259">HYPERLINK("https://12go.asia/en/travel/Koh-Phi-Phi-Ton-Sai-Pier/Karon-Beach-Hotel-Transfer", "12Go Link")</f>
        <v>12Go Link</v>
      </c>
      <c r="E1835" s="8" t="s">
        <v>1620</v>
      </c>
    </row>
    <row r="1836">
      <c r="A1836" s="8" t="s">
        <v>1617</v>
      </c>
      <c r="B1836" s="8" t="s">
        <v>1618</v>
      </c>
      <c r="C1836" s="8" t="s">
        <v>1629</v>
      </c>
      <c r="D1836" s="9" t="str">
        <f t="shared" si="259"/>
        <v>12Go Link</v>
      </c>
      <c r="E1836" s="8" t="s">
        <v>1621</v>
      </c>
    </row>
    <row r="1837">
      <c r="A1837" s="8" t="s">
        <v>1617</v>
      </c>
      <c r="B1837" s="8" t="s">
        <v>1618</v>
      </c>
      <c r="C1837" s="8" t="s">
        <v>1629</v>
      </c>
      <c r="D1837" s="9" t="str">
        <f t="shared" si="259"/>
        <v>12Go Link</v>
      </c>
      <c r="E1837" s="8" t="s">
        <v>1622</v>
      </c>
    </row>
    <row r="1838">
      <c r="A1838" s="8" t="s">
        <v>1617</v>
      </c>
      <c r="B1838" s="8" t="s">
        <v>1618</v>
      </c>
      <c r="C1838" s="8" t="s">
        <v>1629</v>
      </c>
      <c r="D1838" s="9" t="str">
        <f t="shared" si="259"/>
        <v>12Go Link</v>
      </c>
      <c r="E1838" s="8" t="s">
        <v>1623</v>
      </c>
    </row>
    <row r="1839">
      <c r="A1839" s="8" t="s">
        <v>1617</v>
      </c>
      <c r="B1839" s="8" t="s">
        <v>1618</v>
      </c>
      <c r="C1839" s="8" t="s">
        <v>1629</v>
      </c>
      <c r="D1839" s="9" t="str">
        <f t="shared" si="259"/>
        <v>12Go Link</v>
      </c>
      <c r="E1839" s="8" t="s">
        <v>1624</v>
      </c>
    </row>
    <row r="1840">
      <c r="A1840" s="8" t="s">
        <v>1617</v>
      </c>
      <c r="B1840" s="8" t="s">
        <v>1618</v>
      </c>
      <c r="C1840" s="8" t="s">
        <v>1629</v>
      </c>
      <c r="D1840" s="9" t="str">
        <f t="shared" si="259"/>
        <v>12Go Link</v>
      </c>
      <c r="E1840" s="8" t="s">
        <v>1625</v>
      </c>
    </row>
    <row r="1841">
      <c r="A1841" s="8" t="s">
        <v>1617</v>
      </c>
      <c r="B1841" s="8" t="s">
        <v>1618</v>
      </c>
      <c r="C1841" s="8" t="s">
        <v>1630</v>
      </c>
      <c r="D1841" s="9" t="str">
        <f t="shared" ref="D1841:D1846" si="260">HYPERLINK("https://12go.asia/en/travel/Koh-Phi-Phi-Ton-Sai-Pier/Kata-Beach-Hotel-Transfer", "12Go Link")</f>
        <v>12Go Link</v>
      </c>
      <c r="E1841" s="8" t="s">
        <v>1620</v>
      </c>
    </row>
    <row r="1842">
      <c r="A1842" s="8" t="s">
        <v>1617</v>
      </c>
      <c r="B1842" s="8" t="s">
        <v>1618</v>
      </c>
      <c r="C1842" s="8" t="s">
        <v>1630</v>
      </c>
      <c r="D1842" s="9" t="str">
        <f t="shared" si="260"/>
        <v>12Go Link</v>
      </c>
      <c r="E1842" s="8" t="s">
        <v>1621</v>
      </c>
    </row>
    <row r="1843">
      <c r="A1843" s="8" t="s">
        <v>1617</v>
      </c>
      <c r="B1843" s="8" t="s">
        <v>1618</v>
      </c>
      <c r="C1843" s="8" t="s">
        <v>1630</v>
      </c>
      <c r="D1843" s="9" t="str">
        <f t="shared" si="260"/>
        <v>12Go Link</v>
      </c>
      <c r="E1843" s="8" t="s">
        <v>1622</v>
      </c>
    </row>
    <row r="1844">
      <c r="A1844" s="8" t="s">
        <v>1617</v>
      </c>
      <c r="B1844" s="8" t="s">
        <v>1618</v>
      </c>
      <c r="C1844" s="8" t="s">
        <v>1630</v>
      </c>
      <c r="D1844" s="9" t="str">
        <f t="shared" si="260"/>
        <v>12Go Link</v>
      </c>
      <c r="E1844" s="8" t="s">
        <v>1623</v>
      </c>
    </row>
    <row r="1845">
      <c r="A1845" s="8" t="s">
        <v>1617</v>
      </c>
      <c r="B1845" s="8" t="s">
        <v>1618</v>
      </c>
      <c r="C1845" s="8" t="s">
        <v>1630</v>
      </c>
      <c r="D1845" s="9" t="str">
        <f t="shared" si="260"/>
        <v>12Go Link</v>
      </c>
      <c r="E1845" s="8" t="s">
        <v>1624</v>
      </c>
    </row>
    <row r="1846">
      <c r="A1846" s="8" t="s">
        <v>1617</v>
      </c>
      <c r="B1846" s="8" t="s">
        <v>1618</v>
      </c>
      <c r="C1846" s="8" t="s">
        <v>1630</v>
      </c>
      <c r="D1846" s="9" t="str">
        <f t="shared" si="260"/>
        <v>12Go Link</v>
      </c>
      <c r="E1846" s="8" t="s">
        <v>1625</v>
      </c>
    </row>
    <row r="1847">
      <c r="A1847" s="8" t="s">
        <v>1617</v>
      </c>
      <c r="B1847" s="8" t="s">
        <v>1618</v>
      </c>
      <c r="C1847" s="8" t="s">
        <v>1631</v>
      </c>
      <c r="D1847" s="9" t="str">
        <f t="shared" ref="D1847:D1852" si="261">HYPERLINK("https://12go.asia/en/travel/Koh-Phi-Phi-Ton-Sai-Pier/Layan-Transfer", "12Go Link")</f>
        <v>12Go Link</v>
      </c>
      <c r="E1847" s="8" t="s">
        <v>1620</v>
      </c>
    </row>
    <row r="1848">
      <c r="A1848" s="8" t="s">
        <v>1617</v>
      </c>
      <c r="B1848" s="8" t="s">
        <v>1618</v>
      </c>
      <c r="C1848" s="8" t="s">
        <v>1631</v>
      </c>
      <c r="D1848" s="9" t="str">
        <f t="shared" si="261"/>
        <v>12Go Link</v>
      </c>
      <c r="E1848" s="8" t="s">
        <v>1621</v>
      </c>
    </row>
    <row r="1849">
      <c r="A1849" s="8" t="s">
        <v>1617</v>
      </c>
      <c r="B1849" s="8" t="s">
        <v>1618</v>
      </c>
      <c r="C1849" s="8" t="s">
        <v>1631</v>
      </c>
      <c r="D1849" s="9" t="str">
        <f t="shared" si="261"/>
        <v>12Go Link</v>
      </c>
      <c r="E1849" s="8" t="s">
        <v>1622</v>
      </c>
    </row>
    <row r="1850">
      <c r="A1850" s="8" t="s">
        <v>1617</v>
      </c>
      <c r="B1850" s="8" t="s">
        <v>1618</v>
      </c>
      <c r="C1850" s="8" t="s">
        <v>1631</v>
      </c>
      <c r="D1850" s="9" t="str">
        <f t="shared" si="261"/>
        <v>12Go Link</v>
      </c>
      <c r="E1850" s="8" t="s">
        <v>1623</v>
      </c>
    </row>
    <row r="1851">
      <c r="A1851" s="8" t="s">
        <v>1617</v>
      </c>
      <c r="B1851" s="8" t="s">
        <v>1618</v>
      </c>
      <c r="C1851" s="8" t="s">
        <v>1631</v>
      </c>
      <c r="D1851" s="9" t="str">
        <f t="shared" si="261"/>
        <v>12Go Link</v>
      </c>
      <c r="E1851" s="8" t="s">
        <v>1624</v>
      </c>
    </row>
    <row r="1852">
      <c r="A1852" s="8" t="s">
        <v>1617</v>
      </c>
      <c r="B1852" s="8" t="s">
        <v>1618</v>
      </c>
      <c r="C1852" s="8" t="s">
        <v>1631</v>
      </c>
      <c r="D1852" s="9" t="str">
        <f t="shared" si="261"/>
        <v>12Go Link</v>
      </c>
      <c r="E1852" s="8" t="s">
        <v>1625</v>
      </c>
    </row>
    <row r="1853">
      <c r="A1853" s="8" t="s">
        <v>1617</v>
      </c>
      <c r="B1853" s="8" t="s">
        <v>1618</v>
      </c>
      <c r="C1853" s="8" t="s">
        <v>1632</v>
      </c>
      <c r="D1853" s="9" t="str">
        <f t="shared" ref="D1853:D1858" si="262">HYPERLINK("https://12go.asia/en/travel/Koh-Phi-Phi-Ton-Sai-Pier/Mai-Khao-Beach", "12Go Link")</f>
        <v>12Go Link</v>
      </c>
      <c r="E1853" s="8" t="s">
        <v>1620</v>
      </c>
    </row>
    <row r="1854">
      <c r="A1854" s="8" t="s">
        <v>1617</v>
      </c>
      <c r="B1854" s="8" t="s">
        <v>1618</v>
      </c>
      <c r="C1854" s="8" t="s">
        <v>1632</v>
      </c>
      <c r="D1854" s="9" t="str">
        <f t="shared" si="262"/>
        <v>12Go Link</v>
      </c>
      <c r="E1854" s="8" t="s">
        <v>1621</v>
      </c>
    </row>
    <row r="1855">
      <c r="A1855" s="8" t="s">
        <v>1617</v>
      </c>
      <c r="B1855" s="8" t="s">
        <v>1618</v>
      </c>
      <c r="C1855" s="8" t="s">
        <v>1632</v>
      </c>
      <c r="D1855" s="9" t="str">
        <f t="shared" si="262"/>
        <v>12Go Link</v>
      </c>
      <c r="E1855" s="8" t="s">
        <v>1622</v>
      </c>
    </row>
    <row r="1856">
      <c r="A1856" s="8" t="s">
        <v>1617</v>
      </c>
      <c r="B1856" s="8" t="s">
        <v>1618</v>
      </c>
      <c r="C1856" s="8" t="s">
        <v>1632</v>
      </c>
      <c r="D1856" s="9" t="str">
        <f t="shared" si="262"/>
        <v>12Go Link</v>
      </c>
      <c r="E1856" s="8" t="s">
        <v>1623</v>
      </c>
    </row>
    <row r="1857">
      <c r="A1857" s="8" t="s">
        <v>1617</v>
      </c>
      <c r="B1857" s="8" t="s">
        <v>1618</v>
      </c>
      <c r="C1857" s="8" t="s">
        <v>1632</v>
      </c>
      <c r="D1857" s="9" t="str">
        <f t="shared" si="262"/>
        <v>12Go Link</v>
      </c>
      <c r="E1857" s="8" t="s">
        <v>1624</v>
      </c>
    </row>
    <row r="1858">
      <c r="A1858" s="8" t="s">
        <v>1617</v>
      </c>
      <c r="B1858" s="8" t="s">
        <v>1618</v>
      </c>
      <c r="C1858" s="8" t="s">
        <v>1632</v>
      </c>
      <c r="D1858" s="9" t="str">
        <f t="shared" si="262"/>
        <v>12Go Link</v>
      </c>
      <c r="E1858" s="8" t="s">
        <v>1625</v>
      </c>
    </row>
    <row r="1859">
      <c r="A1859" s="8" t="s">
        <v>1617</v>
      </c>
      <c r="B1859" s="8" t="s">
        <v>1618</v>
      </c>
      <c r="C1859" s="8" t="s">
        <v>1633</v>
      </c>
      <c r="D1859" s="9" t="str">
        <f t="shared" ref="D1859:D1864" si="263">HYPERLINK("https://12go.asia/en/travel/Koh-Phi-Phi-Ton-Sai-Pier/Nai-Thon-Transfer", "12Go Link")</f>
        <v>12Go Link</v>
      </c>
      <c r="E1859" s="8" t="s">
        <v>1620</v>
      </c>
    </row>
    <row r="1860">
      <c r="A1860" s="8" t="s">
        <v>1617</v>
      </c>
      <c r="B1860" s="8" t="s">
        <v>1618</v>
      </c>
      <c r="C1860" s="8" t="s">
        <v>1633</v>
      </c>
      <c r="D1860" s="9" t="str">
        <f t="shared" si="263"/>
        <v>12Go Link</v>
      </c>
      <c r="E1860" s="8" t="s">
        <v>1621</v>
      </c>
    </row>
    <row r="1861">
      <c r="A1861" s="8" t="s">
        <v>1617</v>
      </c>
      <c r="B1861" s="8" t="s">
        <v>1618</v>
      </c>
      <c r="C1861" s="8" t="s">
        <v>1633</v>
      </c>
      <c r="D1861" s="9" t="str">
        <f t="shared" si="263"/>
        <v>12Go Link</v>
      </c>
      <c r="E1861" s="8" t="s">
        <v>1622</v>
      </c>
    </row>
    <row r="1862">
      <c r="A1862" s="8" t="s">
        <v>1617</v>
      </c>
      <c r="B1862" s="8" t="s">
        <v>1618</v>
      </c>
      <c r="C1862" s="8" t="s">
        <v>1633</v>
      </c>
      <c r="D1862" s="9" t="str">
        <f t="shared" si="263"/>
        <v>12Go Link</v>
      </c>
      <c r="E1862" s="8" t="s">
        <v>1623</v>
      </c>
    </row>
    <row r="1863">
      <c r="A1863" s="8" t="s">
        <v>1617</v>
      </c>
      <c r="B1863" s="8" t="s">
        <v>1618</v>
      </c>
      <c r="C1863" s="8" t="s">
        <v>1633</v>
      </c>
      <c r="D1863" s="9" t="str">
        <f t="shared" si="263"/>
        <v>12Go Link</v>
      </c>
      <c r="E1863" s="8" t="s">
        <v>1624</v>
      </c>
    </row>
    <row r="1864">
      <c r="A1864" s="8" t="s">
        <v>1617</v>
      </c>
      <c r="B1864" s="8" t="s">
        <v>1618</v>
      </c>
      <c r="C1864" s="8" t="s">
        <v>1633</v>
      </c>
      <c r="D1864" s="9" t="str">
        <f t="shared" si="263"/>
        <v>12Go Link</v>
      </c>
      <c r="E1864" s="8" t="s">
        <v>1625</v>
      </c>
    </row>
    <row r="1865">
      <c r="A1865" s="8" t="s">
        <v>1617</v>
      </c>
      <c r="B1865" s="8" t="s">
        <v>1618</v>
      </c>
      <c r="C1865" s="8" t="s">
        <v>1634</v>
      </c>
      <c r="D1865" s="9" t="str">
        <f t="shared" ref="D1865:D1870" si="264">HYPERLINK("https://12go.asia/en/travel/Koh-Phi-Phi-Ton-Sai-Pier/Naihan-Transfer", "12Go Link")</f>
        <v>12Go Link</v>
      </c>
      <c r="E1865" s="8" t="s">
        <v>1620</v>
      </c>
    </row>
    <row r="1866">
      <c r="A1866" s="8" t="s">
        <v>1617</v>
      </c>
      <c r="B1866" s="8" t="s">
        <v>1618</v>
      </c>
      <c r="C1866" s="8" t="s">
        <v>1634</v>
      </c>
      <c r="D1866" s="9" t="str">
        <f t="shared" si="264"/>
        <v>12Go Link</v>
      </c>
      <c r="E1866" s="8" t="s">
        <v>1621</v>
      </c>
    </row>
    <row r="1867">
      <c r="A1867" s="8" t="s">
        <v>1617</v>
      </c>
      <c r="B1867" s="8" t="s">
        <v>1618</v>
      </c>
      <c r="C1867" s="8" t="s">
        <v>1634</v>
      </c>
      <c r="D1867" s="9" t="str">
        <f t="shared" si="264"/>
        <v>12Go Link</v>
      </c>
      <c r="E1867" s="8" t="s">
        <v>1622</v>
      </c>
    </row>
    <row r="1868">
      <c r="A1868" s="8" t="s">
        <v>1617</v>
      </c>
      <c r="B1868" s="8" t="s">
        <v>1618</v>
      </c>
      <c r="C1868" s="8" t="s">
        <v>1634</v>
      </c>
      <c r="D1868" s="9" t="str">
        <f t="shared" si="264"/>
        <v>12Go Link</v>
      </c>
      <c r="E1868" s="8" t="s">
        <v>1623</v>
      </c>
    </row>
    <row r="1869">
      <c r="A1869" s="8" t="s">
        <v>1617</v>
      </c>
      <c r="B1869" s="8" t="s">
        <v>1618</v>
      </c>
      <c r="C1869" s="8" t="s">
        <v>1634</v>
      </c>
      <c r="D1869" s="9" t="str">
        <f t="shared" si="264"/>
        <v>12Go Link</v>
      </c>
      <c r="E1869" s="8" t="s">
        <v>1624</v>
      </c>
    </row>
    <row r="1870">
      <c r="A1870" s="8" t="s">
        <v>1617</v>
      </c>
      <c r="B1870" s="8" t="s">
        <v>1618</v>
      </c>
      <c r="C1870" s="8" t="s">
        <v>1634</v>
      </c>
      <c r="D1870" s="9" t="str">
        <f t="shared" si="264"/>
        <v>12Go Link</v>
      </c>
      <c r="E1870" s="8" t="s">
        <v>1625</v>
      </c>
    </row>
    <row r="1871">
      <c r="A1871" s="8" t="s">
        <v>1617</v>
      </c>
      <c r="B1871" s="8" t="s">
        <v>1618</v>
      </c>
      <c r="C1871" s="8" t="s">
        <v>1635</v>
      </c>
      <c r="D1871" s="9" t="str">
        <f t="shared" ref="D1871:D1876" si="265">HYPERLINK("https://12go.asia/en/travel/Koh-Phi-Phi-Ton-Sai-Pier/Naiyang-Transfer", "12Go Link")</f>
        <v>12Go Link</v>
      </c>
      <c r="E1871" s="8" t="s">
        <v>1620</v>
      </c>
    </row>
    <row r="1872">
      <c r="A1872" s="8" t="s">
        <v>1617</v>
      </c>
      <c r="B1872" s="8" t="s">
        <v>1618</v>
      </c>
      <c r="C1872" s="8" t="s">
        <v>1635</v>
      </c>
      <c r="D1872" s="9" t="str">
        <f t="shared" si="265"/>
        <v>12Go Link</v>
      </c>
      <c r="E1872" s="8" t="s">
        <v>1621</v>
      </c>
    </row>
    <row r="1873">
      <c r="A1873" s="8" t="s">
        <v>1617</v>
      </c>
      <c r="B1873" s="8" t="s">
        <v>1618</v>
      </c>
      <c r="C1873" s="8" t="s">
        <v>1635</v>
      </c>
      <c r="D1873" s="9" t="str">
        <f t="shared" si="265"/>
        <v>12Go Link</v>
      </c>
      <c r="E1873" s="8" t="s">
        <v>1622</v>
      </c>
    </row>
    <row r="1874">
      <c r="A1874" s="8" t="s">
        <v>1617</v>
      </c>
      <c r="B1874" s="8" t="s">
        <v>1618</v>
      </c>
      <c r="C1874" s="8" t="s">
        <v>1635</v>
      </c>
      <c r="D1874" s="9" t="str">
        <f t="shared" si="265"/>
        <v>12Go Link</v>
      </c>
      <c r="E1874" s="8" t="s">
        <v>1623</v>
      </c>
    </row>
    <row r="1875">
      <c r="A1875" s="8" t="s">
        <v>1617</v>
      </c>
      <c r="B1875" s="8" t="s">
        <v>1618</v>
      </c>
      <c r="C1875" s="8" t="s">
        <v>1635</v>
      </c>
      <c r="D1875" s="9" t="str">
        <f t="shared" si="265"/>
        <v>12Go Link</v>
      </c>
      <c r="E1875" s="8" t="s">
        <v>1624</v>
      </c>
    </row>
    <row r="1876">
      <c r="A1876" s="8" t="s">
        <v>1617</v>
      </c>
      <c r="B1876" s="8" t="s">
        <v>1618</v>
      </c>
      <c r="C1876" s="8" t="s">
        <v>1635</v>
      </c>
      <c r="D1876" s="9" t="str">
        <f t="shared" si="265"/>
        <v>12Go Link</v>
      </c>
      <c r="E1876" s="8" t="s">
        <v>1625</v>
      </c>
    </row>
    <row r="1877">
      <c r="A1877" s="8" t="s">
        <v>1617</v>
      </c>
      <c r="B1877" s="8" t="s">
        <v>1618</v>
      </c>
      <c r="C1877" s="8" t="s">
        <v>1636</v>
      </c>
      <c r="D1877" s="9" t="str">
        <f t="shared" ref="D1877:D1882" si="266">HYPERLINK("https://12go.asia/en/travel/Koh-Phi-Phi-Ton-Sai-Pier/Patong-Beach-Hotel-Transfer", "12Go Link")</f>
        <v>12Go Link</v>
      </c>
      <c r="E1877" s="8" t="s">
        <v>1620</v>
      </c>
    </row>
    <row r="1878">
      <c r="A1878" s="8" t="s">
        <v>1617</v>
      </c>
      <c r="B1878" s="8" t="s">
        <v>1618</v>
      </c>
      <c r="C1878" s="8" t="s">
        <v>1636</v>
      </c>
      <c r="D1878" s="9" t="str">
        <f t="shared" si="266"/>
        <v>12Go Link</v>
      </c>
      <c r="E1878" s="8" t="s">
        <v>1621</v>
      </c>
    </row>
    <row r="1879">
      <c r="A1879" s="8" t="s">
        <v>1617</v>
      </c>
      <c r="B1879" s="8" t="s">
        <v>1618</v>
      </c>
      <c r="C1879" s="8" t="s">
        <v>1636</v>
      </c>
      <c r="D1879" s="9" t="str">
        <f t="shared" si="266"/>
        <v>12Go Link</v>
      </c>
      <c r="E1879" s="8" t="s">
        <v>1622</v>
      </c>
    </row>
    <row r="1880">
      <c r="A1880" s="8" t="s">
        <v>1617</v>
      </c>
      <c r="B1880" s="8" t="s">
        <v>1618</v>
      </c>
      <c r="C1880" s="8" t="s">
        <v>1636</v>
      </c>
      <c r="D1880" s="9" t="str">
        <f t="shared" si="266"/>
        <v>12Go Link</v>
      </c>
      <c r="E1880" s="8" t="s">
        <v>1623</v>
      </c>
    </row>
    <row r="1881">
      <c r="A1881" s="8" t="s">
        <v>1617</v>
      </c>
      <c r="B1881" s="8" t="s">
        <v>1618</v>
      </c>
      <c r="C1881" s="8" t="s">
        <v>1636</v>
      </c>
      <c r="D1881" s="9" t="str">
        <f t="shared" si="266"/>
        <v>12Go Link</v>
      </c>
      <c r="E1881" s="8" t="s">
        <v>1624</v>
      </c>
    </row>
    <row r="1882">
      <c r="A1882" s="8" t="s">
        <v>1617</v>
      </c>
      <c r="B1882" s="8" t="s">
        <v>1618</v>
      </c>
      <c r="C1882" s="8" t="s">
        <v>1636</v>
      </c>
      <c r="D1882" s="9" t="str">
        <f t="shared" si="266"/>
        <v>12Go Link</v>
      </c>
      <c r="E1882" s="8" t="s">
        <v>1625</v>
      </c>
    </row>
    <row r="1883">
      <c r="A1883" s="8" t="s">
        <v>1617</v>
      </c>
      <c r="B1883" s="8" t="s">
        <v>1618</v>
      </c>
      <c r="C1883" s="8" t="s">
        <v>1637</v>
      </c>
      <c r="D1883" s="9" t="str">
        <f t="shared" ref="D1883:D1888" si="267">HYPERLINK("https://12go.asia/en/travel/Koh-Phi-Phi-Ton-Sai-Pier/Phuket-Airport", "12Go Link")</f>
        <v>12Go Link</v>
      </c>
      <c r="E1883" s="8" t="s">
        <v>1620</v>
      </c>
    </row>
    <row r="1884">
      <c r="A1884" s="8" t="s">
        <v>1617</v>
      </c>
      <c r="B1884" s="8" t="s">
        <v>1618</v>
      </c>
      <c r="C1884" s="8" t="s">
        <v>1637</v>
      </c>
      <c r="D1884" s="9" t="str">
        <f t="shared" si="267"/>
        <v>12Go Link</v>
      </c>
      <c r="E1884" s="8" t="s">
        <v>1621</v>
      </c>
    </row>
    <row r="1885">
      <c r="A1885" s="8" t="s">
        <v>1617</v>
      </c>
      <c r="B1885" s="8" t="s">
        <v>1618</v>
      </c>
      <c r="C1885" s="8" t="s">
        <v>1637</v>
      </c>
      <c r="D1885" s="9" t="str">
        <f t="shared" si="267"/>
        <v>12Go Link</v>
      </c>
      <c r="E1885" s="8" t="s">
        <v>1622</v>
      </c>
    </row>
    <row r="1886">
      <c r="A1886" s="8" t="s">
        <v>1617</v>
      </c>
      <c r="B1886" s="8" t="s">
        <v>1618</v>
      </c>
      <c r="C1886" s="8" t="s">
        <v>1637</v>
      </c>
      <c r="D1886" s="9" t="str">
        <f t="shared" si="267"/>
        <v>12Go Link</v>
      </c>
      <c r="E1886" s="8" t="s">
        <v>1623</v>
      </c>
    </row>
    <row r="1887">
      <c r="A1887" s="8" t="s">
        <v>1617</v>
      </c>
      <c r="B1887" s="8" t="s">
        <v>1618</v>
      </c>
      <c r="C1887" s="8" t="s">
        <v>1637</v>
      </c>
      <c r="D1887" s="9" t="str">
        <f t="shared" si="267"/>
        <v>12Go Link</v>
      </c>
      <c r="E1887" s="8" t="s">
        <v>1624</v>
      </c>
    </row>
    <row r="1888">
      <c r="A1888" s="8" t="s">
        <v>1617</v>
      </c>
      <c r="B1888" s="8" t="s">
        <v>1618</v>
      </c>
      <c r="C1888" s="8" t="s">
        <v>1637</v>
      </c>
      <c r="D1888" s="9" t="str">
        <f t="shared" si="267"/>
        <v>12Go Link</v>
      </c>
      <c r="E1888" s="8" t="s">
        <v>1625</v>
      </c>
    </row>
    <row r="1889">
      <c r="A1889" s="8" t="s">
        <v>1617</v>
      </c>
      <c r="B1889" s="8" t="s">
        <v>1618</v>
      </c>
      <c r="C1889" s="8" t="s">
        <v>1638</v>
      </c>
      <c r="D1889" s="9" t="str">
        <f t="shared" ref="D1889:D1894" si="268">HYPERLINK("https://12go.asia/en/travel/Koh-Phi-Phi-Ton-Sai-Pier/Phuket-Chalong-Hotel-Transfer", "12Go Link")</f>
        <v>12Go Link</v>
      </c>
      <c r="E1889" s="8" t="s">
        <v>1620</v>
      </c>
    </row>
    <row r="1890">
      <c r="A1890" s="8" t="s">
        <v>1617</v>
      </c>
      <c r="B1890" s="8" t="s">
        <v>1618</v>
      </c>
      <c r="C1890" s="8" t="s">
        <v>1638</v>
      </c>
      <c r="D1890" s="9" t="str">
        <f t="shared" si="268"/>
        <v>12Go Link</v>
      </c>
      <c r="E1890" s="8" t="s">
        <v>1621</v>
      </c>
    </row>
    <row r="1891">
      <c r="A1891" s="8" t="s">
        <v>1617</v>
      </c>
      <c r="B1891" s="8" t="s">
        <v>1618</v>
      </c>
      <c r="C1891" s="8" t="s">
        <v>1638</v>
      </c>
      <c r="D1891" s="9" t="str">
        <f t="shared" si="268"/>
        <v>12Go Link</v>
      </c>
      <c r="E1891" s="8" t="s">
        <v>1622</v>
      </c>
    </row>
    <row r="1892">
      <c r="A1892" s="8" t="s">
        <v>1617</v>
      </c>
      <c r="B1892" s="8" t="s">
        <v>1618</v>
      </c>
      <c r="C1892" s="8" t="s">
        <v>1638</v>
      </c>
      <c r="D1892" s="9" t="str">
        <f t="shared" si="268"/>
        <v>12Go Link</v>
      </c>
      <c r="E1892" s="8" t="s">
        <v>1623</v>
      </c>
    </row>
    <row r="1893">
      <c r="A1893" s="8" t="s">
        <v>1617</v>
      </c>
      <c r="B1893" s="8" t="s">
        <v>1618</v>
      </c>
      <c r="C1893" s="8" t="s">
        <v>1638</v>
      </c>
      <c r="D1893" s="9" t="str">
        <f t="shared" si="268"/>
        <v>12Go Link</v>
      </c>
      <c r="E1893" s="8" t="s">
        <v>1624</v>
      </c>
    </row>
    <row r="1894">
      <c r="A1894" s="8" t="s">
        <v>1617</v>
      </c>
      <c r="B1894" s="8" t="s">
        <v>1618</v>
      </c>
      <c r="C1894" s="8" t="s">
        <v>1638</v>
      </c>
      <c r="D1894" s="9" t="str">
        <f t="shared" si="268"/>
        <v>12Go Link</v>
      </c>
      <c r="E1894" s="8" t="s">
        <v>1625</v>
      </c>
    </row>
    <row r="1895">
      <c r="A1895" s="8" t="s">
        <v>1617</v>
      </c>
      <c r="B1895" s="8" t="s">
        <v>1618</v>
      </c>
      <c r="C1895" s="8" t="s">
        <v>1639</v>
      </c>
      <c r="D1895" s="9" t="str">
        <f t="shared" ref="D1895:D1900" si="269">HYPERLINK("https://12go.asia/en/travel/Koh-Phi-Phi-Ton-Sai-Pier/Phuket-Kalim-Hotel-Transfer", "12Go Link")</f>
        <v>12Go Link</v>
      </c>
      <c r="E1895" s="8" t="s">
        <v>1620</v>
      </c>
    </row>
    <row r="1896">
      <c r="A1896" s="8" t="s">
        <v>1617</v>
      </c>
      <c r="B1896" s="8" t="s">
        <v>1618</v>
      </c>
      <c r="C1896" s="8" t="s">
        <v>1639</v>
      </c>
      <c r="D1896" s="9" t="str">
        <f t="shared" si="269"/>
        <v>12Go Link</v>
      </c>
      <c r="E1896" s="8" t="s">
        <v>1621</v>
      </c>
    </row>
    <row r="1897">
      <c r="A1897" s="8" t="s">
        <v>1617</v>
      </c>
      <c r="B1897" s="8" t="s">
        <v>1618</v>
      </c>
      <c r="C1897" s="8" t="s">
        <v>1639</v>
      </c>
      <c r="D1897" s="9" t="str">
        <f t="shared" si="269"/>
        <v>12Go Link</v>
      </c>
      <c r="E1897" s="8" t="s">
        <v>1622</v>
      </c>
    </row>
    <row r="1898">
      <c r="A1898" s="8" t="s">
        <v>1617</v>
      </c>
      <c r="B1898" s="8" t="s">
        <v>1618</v>
      </c>
      <c r="C1898" s="8" t="s">
        <v>1639</v>
      </c>
      <c r="D1898" s="9" t="str">
        <f t="shared" si="269"/>
        <v>12Go Link</v>
      </c>
      <c r="E1898" s="8" t="s">
        <v>1623</v>
      </c>
    </row>
    <row r="1899">
      <c r="A1899" s="8" t="s">
        <v>1617</v>
      </c>
      <c r="B1899" s="8" t="s">
        <v>1618</v>
      </c>
      <c r="C1899" s="8" t="s">
        <v>1639</v>
      </c>
      <c r="D1899" s="9" t="str">
        <f t="shared" si="269"/>
        <v>12Go Link</v>
      </c>
      <c r="E1899" s="8" t="s">
        <v>1624</v>
      </c>
    </row>
    <row r="1900">
      <c r="A1900" s="8" t="s">
        <v>1617</v>
      </c>
      <c r="B1900" s="8" t="s">
        <v>1618</v>
      </c>
      <c r="C1900" s="8" t="s">
        <v>1639</v>
      </c>
      <c r="D1900" s="9" t="str">
        <f t="shared" si="269"/>
        <v>12Go Link</v>
      </c>
      <c r="E1900" s="8" t="s">
        <v>1625</v>
      </c>
    </row>
    <row r="1901">
      <c r="A1901" s="8" t="s">
        <v>1617</v>
      </c>
      <c r="B1901" s="8" t="s">
        <v>1618</v>
      </c>
      <c r="C1901" s="8" t="s">
        <v>1640</v>
      </c>
      <c r="D1901" s="9" t="str">
        <f t="shared" ref="D1901:D1906" si="270">HYPERLINK("https://12go.asia/en/travel/Koh-Phi-Phi-Ton-Sai-Pier/Phuket-Town-Hotel-Transfer", "12Go Link")</f>
        <v>12Go Link</v>
      </c>
      <c r="E1901" s="8" t="s">
        <v>1620</v>
      </c>
    </row>
    <row r="1902">
      <c r="A1902" s="8" t="s">
        <v>1617</v>
      </c>
      <c r="B1902" s="8" t="s">
        <v>1618</v>
      </c>
      <c r="C1902" s="8" t="s">
        <v>1640</v>
      </c>
      <c r="D1902" s="9" t="str">
        <f t="shared" si="270"/>
        <v>12Go Link</v>
      </c>
      <c r="E1902" s="8" t="s">
        <v>1621</v>
      </c>
    </row>
    <row r="1903">
      <c r="A1903" s="8" t="s">
        <v>1617</v>
      </c>
      <c r="B1903" s="8" t="s">
        <v>1618</v>
      </c>
      <c r="C1903" s="8" t="s">
        <v>1640</v>
      </c>
      <c r="D1903" s="9" t="str">
        <f t="shared" si="270"/>
        <v>12Go Link</v>
      </c>
      <c r="E1903" s="8" t="s">
        <v>1622</v>
      </c>
    </row>
    <row r="1904">
      <c r="A1904" s="8" t="s">
        <v>1617</v>
      </c>
      <c r="B1904" s="8" t="s">
        <v>1618</v>
      </c>
      <c r="C1904" s="8" t="s">
        <v>1640</v>
      </c>
      <c r="D1904" s="9" t="str">
        <f t="shared" si="270"/>
        <v>12Go Link</v>
      </c>
      <c r="E1904" s="8" t="s">
        <v>1623</v>
      </c>
    </row>
    <row r="1905">
      <c r="A1905" s="8" t="s">
        <v>1617</v>
      </c>
      <c r="B1905" s="8" t="s">
        <v>1618</v>
      </c>
      <c r="C1905" s="8" t="s">
        <v>1640</v>
      </c>
      <c r="D1905" s="9" t="str">
        <f t="shared" si="270"/>
        <v>12Go Link</v>
      </c>
      <c r="E1905" s="8" t="s">
        <v>1624</v>
      </c>
    </row>
    <row r="1906">
      <c r="A1906" s="8" t="s">
        <v>1617</v>
      </c>
      <c r="B1906" s="8" t="s">
        <v>1618</v>
      </c>
      <c r="C1906" s="8" t="s">
        <v>1640</v>
      </c>
      <c r="D1906" s="9" t="str">
        <f t="shared" si="270"/>
        <v>12Go Link</v>
      </c>
      <c r="E1906" s="8" t="s">
        <v>1625</v>
      </c>
    </row>
    <row r="1907">
      <c r="A1907" s="8" t="s">
        <v>1617</v>
      </c>
      <c r="B1907" s="8" t="s">
        <v>1618</v>
      </c>
      <c r="C1907" s="8" t="s">
        <v>1641</v>
      </c>
      <c r="D1907" s="9" t="str">
        <f t="shared" ref="D1907:D1912" si="271">HYPERLINK("https://12go.asia/en/travel/Koh-Phi-Phi-Ton-Sai-Pier/Rawai-Transfer", "12Go Link")</f>
        <v>12Go Link</v>
      </c>
      <c r="E1907" s="8" t="s">
        <v>1620</v>
      </c>
    </row>
    <row r="1908">
      <c r="A1908" s="8" t="s">
        <v>1617</v>
      </c>
      <c r="B1908" s="8" t="s">
        <v>1618</v>
      </c>
      <c r="C1908" s="8" t="s">
        <v>1641</v>
      </c>
      <c r="D1908" s="9" t="str">
        <f t="shared" si="271"/>
        <v>12Go Link</v>
      </c>
      <c r="E1908" s="8" t="s">
        <v>1621</v>
      </c>
    </row>
    <row r="1909">
      <c r="A1909" s="8" t="s">
        <v>1617</v>
      </c>
      <c r="B1909" s="8" t="s">
        <v>1618</v>
      </c>
      <c r="C1909" s="8" t="s">
        <v>1641</v>
      </c>
      <c r="D1909" s="9" t="str">
        <f t="shared" si="271"/>
        <v>12Go Link</v>
      </c>
      <c r="E1909" s="8" t="s">
        <v>1622</v>
      </c>
    </row>
    <row r="1910">
      <c r="A1910" s="8" t="s">
        <v>1617</v>
      </c>
      <c r="B1910" s="8" t="s">
        <v>1618</v>
      </c>
      <c r="C1910" s="8" t="s">
        <v>1641</v>
      </c>
      <c r="D1910" s="9" t="str">
        <f t="shared" si="271"/>
        <v>12Go Link</v>
      </c>
      <c r="E1910" s="8" t="s">
        <v>1623</v>
      </c>
    </row>
    <row r="1911">
      <c r="A1911" s="8" t="s">
        <v>1617</v>
      </c>
      <c r="B1911" s="8" t="s">
        <v>1618</v>
      </c>
      <c r="C1911" s="8" t="s">
        <v>1641</v>
      </c>
      <c r="D1911" s="9" t="str">
        <f t="shared" si="271"/>
        <v>12Go Link</v>
      </c>
      <c r="E1911" s="8" t="s">
        <v>1624</v>
      </c>
    </row>
    <row r="1912">
      <c r="A1912" s="8" t="s">
        <v>1617</v>
      </c>
      <c r="B1912" s="8" t="s">
        <v>1618</v>
      </c>
      <c r="C1912" s="8" t="s">
        <v>1641</v>
      </c>
      <c r="D1912" s="9" t="str">
        <f t="shared" si="271"/>
        <v>12Go Link</v>
      </c>
      <c r="E1912" s="8" t="s">
        <v>1625</v>
      </c>
    </row>
    <row r="1913">
      <c r="A1913" s="8" t="s">
        <v>1617</v>
      </c>
      <c r="B1913" s="8" t="s">
        <v>1618</v>
      </c>
      <c r="C1913" s="8" t="s">
        <v>1642</v>
      </c>
      <c r="D1913" s="9" t="str">
        <f t="shared" ref="D1913:D1918" si="272">HYPERLINK("https://12go.asia/en/travel/Koh-Phi-Phi-Ton-Sai-Pier/Surin-Transfer", "12Go Link")</f>
        <v>12Go Link</v>
      </c>
      <c r="E1913" s="8" t="s">
        <v>1620</v>
      </c>
    </row>
    <row r="1914">
      <c r="A1914" s="8" t="s">
        <v>1617</v>
      </c>
      <c r="B1914" s="8" t="s">
        <v>1618</v>
      </c>
      <c r="C1914" s="8" t="s">
        <v>1642</v>
      </c>
      <c r="D1914" s="9" t="str">
        <f t="shared" si="272"/>
        <v>12Go Link</v>
      </c>
      <c r="E1914" s="8" t="s">
        <v>1621</v>
      </c>
    </row>
    <row r="1915">
      <c r="A1915" s="8" t="s">
        <v>1617</v>
      </c>
      <c r="B1915" s="8" t="s">
        <v>1618</v>
      </c>
      <c r="C1915" s="8" t="s">
        <v>1642</v>
      </c>
      <c r="D1915" s="9" t="str">
        <f t="shared" si="272"/>
        <v>12Go Link</v>
      </c>
      <c r="E1915" s="8" t="s">
        <v>1622</v>
      </c>
    </row>
    <row r="1916">
      <c r="A1916" s="8" t="s">
        <v>1617</v>
      </c>
      <c r="B1916" s="8" t="s">
        <v>1618</v>
      </c>
      <c r="C1916" s="8" t="s">
        <v>1642</v>
      </c>
      <c r="D1916" s="9" t="str">
        <f t="shared" si="272"/>
        <v>12Go Link</v>
      </c>
      <c r="E1916" s="8" t="s">
        <v>1623</v>
      </c>
    </row>
    <row r="1917">
      <c r="A1917" s="8" t="s">
        <v>1617</v>
      </c>
      <c r="B1917" s="8" t="s">
        <v>1618</v>
      </c>
      <c r="C1917" s="8" t="s">
        <v>1642</v>
      </c>
      <c r="D1917" s="9" t="str">
        <f t="shared" si="272"/>
        <v>12Go Link</v>
      </c>
      <c r="E1917" s="8" t="s">
        <v>1624</v>
      </c>
    </row>
    <row r="1918">
      <c r="A1918" s="8" t="s">
        <v>1617</v>
      </c>
      <c r="B1918" s="8" t="s">
        <v>1618</v>
      </c>
      <c r="C1918" s="8" t="s">
        <v>1642</v>
      </c>
      <c r="D1918" s="9" t="str">
        <f t="shared" si="272"/>
        <v>12Go Link</v>
      </c>
      <c r="E1918" s="8" t="s">
        <v>1625</v>
      </c>
    </row>
    <row r="1919">
      <c r="A1919" s="8" t="s">
        <v>1617</v>
      </c>
      <c r="B1919" s="8" t="s">
        <v>1618</v>
      </c>
      <c r="C1919" s="8" t="s">
        <v>1643</v>
      </c>
      <c r="D1919" s="9" t="str">
        <f t="shared" ref="D1919:D1924" si="273">HYPERLINK("https://12go.asia/en/travel/Koh-Phi-Phi-Ton-Sai-Pier/Thalang-Hotel-Transfer", "12Go Link")</f>
        <v>12Go Link</v>
      </c>
      <c r="E1919" s="8" t="s">
        <v>1620</v>
      </c>
    </row>
    <row r="1920">
      <c r="A1920" s="8" t="s">
        <v>1617</v>
      </c>
      <c r="B1920" s="8" t="s">
        <v>1618</v>
      </c>
      <c r="C1920" s="8" t="s">
        <v>1643</v>
      </c>
      <c r="D1920" s="9" t="str">
        <f t="shared" si="273"/>
        <v>12Go Link</v>
      </c>
      <c r="E1920" s="8" t="s">
        <v>1621</v>
      </c>
    </row>
    <row r="1921">
      <c r="A1921" s="8" t="s">
        <v>1617</v>
      </c>
      <c r="B1921" s="8" t="s">
        <v>1618</v>
      </c>
      <c r="C1921" s="8" t="s">
        <v>1643</v>
      </c>
      <c r="D1921" s="9" t="str">
        <f t="shared" si="273"/>
        <v>12Go Link</v>
      </c>
      <c r="E1921" s="8" t="s">
        <v>1622</v>
      </c>
    </row>
    <row r="1922">
      <c r="A1922" s="8" t="s">
        <v>1617</v>
      </c>
      <c r="B1922" s="8" t="s">
        <v>1618</v>
      </c>
      <c r="C1922" s="8" t="s">
        <v>1643</v>
      </c>
      <c r="D1922" s="9" t="str">
        <f t="shared" si="273"/>
        <v>12Go Link</v>
      </c>
      <c r="E1922" s="8" t="s">
        <v>1623</v>
      </c>
    </row>
    <row r="1923">
      <c r="A1923" s="8" t="s">
        <v>1617</v>
      </c>
      <c r="B1923" s="8" t="s">
        <v>1618</v>
      </c>
      <c r="C1923" s="8" t="s">
        <v>1643</v>
      </c>
      <c r="D1923" s="9" t="str">
        <f t="shared" si="273"/>
        <v>12Go Link</v>
      </c>
      <c r="E1923" s="8" t="s">
        <v>1624</v>
      </c>
    </row>
    <row r="1924">
      <c r="A1924" s="8" t="s">
        <v>1617</v>
      </c>
      <c r="B1924" s="8" t="s">
        <v>1618</v>
      </c>
      <c r="C1924" s="8" t="s">
        <v>1643</v>
      </c>
      <c r="D1924" s="9" t="str">
        <f t="shared" si="273"/>
        <v>12Go Link</v>
      </c>
      <c r="E1924" s="8" t="s">
        <v>1625</v>
      </c>
    </row>
    <row r="1925">
      <c r="A1925" s="8" t="s">
        <v>1617</v>
      </c>
      <c r="B1925" s="8" t="s">
        <v>1618</v>
      </c>
      <c r="C1925" s="8" t="s">
        <v>1644</v>
      </c>
      <c r="D1925" s="9" t="str">
        <f t="shared" ref="D1925:D1930" si="274">HYPERLINK("https://12go.asia/en/travel/Koh-Phi-Phi-Ton-Sai-Pier/Tri-Trang-Beach-Transfer", "12Go Link")</f>
        <v>12Go Link</v>
      </c>
      <c r="E1925" s="8" t="s">
        <v>1620</v>
      </c>
    </row>
    <row r="1926">
      <c r="A1926" s="8" t="s">
        <v>1617</v>
      </c>
      <c r="B1926" s="8" t="s">
        <v>1618</v>
      </c>
      <c r="C1926" s="8" t="s">
        <v>1644</v>
      </c>
      <c r="D1926" s="9" t="str">
        <f t="shared" si="274"/>
        <v>12Go Link</v>
      </c>
      <c r="E1926" s="8" t="s">
        <v>1621</v>
      </c>
    </row>
    <row r="1927">
      <c r="A1927" s="8" t="s">
        <v>1617</v>
      </c>
      <c r="B1927" s="8" t="s">
        <v>1618</v>
      </c>
      <c r="C1927" s="8" t="s">
        <v>1644</v>
      </c>
      <c r="D1927" s="9" t="str">
        <f t="shared" si="274"/>
        <v>12Go Link</v>
      </c>
      <c r="E1927" s="8" t="s">
        <v>1622</v>
      </c>
    </row>
    <row r="1928">
      <c r="A1928" s="8" t="s">
        <v>1617</v>
      </c>
      <c r="B1928" s="8" t="s">
        <v>1618</v>
      </c>
      <c r="C1928" s="8" t="s">
        <v>1644</v>
      </c>
      <c r="D1928" s="9" t="str">
        <f t="shared" si="274"/>
        <v>12Go Link</v>
      </c>
      <c r="E1928" s="8" t="s">
        <v>1623</v>
      </c>
    </row>
    <row r="1929">
      <c r="A1929" s="8" t="s">
        <v>1617</v>
      </c>
      <c r="B1929" s="8" t="s">
        <v>1618</v>
      </c>
      <c r="C1929" s="8" t="s">
        <v>1644</v>
      </c>
      <c r="D1929" s="9" t="str">
        <f t="shared" si="274"/>
        <v>12Go Link</v>
      </c>
      <c r="E1929" s="8" t="s">
        <v>1624</v>
      </c>
    </row>
    <row r="1930">
      <c r="A1930" s="8" t="s">
        <v>1617</v>
      </c>
      <c r="B1930" s="8" t="s">
        <v>1618</v>
      </c>
      <c r="C1930" s="8" t="s">
        <v>1644</v>
      </c>
      <c r="D1930" s="9" t="str">
        <f t="shared" si="274"/>
        <v>12Go Link</v>
      </c>
      <c r="E1930" s="8" t="s">
        <v>1625</v>
      </c>
    </row>
    <row r="1931">
      <c r="A1931" s="8" t="s">
        <v>1617</v>
      </c>
      <c r="B1931" s="8" t="s">
        <v>1618</v>
      </c>
      <c r="C1931" s="8" t="s">
        <v>1645</v>
      </c>
      <c r="D1931" s="9" t="str">
        <f t="shared" ref="D1931:D1936" si="275">HYPERLINK("https://12go.asia/en/travel/Laemtong-Pier-Koh-Phi-Phi/Bangtao-Transfer", "12Go Link")</f>
        <v>12Go Link</v>
      </c>
      <c r="E1931" s="8" t="s">
        <v>1620</v>
      </c>
    </row>
    <row r="1932">
      <c r="A1932" s="8" t="s">
        <v>1617</v>
      </c>
      <c r="B1932" s="8" t="s">
        <v>1618</v>
      </c>
      <c r="C1932" s="8" t="s">
        <v>1645</v>
      </c>
      <c r="D1932" s="9" t="str">
        <f t="shared" si="275"/>
        <v>12Go Link</v>
      </c>
      <c r="E1932" s="8" t="s">
        <v>1621</v>
      </c>
    </row>
    <row r="1933">
      <c r="A1933" s="8" t="s">
        <v>1617</v>
      </c>
      <c r="B1933" s="8" t="s">
        <v>1618</v>
      </c>
      <c r="C1933" s="8" t="s">
        <v>1645</v>
      </c>
      <c r="D1933" s="9" t="str">
        <f t="shared" si="275"/>
        <v>12Go Link</v>
      </c>
      <c r="E1933" s="8" t="s">
        <v>1622</v>
      </c>
    </row>
    <row r="1934">
      <c r="A1934" s="8" t="s">
        <v>1617</v>
      </c>
      <c r="B1934" s="8" t="s">
        <v>1618</v>
      </c>
      <c r="C1934" s="8" t="s">
        <v>1645</v>
      </c>
      <c r="D1934" s="9" t="str">
        <f t="shared" si="275"/>
        <v>12Go Link</v>
      </c>
      <c r="E1934" s="8" t="s">
        <v>1623</v>
      </c>
    </row>
    <row r="1935">
      <c r="A1935" s="8" t="s">
        <v>1617</v>
      </c>
      <c r="B1935" s="8" t="s">
        <v>1618</v>
      </c>
      <c r="C1935" s="8" t="s">
        <v>1645</v>
      </c>
      <c r="D1935" s="9" t="str">
        <f t="shared" si="275"/>
        <v>12Go Link</v>
      </c>
      <c r="E1935" s="8" t="s">
        <v>1624</v>
      </c>
    </row>
    <row r="1936">
      <c r="A1936" s="8" t="s">
        <v>1617</v>
      </c>
      <c r="B1936" s="8" t="s">
        <v>1618</v>
      </c>
      <c r="C1936" s="8" t="s">
        <v>1645</v>
      </c>
      <c r="D1936" s="9" t="str">
        <f t="shared" si="275"/>
        <v>12Go Link</v>
      </c>
      <c r="E1936" s="8" t="s">
        <v>1625</v>
      </c>
    </row>
    <row r="1937">
      <c r="A1937" s="8" t="s">
        <v>1617</v>
      </c>
      <c r="B1937" s="8" t="s">
        <v>1618</v>
      </c>
      <c r="C1937" s="8" t="s">
        <v>1646</v>
      </c>
      <c r="D1937" s="9" t="str">
        <f t="shared" ref="D1937:D1942" si="276">HYPERLINK("https://12go.asia/en/travel/Laemtong-Pier-Koh-Phi-Phi/Boat-Lagoon-Transfer", "12Go Link")</f>
        <v>12Go Link</v>
      </c>
      <c r="E1937" s="8" t="s">
        <v>1620</v>
      </c>
    </row>
    <row r="1938">
      <c r="A1938" s="8" t="s">
        <v>1617</v>
      </c>
      <c r="B1938" s="8" t="s">
        <v>1618</v>
      </c>
      <c r="C1938" s="8" t="s">
        <v>1646</v>
      </c>
      <c r="D1938" s="9" t="str">
        <f t="shared" si="276"/>
        <v>12Go Link</v>
      </c>
      <c r="E1938" s="8" t="s">
        <v>1621</v>
      </c>
    </row>
    <row r="1939">
      <c r="A1939" s="8" t="s">
        <v>1617</v>
      </c>
      <c r="B1939" s="8" t="s">
        <v>1618</v>
      </c>
      <c r="C1939" s="8" t="s">
        <v>1646</v>
      </c>
      <c r="D1939" s="9" t="str">
        <f t="shared" si="276"/>
        <v>12Go Link</v>
      </c>
      <c r="E1939" s="8" t="s">
        <v>1622</v>
      </c>
    </row>
    <row r="1940">
      <c r="A1940" s="8" t="s">
        <v>1617</v>
      </c>
      <c r="B1940" s="8" t="s">
        <v>1618</v>
      </c>
      <c r="C1940" s="8" t="s">
        <v>1646</v>
      </c>
      <c r="D1940" s="9" t="str">
        <f t="shared" si="276"/>
        <v>12Go Link</v>
      </c>
      <c r="E1940" s="8" t="s">
        <v>1623</v>
      </c>
    </row>
    <row r="1941">
      <c r="A1941" s="8" t="s">
        <v>1617</v>
      </c>
      <c r="B1941" s="8" t="s">
        <v>1618</v>
      </c>
      <c r="C1941" s="8" t="s">
        <v>1646</v>
      </c>
      <c r="D1941" s="9" t="str">
        <f t="shared" si="276"/>
        <v>12Go Link</v>
      </c>
      <c r="E1941" s="8" t="s">
        <v>1624</v>
      </c>
    </row>
    <row r="1942">
      <c r="A1942" s="8" t="s">
        <v>1617</v>
      </c>
      <c r="B1942" s="8" t="s">
        <v>1618</v>
      </c>
      <c r="C1942" s="8" t="s">
        <v>1646</v>
      </c>
      <c r="D1942" s="9" t="str">
        <f t="shared" si="276"/>
        <v>12Go Link</v>
      </c>
      <c r="E1942" s="8" t="s">
        <v>1625</v>
      </c>
    </row>
    <row r="1943">
      <c r="A1943" s="8" t="s">
        <v>1617</v>
      </c>
      <c r="B1943" s="8" t="s">
        <v>1618</v>
      </c>
      <c r="C1943" s="8" t="s">
        <v>1647</v>
      </c>
      <c r="D1943" s="9" t="str">
        <f t="shared" ref="D1943:D1948" si="277">HYPERLINK("https://12go.asia/en/travel/Laemtong-Pier-Koh-Phi-Phi/Cape-Panwa-Hotel-Transfer", "12Go Link")</f>
        <v>12Go Link</v>
      </c>
      <c r="E1943" s="8" t="s">
        <v>1620</v>
      </c>
    </row>
    <row r="1944">
      <c r="A1944" s="8" t="s">
        <v>1617</v>
      </c>
      <c r="B1944" s="8" t="s">
        <v>1618</v>
      </c>
      <c r="C1944" s="8" t="s">
        <v>1647</v>
      </c>
      <c r="D1944" s="9" t="str">
        <f t="shared" si="277"/>
        <v>12Go Link</v>
      </c>
      <c r="E1944" s="8" t="s">
        <v>1621</v>
      </c>
    </row>
    <row r="1945">
      <c r="A1945" s="8" t="s">
        <v>1617</v>
      </c>
      <c r="B1945" s="8" t="s">
        <v>1618</v>
      </c>
      <c r="C1945" s="8" t="s">
        <v>1647</v>
      </c>
      <c r="D1945" s="9" t="str">
        <f t="shared" si="277"/>
        <v>12Go Link</v>
      </c>
      <c r="E1945" s="8" t="s">
        <v>1622</v>
      </c>
    </row>
    <row r="1946">
      <c r="A1946" s="8" t="s">
        <v>1617</v>
      </c>
      <c r="B1946" s="8" t="s">
        <v>1618</v>
      </c>
      <c r="C1946" s="8" t="s">
        <v>1647</v>
      </c>
      <c r="D1946" s="9" t="str">
        <f t="shared" si="277"/>
        <v>12Go Link</v>
      </c>
      <c r="E1946" s="8" t="s">
        <v>1623</v>
      </c>
    </row>
    <row r="1947">
      <c r="A1947" s="8" t="s">
        <v>1617</v>
      </c>
      <c r="B1947" s="8" t="s">
        <v>1618</v>
      </c>
      <c r="C1947" s="8" t="s">
        <v>1647</v>
      </c>
      <c r="D1947" s="9" t="str">
        <f t="shared" si="277"/>
        <v>12Go Link</v>
      </c>
      <c r="E1947" s="8" t="s">
        <v>1624</v>
      </c>
    </row>
    <row r="1948">
      <c r="A1948" s="8" t="s">
        <v>1617</v>
      </c>
      <c r="B1948" s="8" t="s">
        <v>1618</v>
      </c>
      <c r="C1948" s="8" t="s">
        <v>1647</v>
      </c>
      <c r="D1948" s="9" t="str">
        <f t="shared" si="277"/>
        <v>12Go Link</v>
      </c>
      <c r="E1948" s="8" t="s">
        <v>1625</v>
      </c>
    </row>
    <row r="1949">
      <c r="A1949" s="8" t="s">
        <v>1617</v>
      </c>
      <c r="B1949" s="8" t="s">
        <v>1618</v>
      </c>
      <c r="C1949" s="8" t="s">
        <v>1648</v>
      </c>
      <c r="D1949" s="9" t="str">
        <f t="shared" ref="D1949:D1954" si="278">HYPERLINK("https://12go.asia/en/travel/Laemtong-Pier-Koh-Phi-Phi/Kamala-Beach-Transfer", "12Go Link")</f>
        <v>12Go Link</v>
      </c>
      <c r="E1949" s="8" t="s">
        <v>1620</v>
      </c>
    </row>
    <row r="1950">
      <c r="A1950" s="8" t="s">
        <v>1617</v>
      </c>
      <c r="B1950" s="8" t="s">
        <v>1618</v>
      </c>
      <c r="C1950" s="8" t="s">
        <v>1648</v>
      </c>
      <c r="D1950" s="9" t="str">
        <f t="shared" si="278"/>
        <v>12Go Link</v>
      </c>
      <c r="E1950" s="8" t="s">
        <v>1621</v>
      </c>
    </row>
    <row r="1951">
      <c r="A1951" s="8" t="s">
        <v>1617</v>
      </c>
      <c r="B1951" s="8" t="s">
        <v>1618</v>
      </c>
      <c r="C1951" s="8" t="s">
        <v>1648</v>
      </c>
      <c r="D1951" s="9" t="str">
        <f t="shared" si="278"/>
        <v>12Go Link</v>
      </c>
      <c r="E1951" s="8" t="s">
        <v>1622</v>
      </c>
    </row>
    <row r="1952">
      <c r="A1952" s="8" t="s">
        <v>1617</v>
      </c>
      <c r="B1952" s="8" t="s">
        <v>1618</v>
      </c>
      <c r="C1952" s="8" t="s">
        <v>1648</v>
      </c>
      <c r="D1952" s="9" t="str">
        <f t="shared" si="278"/>
        <v>12Go Link</v>
      </c>
      <c r="E1952" s="8" t="s">
        <v>1623</v>
      </c>
    </row>
    <row r="1953">
      <c r="A1953" s="8" t="s">
        <v>1617</v>
      </c>
      <c r="B1953" s="8" t="s">
        <v>1618</v>
      </c>
      <c r="C1953" s="8" t="s">
        <v>1648</v>
      </c>
      <c r="D1953" s="9" t="str">
        <f t="shared" si="278"/>
        <v>12Go Link</v>
      </c>
      <c r="E1953" s="8" t="s">
        <v>1624</v>
      </c>
    </row>
    <row r="1954">
      <c r="A1954" s="8" t="s">
        <v>1617</v>
      </c>
      <c r="B1954" s="8" t="s">
        <v>1618</v>
      </c>
      <c r="C1954" s="8" t="s">
        <v>1648</v>
      </c>
      <c r="D1954" s="9" t="str">
        <f t="shared" si="278"/>
        <v>12Go Link</v>
      </c>
      <c r="E1954" s="8" t="s">
        <v>1625</v>
      </c>
    </row>
    <row r="1955">
      <c r="A1955" s="8" t="s">
        <v>1617</v>
      </c>
      <c r="B1955" s="8" t="s">
        <v>1618</v>
      </c>
      <c r="C1955" s="8" t="s">
        <v>1649</v>
      </c>
      <c r="D1955" s="9" t="str">
        <f t="shared" ref="D1955:D1960" si="279">HYPERLINK("https://12go.asia/en/travel/Laemtong-Pier-Koh-Phi-Phi/Karon-Beach-Hotel-Transfer", "12Go Link")</f>
        <v>12Go Link</v>
      </c>
      <c r="E1955" s="8" t="s">
        <v>1620</v>
      </c>
    </row>
    <row r="1956">
      <c r="A1956" s="8" t="s">
        <v>1617</v>
      </c>
      <c r="B1956" s="8" t="s">
        <v>1618</v>
      </c>
      <c r="C1956" s="8" t="s">
        <v>1649</v>
      </c>
      <c r="D1956" s="9" t="str">
        <f t="shared" si="279"/>
        <v>12Go Link</v>
      </c>
      <c r="E1956" s="8" t="s">
        <v>1621</v>
      </c>
    </row>
    <row r="1957">
      <c r="A1957" s="8" t="s">
        <v>1617</v>
      </c>
      <c r="B1957" s="8" t="s">
        <v>1618</v>
      </c>
      <c r="C1957" s="8" t="s">
        <v>1649</v>
      </c>
      <c r="D1957" s="9" t="str">
        <f t="shared" si="279"/>
        <v>12Go Link</v>
      </c>
      <c r="E1957" s="8" t="s">
        <v>1622</v>
      </c>
    </row>
    <row r="1958">
      <c r="A1958" s="8" t="s">
        <v>1617</v>
      </c>
      <c r="B1958" s="8" t="s">
        <v>1618</v>
      </c>
      <c r="C1958" s="8" t="s">
        <v>1649</v>
      </c>
      <c r="D1958" s="9" t="str">
        <f t="shared" si="279"/>
        <v>12Go Link</v>
      </c>
      <c r="E1958" s="8" t="s">
        <v>1623</v>
      </c>
    </row>
    <row r="1959">
      <c r="A1959" s="8" t="s">
        <v>1617</v>
      </c>
      <c r="B1959" s="8" t="s">
        <v>1618</v>
      </c>
      <c r="C1959" s="8" t="s">
        <v>1649</v>
      </c>
      <c r="D1959" s="9" t="str">
        <f t="shared" si="279"/>
        <v>12Go Link</v>
      </c>
      <c r="E1959" s="8" t="s">
        <v>1624</v>
      </c>
    </row>
    <row r="1960">
      <c r="A1960" s="8" t="s">
        <v>1617</v>
      </c>
      <c r="B1960" s="8" t="s">
        <v>1618</v>
      </c>
      <c r="C1960" s="8" t="s">
        <v>1649</v>
      </c>
      <c r="D1960" s="9" t="str">
        <f t="shared" si="279"/>
        <v>12Go Link</v>
      </c>
      <c r="E1960" s="8" t="s">
        <v>1625</v>
      </c>
    </row>
    <row r="1961">
      <c r="A1961" s="8" t="s">
        <v>1617</v>
      </c>
      <c r="B1961" s="8" t="s">
        <v>1618</v>
      </c>
      <c r="C1961" s="8" t="s">
        <v>1650</v>
      </c>
      <c r="D1961" s="9" t="str">
        <f t="shared" ref="D1961:D1966" si="280">HYPERLINK("https://12go.asia/en/travel/Laemtong-Pier-Koh-Phi-Phi/Kata-Beach-Hotel-Transfer", "12Go Link")</f>
        <v>12Go Link</v>
      </c>
      <c r="E1961" s="8" t="s">
        <v>1620</v>
      </c>
    </row>
    <row r="1962">
      <c r="A1962" s="8" t="s">
        <v>1617</v>
      </c>
      <c r="B1962" s="8" t="s">
        <v>1618</v>
      </c>
      <c r="C1962" s="8" t="s">
        <v>1650</v>
      </c>
      <c r="D1962" s="9" t="str">
        <f t="shared" si="280"/>
        <v>12Go Link</v>
      </c>
      <c r="E1962" s="8" t="s">
        <v>1621</v>
      </c>
    </row>
    <row r="1963">
      <c r="A1963" s="8" t="s">
        <v>1617</v>
      </c>
      <c r="B1963" s="8" t="s">
        <v>1618</v>
      </c>
      <c r="C1963" s="8" t="s">
        <v>1650</v>
      </c>
      <c r="D1963" s="9" t="str">
        <f t="shared" si="280"/>
        <v>12Go Link</v>
      </c>
      <c r="E1963" s="8" t="s">
        <v>1622</v>
      </c>
    </row>
    <row r="1964">
      <c r="A1964" s="8" t="s">
        <v>1617</v>
      </c>
      <c r="B1964" s="8" t="s">
        <v>1618</v>
      </c>
      <c r="C1964" s="8" t="s">
        <v>1650</v>
      </c>
      <c r="D1964" s="9" t="str">
        <f t="shared" si="280"/>
        <v>12Go Link</v>
      </c>
      <c r="E1964" s="8" t="s">
        <v>1623</v>
      </c>
    </row>
    <row r="1965">
      <c r="A1965" s="8" t="s">
        <v>1617</v>
      </c>
      <c r="B1965" s="8" t="s">
        <v>1618</v>
      </c>
      <c r="C1965" s="8" t="s">
        <v>1650</v>
      </c>
      <c r="D1965" s="9" t="str">
        <f t="shared" si="280"/>
        <v>12Go Link</v>
      </c>
      <c r="E1965" s="8" t="s">
        <v>1624</v>
      </c>
    </row>
    <row r="1966">
      <c r="A1966" s="8" t="s">
        <v>1617</v>
      </c>
      <c r="B1966" s="8" t="s">
        <v>1618</v>
      </c>
      <c r="C1966" s="8" t="s">
        <v>1650</v>
      </c>
      <c r="D1966" s="9" t="str">
        <f t="shared" si="280"/>
        <v>12Go Link</v>
      </c>
      <c r="E1966" s="8" t="s">
        <v>1625</v>
      </c>
    </row>
    <row r="1967">
      <c r="A1967" s="8" t="s">
        <v>1617</v>
      </c>
      <c r="B1967" s="8" t="s">
        <v>1618</v>
      </c>
      <c r="C1967" s="8" t="s">
        <v>1651</v>
      </c>
      <c r="D1967" s="9" t="str">
        <f t="shared" ref="D1967:D1972" si="281">HYPERLINK("https://12go.asia/en/travel/Laemtong-Pier-Koh-Phi-Phi/Layan-Transfer", "12Go Link")</f>
        <v>12Go Link</v>
      </c>
      <c r="E1967" s="8" t="s">
        <v>1620</v>
      </c>
    </row>
    <row r="1968">
      <c r="A1968" s="8" t="s">
        <v>1617</v>
      </c>
      <c r="B1968" s="8" t="s">
        <v>1618</v>
      </c>
      <c r="C1968" s="8" t="s">
        <v>1651</v>
      </c>
      <c r="D1968" s="9" t="str">
        <f t="shared" si="281"/>
        <v>12Go Link</v>
      </c>
      <c r="E1968" s="8" t="s">
        <v>1621</v>
      </c>
    </row>
    <row r="1969">
      <c r="A1969" s="8" t="s">
        <v>1617</v>
      </c>
      <c r="B1969" s="8" t="s">
        <v>1618</v>
      </c>
      <c r="C1969" s="8" t="s">
        <v>1651</v>
      </c>
      <c r="D1969" s="9" t="str">
        <f t="shared" si="281"/>
        <v>12Go Link</v>
      </c>
      <c r="E1969" s="8" t="s">
        <v>1622</v>
      </c>
    </row>
    <row r="1970">
      <c r="A1970" s="8" t="s">
        <v>1617</v>
      </c>
      <c r="B1970" s="8" t="s">
        <v>1618</v>
      </c>
      <c r="C1970" s="8" t="s">
        <v>1651</v>
      </c>
      <c r="D1970" s="9" t="str">
        <f t="shared" si="281"/>
        <v>12Go Link</v>
      </c>
      <c r="E1970" s="8" t="s">
        <v>1623</v>
      </c>
    </row>
    <row r="1971">
      <c r="A1971" s="8" t="s">
        <v>1617</v>
      </c>
      <c r="B1971" s="8" t="s">
        <v>1618</v>
      </c>
      <c r="C1971" s="8" t="s">
        <v>1651</v>
      </c>
      <c r="D1971" s="9" t="str">
        <f t="shared" si="281"/>
        <v>12Go Link</v>
      </c>
      <c r="E1971" s="8" t="s">
        <v>1624</v>
      </c>
    </row>
    <row r="1972">
      <c r="A1972" s="8" t="s">
        <v>1617</v>
      </c>
      <c r="B1972" s="8" t="s">
        <v>1618</v>
      </c>
      <c r="C1972" s="8" t="s">
        <v>1651</v>
      </c>
      <c r="D1972" s="9" t="str">
        <f t="shared" si="281"/>
        <v>12Go Link</v>
      </c>
      <c r="E1972" s="8" t="s">
        <v>1625</v>
      </c>
    </row>
    <row r="1973">
      <c r="A1973" s="8" t="s">
        <v>1617</v>
      </c>
      <c r="B1973" s="8" t="s">
        <v>1618</v>
      </c>
      <c r="C1973" s="8" t="s">
        <v>1652</v>
      </c>
      <c r="D1973" s="9" t="str">
        <f t="shared" ref="D1973:D1978" si="282">HYPERLINK("https://12go.asia/en/travel/Laemtong-Pier-Koh-Phi-Phi/Mai-Khao-Beach", "12Go Link")</f>
        <v>12Go Link</v>
      </c>
      <c r="E1973" s="8" t="s">
        <v>1620</v>
      </c>
    </row>
    <row r="1974">
      <c r="A1974" s="8" t="s">
        <v>1617</v>
      </c>
      <c r="B1974" s="8" t="s">
        <v>1618</v>
      </c>
      <c r="C1974" s="8" t="s">
        <v>1652</v>
      </c>
      <c r="D1974" s="9" t="str">
        <f t="shared" si="282"/>
        <v>12Go Link</v>
      </c>
      <c r="E1974" s="8" t="s">
        <v>1621</v>
      </c>
    </row>
    <row r="1975">
      <c r="A1975" s="8" t="s">
        <v>1617</v>
      </c>
      <c r="B1975" s="8" t="s">
        <v>1618</v>
      </c>
      <c r="C1975" s="8" t="s">
        <v>1652</v>
      </c>
      <c r="D1975" s="9" t="str">
        <f t="shared" si="282"/>
        <v>12Go Link</v>
      </c>
      <c r="E1975" s="8" t="s">
        <v>1622</v>
      </c>
    </row>
    <row r="1976">
      <c r="A1976" s="8" t="s">
        <v>1617</v>
      </c>
      <c r="B1976" s="8" t="s">
        <v>1618</v>
      </c>
      <c r="C1976" s="8" t="s">
        <v>1652</v>
      </c>
      <c r="D1976" s="9" t="str">
        <f t="shared" si="282"/>
        <v>12Go Link</v>
      </c>
      <c r="E1976" s="8" t="s">
        <v>1623</v>
      </c>
    </row>
    <row r="1977">
      <c r="A1977" s="8" t="s">
        <v>1617</v>
      </c>
      <c r="B1977" s="8" t="s">
        <v>1618</v>
      </c>
      <c r="C1977" s="8" t="s">
        <v>1652</v>
      </c>
      <c r="D1977" s="9" t="str">
        <f t="shared" si="282"/>
        <v>12Go Link</v>
      </c>
      <c r="E1977" s="8" t="s">
        <v>1624</v>
      </c>
    </row>
    <row r="1978">
      <c r="A1978" s="8" t="s">
        <v>1617</v>
      </c>
      <c r="B1978" s="8" t="s">
        <v>1618</v>
      </c>
      <c r="C1978" s="8" t="s">
        <v>1652</v>
      </c>
      <c r="D1978" s="9" t="str">
        <f t="shared" si="282"/>
        <v>12Go Link</v>
      </c>
      <c r="E1978" s="8" t="s">
        <v>1625</v>
      </c>
    </row>
    <row r="1979">
      <c r="A1979" s="8" t="s">
        <v>1617</v>
      </c>
      <c r="B1979" s="8" t="s">
        <v>1618</v>
      </c>
      <c r="C1979" s="8" t="s">
        <v>1653</v>
      </c>
      <c r="D1979" s="9" t="str">
        <f t="shared" ref="D1979:D1984" si="283">HYPERLINK("https://12go.asia/en/travel/Laemtong-Pier-Koh-Phi-Phi/Nai-Thon-Transfer", "12Go Link")</f>
        <v>12Go Link</v>
      </c>
      <c r="E1979" s="8" t="s">
        <v>1620</v>
      </c>
    </row>
    <row r="1980">
      <c r="A1980" s="8" t="s">
        <v>1617</v>
      </c>
      <c r="B1980" s="8" t="s">
        <v>1618</v>
      </c>
      <c r="C1980" s="8" t="s">
        <v>1653</v>
      </c>
      <c r="D1980" s="9" t="str">
        <f t="shared" si="283"/>
        <v>12Go Link</v>
      </c>
      <c r="E1980" s="8" t="s">
        <v>1621</v>
      </c>
    </row>
    <row r="1981">
      <c r="A1981" s="8" t="s">
        <v>1617</v>
      </c>
      <c r="B1981" s="8" t="s">
        <v>1618</v>
      </c>
      <c r="C1981" s="8" t="s">
        <v>1653</v>
      </c>
      <c r="D1981" s="9" t="str">
        <f t="shared" si="283"/>
        <v>12Go Link</v>
      </c>
      <c r="E1981" s="8" t="s">
        <v>1622</v>
      </c>
    </row>
    <row r="1982">
      <c r="A1982" s="8" t="s">
        <v>1617</v>
      </c>
      <c r="B1982" s="8" t="s">
        <v>1618</v>
      </c>
      <c r="C1982" s="8" t="s">
        <v>1653</v>
      </c>
      <c r="D1982" s="9" t="str">
        <f t="shared" si="283"/>
        <v>12Go Link</v>
      </c>
      <c r="E1982" s="8" t="s">
        <v>1623</v>
      </c>
    </row>
    <row r="1983">
      <c r="A1983" s="8" t="s">
        <v>1617</v>
      </c>
      <c r="B1983" s="8" t="s">
        <v>1618</v>
      </c>
      <c r="C1983" s="8" t="s">
        <v>1653</v>
      </c>
      <c r="D1983" s="9" t="str">
        <f t="shared" si="283"/>
        <v>12Go Link</v>
      </c>
      <c r="E1983" s="8" t="s">
        <v>1624</v>
      </c>
    </row>
    <row r="1984">
      <c r="A1984" s="8" t="s">
        <v>1617</v>
      </c>
      <c r="B1984" s="8" t="s">
        <v>1618</v>
      </c>
      <c r="C1984" s="8" t="s">
        <v>1653</v>
      </c>
      <c r="D1984" s="9" t="str">
        <f t="shared" si="283"/>
        <v>12Go Link</v>
      </c>
      <c r="E1984" s="8" t="s">
        <v>1625</v>
      </c>
    </row>
    <row r="1985">
      <c r="A1985" s="8" t="s">
        <v>1617</v>
      </c>
      <c r="B1985" s="8" t="s">
        <v>1618</v>
      </c>
      <c r="C1985" s="8" t="s">
        <v>1654</v>
      </c>
      <c r="D1985" s="9" t="str">
        <f t="shared" ref="D1985:D1990" si="284">HYPERLINK("https://12go.asia/en/travel/Laemtong-Pier-Koh-Phi-Phi/Naihan-Transfer", "12Go Link")</f>
        <v>12Go Link</v>
      </c>
      <c r="E1985" s="8" t="s">
        <v>1620</v>
      </c>
    </row>
    <row r="1986">
      <c r="A1986" s="8" t="s">
        <v>1617</v>
      </c>
      <c r="B1986" s="8" t="s">
        <v>1618</v>
      </c>
      <c r="C1986" s="8" t="s">
        <v>1654</v>
      </c>
      <c r="D1986" s="9" t="str">
        <f t="shared" si="284"/>
        <v>12Go Link</v>
      </c>
      <c r="E1986" s="8" t="s">
        <v>1621</v>
      </c>
    </row>
    <row r="1987">
      <c r="A1987" s="8" t="s">
        <v>1617</v>
      </c>
      <c r="B1987" s="8" t="s">
        <v>1618</v>
      </c>
      <c r="C1987" s="8" t="s">
        <v>1654</v>
      </c>
      <c r="D1987" s="9" t="str">
        <f t="shared" si="284"/>
        <v>12Go Link</v>
      </c>
      <c r="E1987" s="8" t="s">
        <v>1622</v>
      </c>
    </row>
    <row r="1988">
      <c r="A1988" s="8" t="s">
        <v>1617</v>
      </c>
      <c r="B1988" s="8" t="s">
        <v>1618</v>
      </c>
      <c r="C1988" s="8" t="s">
        <v>1654</v>
      </c>
      <c r="D1988" s="9" t="str">
        <f t="shared" si="284"/>
        <v>12Go Link</v>
      </c>
      <c r="E1988" s="8" t="s">
        <v>1623</v>
      </c>
    </row>
    <row r="1989">
      <c r="A1989" s="8" t="s">
        <v>1617</v>
      </c>
      <c r="B1989" s="8" t="s">
        <v>1618</v>
      </c>
      <c r="C1989" s="8" t="s">
        <v>1654</v>
      </c>
      <c r="D1989" s="9" t="str">
        <f t="shared" si="284"/>
        <v>12Go Link</v>
      </c>
      <c r="E1989" s="8" t="s">
        <v>1624</v>
      </c>
    </row>
    <row r="1990">
      <c r="A1990" s="8" t="s">
        <v>1617</v>
      </c>
      <c r="B1990" s="8" t="s">
        <v>1618</v>
      </c>
      <c r="C1990" s="8" t="s">
        <v>1654</v>
      </c>
      <c r="D1990" s="9" t="str">
        <f t="shared" si="284"/>
        <v>12Go Link</v>
      </c>
      <c r="E1990" s="8" t="s">
        <v>1625</v>
      </c>
    </row>
    <row r="1991">
      <c r="A1991" s="8" t="s">
        <v>1617</v>
      </c>
      <c r="B1991" s="8" t="s">
        <v>1618</v>
      </c>
      <c r="C1991" s="8" t="s">
        <v>1655</v>
      </c>
      <c r="D1991" s="9" t="str">
        <f t="shared" ref="D1991:D1996" si="285">HYPERLINK("https://12go.asia/en/travel/Laemtong-Pier-Koh-Phi-Phi/Naiyang-Transfer", "12Go Link")</f>
        <v>12Go Link</v>
      </c>
      <c r="E1991" s="8" t="s">
        <v>1620</v>
      </c>
    </row>
    <row r="1992">
      <c r="A1992" s="8" t="s">
        <v>1617</v>
      </c>
      <c r="B1992" s="8" t="s">
        <v>1618</v>
      </c>
      <c r="C1992" s="8" t="s">
        <v>1655</v>
      </c>
      <c r="D1992" s="9" t="str">
        <f t="shared" si="285"/>
        <v>12Go Link</v>
      </c>
      <c r="E1992" s="8" t="s">
        <v>1621</v>
      </c>
    </row>
    <row r="1993">
      <c r="A1993" s="8" t="s">
        <v>1617</v>
      </c>
      <c r="B1993" s="8" t="s">
        <v>1618</v>
      </c>
      <c r="C1993" s="8" t="s">
        <v>1655</v>
      </c>
      <c r="D1993" s="9" t="str">
        <f t="shared" si="285"/>
        <v>12Go Link</v>
      </c>
      <c r="E1993" s="8" t="s">
        <v>1622</v>
      </c>
    </row>
    <row r="1994">
      <c r="A1994" s="8" t="s">
        <v>1617</v>
      </c>
      <c r="B1994" s="8" t="s">
        <v>1618</v>
      </c>
      <c r="C1994" s="8" t="s">
        <v>1655</v>
      </c>
      <c r="D1994" s="9" t="str">
        <f t="shared" si="285"/>
        <v>12Go Link</v>
      </c>
      <c r="E1994" s="8" t="s">
        <v>1623</v>
      </c>
    </row>
    <row r="1995">
      <c r="A1995" s="8" t="s">
        <v>1617</v>
      </c>
      <c r="B1995" s="8" t="s">
        <v>1618</v>
      </c>
      <c r="C1995" s="8" t="s">
        <v>1655</v>
      </c>
      <c r="D1995" s="9" t="str">
        <f t="shared" si="285"/>
        <v>12Go Link</v>
      </c>
      <c r="E1995" s="8" t="s">
        <v>1624</v>
      </c>
    </row>
    <row r="1996">
      <c r="A1996" s="8" t="s">
        <v>1617</v>
      </c>
      <c r="B1996" s="8" t="s">
        <v>1618</v>
      </c>
      <c r="C1996" s="8" t="s">
        <v>1655</v>
      </c>
      <c r="D1996" s="9" t="str">
        <f t="shared" si="285"/>
        <v>12Go Link</v>
      </c>
      <c r="E1996" s="8" t="s">
        <v>1625</v>
      </c>
    </row>
    <row r="1997">
      <c r="A1997" s="8" t="s">
        <v>1617</v>
      </c>
      <c r="B1997" s="8" t="s">
        <v>1618</v>
      </c>
      <c r="C1997" s="8" t="s">
        <v>1656</v>
      </c>
      <c r="D1997" s="9" t="str">
        <f t="shared" ref="D1997:D2002" si="286">HYPERLINK("https://12go.asia/en/travel/Laemtong-Pier-Koh-Phi-Phi/Patong-Beach-Hotel-Transfer", "12Go Link")</f>
        <v>12Go Link</v>
      </c>
      <c r="E1997" s="8" t="s">
        <v>1620</v>
      </c>
    </row>
    <row r="1998">
      <c r="A1998" s="8" t="s">
        <v>1617</v>
      </c>
      <c r="B1998" s="8" t="s">
        <v>1618</v>
      </c>
      <c r="C1998" s="8" t="s">
        <v>1656</v>
      </c>
      <c r="D1998" s="9" t="str">
        <f t="shared" si="286"/>
        <v>12Go Link</v>
      </c>
      <c r="E1998" s="8" t="s">
        <v>1621</v>
      </c>
    </row>
    <row r="1999">
      <c r="A1999" s="8" t="s">
        <v>1617</v>
      </c>
      <c r="B1999" s="8" t="s">
        <v>1618</v>
      </c>
      <c r="C1999" s="8" t="s">
        <v>1656</v>
      </c>
      <c r="D1999" s="9" t="str">
        <f t="shared" si="286"/>
        <v>12Go Link</v>
      </c>
      <c r="E1999" s="8" t="s">
        <v>1622</v>
      </c>
    </row>
    <row r="2000">
      <c r="A2000" s="8" t="s">
        <v>1617</v>
      </c>
      <c r="B2000" s="8" t="s">
        <v>1618</v>
      </c>
      <c r="C2000" s="8" t="s">
        <v>1656</v>
      </c>
      <c r="D2000" s="9" t="str">
        <f t="shared" si="286"/>
        <v>12Go Link</v>
      </c>
      <c r="E2000" s="8" t="s">
        <v>1623</v>
      </c>
    </row>
    <row r="2001">
      <c r="A2001" s="8" t="s">
        <v>1617</v>
      </c>
      <c r="B2001" s="8" t="s">
        <v>1618</v>
      </c>
      <c r="C2001" s="8" t="s">
        <v>1656</v>
      </c>
      <c r="D2001" s="9" t="str">
        <f t="shared" si="286"/>
        <v>12Go Link</v>
      </c>
      <c r="E2001" s="8" t="s">
        <v>1624</v>
      </c>
    </row>
    <row r="2002">
      <c r="A2002" s="8" t="s">
        <v>1617</v>
      </c>
      <c r="B2002" s="8" t="s">
        <v>1618</v>
      </c>
      <c r="C2002" s="8" t="s">
        <v>1656</v>
      </c>
      <c r="D2002" s="9" t="str">
        <f t="shared" si="286"/>
        <v>12Go Link</v>
      </c>
      <c r="E2002" s="8" t="s">
        <v>1625</v>
      </c>
    </row>
    <row r="2003">
      <c r="A2003" s="8" t="s">
        <v>1617</v>
      </c>
      <c r="B2003" s="8" t="s">
        <v>1618</v>
      </c>
      <c r="C2003" s="8" t="s">
        <v>1657</v>
      </c>
      <c r="D2003" s="9" t="str">
        <f t="shared" ref="D2003:D2008" si="287">HYPERLINK("https://12go.asia/en/travel/Laemtong-Pier-Koh-Phi-Phi/Phuket-Airport", "12Go Link")</f>
        <v>12Go Link</v>
      </c>
      <c r="E2003" s="8" t="s">
        <v>1620</v>
      </c>
    </row>
    <row r="2004">
      <c r="A2004" s="8" t="s">
        <v>1617</v>
      </c>
      <c r="B2004" s="8" t="s">
        <v>1618</v>
      </c>
      <c r="C2004" s="8" t="s">
        <v>1657</v>
      </c>
      <c r="D2004" s="9" t="str">
        <f t="shared" si="287"/>
        <v>12Go Link</v>
      </c>
      <c r="E2004" s="8" t="s">
        <v>1621</v>
      </c>
    </row>
    <row r="2005">
      <c r="A2005" s="8" t="s">
        <v>1617</v>
      </c>
      <c r="B2005" s="8" t="s">
        <v>1618</v>
      </c>
      <c r="C2005" s="8" t="s">
        <v>1657</v>
      </c>
      <c r="D2005" s="9" t="str">
        <f t="shared" si="287"/>
        <v>12Go Link</v>
      </c>
      <c r="E2005" s="8" t="s">
        <v>1622</v>
      </c>
    </row>
    <row r="2006">
      <c r="A2006" s="8" t="s">
        <v>1617</v>
      </c>
      <c r="B2006" s="8" t="s">
        <v>1618</v>
      </c>
      <c r="C2006" s="8" t="s">
        <v>1657</v>
      </c>
      <c r="D2006" s="9" t="str">
        <f t="shared" si="287"/>
        <v>12Go Link</v>
      </c>
      <c r="E2006" s="8" t="s">
        <v>1623</v>
      </c>
    </row>
    <row r="2007">
      <c r="A2007" s="8" t="s">
        <v>1617</v>
      </c>
      <c r="B2007" s="8" t="s">
        <v>1618</v>
      </c>
      <c r="C2007" s="8" t="s">
        <v>1657</v>
      </c>
      <c r="D2007" s="9" t="str">
        <f t="shared" si="287"/>
        <v>12Go Link</v>
      </c>
      <c r="E2007" s="8" t="s">
        <v>1624</v>
      </c>
    </row>
    <row r="2008">
      <c r="A2008" s="8" t="s">
        <v>1617</v>
      </c>
      <c r="B2008" s="8" t="s">
        <v>1618</v>
      </c>
      <c r="C2008" s="8" t="s">
        <v>1657</v>
      </c>
      <c r="D2008" s="9" t="str">
        <f t="shared" si="287"/>
        <v>12Go Link</v>
      </c>
      <c r="E2008" s="8" t="s">
        <v>1625</v>
      </c>
    </row>
    <row r="2009">
      <c r="A2009" s="8" t="s">
        <v>1617</v>
      </c>
      <c r="B2009" s="8" t="s">
        <v>1618</v>
      </c>
      <c r="C2009" s="8" t="s">
        <v>1658</v>
      </c>
      <c r="D2009" s="9" t="str">
        <f t="shared" ref="D2009:D2014" si="288">HYPERLINK("https://12go.asia/en/travel/Laemtong-Pier-Koh-Phi-Phi/Phuket-Chalong-Hotel-Transfer", "12Go Link")</f>
        <v>12Go Link</v>
      </c>
      <c r="E2009" s="8" t="s">
        <v>1620</v>
      </c>
    </row>
    <row r="2010">
      <c r="A2010" s="8" t="s">
        <v>1617</v>
      </c>
      <c r="B2010" s="8" t="s">
        <v>1618</v>
      </c>
      <c r="C2010" s="8" t="s">
        <v>1658</v>
      </c>
      <c r="D2010" s="9" t="str">
        <f t="shared" si="288"/>
        <v>12Go Link</v>
      </c>
      <c r="E2010" s="8" t="s">
        <v>1621</v>
      </c>
    </row>
    <row r="2011">
      <c r="A2011" s="8" t="s">
        <v>1617</v>
      </c>
      <c r="B2011" s="8" t="s">
        <v>1618</v>
      </c>
      <c r="C2011" s="8" t="s">
        <v>1658</v>
      </c>
      <c r="D2011" s="9" t="str">
        <f t="shared" si="288"/>
        <v>12Go Link</v>
      </c>
      <c r="E2011" s="8" t="s">
        <v>1622</v>
      </c>
    </row>
    <row r="2012">
      <c r="A2012" s="8" t="s">
        <v>1617</v>
      </c>
      <c r="B2012" s="8" t="s">
        <v>1618</v>
      </c>
      <c r="C2012" s="8" t="s">
        <v>1658</v>
      </c>
      <c r="D2012" s="9" t="str">
        <f t="shared" si="288"/>
        <v>12Go Link</v>
      </c>
      <c r="E2012" s="8" t="s">
        <v>1623</v>
      </c>
    </row>
    <row r="2013">
      <c r="A2013" s="8" t="s">
        <v>1617</v>
      </c>
      <c r="B2013" s="8" t="s">
        <v>1618</v>
      </c>
      <c r="C2013" s="8" t="s">
        <v>1658</v>
      </c>
      <c r="D2013" s="9" t="str">
        <f t="shared" si="288"/>
        <v>12Go Link</v>
      </c>
      <c r="E2013" s="8" t="s">
        <v>1624</v>
      </c>
    </row>
    <row r="2014">
      <c r="A2014" s="8" t="s">
        <v>1617</v>
      </c>
      <c r="B2014" s="8" t="s">
        <v>1618</v>
      </c>
      <c r="C2014" s="8" t="s">
        <v>1658</v>
      </c>
      <c r="D2014" s="9" t="str">
        <f t="shared" si="288"/>
        <v>12Go Link</v>
      </c>
      <c r="E2014" s="8" t="s">
        <v>1625</v>
      </c>
    </row>
    <row r="2015">
      <c r="A2015" s="8" t="s">
        <v>1617</v>
      </c>
      <c r="B2015" s="8" t="s">
        <v>1618</v>
      </c>
      <c r="C2015" s="8" t="s">
        <v>1659</v>
      </c>
      <c r="D2015" s="9" t="str">
        <f t="shared" ref="D2015:D2020" si="289">HYPERLINK("https://12go.asia/en/travel/Laemtong-Pier-Koh-Phi-Phi/Phuket-Kalim-Hotel-Transfer", "12Go Link")</f>
        <v>12Go Link</v>
      </c>
      <c r="E2015" s="8" t="s">
        <v>1620</v>
      </c>
    </row>
    <row r="2016">
      <c r="A2016" s="8" t="s">
        <v>1617</v>
      </c>
      <c r="B2016" s="8" t="s">
        <v>1618</v>
      </c>
      <c r="C2016" s="8" t="s">
        <v>1659</v>
      </c>
      <c r="D2016" s="9" t="str">
        <f t="shared" si="289"/>
        <v>12Go Link</v>
      </c>
      <c r="E2016" s="8" t="s">
        <v>1621</v>
      </c>
    </row>
    <row r="2017">
      <c r="A2017" s="8" t="s">
        <v>1617</v>
      </c>
      <c r="B2017" s="8" t="s">
        <v>1618</v>
      </c>
      <c r="C2017" s="8" t="s">
        <v>1659</v>
      </c>
      <c r="D2017" s="9" t="str">
        <f t="shared" si="289"/>
        <v>12Go Link</v>
      </c>
      <c r="E2017" s="8" t="s">
        <v>1622</v>
      </c>
    </row>
    <row r="2018">
      <c r="A2018" s="8" t="s">
        <v>1617</v>
      </c>
      <c r="B2018" s="8" t="s">
        <v>1618</v>
      </c>
      <c r="C2018" s="8" t="s">
        <v>1659</v>
      </c>
      <c r="D2018" s="9" t="str">
        <f t="shared" si="289"/>
        <v>12Go Link</v>
      </c>
      <c r="E2018" s="8" t="s">
        <v>1623</v>
      </c>
    </row>
    <row r="2019">
      <c r="A2019" s="8" t="s">
        <v>1617</v>
      </c>
      <c r="B2019" s="8" t="s">
        <v>1618</v>
      </c>
      <c r="C2019" s="8" t="s">
        <v>1659</v>
      </c>
      <c r="D2019" s="9" t="str">
        <f t="shared" si="289"/>
        <v>12Go Link</v>
      </c>
      <c r="E2019" s="8" t="s">
        <v>1624</v>
      </c>
    </row>
    <row r="2020">
      <c r="A2020" s="8" t="s">
        <v>1617</v>
      </c>
      <c r="B2020" s="8" t="s">
        <v>1618</v>
      </c>
      <c r="C2020" s="8" t="s">
        <v>1659</v>
      </c>
      <c r="D2020" s="9" t="str">
        <f t="shared" si="289"/>
        <v>12Go Link</v>
      </c>
      <c r="E2020" s="8" t="s">
        <v>1625</v>
      </c>
    </row>
    <row r="2021">
      <c r="A2021" s="8" t="s">
        <v>1617</v>
      </c>
      <c r="B2021" s="8" t="s">
        <v>1618</v>
      </c>
      <c r="C2021" s="8" t="s">
        <v>1660</v>
      </c>
      <c r="D2021" s="9" t="str">
        <f t="shared" ref="D2021:D2026" si="290">HYPERLINK("https://12go.asia/en/travel/Laemtong-Pier-Koh-Phi-Phi/Phuket-Town-Hotel-Transfer", "12Go Link")</f>
        <v>12Go Link</v>
      </c>
      <c r="E2021" s="8" t="s">
        <v>1620</v>
      </c>
    </row>
    <row r="2022">
      <c r="A2022" s="8" t="s">
        <v>1617</v>
      </c>
      <c r="B2022" s="8" t="s">
        <v>1618</v>
      </c>
      <c r="C2022" s="8" t="s">
        <v>1660</v>
      </c>
      <c r="D2022" s="9" t="str">
        <f t="shared" si="290"/>
        <v>12Go Link</v>
      </c>
      <c r="E2022" s="8" t="s">
        <v>1621</v>
      </c>
    </row>
    <row r="2023">
      <c r="A2023" s="8" t="s">
        <v>1617</v>
      </c>
      <c r="B2023" s="8" t="s">
        <v>1618</v>
      </c>
      <c r="C2023" s="8" t="s">
        <v>1660</v>
      </c>
      <c r="D2023" s="9" t="str">
        <f t="shared" si="290"/>
        <v>12Go Link</v>
      </c>
      <c r="E2023" s="8" t="s">
        <v>1622</v>
      </c>
    </row>
    <row r="2024">
      <c r="A2024" s="8" t="s">
        <v>1617</v>
      </c>
      <c r="B2024" s="8" t="s">
        <v>1618</v>
      </c>
      <c r="C2024" s="8" t="s">
        <v>1660</v>
      </c>
      <c r="D2024" s="9" t="str">
        <f t="shared" si="290"/>
        <v>12Go Link</v>
      </c>
      <c r="E2024" s="8" t="s">
        <v>1623</v>
      </c>
    </row>
    <row r="2025">
      <c r="A2025" s="8" t="s">
        <v>1617</v>
      </c>
      <c r="B2025" s="8" t="s">
        <v>1618</v>
      </c>
      <c r="C2025" s="8" t="s">
        <v>1660</v>
      </c>
      <c r="D2025" s="9" t="str">
        <f t="shared" si="290"/>
        <v>12Go Link</v>
      </c>
      <c r="E2025" s="8" t="s">
        <v>1624</v>
      </c>
    </row>
    <row r="2026">
      <c r="A2026" s="8" t="s">
        <v>1617</v>
      </c>
      <c r="B2026" s="8" t="s">
        <v>1618</v>
      </c>
      <c r="C2026" s="8" t="s">
        <v>1660</v>
      </c>
      <c r="D2026" s="9" t="str">
        <f t="shared" si="290"/>
        <v>12Go Link</v>
      </c>
      <c r="E2026" s="8" t="s">
        <v>1625</v>
      </c>
    </row>
    <row r="2027">
      <c r="A2027" s="8" t="s">
        <v>1617</v>
      </c>
      <c r="B2027" s="8" t="s">
        <v>1618</v>
      </c>
      <c r="C2027" s="8" t="s">
        <v>1661</v>
      </c>
      <c r="D2027" s="9" t="str">
        <f t="shared" ref="D2027:D2032" si="291">HYPERLINK("https://12go.asia/en/travel/Laemtong-Pier-Koh-Phi-Phi/Rawai-Transfer", "12Go Link")</f>
        <v>12Go Link</v>
      </c>
      <c r="E2027" s="8" t="s">
        <v>1620</v>
      </c>
    </row>
    <row r="2028">
      <c r="A2028" s="8" t="s">
        <v>1617</v>
      </c>
      <c r="B2028" s="8" t="s">
        <v>1618</v>
      </c>
      <c r="C2028" s="8" t="s">
        <v>1661</v>
      </c>
      <c r="D2028" s="9" t="str">
        <f t="shared" si="291"/>
        <v>12Go Link</v>
      </c>
      <c r="E2028" s="8" t="s">
        <v>1621</v>
      </c>
    </row>
    <row r="2029">
      <c r="A2029" s="8" t="s">
        <v>1617</v>
      </c>
      <c r="B2029" s="8" t="s">
        <v>1618</v>
      </c>
      <c r="C2029" s="8" t="s">
        <v>1661</v>
      </c>
      <c r="D2029" s="9" t="str">
        <f t="shared" si="291"/>
        <v>12Go Link</v>
      </c>
      <c r="E2029" s="8" t="s">
        <v>1622</v>
      </c>
    </row>
    <row r="2030">
      <c r="A2030" s="8" t="s">
        <v>1617</v>
      </c>
      <c r="B2030" s="8" t="s">
        <v>1618</v>
      </c>
      <c r="C2030" s="8" t="s">
        <v>1661</v>
      </c>
      <c r="D2030" s="9" t="str">
        <f t="shared" si="291"/>
        <v>12Go Link</v>
      </c>
      <c r="E2030" s="8" t="s">
        <v>1623</v>
      </c>
    </row>
    <row r="2031">
      <c r="A2031" s="8" t="s">
        <v>1617</v>
      </c>
      <c r="B2031" s="8" t="s">
        <v>1618</v>
      </c>
      <c r="C2031" s="8" t="s">
        <v>1661</v>
      </c>
      <c r="D2031" s="9" t="str">
        <f t="shared" si="291"/>
        <v>12Go Link</v>
      </c>
      <c r="E2031" s="8" t="s">
        <v>1624</v>
      </c>
    </row>
    <row r="2032">
      <c r="A2032" s="8" t="s">
        <v>1617</v>
      </c>
      <c r="B2032" s="8" t="s">
        <v>1618</v>
      </c>
      <c r="C2032" s="8" t="s">
        <v>1661</v>
      </c>
      <c r="D2032" s="9" t="str">
        <f t="shared" si="291"/>
        <v>12Go Link</v>
      </c>
      <c r="E2032" s="8" t="s">
        <v>1625</v>
      </c>
    </row>
    <row r="2033">
      <c r="A2033" s="8" t="s">
        <v>1617</v>
      </c>
      <c r="B2033" s="8" t="s">
        <v>1618</v>
      </c>
      <c r="C2033" s="8" t="s">
        <v>1662</v>
      </c>
      <c r="D2033" s="9" t="str">
        <f t="shared" ref="D2033:D2038" si="292">HYPERLINK("https://12go.asia/en/travel/Laemtong-Pier-Koh-Phi-Phi/Surin-Transfer", "12Go Link")</f>
        <v>12Go Link</v>
      </c>
      <c r="E2033" s="8" t="s">
        <v>1620</v>
      </c>
    </row>
    <row r="2034">
      <c r="A2034" s="8" t="s">
        <v>1617</v>
      </c>
      <c r="B2034" s="8" t="s">
        <v>1618</v>
      </c>
      <c r="C2034" s="8" t="s">
        <v>1662</v>
      </c>
      <c r="D2034" s="9" t="str">
        <f t="shared" si="292"/>
        <v>12Go Link</v>
      </c>
      <c r="E2034" s="8" t="s">
        <v>1621</v>
      </c>
    </row>
    <row r="2035">
      <c r="A2035" s="8" t="s">
        <v>1617</v>
      </c>
      <c r="B2035" s="8" t="s">
        <v>1618</v>
      </c>
      <c r="C2035" s="8" t="s">
        <v>1662</v>
      </c>
      <c r="D2035" s="9" t="str">
        <f t="shared" si="292"/>
        <v>12Go Link</v>
      </c>
      <c r="E2035" s="8" t="s">
        <v>1622</v>
      </c>
    </row>
    <row r="2036">
      <c r="A2036" s="8" t="s">
        <v>1617</v>
      </c>
      <c r="B2036" s="8" t="s">
        <v>1618</v>
      </c>
      <c r="C2036" s="8" t="s">
        <v>1662</v>
      </c>
      <c r="D2036" s="9" t="str">
        <f t="shared" si="292"/>
        <v>12Go Link</v>
      </c>
      <c r="E2036" s="8" t="s">
        <v>1623</v>
      </c>
    </row>
    <row r="2037">
      <c r="A2037" s="8" t="s">
        <v>1617</v>
      </c>
      <c r="B2037" s="8" t="s">
        <v>1618</v>
      </c>
      <c r="C2037" s="8" t="s">
        <v>1662</v>
      </c>
      <c r="D2037" s="9" t="str">
        <f t="shared" si="292"/>
        <v>12Go Link</v>
      </c>
      <c r="E2037" s="8" t="s">
        <v>1624</v>
      </c>
    </row>
    <row r="2038">
      <c r="A2038" s="8" t="s">
        <v>1617</v>
      </c>
      <c r="B2038" s="8" t="s">
        <v>1618</v>
      </c>
      <c r="C2038" s="8" t="s">
        <v>1662</v>
      </c>
      <c r="D2038" s="9" t="str">
        <f t="shared" si="292"/>
        <v>12Go Link</v>
      </c>
      <c r="E2038" s="8" t="s">
        <v>1625</v>
      </c>
    </row>
    <row r="2039">
      <c r="A2039" s="8" t="s">
        <v>1617</v>
      </c>
      <c r="B2039" s="8" t="s">
        <v>1618</v>
      </c>
      <c r="C2039" s="8" t="s">
        <v>1663</v>
      </c>
      <c r="D2039" s="9" t="str">
        <f t="shared" ref="D2039:D2044" si="293">HYPERLINK("https://12go.asia/en/travel/Laemtong-Pier-Koh-Phi-Phi/Thalang-Hotel-Transfer", "12Go Link")</f>
        <v>12Go Link</v>
      </c>
      <c r="E2039" s="8" t="s">
        <v>1620</v>
      </c>
    </row>
    <row r="2040">
      <c r="A2040" s="8" t="s">
        <v>1617</v>
      </c>
      <c r="B2040" s="8" t="s">
        <v>1618</v>
      </c>
      <c r="C2040" s="8" t="s">
        <v>1663</v>
      </c>
      <c r="D2040" s="9" t="str">
        <f t="shared" si="293"/>
        <v>12Go Link</v>
      </c>
      <c r="E2040" s="8" t="s">
        <v>1621</v>
      </c>
    </row>
    <row r="2041">
      <c r="A2041" s="8" t="s">
        <v>1617</v>
      </c>
      <c r="B2041" s="8" t="s">
        <v>1618</v>
      </c>
      <c r="C2041" s="8" t="s">
        <v>1663</v>
      </c>
      <c r="D2041" s="9" t="str">
        <f t="shared" si="293"/>
        <v>12Go Link</v>
      </c>
      <c r="E2041" s="8" t="s">
        <v>1622</v>
      </c>
    </row>
    <row r="2042">
      <c r="A2042" s="8" t="s">
        <v>1617</v>
      </c>
      <c r="B2042" s="8" t="s">
        <v>1618</v>
      </c>
      <c r="C2042" s="8" t="s">
        <v>1663</v>
      </c>
      <c r="D2042" s="9" t="str">
        <f t="shared" si="293"/>
        <v>12Go Link</v>
      </c>
      <c r="E2042" s="8" t="s">
        <v>1623</v>
      </c>
    </row>
    <row r="2043">
      <c r="A2043" s="8" t="s">
        <v>1617</v>
      </c>
      <c r="B2043" s="8" t="s">
        <v>1618</v>
      </c>
      <c r="C2043" s="8" t="s">
        <v>1663</v>
      </c>
      <c r="D2043" s="9" t="str">
        <f t="shared" si="293"/>
        <v>12Go Link</v>
      </c>
      <c r="E2043" s="8" t="s">
        <v>1624</v>
      </c>
    </row>
    <row r="2044">
      <c r="A2044" s="8" t="s">
        <v>1617</v>
      </c>
      <c r="B2044" s="8" t="s">
        <v>1618</v>
      </c>
      <c r="C2044" s="8" t="s">
        <v>1663</v>
      </c>
      <c r="D2044" s="9" t="str">
        <f t="shared" si="293"/>
        <v>12Go Link</v>
      </c>
      <c r="E2044" s="8" t="s">
        <v>1625</v>
      </c>
    </row>
    <row r="2045">
      <c r="A2045" s="8" t="s">
        <v>1617</v>
      </c>
      <c r="B2045" s="8" t="s">
        <v>1618</v>
      </c>
      <c r="C2045" s="8" t="s">
        <v>1664</v>
      </c>
      <c r="D2045" s="9" t="str">
        <f t="shared" ref="D2045:D2050" si="294">HYPERLINK("https://12go.asia/en/travel/Laemtong-Pier-Koh-Phi-Phi/Tri-Trang-Beach-Transfer", "12Go Link")</f>
        <v>12Go Link</v>
      </c>
      <c r="E2045" s="8" t="s">
        <v>1620</v>
      </c>
    </row>
    <row r="2046">
      <c r="A2046" s="8" t="s">
        <v>1617</v>
      </c>
      <c r="B2046" s="8" t="s">
        <v>1618</v>
      </c>
      <c r="C2046" s="8" t="s">
        <v>1664</v>
      </c>
      <c r="D2046" s="9" t="str">
        <f t="shared" si="294"/>
        <v>12Go Link</v>
      </c>
      <c r="E2046" s="8" t="s">
        <v>1621</v>
      </c>
    </row>
    <row r="2047">
      <c r="A2047" s="8" t="s">
        <v>1617</v>
      </c>
      <c r="B2047" s="8" t="s">
        <v>1618</v>
      </c>
      <c r="C2047" s="8" t="s">
        <v>1664</v>
      </c>
      <c r="D2047" s="9" t="str">
        <f t="shared" si="294"/>
        <v>12Go Link</v>
      </c>
      <c r="E2047" s="8" t="s">
        <v>1622</v>
      </c>
    </row>
    <row r="2048">
      <c r="A2048" s="8" t="s">
        <v>1617</v>
      </c>
      <c r="B2048" s="8" t="s">
        <v>1618</v>
      </c>
      <c r="C2048" s="8" t="s">
        <v>1664</v>
      </c>
      <c r="D2048" s="9" t="str">
        <f t="shared" si="294"/>
        <v>12Go Link</v>
      </c>
      <c r="E2048" s="8" t="s">
        <v>1623</v>
      </c>
    </row>
    <row r="2049">
      <c r="A2049" s="8" t="s">
        <v>1617</v>
      </c>
      <c r="B2049" s="8" t="s">
        <v>1618</v>
      </c>
      <c r="C2049" s="8" t="s">
        <v>1664</v>
      </c>
      <c r="D2049" s="9" t="str">
        <f t="shared" si="294"/>
        <v>12Go Link</v>
      </c>
      <c r="E2049" s="8" t="s">
        <v>1624</v>
      </c>
    </row>
    <row r="2050">
      <c r="A2050" s="8" t="s">
        <v>1617</v>
      </c>
      <c r="B2050" s="8" t="s">
        <v>1618</v>
      </c>
      <c r="C2050" s="8" t="s">
        <v>1664</v>
      </c>
      <c r="D2050" s="9" t="str">
        <f t="shared" si="294"/>
        <v>12Go Link</v>
      </c>
      <c r="E2050" s="8" t="s">
        <v>1625</v>
      </c>
    </row>
    <row r="2051">
      <c r="A2051" s="8" t="s">
        <v>1617</v>
      </c>
      <c r="B2051" s="8" t="s">
        <v>1665</v>
      </c>
      <c r="C2051" s="8" t="s">
        <v>1666</v>
      </c>
      <c r="D2051" s="9" t="str">
        <f t="shared" ref="D2051:D2056" si="295">HYPERLINK("https://12go.asia/en/travel/Koh-Phi-Phi-Ton-Sai-Pier/Rassada-Pier", "12Go Link")</f>
        <v>12Go Link</v>
      </c>
      <c r="E2051" s="8" t="s">
        <v>1667</v>
      </c>
    </row>
    <row r="2052">
      <c r="A2052" s="8" t="s">
        <v>1617</v>
      </c>
      <c r="B2052" s="8" t="s">
        <v>1665</v>
      </c>
      <c r="C2052" s="8" t="s">
        <v>1666</v>
      </c>
      <c r="D2052" s="9" t="str">
        <f t="shared" si="295"/>
        <v>12Go Link</v>
      </c>
      <c r="E2052" s="8" t="s">
        <v>1668</v>
      </c>
    </row>
    <row r="2053">
      <c r="A2053" s="8" t="s">
        <v>1617</v>
      </c>
      <c r="B2053" s="8" t="s">
        <v>1665</v>
      </c>
      <c r="C2053" s="8" t="s">
        <v>1666</v>
      </c>
      <c r="D2053" s="9" t="str">
        <f t="shared" si="295"/>
        <v>12Go Link</v>
      </c>
      <c r="E2053" s="8" t="s">
        <v>1669</v>
      </c>
    </row>
    <row r="2054">
      <c r="A2054" s="8" t="s">
        <v>1617</v>
      </c>
      <c r="B2054" s="8" t="s">
        <v>1665</v>
      </c>
      <c r="C2054" s="8" t="s">
        <v>1666</v>
      </c>
      <c r="D2054" s="9" t="str">
        <f t="shared" si="295"/>
        <v>12Go Link</v>
      </c>
      <c r="E2054" s="8" t="s">
        <v>1670</v>
      </c>
    </row>
    <row r="2055">
      <c r="A2055" s="8" t="s">
        <v>1617</v>
      </c>
      <c r="B2055" s="8" t="s">
        <v>1665</v>
      </c>
      <c r="C2055" s="8" t="s">
        <v>1666</v>
      </c>
      <c r="D2055" s="9" t="str">
        <f t="shared" si="295"/>
        <v>12Go Link</v>
      </c>
      <c r="E2055" s="8" t="s">
        <v>1671</v>
      </c>
    </row>
    <row r="2056">
      <c r="A2056" s="8" t="s">
        <v>1617</v>
      </c>
      <c r="B2056" s="8" t="s">
        <v>1665</v>
      </c>
      <c r="C2056" s="8" t="s">
        <v>1666</v>
      </c>
      <c r="D2056" s="9" t="str">
        <f t="shared" si="295"/>
        <v>12Go Link</v>
      </c>
      <c r="E2056" s="8" t="s">
        <v>1672</v>
      </c>
    </row>
    <row r="2057">
      <c r="A2057" s="8" t="s">
        <v>1617</v>
      </c>
      <c r="B2057" s="8" t="s">
        <v>1665</v>
      </c>
      <c r="C2057" s="8" t="s">
        <v>1673</v>
      </c>
      <c r="D2057" s="9" t="str">
        <f t="shared" ref="D2057:D2062" si="296">HYPERLINK("https://12go.asia/en/travel/Laemtong-Pier-Koh-Phi-Phi/Rassada-Pier", "12Go Link")</f>
        <v>12Go Link</v>
      </c>
      <c r="E2057" s="8" t="s">
        <v>1667</v>
      </c>
    </row>
    <row r="2058">
      <c r="A2058" s="8" t="s">
        <v>1617</v>
      </c>
      <c r="B2058" s="8" t="s">
        <v>1665</v>
      </c>
      <c r="C2058" s="8" t="s">
        <v>1673</v>
      </c>
      <c r="D2058" s="9" t="str">
        <f t="shared" si="296"/>
        <v>12Go Link</v>
      </c>
      <c r="E2058" s="8" t="s">
        <v>1668</v>
      </c>
    </row>
    <row r="2059">
      <c r="A2059" s="8" t="s">
        <v>1617</v>
      </c>
      <c r="B2059" s="8" t="s">
        <v>1665</v>
      </c>
      <c r="C2059" s="8" t="s">
        <v>1673</v>
      </c>
      <c r="D2059" s="9" t="str">
        <f t="shared" si="296"/>
        <v>12Go Link</v>
      </c>
      <c r="E2059" s="8" t="s">
        <v>1669</v>
      </c>
    </row>
    <row r="2060">
      <c r="A2060" s="8" t="s">
        <v>1617</v>
      </c>
      <c r="B2060" s="8" t="s">
        <v>1665</v>
      </c>
      <c r="C2060" s="8" t="s">
        <v>1673</v>
      </c>
      <c r="D2060" s="9" t="str">
        <f t="shared" si="296"/>
        <v>12Go Link</v>
      </c>
      <c r="E2060" s="8" t="s">
        <v>1670</v>
      </c>
    </row>
    <row r="2061">
      <c r="A2061" s="8" t="s">
        <v>1617</v>
      </c>
      <c r="B2061" s="8" t="s">
        <v>1665</v>
      </c>
      <c r="C2061" s="8" t="s">
        <v>1673</v>
      </c>
      <c r="D2061" s="9" t="str">
        <f t="shared" si="296"/>
        <v>12Go Link</v>
      </c>
      <c r="E2061" s="8" t="s">
        <v>1671</v>
      </c>
    </row>
    <row r="2062">
      <c r="A2062" s="8" t="s">
        <v>1617</v>
      </c>
      <c r="B2062" s="8" t="s">
        <v>1665</v>
      </c>
      <c r="C2062" s="8" t="s">
        <v>1673</v>
      </c>
      <c r="D2062" s="9" t="str">
        <f t="shared" si="296"/>
        <v>12Go Link</v>
      </c>
      <c r="E2062" s="8" t="s">
        <v>1672</v>
      </c>
    </row>
    <row r="2063">
      <c r="A2063" s="6" t="s">
        <v>1613</v>
      </c>
      <c r="B2063" s="6" t="s">
        <v>1615</v>
      </c>
      <c r="C2063" s="6" t="s">
        <v>1674</v>
      </c>
      <c r="D2063" s="7" t="str">
        <f>HYPERLINK("https://12go.asia/en/travel/na-thon-koh-samui-songserm/mae-haad-pier-koh-tao", "12Go Link")</f>
        <v>12Go Link</v>
      </c>
      <c r="E2063" s="6" t="s">
        <v>800</v>
      </c>
    </row>
    <row r="2064">
      <c r="A2064" s="6" t="s">
        <v>1613</v>
      </c>
      <c r="B2064" s="6" t="s">
        <v>1615</v>
      </c>
      <c r="C2064" s="6" t="s">
        <v>1675</v>
      </c>
      <c r="D2064" s="7" t="str">
        <f>HYPERLINK("https://12go.asia/en/travel/petcherat-marina-bangrak/mae-haad-pier-koh-tao", "12Go Link")</f>
        <v>12Go Link</v>
      </c>
      <c r="E2064" s="6" t="s">
        <v>800</v>
      </c>
    </row>
    <row r="2065">
      <c r="A2065" s="6" t="s">
        <v>1613</v>
      </c>
      <c r="B2065" s="6" t="s">
        <v>1676</v>
      </c>
      <c r="C2065" s="6" t="s">
        <v>1677</v>
      </c>
      <c r="D2065" s="7" t="str">
        <f t="shared" ref="D2065:D2066" si="297">HYPERLINK("https://12go.asia/en/travel/Koh-Samui-Town-Transfer/Surat-Thani-Train-Station", "12Go Link")</f>
        <v>12Go Link</v>
      </c>
      <c r="E2065" s="6" t="s">
        <v>1678</v>
      </c>
    </row>
    <row r="2066">
      <c r="A2066" s="6" t="s">
        <v>1613</v>
      </c>
      <c r="B2066" s="6" t="s">
        <v>1676</v>
      </c>
      <c r="C2066" s="6" t="s">
        <v>1677</v>
      </c>
      <c r="D2066" s="7" t="str">
        <f t="shared" si="297"/>
        <v>12Go Link</v>
      </c>
      <c r="E2066" s="6" t="s">
        <v>1679</v>
      </c>
    </row>
    <row r="2067">
      <c r="A2067" s="8" t="s">
        <v>1615</v>
      </c>
      <c r="B2067" s="8" t="s">
        <v>1612</v>
      </c>
      <c r="C2067" s="8" t="s">
        <v>1680</v>
      </c>
      <c r="D2067" s="9" t="str">
        <f>HYPERLINK("https://12go.asia/en/travel/mae-haad-pier-koh-tao/koh-phangan-hotel-transfer", "12Go Link")</f>
        <v>12Go Link</v>
      </c>
      <c r="E2067" s="8" t="s">
        <v>1681</v>
      </c>
    </row>
    <row r="2068">
      <c r="A2068" s="8" t="s">
        <v>1615</v>
      </c>
      <c r="B2068" s="8" t="s">
        <v>1612</v>
      </c>
      <c r="C2068" s="8" t="s">
        <v>1682</v>
      </c>
      <c r="D2068" s="9" t="str">
        <f>HYPERLINK("https://12go.asia/en/travel/mae-haad-pier-koh-tao/thong-sala-koh-phangan", "12Go Link")</f>
        <v>12Go Link</v>
      </c>
      <c r="E2068" s="8" t="s">
        <v>800</v>
      </c>
    </row>
    <row r="2069">
      <c r="A2069" s="8" t="s">
        <v>1615</v>
      </c>
      <c r="B2069" s="8" t="s">
        <v>1613</v>
      </c>
      <c r="C2069" s="8" t="s">
        <v>1683</v>
      </c>
      <c r="D2069" s="9" t="str">
        <f>HYPERLINK("https://12go.asia/en/travel/mae-haad-pier-koh-tao/na-thon-koh-samui-songserm", "12Go Link")</f>
        <v>12Go Link</v>
      </c>
      <c r="E2069" s="8" t="s">
        <v>800</v>
      </c>
    </row>
    <row r="2070">
      <c r="A2070" s="8" t="s">
        <v>1615</v>
      </c>
      <c r="B2070" s="8" t="s">
        <v>1613</v>
      </c>
      <c r="C2070" s="8" t="s">
        <v>1684</v>
      </c>
      <c r="D2070" s="9" t="str">
        <f>HYPERLINK("https://12go.asia/en/travel/mae-haad-pier-koh-tao/petcherat-marina-bangrak", "12Go Link")</f>
        <v>12Go Link</v>
      </c>
      <c r="E2070" s="8" t="s">
        <v>800</v>
      </c>
    </row>
    <row r="2071">
      <c r="A2071" s="6" t="s">
        <v>1685</v>
      </c>
      <c r="B2071" s="6" t="s">
        <v>1575</v>
      </c>
      <c r="C2071" s="6" t="s">
        <v>1686</v>
      </c>
      <c r="D2071" s="7" t="str">
        <f>HYPERLINK("https://12go.asia/en/travel/ao-nam-mao-pier/seatran-donsak-pier", "12Go Link")</f>
        <v>12Go Link</v>
      </c>
      <c r="E2071" s="6" t="s">
        <v>66</v>
      </c>
    </row>
    <row r="2072">
      <c r="A2072" s="6" t="s">
        <v>1685</v>
      </c>
      <c r="B2072" s="6" t="s">
        <v>1600</v>
      </c>
      <c r="C2072" s="6" t="s">
        <v>1687</v>
      </c>
      <c r="D2072" s="7" t="str">
        <f>HYPERLINK("https://12go.asia/en/travel/Ao-Nam-Mao-Pier/Hat-Yao-pier", "12Go Link")</f>
        <v>12Go Link</v>
      </c>
      <c r="E2072" s="6" t="s">
        <v>567</v>
      </c>
    </row>
    <row r="2073">
      <c r="A2073" s="6" t="s">
        <v>1685</v>
      </c>
      <c r="B2073" s="6" t="s">
        <v>1600</v>
      </c>
      <c r="C2073" s="6" t="s">
        <v>1688</v>
      </c>
      <c r="D2073" s="7" t="str">
        <f>HYPERLINK("https://12go.asia/en/travel/Ao-Nam-Mao-Pier/Khuan-Tung-Ku-Pier", "12Go Link")</f>
        <v>12Go Link</v>
      </c>
      <c r="E2073" s="6" t="s">
        <v>567</v>
      </c>
    </row>
    <row r="2074">
      <c r="A2074" s="6" t="s">
        <v>1685</v>
      </c>
      <c r="B2074" s="6" t="s">
        <v>1600</v>
      </c>
      <c r="C2074" s="6" t="s">
        <v>1689</v>
      </c>
      <c r="D2074" s="7" t="str">
        <f>HYPERLINK("https://12go.asia/en/travel/Ao-Nang-Noppharat-Thara-Klong-Muang-Tubkaek/Hat-Yao-pier", "12Go Link")</f>
        <v>12Go Link</v>
      </c>
      <c r="E2074" s="6" t="s">
        <v>567</v>
      </c>
    </row>
    <row r="2075">
      <c r="A2075" s="6" t="s">
        <v>1685</v>
      </c>
      <c r="B2075" s="6" t="s">
        <v>1600</v>
      </c>
      <c r="C2075" s="6" t="s">
        <v>1690</v>
      </c>
      <c r="D2075" s="7" t="str">
        <f>HYPERLINK("https://12go.asia/en/travel/Ao-Nang-Noppharat-Thara-Klong-Muang-Tubkaek/Khuan-Tung-Ku-Pier", "12Go Link")</f>
        <v>12Go Link</v>
      </c>
      <c r="E2075" s="6" t="s">
        <v>567</v>
      </c>
    </row>
    <row r="2076">
      <c r="A2076" s="6" t="s">
        <v>1685</v>
      </c>
      <c r="B2076" s="6" t="s">
        <v>1600</v>
      </c>
      <c r="C2076" s="6" t="s">
        <v>1691</v>
      </c>
      <c r="D2076" s="7" t="str">
        <f>HYPERLINK("https://12go.asia/en/travel/Krabi-Town-Hotel-Transfer/Hat-Yao-pier", "12Go Link")</f>
        <v>12Go Link</v>
      </c>
      <c r="E2076" s="6" t="s">
        <v>567</v>
      </c>
    </row>
    <row r="2077">
      <c r="A2077" s="6" t="s">
        <v>1685</v>
      </c>
      <c r="B2077" s="6" t="s">
        <v>1600</v>
      </c>
      <c r="C2077" s="6" t="s">
        <v>1692</v>
      </c>
      <c r="D2077" s="7" t="str">
        <f>HYPERLINK("https://12go.asia/en/travel/Krabi-Town-Hotel-Transfer/Khuan-Tung-Ku-Pier", "12Go Link")</f>
        <v>12Go Link</v>
      </c>
      <c r="E2077" s="6" t="s">
        <v>567</v>
      </c>
    </row>
    <row r="2078">
      <c r="A2078" s="6" t="s">
        <v>1685</v>
      </c>
      <c r="B2078" s="6" t="s">
        <v>1600</v>
      </c>
      <c r="C2078" s="6" t="s">
        <v>1693</v>
      </c>
      <c r="D2078" s="7" t="str">
        <f>HYPERLINK("https://12go.asia/en/travel/Laem-Kruat-Pier/Hat-Yao-pier", "12Go Link")</f>
        <v>12Go Link</v>
      </c>
      <c r="E2078" s="6" t="s">
        <v>567</v>
      </c>
    </row>
    <row r="2079">
      <c r="A2079" s="6" t="s">
        <v>1685</v>
      </c>
      <c r="B2079" s="6" t="s">
        <v>1600</v>
      </c>
      <c r="C2079" s="6" t="s">
        <v>1694</v>
      </c>
      <c r="D2079" s="7" t="str">
        <f>HYPERLINK("https://12go.asia/en/travel/Laem-Kruat-Pier/Khuan-Tung-Ku-Pier", "12Go Link")</f>
        <v>12Go Link</v>
      </c>
      <c r="E2079" s="6" t="s">
        <v>567</v>
      </c>
    </row>
    <row r="2080">
      <c r="A2080" s="6" t="s">
        <v>1685</v>
      </c>
      <c r="B2080" s="6" t="s">
        <v>1600</v>
      </c>
      <c r="C2080" s="6" t="s">
        <v>1695</v>
      </c>
      <c r="D2080" s="7" t="str">
        <f>HYPERLINK("https://12go.asia/en/travel/Talen-Pier/Hat-Yao-pier", "12Go Link")</f>
        <v>12Go Link</v>
      </c>
      <c r="E2080" s="6" t="s">
        <v>567</v>
      </c>
    </row>
    <row r="2081">
      <c r="A2081" s="6" t="s">
        <v>1685</v>
      </c>
      <c r="B2081" s="6" t="s">
        <v>1600</v>
      </c>
      <c r="C2081" s="6" t="s">
        <v>1696</v>
      </c>
      <c r="D2081" s="7" t="str">
        <f>HYPERLINK("https://12go.asia/en/travel/Talen-Pier/Khuan-Tung-Ku-Pier", "12Go Link")</f>
        <v>12Go Link</v>
      </c>
      <c r="E2081" s="6" t="s">
        <v>567</v>
      </c>
    </row>
    <row r="2082">
      <c r="A2082" s="8" t="s">
        <v>1697</v>
      </c>
      <c r="B2082" s="8" t="s">
        <v>1697</v>
      </c>
      <c r="C2082" s="8" t="s">
        <v>1698</v>
      </c>
      <c r="D2082" s="9" t="str">
        <f>HYPERLINK("https://12go.asia/en/travel/Nakhon-Si-Thammarat-Airport/Nakhon-Si-Thammarat-Bus-Station", "12Go Link")</f>
        <v>12Go Link</v>
      </c>
      <c r="E2082" s="8" t="s">
        <v>478</v>
      </c>
    </row>
    <row r="2083">
      <c r="A2083" s="8" t="s">
        <v>1697</v>
      </c>
      <c r="B2083" s="8" t="s">
        <v>1697</v>
      </c>
      <c r="C2083" s="8" t="s">
        <v>1699</v>
      </c>
      <c r="D2083" s="9" t="str">
        <f>HYPERLINK("https://12go.asia/en/travel/Nakhon-Si-Thammarat-Airport/Wat-Chedi-Ai-Khai", "12Go Link")</f>
        <v>12Go Link</v>
      </c>
      <c r="E2083" s="8" t="s">
        <v>608</v>
      </c>
    </row>
    <row r="2084">
      <c r="A2084" s="8" t="s">
        <v>1697</v>
      </c>
      <c r="B2084" s="8" t="s">
        <v>1697</v>
      </c>
      <c r="C2084" s="8" t="s">
        <v>1700</v>
      </c>
      <c r="D2084" s="9" t="str">
        <f>HYPERLINK("https://12go.asia/en/travel/Sri-Khanom-Hotel-Transfer/Nakhon-Si-Thammarat-Airport", "12Go Link")</f>
        <v>12Go Link</v>
      </c>
      <c r="E2084" s="8" t="s">
        <v>608</v>
      </c>
    </row>
    <row r="2085">
      <c r="A2085" s="8" t="s">
        <v>1697</v>
      </c>
      <c r="B2085" s="8" t="s">
        <v>1701</v>
      </c>
      <c r="C2085" s="8" t="s">
        <v>1702</v>
      </c>
      <c r="D2085" s="9" t="str">
        <f>HYPERLINK("https://12go.asia/en/travel/Nakhon-Si-Thammarat-Airport/Seatran-Ferry", "12Go Link")</f>
        <v>12Go Link</v>
      </c>
      <c r="E2085" s="8" t="s">
        <v>608</v>
      </c>
    </row>
    <row r="2086">
      <c r="A2086" s="6" t="s">
        <v>1598</v>
      </c>
      <c r="B2086" s="6" t="s">
        <v>618</v>
      </c>
      <c r="C2086" s="6" t="s">
        <v>1703</v>
      </c>
      <c r="D2086" s="7" t="str">
        <f>HYPERLINK("https://12go.asia/en/travel/Pai-Indian-Restaurant/Tha-Phae-Gate", "12Go Link")</f>
        <v>12Go Link</v>
      </c>
      <c r="E2086" s="6" t="s">
        <v>608</v>
      </c>
    </row>
    <row r="2087">
      <c r="A2087" s="8" t="s">
        <v>1704</v>
      </c>
      <c r="B2087" s="8" t="s">
        <v>1600</v>
      </c>
      <c r="C2087" s="8" t="s">
        <v>1705</v>
      </c>
      <c r="D2087" s="9" t="str">
        <f>HYPERLINK("https://12go.asia/en/travel/Khao-Sok-Town-Transfer/Hat-Yao-pier", "12Go Link")</f>
        <v>12Go Link</v>
      </c>
      <c r="E2087" s="8" t="s">
        <v>567</v>
      </c>
    </row>
    <row r="2088">
      <c r="A2088" s="8" t="s">
        <v>1704</v>
      </c>
      <c r="B2088" s="8" t="s">
        <v>1600</v>
      </c>
      <c r="C2088" s="8" t="s">
        <v>1706</v>
      </c>
      <c r="D2088" s="9" t="str">
        <f>HYPERLINK("https://12go.asia/en/travel/Khao-Sok-Town-Transfer/Khuan-Tung-Ku-Pier", "12Go Link")</f>
        <v>12Go Link</v>
      </c>
      <c r="E2088" s="8" t="s">
        <v>567</v>
      </c>
    </row>
    <row r="2089">
      <c r="A2089" s="6" t="s">
        <v>1618</v>
      </c>
      <c r="B2089" s="6" t="s">
        <v>1617</v>
      </c>
      <c r="C2089" s="6" t="s">
        <v>1707</v>
      </c>
      <c r="D2089" s="7" t="str">
        <f t="shared" ref="D2089:D2094" si="298">HYPERLINK("https://12go.asia/en/travel/Bangtao-Transfer/Koh-Phi-Phi-Ton-Sai-Pier", "12Go Link")</f>
        <v>12Go Link</v>
      </c>
      <c r="E2089" s="6" t="s">
        <v>1620</v>
      </c>
    </row>
    <row r="2090">
      <c r="A2090" s="6" t="s">
        <v>1618</v>
      </c>
      <c r="B2090" s="6" t="s">
        <v>1617</v>
      </c>
      <c r="C2090" s="6" t="s">
        <v>1707</v>
      </c>
      <c r="D2090" s="7" t="str">
        <f t="shared" si="298"/>
        <v>12Go Link</v>
      </c>
      <c r="E2090" s="6" t="s">
        <v>1621</v>
      </c>
    </row>
    <row r="2091">
      <c r="A2091" s="6" t="s">
        <v>1618</v>
      </c>
      <c r="B2091" s="6" t="s">
        <v>1617</v>
      </c>
      <c r="C2091" s="6" t="s">
        <v>1707</v>
      </c>
      <c r="D2091" s="7" t="str">
        <f t="shared" si="298"/>
        <v>12Go Link</v>
      </c>
      <c r="E2091" s="6" t="s">
        <v>1622</v>
      </c>
    </row>
    <row r="2092">
      <c r="A2092" s="6" t="s">
        <v>1618</v>
      </c>
      <c r="B2092" s="6" t="s">
        <v>1617</v>
      </c>
      <c r="C2092" s="6" t="s">
        <v>1707</v>
      </c>
      <c r="D2092" s="7" t="str">
        <f t="shared" si="298"/>
        <v>12Go Link</v>
      </c>
      <c r="E2092" s="6" t="s">
        <v>1623</v>
      </c>
    </row>
    <row r="2093">
      <c r="A2093" s="6" t="s">
        <v>1618</v>
      </c>
      <c r="B2093" s="6" t="s">
        <v>1617</v>
      </c>
      <c r="C2093" s="6" t="s">
        <v>1707</v>
      </c>
      <c r="D2093" s="7" t="str">
        <f t="shared" si="298"/>
        <v>12Go Link</v>
      </c>
      <c r="E2093" s="6" t="s">
        <v>1624</v>
      </c>
    </row>
    <row r="2094">
      <c r="A2094" s="6" t="s">
        <v>1618</v>
      </c>
      <c r="B2094" s="6" t="s">
        <v>1617</v>
      </c>
      <c r="C2094" s="6" t="s">
        <v>1707</v>
      </c>
      <c r="D2094" s="7" t="str">
        <f t="shared" si="298"/>
        <v>12Go Link</v>
      </c>
      <c r="E2094" s="6" t="s">
        <v>1625</v>
      </c>
    </row>
    <row r="2095">
      <c r="A2095" s="6" t="s">
        <v>1618</v>
      </c>
      <c r="B2095" s="6" t="s">
        <v>1617</v>
      </c>
      <c r="C2095" s="6" t="s">
        <v>1708</v>
      </c>
      <c r="D2095" s="7" t="str">
        <f t="shared" ref="D2095:D2100" si="299">HYPERLINK("https://12go.asia/en/travel/Bangtao-Transfer/Laemtong-Pier-Koh-Phi-Phi", "12Go Link")</f>
        <v>12Go Link</v>
      </c>
      <c r="E2095" s="6" t="s">
        <v>1620</v>
      </c>
    </row>
    <row r="2096">
      <c r="A2096" s="6" t="s">
        <v>1618</v>
      </c>
      <c r="B2096" s="6" t="s">
        <v>1617</v>
      </c>
      <c r="C2096" s="6" t="s">
        <v>1708</v>
      </c>
      <c r="D2096" s="7" t="str">
        <f t="shared" si="299"/>
        <v>12Go Link</v>
      </c>
      <c r="E2096" s="6" t="s">
        <v>1621</v>
      </c>
    </row>
    <row r="2097">
      <c r="A2097" s="6" t="s">
        <v>1618</v>
      </c>
      <c r="B2097" s="6" t="s">
        <v>1617</v>
      </c>
      <c r="C2097" s="6" t="s">
        <v>1708</v>
      </c>
      <c r="D2097" s="7" t="str">
        <f t="shared" si="299"/>
        <v>12Go Link</v>
      </c>
      <c r="E2097" s="6" t="s">
        <v>1622</v>
      </c>
    </row>
    <row r="2098">
      <c r="A2098" s="6" t="s">
        <v>1618</v>
      </c>
      <c r="B2098" s="6" t="s">
        <v>1617</v>
      </c>
      <c r="C2098" s="6" t="s">
        <v>1708</v>
      </c>
      <c r="D2098" s="7" t="str">
        <f t="shared" si="299"/>
        <v>12Go Link</v>
      </c>
      <c r="E2098" s="6" t="s">
        <v>1623</v>
      </c>
    </row>
    <row r="2099">
      <c r="A2099" s="6" t="s">
        <v>1618</v>
      </c>
      <c r="B2099" s="6" t="s">
        <v>1617</v>
      </c>
      <c r="C2099" s="6" t="s">
        <v>1708</v>
      </c>
      <c r="D2099" s="7" t="str">
        <f t="shared" si="299"/>
        <v>12Go Link</v>
      </c>
      <c r="E2099" s="6" t="s">
        <v>1624</v>
      </c>
    </row>
    <row r="2100">
      <c r="A2100" s="6" t="s">
        <v>1618</v>
      </c>
      <c r="B2100" s="6" t="s">
        <v>1617</v>
      </c>
      <c r="C2100" s="6" t="s">
        <v>1708</v>
      </c>
      <c r="D2100" s="7" t="str">
        <f t="shared" si="299"/>
        <v>12Go Link</v>
      </c>
      <c r="E2100" s="6" t="s">
        <v>1625</v>
      </c>
    </row>
    <row r="2101">
      <c r="A2101" s="6" t="s">
        <v>1618</v>
      </c>
      <c r="B2101" s="6" t="s">
        <v>1617</v>
      </c>
      <c r="C2101" s="6" t="s">
        <v>1709</v>
      </c>
      <c r="D2101" s="7" t="str">
        <f t="shared" ref="D2101:D2106" si="300">HYPERLINK("https://12go.asia/en/travel/Boat-Lagoon-Transfer/Koh-Phi-Phi-Ton-Sai-Pier", "12Go Link")</f>
        <v>12Go Link</v>
      </c>
      <c r="E2101" s="6" t="s">
        <v>1620</v>
      </c>
    </row>
    <row r="2102">
      <c r="A2102" s="6" t="s">
        <v>1618</v>
      </c>
      <c r="B2102" s="6" t="s">
        <v>1617</v>
      </c>
      <c r="C2102" s="6" t="s">
        <v>1709</v>
      </c>
      <c r="D2102" s="7" t="str">
        <f t="shared" si="300"/>
        <v>12Go Link</v>
      </c>
      <c r="E2102" s="6" t="s">
        <v>1621</v>
      </c>
    </row>
    <row r="2103">
      <c r="A2103" s="6" t="s">
        <v>1618</v>
      </c>
      <c r="B2103" s="6" t="s">
        <v>1617</v>
      </c>
      <c r="C2103" s="6" t="s">
        <v>1709</v>
      </c>
      <c r="D2103" s="7" t="str">
        <f t="shared" si="300"/>
        <v>12Go Link</v>
      </c>
      <c r="E2103" s="6" t="s">
        <v>1622</v>
      </c>
    </row>
    <row r="2104">
      <c r="A2104" s="6" t="s">
        <v>1618</v>
      </c>
      <c r="B2104" s="6" t="s">
        <v>1617</v>
      </c>
      <c r="C2104" s="6" t="s">
        <v>1709</v>
      </c>
      <c r="D2104" s="7" t="str">
        <f t="shared" si="300"/>
        <v>12Go Link</v>
      </c>
      <c r="E2104" s="6" t="s">
        <v>1623</v>
      </c>
    </row>
    <row r="2105">
      <c r="A2105" s="6" t="s">
        <v>1618</v>
      </c>
      <c r="B2105" s="6" t="s">
        <v>1617</v>
      </c>
      <c r="C2105" s="6" t="s">
        <v>1709</v>
      </c>
      <c r="D2105" s="7" t="str">
        <f t="shared" si="300"/>
        <v>12Go Link</v>
      </c>
      <c r="E2105" s="6" t="s">
        <v>1624</v>
      </c>
    </row>
    <row r="2106">
      <c r="A2106" s="6" t="s">
        <v>1618</v>
      </c>
      <c r="B2106" s="6" t="s">
        <v>1617</v>
      </c>
      <c r="C2106" s="6" t="s">
        <v>1709</v>
      </c>
      <c r="D2106" s="7" t="str">
        <f t="shared" si="300"/>
        <v>12Go Link</v>
      </c>
      <c r="E2106" s="6" t="s">
        <v>1625</v>
      </c>
    </row>
    <row r="2107">
      <c r="A2107" s="6" t="s">
        <v>1618</v>
      </c>
      <c r="B2107" s="6" t="s">
        <v>1617</v>
      </c>
      <c r="C2107" s="6" t="s">
        <v>1710</v>
      </c>
      <c r="D2107" s="7" t="str">
        <f t="shared" ref="D2107:D2112" si="301">HYPERLINK("https://12go.asia/en/travel/Boat-Lagoon-Transfer/Laemtong-Pier-Koh-Phi-Phi", "12Go Link")</f>
        <v>12Go Link</v>
      </c>
      <c r="E2107" s="6" t="s">
        <v>1620</v>
      </c>
    </row>
    <row r="2108">
      <c r="A2108" s="6" t="s">
        <v>1618</v>
      </c>
      <c r="B2108" s="6" t="s">
        <v>1617</v>
      </c>
      <c r="C2108" s="6" t="s">
        <v>1710</v>
      </c>
      <c r="D2108" s="7" t="str">
        <f t="shared" si="301"/>
        <v>12Go Link</v>
      </c>
      <c r="E2108" s="6" t="s">
        <v>1621</v>
      </c>
    </row>
    <row r="2109">
      <c r="A2109" s="6" t="s">
        <v>1618</v>
      </c>
      <c r="B2109" s="6" t="s">
        <v>1617</v>
      </c>
      <c r="C2109" s="6" t="s">
        <v>1710</v>
      </c>
      <c r="D2109" s="7" t="str">
        <f t="shared" si="301"/>
        <v>12Go Link</v>
      </c>
      <c r="E2109" s="6" t="s">
        <v>1622</v>
      </c>
    </row>
    <row r="2110">
      <c r="A2110" s="6" t="s">
        <v>1618</v>
      </c>
      <c r="B2110" s="6" t="s">
        <v>1617</v>
      </c>
      <c r="C2110" s="6" t="s">
        <v>1710</v>
      </c>
      <c r="D2110" s="7" t="str">
        <f t="shared" si="301"/>
        <v>12Go Link</v>
      </c>
      <c r="E2110" s="6" t="s">
        <v>1623</v>
      </c>
    </row>
    <row r="2111">
      <c r="A2111" s="6" t="s">
        <v>1618</v>
      </c>
      <c r="B2111" s="6" t="s">
        <v>1617</v>
      </c>
      <c r="C2111" s="6" t="s">
        <v>1710</v>
      </c>
      <c r="D2111" s="7" t="str">
        <f t="shared" si="301"/>
        <v>12Go Link</v>
      </c>
      <c r="E2111" s="6" t="s">
        <v>1624</v>
      </c>
    </row>
    <row r="2112">
      <c r="A2112" s="6" t="s">
        <v>1618</v>
      </c>
      <c r="B2112" s="6" t="s">
        <v>1617</v>
      </c>
      <c r="C2112" s="6" t="s">
        <v>1710</v>
      </c>
      <c r="D2112" s="7" t="str">
        <f t="shared" si="301"/>
        <v>12Go Link</v>
      </c>
      <c r="E2112" s="6" t="s">
        <v>1625</v>
      </c>
    </row>
    <row r="2113">
      <c r="A2113" s="6" t="s">
        <v>1618</v>
      </c>
      <c r="B2113" s="6" t="s">
        <v>1617</v>
      </c>
      <c r="C2113" s="6" t="s">
        <v>1711</v>
      </c>
      <c r="D2113" s="7" t="str">
        <f t="shared" ref="D2113:D2118" si="302">HYPERLINK("https://12go.asia/en/travel/Cape-Panwa-Hotel-Transfer/Koh-Phi-Phi-Ton-Sai-Pier", "12Go Link")</f>
        <v>12Go Link</v>
      </c>
      <c r="E2113" s="6" t="s">
        <v>1620</v>
      </c>
    </row>
    <row r="2114">
      <c r="A2114" s="6" t="s">
        <v>1618</v>
      </c>
      <c r="B2114" s="6" t="s">
        <v>1617</v>
      </c>
      <c r="C2114" s="6" t="s">
        <v>1711</v>
      </c>
      <c r="D2114" s="7" t="str">
        <f t="shared" si="302"/>
        <v>12Go Link</v>
      </c>
      <c r="E2114" s="6" t="s">
        <v>1621</v>
      </c>
    </row>
    <row r="2115">
      <c r="A2115" s="6" t="s">
        <v>1618</v>
      </c>
      <c r="B2115" s="6" t="s">
        <v>1617</v>
      </c>
      <c r="C2115" s="6" t="s">
        <v>1711</v>
      </c>
      <c r="D2115" s="7" t="str">
        <f t="shared" si="302"/>
        <v>12Go Link</v>
      </c>
      <c r="E2115" s="6" t="s">
        <v>1622</v>
      </c>
    </row>
    <row r="2116">
      <c r="A2116" s="6" t="s">
        <v>1618</v>
      </c>
      <c r="B2116" s="6" t="s">
        <v>1617</v>
      </c>
      <c r="C2116" s="6" t="s">
        <v>1711</v>
      </c>
      <c r="D2116" s="7" t="str">
        <f t="shared" si="302"/>
        <v>12Go Link</v>
      </c>
      <c r="E2116" s="6" t="s">
        <v>1623</v>
      </c>
    </row>
    <row r="2117">
      <c r="A2117" s="6" t="s">
        <v>1618</v>
      </c>
      <c r="B2117" s="6" t="s">
        <v>1617</v>
      </c>
      <c r="C2117" s="6" t="s">
        <v>1711</v>
      </c>
      <c r="D2117" s="7" t="str">
        <f t="shared" si="302"/>
        <v>12Go Link</v>
      </c>
      <c r="E2117" s="6" t="s">
        <v>1624</v>
      </c>
    </row>
    <row r="2118">
      <c r="A2118" s="6" t="s">
        <v>1618</v>
      </c>
      <c r="B2118" s="6" t="s">
        <v>1617</v>
      </c>
      <c r="C2118" s="6" t="s">
        <v>1711</v>
      </c>
      <c r="D2118" s="7" t="str">
        <f t="shared" si="302"/>
        <v>12Go Link</v>
      </c>
      <c r="E2118" s="6" t="s">
        <v>1625</v>
      </c>
    </row>
    <row r="2119">
      <c r="A2119" s="6" t="s">
        <v>1618</v>
      </c>
      <c r="B2119" s="6" t="s">
        <v>1617</v>
      </c>
      <c r="C2119" s="6" t="s">
        <v>1712</v>
      </c>
      <c r="D2119" s="7" t="str">
        <f t="shared" ref="D2119:D2124" si="303">HYPERLINK("https://12go.asia/en/travel/Cape-Panwa-Hotel-Transfer/Laemtong-Pier-Koh-Phi-Phi", "12Go Link")</f>
        <v>12Go Link</v>
      </c>
      <c r="E2119" s="6" t="s">
        <v>1620</v>
      </c>
    </row>
    <row r="2120">
      <c r="A2120" s="6" t="s">
        <v>1618</v>
      </c>
      <c r="B2120" s="6" t="s">
        <v>1617</v>
      </c>
      <c r="C2120" s="6" t="s">
        <v>1712</v>
      </c>
      <c r="D2120" s="7" t="str">
        <f t="shared" si="303"/>
        <v>12Go Link</v>
      </c>
      <c r="E2120" s="6" t="s">
        <v>1621</v>
      </c>
    </row>
    <row r="2121">
      <c r="A2121" s="6" t="s">
        <v>1618</v>
      </c>
      <c r="B2121" s="6" t="s">
        <v>1617</v>
      </c>
      <c r="C2121" s="6" t="s">
        <v>1712</v>
      </c>
      <c r="D2121" s="7" t="str">
        <f t="shared" si="303"/>
        <v>12Go Link</v>
      </c>
      <c r="E2121" s="6" t="s">
        <v>1622</v>
      </c>
    </row>
    <row r="2122">
      <c r="A2122" s="6" t="s">
        <v>1618</v>
      </c>
      <c r="B2122" s="6" t="s">
        <v>1617</v>
      </c>
      <c r="C2122" s="6" t="s">
        <v>1712</v>
      </c>
      <c r="D2122" s="7" t="str">
        <f t="shared" si="303"/>
        <v>12Go Link</v>
      </c>
      <c r="E2122" s="6" t="s">
        <v>1623</v>
      </c>
    </row>
    <row r="2123">
      <c r="A2123" s="6" t="s">
        <v>1618</v>
      </c>
      <c r="B2123" s="6" t="s">
        <v>1617</v>
      </c>
      <c r="C2123" s="6" t="s">
        <v>1712</v>
      </c>
      <c r="D2123" s="7" t="str">
        <f t="shared" si="303"/>
        <v>12Go Link</v>
      </c>
      <c r="E2123" s="6" t="s">
        <v>1624</v>
      </c>
    </row>
    <row r="2124">
      <c r="A2124" s="6" t="s">
        <v>1618</v>
      </c>
      <c r="B2124" s="6" t="s">
        <v>1617</v>
      </c>
      <c r="C2124" s="6" t="s">
        <v>1712</v>
      </c>
      <c r="D2124" s="7" t="str">
        <f t="shared" si="303"/>
        <v>12Go Link</v>
      </c>
      <c r="E2124" s="6" t="s">
        <v>1625</v>
      </c>
    </row>
    <row r="2125">
      <c r="A2125" s="6" t="s">
        <v>1618</v>
      </c>
      <c r="B2125" s="6" t="s">
        <v>1617</v>
      </c>
      <c r="C2125" s="6" t="s">
        <v>1713</v>
      </c>
      <c r="D2125" s="7" t="str">
        <f t="shared" ref="D2125:D2130" si="304">HYPERLINK("https://12go.asia/en/travel/Kamala-Beach-Transfer/Koh-Phi-Phi-Ton-Sai-Pier", "12Go Link")</f>
        <v>12Go Link</v>
      </c>
      <c r="E2125" s="6" t="s">
        <v>1620</v>
      </c>
    </row>
    <row r="2126">
      <c r="A2126" s="6" t="s">
        <v>1618</v>
      </c>
      <c r="B2126" s="6" t="s">
        <v>1617</v>
      </c>
      <c r="C2126" s="6" t="s">
        <v>1713</v>
      </c>
      <c r="D2126" s="7" t="str">
        <f t="shared" si="304"/>
        <v>12Go Link</v>
      </c>
      <c r="E2126" s="6" t="s">
        <v>1621</v>
      </c>
    </row>
    <row r="2127">
      <c r="A2127" s="6" t="s">
        <v>1618</v>
      </c>
      <c r="B2127" s="6" t="s">
        <v>1617</v>
      </c>
      <c r="C2127" s="6" t="s">
        <v>1713</v>
      </c>
      <c r="D2127" s="7" t="str">
        <f t="shared" si="304"/>
        <v>12Go Link</v>
      </c>
      <c r="E2127" s="6" t="s">
        <v>1622</v>
      </c>
    </row>
    <row r="2128">
      <c r="A2128" s="6" t="s">
        <v>1618</v>
      </c>
      <c r="B2128" s="6" t="s">
        <v>1617</v>
      </c>
      <c r="C2128" s="6" t="s">
        <v>1713</v>
      </c>
      <c r="D2128" s="7" t="str">
        <f t="shared" si="304"/>
        <v>12Go Link</v>
      </c>
      <c r="E2128" s="6" t="s">
        <v>1623</v>
      </c>
    </row>
    <row r="2129">
      <c r="A2129" s="6" t="s">
        <v>1618</v>
      </c>
      <c r="B2129" s="6" t="s">
        <v>1617</v>
      </c>
      <c r="C2129" s="6" t="s">
        <v>1713</v>
      </c>
      <c r="D2129" s="7" t="str">
        <f t="shared" si="304"/>
        <v>12Go Link</v>
      </c>
      <c r="E2129" s="6" t="s">
        <v>1624</v>
      </c>
    </row>
    <row r="2130">
      <c r="A2130" s="6" t="s">
        <v>1618</v>
      </c>
      <c r="B2130" s="6" t="s">
        <v>1617</v>
      </c>
      <c r="C2130" s="6" t="s">
        <v>1713</v>
      </c>
      <c r="D2130" s="7" t="str">
        <f t="shared" si="304"/>
        <v>12Go Link</v>
      </c>
      <c r="E2130" s="6" t="s">
        <v>1625</v>
      </c>
    </row>
    <row r="2131">
      <c r="A2131" s="6" t="s">
        <v>1618</v>
      </c>
      <c r="B2131" s="6" t="s">
        <v>1617</v>
      </c>
      <c r="C2131" s="6" t="s">
        <v>1714</v>
      </c>
      <c r="D2131" s="7" t="str">
        <f t="shared" ref="D2131:D2136" si="305">HYPERLINK("https://12go.asia/en/travel/Kamala-Beach-Transfer/Laemtong-Pier-Koh-Phi-Phi", "12Go Link")</f>
        <v>12Go Link</v>
      </c>
      <c r="E2131" s="6" t="s">
        <v>1620</v>
      </c>
    </row>
    <row r="2132">
      <c r="A2132" s="6" t="s">
        <v>1618</v>
      </c>
      <c r="B2132" s="6" t="s">
        <v>1617</v>
      </c>
      <c r="C2132" s="6" t="s">
        <v>1714</v>
      </c>
      <c r="D2132" s="7" t="str">
        <f t="shared" si="305"/>
        <v>12Go Link</v>
      </c>
      <c r="E2132" s="6" t="s">
        <v>1621</v>
      </c>
    </row>
    <row r="2133">
      <c r="A2133" s="6" t="s">
        <v>1618</v>
      </c>
      <c r="B2133" s="6" t="s">
        <v>1617</v>
      </c>
      <c r="C2133" s="6" t="s">
        <v>1714</v>
      </c>
      <c r="D2133" s="7" t="str">
        <f t="shared" si="305"/>
        <v>12Go Link</v>
      </c>
      <c r="E2133" s="6" t="s">
        <v>1622</v>
      </c>
    </row>
    <row r="2134">
      <c r="A2134" s="6" t="s">
        <v>1618</v>
      </c>
      <c r="B2134" s="6" t="s">
        <v>1617</v>
      </c>
      <c r="C2134" s="6" t="s">
        <v>1714</v>
      </c>
      <c r="D2134" s="7" t="str">
        <f t="shared" si="305"/>
        <v>12Go Link</v>
      </c>
      <c r="E2134" s="6" t="s">
        <v>1623</v>
      </c>
    </row>
    <row r="2135">
      <c r="A2135" s="6" t="s">
        <v>1618</v>
      </c>
      <c r="B2135" s="6" t="s">
        <v>1617</v>
      </c>
      <c r="C2135" s="6" t="s">
        <v>1714</v>
      </c>
      <c r="D2135" s="7" t="str">
        <f t="shared" si="305"/>
        <v>12Go Link</v>
      </c>
      <c r="E2135" s="6" t="s">
        <v>1624</v>
      </c>
    </row>
    <row r="2136">
      <c r="A2136" s="6" t="s">
        <v>1618</v>
      </c>
      <c r="B2136" s="6" t="s">
        <v>1617</v>
      </c>
      <c r="C2136" s="6" t="s">
        <v>1714</v>
      </c>
      <c r="D2136" s="7" t="str">
        <f t="shared" si="305"/>
        <v>12Go Link</v>
      </c>
      <c r="E2136" s="6" t="s">
        <v>1625</v>
      </c>
    </row>
    <row r="2137">
      <c r="A2137" s="6" t="s">
        <v>1618</v>
      </c>
      <c r="B2137" s="6" t="s">
        <v>1617</v>
      </c>
      <c r="C2137" s="6" t="s">
        <v>1715</v>
      </c>
      <c r="D2137" s="7" t="str">
        <f t="shared" ref="D2137:D2142" si="306">HYPERLINK("https://12go.asia/en/travel/Karon-Beach-Hotel-Transfer/Koh-Phi-Phi-Ton-Sai-Pier", "12Go Link")</f>
        <v>12Go Link</v>
      </c>
      <c r="E2137" s="6" t="s">
        <v>1620</v>
      </c>
    </row>
    <row r="2138">
      <c r="A2138" s="6" t="s">
        <v>1618</v>
      </c>
      <c r="B2138" s="6" t="s">
        <v>1617</v>
      </c>
      <c r="C2138" s="6" t="s">
        <v>1715</v>
      </c>
      <c r="D2138" s="7" t="str">
        <f t="shared" si="306"/>
        <v>12Go Link</v>
      </c>
      <c r="E2138" s="6" t="s">
        <v>1621</v>
      </c>
    </row>
    <row r="2139">
      <c r="A2139" s="6" t="s">
        <v>1618</v>
      </c>
      <c r="B2139" s="6" t="s">
        <v>1617</v>
      </c>
      <c r="C2139" s="6" t="s">
        <v>1715</v>
      </c>
      <c r="D2139" s="7" t="str">
        <f t="shared" si="306"/>
        <v>12Go Link</v>
      </c>
      <c r="E2139" s="6" t="s">
        <v>1622</v>
      </c>
    </row>
    <row r="2140">
      <c r="A2140" s="6" t="s">
        <v>1618</v>
      </c>
      <c r="B2140" s="6" t="s">
        <v>1617</v>
      </c>
      <c r="C2140" s="6" t="s">
        <v>1715</v>
      </c>
      <c r="D2140" s="7" t="str">
        <f t="shared" si="306"/>
        <v>12Go Link</v>
      </c>
      <c r="E2140" s="6" t="s">
        <v>1623</v>
      </c>
    </row>
    <row r="2141">
      <c r="A2141" s="6" t="s">
        <v>1618</v>
      </c>
      <c r="B2141" s="6" t="s">
        <v>1617</v>
      </c>
      <c r="C2141" s="6" t="s">
        <v>1715</v>
      </c>
      <c r="D2141" s="7" t="str">
        <f t="shared" si="306"/>
        <v>12Go Link</v>
      </c>
      <c r="E2141" s="6" t="s">
        <v>1624</v>
      </c>
    </row>
    <row r="2142">
      <c r="A2142" s="6" t="s">
        <v>1618</v>
      </c>
      <c r="B2142" s="6" t="s">
        <v>1617</v>
      </c>
      <c r="C2142" s="6" t="s">
        <v>1715</v>
      </c>
      <c r="D2142" s="7" t="str">
        <f t="shared" si="306"/>
        <v>12Go Link</v>
      </c>
      <c r="E2142" s="6" t="s">
        <v>1625</v>
      </c>
    </row>
    <row r="2143">
      <c r="A2143" s="6" t="s">
        <v>1618</v>
      </c>
      <c r="B2143" s="6" t="s">
        <v>1617</v>
      </c>
      <c r="C2143" s="6" t="s">
        <v>1716</v>
      </c>
      <c r="D2143" s="7" t="str">
        <f t="shared" ref="D2143:D2148" si="307">HYPERLINK("https://12go.asia/en/travel/Karon-Beach-Hotel-Transfer/Laemtong-Pier-Koh-Phi-Phi", "12Go Link")</f>
        <v>12Go Link</v>
      </c>
      <c r="E2143" s="6" t="s">
        <v>1620</v>
      </c>
    </row>
    <row r="2144">
      <c r="A2144" s="6" t="s">
        <v>1618</v>
      </c>
      <c r="B2144" s="6" t="s">
        <v>1617</v>
      </c>
      <c r="C2144" s="6" t="s">
        <v>1716</v>
      </c>
      <c r="D2144" s="7" t="str">
        <f t="shared" si="307"/>
        <v>12Go Link</v>
      </c>
      <c r="E2144" s="6" t="s">
        <v>1621</v>
      </c>
    </row>
    <row r="2145">
      <c r="A2145" s="6" t="s">
        <v>1618</v>
      </c>
      <c r="B2145" s="6" t="s">
        <v>1617</v>
      </c>
      <c r="C2145" s="6" t="s">
        <v>1716</v>
      </c>
      <c r="D2145" s="7" t="str">
        <f t="shared" si="307"/>
        <v>12Go Link</v>
      </c>
      <c r="E2145" s="6" t="s">
        <v>1622</v>
      </c>
    </row>
    <row r="2146">
      <c r="A2146" s="6" t="s">
        <v>1618</v>
      </c>
      <c r="B2146" s="6" t="s">
        <v>1617</v>
      </c>
      <c r="C2146" s="6" t="s">
        <v>1716</v>
      </c>
      <c r="D2146" s="7" t="str">
        <f t="shared" si="307"/>
        <v>12Go Link</v>
      </c>
      <c r="E2146" s="6" t="s">
        <v>1623</v>
      </c>
    </row>
    <row r="2147">
      <c r="A2147" s="6" t="s">
        <v>1618</v>
      </c>
      <c r="B2147" s="6" t="s">
        <v>1617</v>
      </c>
      <c r="C2147" s="6" t="s">
        <v>1716</v>
      </c>
      <c r="D2147" s="7" t="str">
        <f t="shared" si="307"/>
        <v>12Go Link</v>
      </c>
      <c r="E2147" s="6" t="s">
        <v>1624</v>
      </c>
    </row>
    <row r="2148">
      <c r="A2148" s="6" t="s">
        <v>1618</v>
      </c>
      <c r="B2148" s="6" t="s">
        <v>1617</v>
      </c>
      <c r="C2148" s="6" t="s">
        <v>1716</v>
      </c>
      <c r="D2148" s="7" t="str">
        <f t="shared" si="307"/>
        <v>12Go Link</v>
      </c>
      <c r="E2148" s="6" t="s">
        <v>1625</v>
      </c>
    </row>
    <row r="2149">
      <c r="A2149" s="6" t="s">
        <v>1618</v>
      </c>
      <c r="B2149" s="6" t="s">
        <v>1617</v>
      </c>
      <c r="C2149" s="6" t="s">
        <v>1717</v>
      </c>
      <c r="D2149" s="7" t="str">
        <f t="shared" ref="D2149:D2154" si="308">HYPERLINK("https://12go.asia/en/travel/Kata-Beach-Hotel-Transfer/Koh-Phi-Phi-Ton-Sai-Pier", "12Go Link")</f>
        <v>12Go Link</v>
      </c>
      <c r="E2149" s="6" t="s">
        <v>1620</v>
      </c>
    </row>
    <row r="2150">
      <c r="A2150" s="6" t="s">
        <v>1618</v>
      </c>
      <c r="B2150" s="6" t="s">
        <v>1617</v>
      </c>
      <c r="C2150" s="6" t="s">
        <v>1717</v>
      </c>
      <c r="D2150" s="7" t="str">
        <f t="shared" si="308"/>
        <v>12Go Link</v>
      </c>
      <c r="E2150" s="6" t="s">
        <v>1621</v>
      </c>
    </row>
    <row r="2151">
      <c r="A2151" s="6" t="s">
        <v>1618</v>
      </c>
      <c r="B2151" s="6" t="s">
        <v>1617</v>
      </c>
      <c r="C2151" s="6" t="s">
        <v>1717</v>
      </c>
      <c r="D2151" s="7" t="str">
        <f t="shared" si="308"/>
        <v>12Go Link</v>
      </c>
      <c r="E2151" s="6" t="s">
        <v>1622</v>
      </c>
    </row>
    <row r="2152">
      <c r="A2152" s="6" t="s">
        <v>1618</v>
      </c>
      <c r="B2152" s="6" t="s">
        <v>1617</v>
      </c>
      <c r="C2152" s="6" t="s">
        <v>1717</v>
      </c>
      <c r="D2152" s="7" t="str">
        <f t="shared" si="308"/>
        <v>12Go Link</v>
      </c>
      <c r="E2152" s="6" t="s">
        <v>1623</v>
      </c>
    </row>
    <row r="2153">
      <c r="A2153" s="6" t="s">
        <v>1618</v>
      </c>
      <c r="B2153" s="6" t="s">
        <v>1617</v>
      </c>
      <c r="C2153" s="6" t="s">
        <v>1717</v>
      </c>
      <c r="D2153" s="7" t="str">
        <f t="shared" si="308"/>
        <v>12Go Link</v>
      </c>
      <c r="E2153" s="6" t="s">
        <v>1624</v>
      </c>
    </row>
    <row r="2154">
      <c r="A2154" s="6" t="s">
        <v>1618</v>
      </c>
      <c r="B2154" s="6" t="s">
        <v>1617</v>
      </c>
      <c r="C2154" s="6" t="s">
        <v>1717</v>
      </c>
      <c r="D2154" s="7" t="str">
        <f t="shared" si="308"/>
        <v>12Go Link</v>
      </c>
      <c r="E2154" s="6" t="s">
        <v>1625</v>
      </c>
    </row>
    <row r="2155">
      <c r="A2155" s="6" t="s">
        <v>1618</v>
      </c>
      <c r="B2155" s="6" t="s">
        <v>1617</v>
      </c>
      <c r="C2155" s="6" t="s">
        <v>1718</v>
      </c>
      <c r="D2155" s="7" t="str">
        <f t="shared" ref="D2155:D2160" si="309">HYPERLINK("https://12go.asia/en/travel/Kata-Beach-Hotel-Transfer/Laemtong-Pier-Koh-Phi-Phi", "12Go Link")</f>
        <v>12Go Link</v>
      </c>
      <c r="E2155" s="6" t="s">
        <v>1620</v>
      </c>
    </row>
    <row r="2156">
      <c r="A2156" s="6" t="s">
        <v>1618</v>
      </c>
      <c r="B2156" s="6" t="s">
        <v>1617</v>
      </c>
      <c r="C2156" s="6" t="s">
        <v>1718</v>
      </c>
      <c r="D2156" s="7" t="str">
        <f t="shared" si="309"/>
        <v>12Go Link</v>
      </c>
      <c r="E2156" s="6" t="s">
        <v>1621</v>
      </c>
    </row>
    <row r="2157">
      <c r="A2157" s="6" t="s">
        <v>1618</v>
      </c>
      <c r="B2157" s="6" t="s">
        <v>1617</v>
      </c>
      <c r="C2157" s="6" t="s">
        <v>1718</v>
      </c>
      <c r="D2157" s="7" t="str">
        <f t="shared" si="309"/>
        <v>12Go Link</v>
      </c>
      <c r="E2157" s="6" t="s">
        <v>1622</v>
      </c>
    </row>
    <row r="2158">
      <c r="A2158" s="6" t="s">
        <v>1618</v>
      </c>
      <c r="B2158" s="6" t="s">
        <v>1617</v>
      </c>
      <c r="C2158" s="6" t="s">
        <v>1718</v>
      </c>
      <c r="D2158" s="7" t="str">
        <f t="shared" si="309"/>
        <v>12Go Link</v>
      </c>
      <c r="E2158" s="6" t="s">
        <v>1623</v>
      </c>
    </row>
    <row r="2159">
      <c r="A2159" s="6" t="s">
        <v>1618</v>
      </c>
      <c r="B2159" s="6" t="s">
        <v>1617</v>
      </c>
      <c r="C2159" s="6" t="s">
        <v>1718</v>
      </c>
      <c r="D2159" s="7" t="str">
        <f t="shared" si="309"/>
        <v>12Go Link</v>
      </c>
      <c r="E2159" s="6" t="s">
        <v>1624</v>
      </c>
    </row>
    <row r="2160">
      <c r="A2160" s="6" t="s">
        <v>1618</v>
      </c>
      <c r="B2160" s="6" t="s">
        <v>1617</v>
      </c>
      <c r="C2160" s="6" t="s">
        <v>1718</v>
      </c>
      <c r="D2160" s="7" t="str">
        <f t="shared" si="309"/>
        <v>12Go Link</v>
      </c>
      <c r="E2160" s="6" t="s">
        <v>1625</v>
      </c>
    </row>
    <row r="2161">
      <c r="A2161" s="6" t="s">
        <v>1618</v>
      </c>
      <c r="B2161" s="6" t="s">
        <v>1617</v>
      </c>
      <c r="C2161" s="6" t="s">
        <v>1719</v>
      </c>
      <c r="D2161" s="7" t="str">
        <f t="shared" ref="D2161:D2166" si="310">HYPERLINK("https://12go.asia/en/travel/Layan-Transfer/Koh-Phi-Phi-Ton-Sai-Pier", "12Go Link")</f>
        <v>12Go Link</v>
      </c>
      <c r="E2161" s="6" t="s">
        <v>1620</v>
      </c>
    </row>
    <row r="2162">
      <c r="A2162" s="6" t="s">
        <v>1618</v>
      </c>
      <c r="B2162" s="6" t="s">
        <v>1617</v>
      </c>
      <c r="C2162" s="6" t="s">
        <v>1719</v>
      </c>
      <c r="D2162" s="7" t="str">
        <f t="shared" si="310"/>
        <v>12Go Link</v>
      </c>
      <c r="E2162" s="6" t="s">
        <v>1621</v>
      </c>
    </row>
    <row r="2163">
      <c r="A2163" s="6" t="s">
        <v>1618</v>
      </c>
      <c r="B2163" s="6" t="s">
        <v>1617</v>
      </c>
      <c r="C2163" s="6" t="s">
        <v>1719</v>
      </c>
      <c r="D2163" s="7" t="str">
        <f t="shared" si="310"/>
        <v>12Go Link</v>
      </c>
      <c r="E2163" s="6" t="s">
        <v>1622</v>
      </c>
    </row>
    <row r="2164">
      <c r="A2164" s="6" t="s">
        <v>1618</v>
      </c>
      <c r="B2164" s="6" t="s">
        <v>1617</v>
      </c>
      <c r="C2164" s="6" t="s">
        <v>1719</v>
      </c>
      <c r="D2164" s="7" t="str">
        <f t="shared" si="310"/>
        <v>12Go Link</v>
      </c>
      <c r="E2164" s="6" t="s">
        <v>1623</v>
      </c>
    </row>
    <row r="2165">
      <c r="A2165" s="6" t="s">
        <v>1618</v>
      </c>
      <c r="B2165" s="6" t="s">
        <v>1617</v>
      </c>
      <c r="C2165" s="6" t="s">
        <v>1719</v>
      </c>
      <c r="D2165" s="7" t="str">
        <f t="shared" si="310"/>
        <v>12Go Link</v>
      </c>
      <c r="E2165" s="6" t="s">
        <v>1624</v>
      </c>
    </row>
    <row r="2166">
      <c r="A2166" s="6" t="s">
        <v>1618</v>
      </c>
      <c r="B2166" s="6" t="s">
        <v>1617</v>
      </c>
      <c r="C2166" s="6" t="s">
        <v>1719</v>
      </c>
      <c r="D2166" s="7" t="str">
        <f t="shared" si="310"/>
        <v>12Go Link</v>
      </c>
      <c r="E2166" s="6" t="s">
        <v>1625</v>
      </c>
    </row>
    <row r="2167">
      <c r="A2167" s="6" t="s">
        <v>1618</v>
      </c>
      <c r="B2167" s="6" t="s">
        <v>1617</v>
      </c>
      <c r="C2167" s="6" t="s">
        <v>1720</v>
      </c>
      <c r="D2167" s="7" t="str">
        <f t="shared" ref="D2167:D2172" si="311">HYPERLINK("https://12go.asia/en/travel/Layan-Transfer/Laemtong-Pier-Koh-Phi-Phi", "12Go Link")</f>
        <v>12Go Link</v>
      </c>
      <c r="E2167" s="6" t="s">
        <v>1620</v>
      </c>
    </row>
    <row r="2168">
      <c r="A2168" s="6" t="s">
        <v>1618</v>
      </c>
      <c r="B2168" s="6" t="s">
        <v>1617</v>
      </c>
      <c r="C2168" s="6" t="s">
        <v>1720</v>
      </c>
      <c r="D2168" s="7" t="str">
        <f t="shared" si="311"/>
        <v>12Go Link</v>
      </c>
      <c r="E2168" s="6" t="s">
        <v>1621</v>
      </c>
    </row>
    <row r="2169">
      <c r="A2169" s="6" t="s">
        <v>1618</v>
      </c>
      <c r="B2169" s="6" t="s">
        <v>1617</v>
      </c>
      <c r="C2169" s="6" t="s">
        <v>1720</v>
      </c>
      <c r="D2169" s="7" t="str">
        <f t="shared" si="311"/>
        <v>12Go Link</v>
      </c>
      <c r="E2169" s="6" t="s">
        <v>1622</v>
      </c>
    </row>
    <row r="2170">
      <c r="A2170" s="6" t="s">
        <v>1618</v>
      </c>
      <c r="B2170" s="6" t="s">
        <v>1617</v>
      </c>
      <c r="C2170" s="6" t="s">
        <v>1720</v>
      </c>
      <c r="D2170" s="7" t="str">
        <f t="shared" si="311"/>
        <v>12Go Link</v>
      </c>
      <c r="E2170" s="6" t="s">
        <v>1623</v>
      </c>
    </row>
    <row r="2171">
      <c r="A2171" s="6" t="s">
        <v>1618</v>
      </c>
      <c r="B2171" s="6" t="s">
        <v>1617</v>
      </c>
      <c r="C2171" s="6" t="s">
        <v>1720</v>
      </c>
      <c r="D2171" s="7" t="str">
        <f t="shared" si="311"/>
        <v>12Go Link</v>
      </c>
      <c r="E2171" s="6" t="s">
        <v>1624</v>
      </c>
    </row>
    <row r="2172">
      <c r="A2172" s="6" t="s">
        <v>1618</v>
      </c>
      <c r="B2172" s="6" t="s">
        <v>1617</v>
      </c>
      <c r="C2172" s="6" t="s">
        <v>1720</v>
      </c>
      <c r="D2172" s="7" t="str">
        <f t="shared" si="311"/>
        <v>12Go Link</v>
      </c>
      <c r="E2172" s="6" t="s">
        <v>1625</v>
      </c>
    </row>
    <row r="2173">
      <c r="A2173" s="6" t="s">
        <v>1618</v>
      </c>
      <c r="B2173" s="6" t="s">
        <v>1617</v>
      </c>
      <c r="C2173" s="6" t="s">
        <v>1721</v>
      </c>
      <c r="D2173" s="7" t="str">
        <f t="shared" ref="D2173:D2178" si="312">HYPERLINK("https://12go.asia/en/travel/Mai-Khao-Beach/Koh-Phi-Phi-Ton-Sai-Pier", "12Go Link")</f>
        <v>12Go Link</v>
      </c>
      <c r="E2173" s="6" t="s">
        <v>1620</v>
      </c>
    </row>
    <row r="2174">
      <c r="A2174" s="6" t="s">
        <v>1618</v>
      </c>
      <c r="B2174" s="6" t="s">
        <v>1617</v>
      </c>
      <c r="C2174" s="6" t="s">
        <v>1721</v>
      </c>
      <c r="D2174" s="7" t="str">
        <f t="shared" si="312"/>
        <v>12Go Link</v>
      </c>
      <c r="E2174" s="6" t="s">
        <v>1621</v>
      </c>
    </row>
    <row r="2175">
      <c r="A2175" s="6" t="s">
        <v>1618</v>
      </c>
      <c r="B2175" s="6" t="s">
        <v>1617</v>
      </c>
      <c r="C2175" s="6" t="s">
        <v>1721</v>
      </c>
      <c r="D2175" s="7" t="str">
        <f t="shared" si="312"/>
        <v>12Go Link</v>
      </c>
      <c r="E2175" s="6" t="s">
        <v>1622</v>
      </c>
    </row>
    <row r="2176">
      <c r="A2176" s="6" t="s">
        <v>1618</v>
      </c>
      <c r="B2176" s="6" t="s">
        <v>1617</v>
      </c>
      <c r="C2176" s="6" t="s">
        <v>1721</v>
      </c>
      <c r="D2176" s="7" t="str">
        <f t="shared" si="312"/>
        <v>12Go Link</v>
      </c>
      <c r="E2176" s="6" t="s">
        <v>1623</v>
      </c>
    </row>
    <row r="2177">
      <c r="A2177" s="6" t="s">
        <v>1618</v>
      </c>
      <c r="B2177" s="6" t="s">
        <v>1617</v>
      </c>
      <c r="C2177" s="6" t="s">
        <v>1721</v>
      </c>
      <c r="D2177" s="7" t="str">
        <f t="shared" si="312"/>
        <v>12Go Link</v>
      </c>
      <c r="E2177" s="6" t="s">
        <v>1624</v>
      </c>
    </row>
    <row r="2178">
      <c r="A2178" s="6" t="s">
        <v>1618</v>
      </c>
      <c r="B2178" s="6" t="s">
        <v>1617</v>
      </c>
      <c r="C2178" s="6" t="s">
        <v>1721</v>
      </c>
      <c r="D2178" s="7" t="str">
        <f t="shared" si="312"/>
        <v>12Go Link</v>
      </c>
      <c r="E2178" s="6" t="s">
        <v>1625</v>
      </c>
    </row>
    <row r="2179">
      <c r="A2179" s="6" t="s">
        <v>1618</v>
      </c>
      <c r="B2179" s="6" t="s">
        <v>1617</v>
      </c>
      <c r="C2179" s="6" t="s">
        <v>1722</v>
      </c>
      <c r="D2179" s="7" t="str">
        <f t="shared" ref="D2179:D2184" si="313">HYPERLINK("https://12go.asia/en/travel/Mai-Khao-Beach/Laemtong-Pier-Koh-Phi-Phi", "12Go Link")</f>
        <v>12Go Link</v>
      </c>
      <c r="E2179" s="6" t="s">
        <v>1620</v>
      </c>
    </row>
    <row r="2180">
      <c r="A2180" s="6" t="s">
        <v>1618</v>
      </c>
      <c r="B2180" s="6" t="s">
        <v>1617</v>
      </c>
      <c r="C2180" s="6" t="s">
        <v>1722</v>
      </c>
      <c r="D2180" s="7" t="str">
        <f t="shared" si="313"/>
        <v>12Go Link</v>
      </c>
      <c r="E2180" s="6" t="s">
        <v>1621</v>
      </c>
    </row>
    <row r="2181">
      <c r="A2181" s="6" t="s">
        <v>1618</v>
      </c>
      <c r="B2181" s="6" t="s">
        <v>1617</v>
      </c>
      <c r="C2181" s="6" t="s">
        <v>1722</v>
      </c>
      <c r="D2181" s="7" t="str">
        <f t="shared" si="313"/>
        <v>12Go Link</v>
      </c>
      <c r="E2181" s="6" t="s">
        <v>1622</v>
      </c>
    </row>
    <row r="2182">
      <c r="A2182" s="6" t="s">
        <v>1618</v>
      </c>
      <c r="B2182" s="6" t="s">
        <v>1617</v>
      </c>
      <c r="C2182" s="6" t="s">
        <v>1722</v>
      </c>
      <c r="D2182" s="7" t="str">
        <f t="shared" si="313"/>
        <v>12Go Link</v>
      </c>
      <c r="E2182" s="6" t="s">
        <v>1623</v>
      </c>
    </row>
    <row r="2183">
      <c r="A2183" s="6" t="s">
        <v>1618</v>
      </c>
      <c r="B2183" s="6" t="s">
        <v>1617</v>
      </c>
      <c r="C2183" s="6" t="s">
        <v>1722</v>
      </c>
      <c r="D2183" s="7" t="str">
        <f t="shared" si="313"/>
        <v>12Go Link</v>
      </c>
      <c r="E2183" s="6" t="s">
        <v>1624</v>
      </c>
    </row>
    <row r="2184">
      <c r="A2184" s="6" t="s">
        <v>1618</v>
      </c>
      <c r="B2184" s="6" t="s">
        <v>1617</v>
      </c>
      <c r="C2184" s="6" t="s">
        <v>1722</v>
      </c>
      <c r="D2184" s="7" t="str">
        <f t="shared" si="313"/>
        <v>12Go Link</v>
      </c>
      <c r="E2184" s="6" t="s">
        <v>1625</v>
      </c>
    </row>
    <row r="2185">
      <c r="A2185" s="6" t="s">
        <v>1618</v>
      </c>
      <c r="B2185" s="6" t="s">
        <v>1617</v>
      </c>
      <c r="C2185" s="6" t="s">
        <v>1723</v>
      </c>
      <c r="D2185" s="7" t="str">
        <f t="shared" ref="D2185:D2190" si="314">HYPERLINK("https://12go.asia/en/travel/Nai-Thon-Transfer/Koh-Phi-Phi-Ton-Sai-Pier", "12Go Link")</f>
        <v>12Go Link</v>
      </c>
      <c r="E2185" s="6" t="s">
        <v>1620</v>
      </c>
    </row>
    <row r="2186">
      <c r="A2186" s="6" t="s">
        <v>1618</v>
      </c>
      <c r="B2186" s="6" t="s">
        <v>1617</v>
      </c>
      <c r="C2186" s="6" t="s">
        <v>1723</v>
      </c>
      <c r="D2186" s="7" t="str">
        <f t="shared" si="314"/>
        <v>12Go Link</v>
      </c>
      <c r="E2186" s="6" t="s">
        <v>1621</v>
      </c>
    </row>
    <row r="2187">
      <c r="A2187" s="6" t="s">
        <v>1618</v>
      </c>
      <c r="B2187" s="6" t="s">
        <v>1617</v>
      </c>
      <c r="C2187" s="6" t="s">
        <v>1723</v>
      </c>
      <c r="D2187" s="7" t="str">
        <f t="shared" si="314"/>
        <v>12Go Link</v>
      </c>
      <c r="E2187" s="6" t="s">
        <v>1622</v>
      </c>
    </row>
    <row r="2188">
      <c r="A2188" s="6" t="s">
        <v>1618</v>
      </c>
      <c r="B2188" s="6" t="s">
        <v>1617</v>
      </c>
      <c r="C2188" s="6" t="s">
        <v>1723</v>
      </c>
      <c r="D2188" s="7" t="str">
        <f t="shared" si="314"/>
        <v>12Go Link</v>
      </c>
      <c r="E2188" s="6" t="s">
        <v>1623</v>
      </c>
    </row>
    <row r="2189">
      <c r="A2189" s="6" t="s">
        <v>1618</v>
      </c>
      <c r="B2189" s="6" t="s">
        <v>1617</v>
      </c>
      <c r="C2189" s="6" t="s">
        <v>1723</v>
      </c>
      <c r="D2189" s="7" t="str">
        <f t="shared" si="314"/>
        <v>12Go Link</v>
      </c>
      <c r="E2189" s="6" t="s">
        <v>1624</v>
      </c>
    </row>
    <row r="2190">
      <c r="A2190" s="6" t="s">
        <v>1618</v>
      </c>
      <c r="B2190" s="6" t="s">
        <v>1617</v>
      </c>
      <c r="C2190" s="6" t="s">
        <v>1723</v>
      </c>
      <c r="D2190" s="7" t="str">
        <f t="shared" si="314"/>
        <v>12Go Link</v>
      </c>
      <c r="E2190" s="6" t="s">
        <v>1625</v>
      </c>
    </row>
    <row r="2191">
      <c r="A2191" s="6" t="s">
        <v>1618</v>
      </c>
      <c r="B2191" s="6" t="s">
        <v>1617</v>
      </c>
      <c r="C2191" s="6" t="s">
        <v>1724</v>
      </c>
      <c r="D2191" s="7" t="str">
        <f t="shared" ref="D2191:D2196" si="315">HYPERLINK("https://12go.asia/en/travel/Nai-Thon-Transfer/Laemtong-Pier-Koh-Phi-Phi", "12Go Link")</f>
        <v>12Go Link</v>
      </c>
      <c r="E2191" s="6" t="s">
        <v>1620</v>
      </c>
    </row>
    <row r="2192">
      <c r="A2192" s="6" t="s">
        <v>1618</v>
      </c>
      <c r="B2192" s="6" t="s">
        <v>1617</v>
      </c>
      <c r="C2192" s="6" t="s">
        <v>1724</v>
      </c>
      <c r="D2192" s="7" t="str">
        <f t="shared" si="315"/>
        <v>12Go Link</v>
      </c>
      <c r="E2192" s="6" t="s">
        <v>1621</v>
      </c>
    </row>
    <row r="2193">
      <c r="A2193" s="6" t="s">
        <v>1618</v>
      </c>
      <c r="B2193" s="6" t="s">
        <v>1617</v>
      </c>
      <c r="C2193" s="6" t="s">
        <v>1724</v>
      </c>
      <c r="D2193" s="7" t="str">
        <f t="shared" si="315"/>
        <v>12Go Link</v>
      </c>
      <c r="E2193" s="6" t="s">
        <v>1622</v>
      </c>
    </row>
    <row r="2194">
      <c r="A2194" s="6" t="s">
        <v>1618</v>
      </c>
      <c r="B2194" s="6" t="s">
        <v>1617</v>
      </c>
      <c r="C2194" s="6" t="s">
        <v>1724</v>
      </c>
      <c r="D2194" s="7" t="str">
        <f t="shared" si="315"/>
        <v>12Go Link</v>
      </c>
      <c r="E2194" s="6" t="s">
        <v>1623</v>
      </c>
    </row>
    <row r="2195">
      <c r="A2195" s="6" t="s">
        <v>1618</v>
      </c>
      <c r="B2195" s="6" t="s">
        <v>1617</v>
      </c>
      <c r="C2195" s="6" t="s">
        <v>1724</v>
      </c>
      <c r="D2195" s="7" t="str">
        <f t="shared" si="315"/>
        <v>12Go Link</v>
      </c>
      <c r="E2195" s="6" t="s">
        <v>1624</v>
      </c>
    </row>
    <row r="2196">
      <c r="A2196" s="6" t="s">
        <v>1618</v>
      </c>
      <c r="B2196" s="6" t="s">
        <v>1617</v>
      </c>
      <c r="C2196" s="6" t="s">
        <v>1724</v>
      </c>
      <c r="D2196" s="7" t="str">
        <f t="shared" si="315"/>
        <v>12Go Link</v>
      </c>
      <c r="E2196" s="6" t="s">
        <v>1625</v>
      </c>
    </row>
    <row r="2197">
      <c r="A2197" s="6" t="s">
        <v>1618</v>
      </c>
      <c r="B2197" s="6" t="s">
        <v>1617</v>
      </c>
      <c r="C2197" s="6" t="s">
        <v>1725</v>
      </c>
      <c r="D2197" s="7" t="str">
        <f t="shared" ref="D2197:D2202" si="316">HYPERLINK("https://12go.asia/en/travel/Naihan-Transfer/Koh-Phi-Phi-Ton-Sai-Pier", "12Go Link")</f>
        <v>12Go Link</v>
      </c>
      <c r="E2197" s="6" t="s">
        <v>1620</v>
      </c>
    </row>
    <row r="2198">
      <c r="A2198" s="6" t="s">
        <v>1618</v>
      </c>
      <c r="B2198" s="6" t="s">
        <v>1617</v>
      </c>
      <c r="C2198" s="6" t="s">
        <v>1725</v>
      </c>
      <c r="D2198" s="7" t="str">
        <f t="shared" si="316"/>
        <v>12Go Link</v>
      </c>
      <c r="E2198" s="6" t="s">
        <v>1621</v>
      </c>
    </row>
    <row r="2199">
      <c r="A2199" s="6" t="s">
        <v>1618</v>
      </c>
      <c r="B2199" s="6" t="s">
        <v>1617</v>
      </c>
      <c r="C2199" s="6" t="s">
        <v>1725</v>
      </c>
      <c r="D2199" s="7" t="str">
        <f t="shared" si="316"/>
        <v>12Go Link</v>
      </c>
      <c r="E2199" s="6" t="s">
        <v>1622</v>
      </c>
    </row>
    <row r="2200">
      <c r="A2200" s="6" t="s">
        <v>1618</v>
      </c>
      <c r="B2200" s="6" t="s">
        <v>1617</v>
      </c>
      <c r="C2200" s="6" t="s">
        <v>1725</v>
      </c>
      <c r="D2200" s="7" t="str">
        <f t="shared" si="316"/>
        <v>12Go Link</v>
      </c>
      <c r="E2200" s="6" t="s">
        <v>1623</v>
      </c>
    </row>
    <row r="2201">
      <c r="A2201" s="6" t="s">
        <v>1618</v>
      </c>
      <c r="B2201" s="6" t="s">
        <v>1617</v>
      </c>
      <c r="C2201" s="6" t="s">
        <v>1725</v>
      </c>
      <c r="D2201" s="7" t="str">
        <f t="shared" si="316"/>
        <v>12Go Link</v>
      </c>
      <c r="E2201" s="6" t="s">
        <v>1624</v>
      </c>
    </row>
    <row r="2202">
      <c r="A2202" s="6" t="s">
        <v>1618</v>
      </c>
      <c r="B2202" s="6" t="s">
        <v>1617</v>
      </c>
      <c r="C2202" s="6" t="s">
        <v>1725</v>
      </c>
      <c r="D2202" s="7" t="str">
        <f t="shared" si="316"/>
        <v>12Go Link</v>
      </c>
      <c r="E2202" s="6" t="s">
        <v>1625</v>
      </c>
    </row>
    <row r="2203">
      <c r="A2203" s="6" t="s">
        <v>1618</v>
      </c>
      <c r="B2203" s="6" t="s">
        <v>1617</v>
      </c>
      <c r="C2203" s="6" t="s">
        <v>1726</v>
      </c>
      <c r="D2203" s="7" t="str">
        <f t="shared" ref="D2203:D2208" si="317">HYPERLINK("https://12go.asia/en/travel/Naihan-Transfer/Laemtong-Pier-Koh-Phi-Phi", "12Go Link")</f>
        <v>12Go Link</v>
      </c>
      <c r="E2203" s="6" t="s">
        <v>1620</v>
      </c>
    </row>
    <row r="2204">
      <c r="A2204" s="6" t="s">
        <v>1618</v>
      </c>
      <c r="B2204" s="6" t="s">
        <v>1617</v>
      </c>
      <c r="C2204" s="6" t="s">
        <v>1726</v>
      </c>
      <c r="D2204" s="7" t="str">
        <f t="shared" si="317"/>
        <v>12Go Link</v>
      </c>
      <c r="E2204" s="6" t="s">
        <v>1621</v>
      </c>
    </row>
    <row r="2205">
      <c r="A2205" s="6" t="s">
        <v>1618</v>
      </c>
      <c r="B2205" s="6" t="s">
        <v>1617</v>
      </c>
      <c r="C2205" s="6" t="s">
        <v>1726</v>
      </c>
      <c r="D2205" s="7" t="str">
        <f t="shared" si="317"/>
        <v>12Go Link</v>
      </c>
      <c r="E2205" s="6" t="s">
        <v>1622</v>
      </c>
    </row>
    <row r="2206">
      <c r="A2206" s="6" t="s">
        <v>1618</v>
      </c>
      <c r="B2206" s="6" t="s">
        <v>1617</v>
      </c>
      <c r="C2206" s="6" t="s">
        <v>1726</v>
      </c>
      <c r="D2206" s="7" t="str">
        <f t="shared" si="317"/>
        <v>12Go Link</v>
      </c>
      <c r="E2206" s="6" t="s">
        <v>1623</v>
      </c>
    </row>
    <row r="2207">
      <c r="A2207" s="6" t="s">
        <v>1618</v>
      </c>
      <c r="B2207" s="6" t="s">
        <v>1617</v>
      </c>
      <c r="C2207" s="6" t="s">
        <v>1726</v>
      </c>
      <c r="D2207" s="7" t="str">
        <f t="shared" si="317"/>
        <v>12Go Link</v>
      </c>
      <c r="E2207" s="6" t="s">
        <v>1624</v>
      </c>
    </row>
    <row r="2208">
      <c r="A2208" s="6" t="s">
        <v>1618</v>
      </c>
      <c r="B2208" s="6" t="s">
        <v>1617</v>
      </c>
      <c r="C2208" s="6" t="s">
        <v>1726</v>
      </c>
      <c r="D2208" s="7" t="str">
        <f t="shared" si="317"/>
        <v>12Go Link</v>
      </c>
      <c r="E2208" s="6" t="s">
        <v>1625</v>
      </c>
    </row>
    <row r="2209">
      <c r="A2209" s="6" t="s">
        <v>1618</v>
      </c>
      <c r="B2209" s="6" t="s">
        <v>1617</v>
      </c>
      <c r="C2209" s="6" t="s">
        <v>1727</v>
      </c>
      <c r="D2209" s="7" t="str">
        <f t="shared" ref="D2209:D2214" si="318">HYPERLINK("https://12go.asia/en/travel/Naiyang-Transfer/Koh-Phi-Phi-Ton-Sai-Pier", "12Go Link")</f>
        <v>12Go Link</v>
      </c>
      <c r="E2209" s="6" t="s">
        <v>1620</v>
      </c>
    </row>
    <row r="2210">
      <c r="A2210" s="6" t="s">
        <v>1618</v>
      </c>
      <c r="B2210" s="6" t="s">
        <v>1617</v>
      </c>
      <c r="C2210" s="6" t="s">
        <v>1727</v>
      </c>
      <c r="D2210" s="7" t="str">
        <f t="shared" si="318"/>
        <v>12Go Link</v>
      </c>
      <c r="E2210" s="6" t="s">
        <v>1621</v>
      </c>
    </row>
    <row r="2211">
      <c r="A2211" s="6" t="s">
        <v>1618</v>
      </c>
      <c r="B2211" s="6" t="s">
        <v>1617</v>
      </c>
      <c r="C2211" s="6" t="s">
        <v>1727</v>
      </c>
      <c r="D2211" s="7" t="str">
        <f t="shared" si="318"/>
        <v>12Go Link</v>
      </c>
      <c r="E2211" s="6" t="s">
        <v>1622</v>
      </c>
    </row>
    <row r="2212">
      <c r="A2212" s="6" t="s">
        <v>1618</v>
      </c>
      <c r="B2212" s="6" t="s">
        <v>1617</v>
      </c>
      <c r="C2212" s="6" t="s">
        <v>1727</v>
      </c>
      <c r="D2212" s="7" t="str">
        <f t="shared" si="318"/>
        <v>12Go Link</v>
      </c>
      <c r="E2212" s="6" t="s">
        <v>1623</v>
      </c>
    </row>
    <row r="2213">
      <c r="A2213" s="6" t="s">
        <v>1618</v>
      </c>
      <c r="B2213" s="6" t="s">
        <v>1617</v>
      </c>
      <c r="C2213" s="6" t="s">
        <v>1727</v>
      </c>
      <c r="D2213" s="7" t="str">
        <f t="shared" si="318"/>
        <v>12Go Link</v>
      </c>
      <c r="E2213" s="6" t="s">
        <v>1624</v>
      </c>
    </row>
    <row r="2214">
      <c r="A2214" s="6" t="s">
        <v>1618</v>
      </c>
      <c r="B2214" s="6" t="s">
        <v>1617</v>
      </c>
      <c r="C2214" s="6" t="s">
        <v>1727</v>
      </c>
      <c r="D2214" s="7" t="str">
        <f t="shared" si="318"/>
        <v>12Go Link</v>
      </c>
      <c r="E2214" s="6" t="s">
        <v>1625</v>
      </c>
    </row>
    <row r="2215">
      <c r="A2215" s="6" t="s">
        <v>1618</v>
      </c>
      <c r="B2215" s="6" t="s">
        <v>1617</v>
      </c>
      <c r="C2215" s="6" t="s">
        <v>1728</v>
      </c>
      <c r="D2215" s="7" t="str">
        <f t="shared" ref="D2215:D2220" si="319">HYPERLINK("https://12go.asia/en/travel/Naiyang-Transfer/Laemtong-Pier-Koh-Phi-Phi", "12Go Link")</f>
        <v>12Go Link</v>
      </c>
      <c r="E2215" s="6" t="s">
        <v>1620</v>
      </c>
    </row>
    <row r="2216">
      <c r="A2216" s="6" t="s">
        <v>1618</v>
      </c>
      <c r="B2216" s="6" t="s">
        <v>1617</v>
      </c>
      <c r="C2216" s="6" t="s">
        <v>1728</v>
      </c>
      <c r="D2216" s="7" t="str">
        <f t="shared" si="319"/>
        <v>12Go Link</v>
      </c>
      <c r="E2216" s="6" t="s">
        <v>1621</v>
      </c>
    </row>
    <row r="2217">
      <c r="A2217" s="6" t="s">
        <v>1618</v>
      </c>
      <c r="B2217" s="6" t="s">
        <v>1617</v>
      </c>
      <c r="C2217" s="6" t="s">
        <v>1728</v>
      </c>
      <c r="D2217" s="7" t="str">
        <f t="shared" si="319"/>
        <v>12Go Link</v>
      </c>
      <c r="E2217" s="6" t="s">
        <v>1622</v>
      </c>
    </row>
    <row r="2218">
      <c r="A2218" s="6" t="s">
        <v>1618</v>
      </c>
      <c r="B2218" s="6" t="s">
        <v>1617</v>
      </c>
      <c r="C2218" s="6" t="s">
        <v>1728</v>
      </c>
      <c r="D2218" s="7" t="str">
        <f t="shared" si="319"/>
        <v>12Go Link</v>
      </c>
      <c r="E2218" s="6" t="s">
        <v>1623</v>
      </c>
    </row>
    <row r="2219">
      <c r="A2219" s="6" t="s">
        <v>1618</v>
      </c>
      <c r="B2219" s="6" t="s">
        <v>1617</v>
      </c>
      <c r="C2219" s="6" t="s">
        <v>1728</v>
      </c>
      <c r="D2219" s="7" t="str">
        <f t="shared" si="319"/>
        <v>12Go Link</v>
      </c>
      <c r="E2219" s="6" t="s">
        <v>1624</v>
      </c>
    </row>
    <row r="2220">
      <c r="A2220" s="6" t="s">
        <v>1618</v>
      </c>
      <c r="B2220" s="6" t="s">
        <v>1617</v>
      </c>
      <c r="C2220" s="6" t="s">
        <v>1728</v>
      </c>
      <c r="D2220" s="7" t="str">
        <f t="shared" si="319"/>
        <v>12Go Link</v>
      </c>
      <c r="E2220" s="6" t="s">
        <v>1625</v>
      </c>
    </row>
    <row r="2221">
      <c r="A2221" s="6" t="s">
        <v>1618</v>
      </c>
      <c r="B2221" s="6" t="s">
        <v>1617</v>
      </c>
      <c r="C2221" s="6" t="s">
        <v>1729</v>
      </c>
      <c r="D2221" s="7" t="str">
        <f t="shared" ref="D2221:D2226" si="320">HYPERLINK("https://12go.asia/en/travel/Patong-Beach-Hotel-Transfer/Koh-Phi-Phi-Ton-Sai-Pier", "12Go Link")</f>
        <v>12Go Link</v>
      </c>
      <c r="E2221" s="6" t="s">
        <v>1620</v>
      </c>
    </row>
    <row r="2222">
      <c r="A2222" s="6" t="s">
        <v>1618</v>
      </c>
      <c r="B2222" s="6" t="s">
        <v>1617</v>
      </c>
      <c r="C2222" s="6" t="s">
        <v>1729</v>
      </c>
      <c r="D2222" s="7" t="str">
        <f t="shared" si="320"/>
        <v>12Go Link</v>
      </c>
      <c r="E2222" s="6" t="s">
        <v>1621</v>
      </c>
    </row>
    <row r="2223">
      <c r="A2223" s="6" t="s">
        <v>1618</v>
      </c>
      <c r="B2223" s="6" t="s">
        <v>1617</v>
      </c>
      <c r="C2223" s="6" t="s">
        <v>1729</v>
      </c>
      <c r="D2223" s="7" t="str">
        <f t="shared" si="320"/>
        <v>12Go Link</v>
      </c>
      <c r="E2223" s="6" t="s">
        <v>1622</v>
      </c>
    </row>
    <row r="2224">
      <c r="A2224" s="6" t="s">
        <v>1618</v>
      </c>
      <c r="B2224" s="6" t="s">
        <v>1617</v>
      </c>
      <c r="C2224" s="6" t="s">
        <v>1729</v>
      </c>
      <c r="D2224" s="7" t="str">
        <f t="shared" si="320"/>
        <v>12Go Link</v>
      </c>
      <c r="E2224" s="6" t="s">
        <v>1623</v>
      </c>
    </row>
    <row r="2225">
      <c r="A2225" s="6" t="s">
        <v>1618</v>
      </c>
      <c r="B2225" s="6" t="s">
        <v>1617</v>
      </c>
      <c r="C2225" s="6" t="s">
        <v>1729</v>
      </c>
      <c r="D2225" s="7" t="str">
        <f t="shared" si="320"/>
        <v>12Go Link</v>
      </c>
      <c r="E2225" s="6" t="s">
        <v>1624</v>
      </c>
    </row>
    <row r="2226">
      <c r="A2226" s="6" t="s">
        <v>1618</v>
      </c>
      <c r="B2226" s="6" t="s">
        <v>1617</v>
      </c>
      <c r="C2226" s="6" t="s">
        <v>1729</v>
      </c>
      <c r="D2226" s="7" t="str">
        <f t="shared" si="320"/>
        <v>12Go Link</v>
      </c>
      <c r="E2226" s="6" t="s">
        <v>1625</v>
      </c>
    </row>
    <row r="2227">
      <c r="A2227" s="6" t="s">
        <v>1618</v>
      </c>
      <c r="B2227" s="6" t="s">
        <v>1617</v>
      </c>
      <c r="C2227" s="6" t="s">
        <v>1730</v>
      </c>
      <c r="D2227" s="7" t="str">
        <f t="shared" ref="D2227:D2232" si="321">HYPERLINK("https://12go.asia/en/travel/Patong-Beach-Hotel-Transfer/Laemtong-Pier-Koh-Phi-Phi", "12Go Link")</f>
        <v>12Go Link</v>
      </c>
      <c r="E2227" s="6" t="s">
        <v>1620</v>
      </c>
    </row>
    <row r="2228">
      <c r="A2228" s="6" t="s">
        <v>1618</v>
      </c>
      <c r="B2228" s="6" t="s">
        <v>1617</v>
      </c>
      <c r="C2228" s="6" t="s">
        <v>1730</v>
      </c>
      <c r="D2228" s="7" t="str">
        <f t="shared" si="321"/>
        <v>12Go Link</v>
      </c>
      <c r="E2228" s="6" t="s">
        <v>1621</v>
      </c>
    </row>
    <row r="2229">
      <c r="A2229" s="6" t="s">
        <v>1618</v>
      </c>
      <c r="B2229" s="6" t="s">
        <v>1617</v>
      </c>
      <c r="C2229" s="6" t="s">
        <v>1730</v>
      </c>
      <c r="D2229" s="7" t="str">
        <f t="shared" si="321"/>
        <v>12Go Link</v>
      </c>
      <c r="E2229" s="6" t="s">
        <v>1622</v>
      </c>
    </row>
    <row r="2230">
      <c r="A2230" s="6" t="s">
        <v>1618</v>
      </c>
      <c r="B2230" s="6" t="s">
        <v>1617</v>
      </c>
      <c r="C2230" s="6" t="s">
        <v>1730</v>
      </c>
      <c r="D2230" s="7" t="str">
        <f t="shared" si="321"/>
        <v>12Go Link</v>
      </c>
      <c r="E2230" s="6" t="s">
        <v>1623</v>
      </c>
    </row>
    <row r="2231">
      <c r="A2231" s="6" t="s">
        <v>1618</v>
      </c>
      <c r="B2231" s="6" t="s">
        <v>1617</v>
      </c>
      <c r="C2231" s="6" t="s">
        <v>1730</v>
      </c>
      <c r="D2231" s="7" t="str">
        <f t="shared" si="321"/>
        <v>12Go Link</v>
      </c>
      <c r="E2231" s="6" t="s">
        <v>1624</v>
      </c>
    </row>
    <row r="2232">
      <c r="A2232" s="6" t="s">
        <v>1618</v>
      </c>
      <c r="B2232" s="6" t="s">
        <v>1617</v>
      </c>
      <c r="C2232" s="6" t="s">
        <v>1730</v>
      </c>
      <c r="D2232" s="7" t="str">
        <f t="shared" si="321"/>
        <v>12Go Link</v>
      </c>
      <c r="E2232" s="6" t="s">
        <v>1625</v>
      </c>
    </row>
    <row r="2233">
      <c r="A2233" s="6" t="s">
        <v>1618</v>
      </c>
      <c r="B2233" s="6" t="s">
        <v>1617</v>
      </c>
      <c r="C2233" s="6" t="s">
        <v>1731</v>
      </c>
      <c r="D2233" s="7" t="str">
        <f t="shared" ref="D2233:D2238" si="322">HYPERLINK("https://12go.asia/en/travel/Phuket-Airport/Koh-Phi-Phi-Ton-Sai-Pier", "12Go Link")</f>
        <v>12Go Link</v>
      </c>
      <c r="E2233" s="6" t="s">
        <v>1620</v>
      </c>
    </row>
    <row r="2234">
      <c r="A2234" s="6" t="s">
        <v>1618</v>
      </c>
      <c r="B2234" s="6" t="s">
        <v>1617</v>
      </c>
      <c r="C2234" s="6" t="s">
        <v>1731</v>
      </c>
      <c r="D2234" s="7" t="str">
        <f t="shared" si="322"/>
        <v>12Go Link</v>
      </c>
      <c r="E2234" s="6" t="s">
        <v>1621</v>
      </c>
    </row>
    <row r="2235">
      <c r="A2235" s="6" t="s">
        <v>1618</v>
      </c>
      <c r="B2235" s="6" t="s">
        <v>1617</v>
      </c>
      <c r="C2235" s="6" t="s">
        <v>1731</v>
      </c>
      <c r="D2235" s="7" t="str">
        <f t="shared" si="322"/>
        <v>12Go Link</v>
      </c>
      <c r="E2235" s="6" t="s">
        <v>1622</v>
      </c>
    </row>
    <row r="2236">
      <c r="A2236" s="6" t="s">
        <v>1618</v>
      </c>
      <c r="B2236" s="6" t="s">
        <v>1617</v>
      </c>
      <c r="C2236" s="6" t="s">
        <v>1731</v>
      </c>
      <c r="D2236" s="7" t="str">
        <f t="shared" si="322"/>
        <v>12Go Link</v>
      </c>
      <c r="E2236" s="6" t="s">
        <v>1623</v>
      </c>
    </row>
    <row r="2237">
      <c r="A2237" s="6" t="s">
        <v>1618</v>
      </c>
      <c r="B2237" s="6" t="s">
        <v>1617</v>
      </c>
      <c r="C2237" s="6" t="s">
        <v>1731</v>
      </c>
      <c r="D2237" s="7" t="str">
        <f t="shared" si="322"/>
        <v>12Go Link</v>
      </c>
      <c r="E2237" s="6" t="s">
        <v>1624</v>
      </c>
    </row>
    <row r="2238">
      <c r="A2238" s="6" t="s">
        <v>1618</v>
      </c>
      <c r="B2238" s="6" t="s">
        <v>1617</v>
      </c>
      <c r="C2238" s="6" t="s">
        <v>1731</v>
      </c>
      <c r="D2238" s="7" t="str">
        <f t="shared" si="322"/>
        <v>12Go Link</v>
      </c>
      <c r="E2238" s="6" t="s">
        <v>1625</v>
      </c>
    </row>
    <row r="2239">
      <c r="A2239" s="6" t="s">
        <v>1618</v>
      </c>
      <c r="B2239" s="6" t="s">
        <v>1617</v>
      </c>
      <c r="C2239" s="6" t="s">
        <v>1732</v>
      </c>
      <c r="D2239" s="7" t="str">
        <f t="shared" ref="D2239:D2244" si="323">HYPERLINK("https://12go.asia/en/travel/Phuket-Airport/Laemtong-Pier-Koh-Phi-Phi", "12Go Link")</f>
        <v>12Go Link</v>
      </c>
      <c r="E2239" s="6" t="s">
        <v>1620</v>
      </c>
    </row>
    <row r="2240">
      <c r="A2240" s="6" t="s">
        <v>1618</v>
      </c>
      <c r="B2240" s="6" t="s">
        <v>1617</v>
      </c>
      <c r="C2240" s="6" t="s">
        <v>1732</v>
      </c>
      <c r="D2240" s="7" t="str">
        <f t="shared" si="323"/>
        <v>12Go Link</v>
      </c>
      <c r="E2240" s="6" t="s">
        <v>1621</v>
      </c>
    </row>
    <row r="2241">
      <c r="A2241" s="6" t="s">
        <v>1618</v>
      </c>
      <c r="B2241" s="6" t="s">
        <v>1617</v>
      </c>
      <c r="C2241" s="6" t="s">
        <v>1732</v>
      </c>
      <c r="D2241" s="7" t="str">
        <f t="shared" si="323"/>
        <v>12Go Link</v>
      </c>
      <c r="E2241" s="6" t="s">
        <v>1622</v>
      </c>
    </row>
    <row r="2242">
      <c r="A2242" s="6" t="s">
        <v>1618</v>
      </c>
      <c r="B2242" s="6" t="s">
        <v>1617</v>
      </c>
      <c r="C2242" s="6" t="s">
        <v>1732</v>
      </c>
      <c r="D2242" s="7" t="str">
        <f t="shared" si="323"/>
        <v>12Go Link</v>
      </c>
      <c r="E2242" s="6" t="s">
        <v>1623</v>
      </c>
    </row>
    <row r="2243">
      <c r="A2243" s="6" t="s">
        <v>1618</v>
      </c>
      <c r="B2243" s="6" t="s">
        <v>1617</v>
      </c>
      <c r="C2243" s="6" t="s">
        <v>1732</v>
      </c>
      <c r="D2243" s="7" t="str">
        <f t="shared" si="323"/>
        <v>12Go Link</v>
      </c>
      <c r="E2243" s="6" t="s">
        <v>1624</v>
      </c>
    </row>
    <row r="2244">
      <c r="A2244" s="6" t="s">
        <v>1618</v>
      </c>
      <c r="B2244" s="6" t="s">
        <v>1617</v>
      </c>
      <c r="C2244" s="6" t="s">
        <v>1732</v>
      </c>
      <c r="D2244" s="7" t="str">
        <f t="shared" si="323"/>
        <v>12Go Link</v>
      </c>
      <c r="E2244" s="6" t="s">
        <v>1625</v>
      </c>
    </row>
    <row r="2245">
      <c r="A2245" s="6" t="s">
        <v>1618</v>
      </c>
      <c r="B2245" s="6" t="s">
        <v>1617</v>
      </c>
      <c r="C2245" s="6" t="s">
        <v>1733</v>
      </c>
      <c r="D2245" s="7" t="str">
        <f t="shared" ref="D2245:D2250" si="324">HYPERLINK("https://12go.asia/en/travel/Phuket-Chalong-Hotel-Transfer/Koh-Phi-Phi-Ton-Sai-Pier", "12Go Link")</f>
        <v>12Go Link</v>
      </c>
      <c r="E2245" s="6" t="s">
        <v>1620</v>
      </c>
    </row>
    <row r="2246">
      <c r="A2246" s="6" t="s">
        <v>1618</v>
      </c>
      <c r="B2246" s="6" t="s">
        <v>1617</v>
      </c>
      <c r="C2246" s="6" t="s">
        <v>1733</v>
      </c>
      <c r="D2246" s="7" t="str">
        <f t="shared" si="324"/>
        <v>12Go Link</v>
      </c>
      <c r="E2246" s="6" t="s">
        <v>1621</v>
      </c>
    </row>
    <row r="2247">
      <c r="A2247" s="6" t="s">
        <v>1618</v>
      </c>
      <c r="B2247" s="6" t="s">
        <v>1617</v>
      </c>
      <c r="C2247" s="6" t="s">
        <v>1733</v>
      </c>
      <c r="D2247" s="7" t="str">
        <f t="shared" si="324"/>
        <v>12Go Link</v>
      </c>
      <c r="E2247" s="6" t="s">
        <v>1622</v>
      </c>
    </row>
    <row r="2248">
      <c r="A2248" s="6" t="s">
        <v>1618</v>
      </c>
      <c r="B2248" s="6" t="s">
        <v>1617</v>
      </c>
      <c r="C2248" s="6" t="s">
        <v>1733</v>
      </c>
      <c r="D2248" s="7" t="str">
        <f t="shared" si="324"/>
        <v>12Go Link</v>
      </c>
      <c r="E2248" s="6" t="s">
        <v>1623</v>
      </c>
    </row>
    <row r="2249">
      <c r="A2249" s="6" t="s">
        <v>1618</v>
      </c>
      <c r="B2249" s="6" t="s">
        <v>1617</v>
      </c>
      <c r="C2249" s="6" t="s">
        <v>1733</v>
      </c>
      <c r="D2249" s="7" t="str">
        <f t="shared" si="324"/>
        <v>12Go Link</v>
      </c>
      <c r="E2249" s="6" t="s">
        <v>1624</v>
      </c>
    </row>
    <row r="2250">
      <c r="A2250" s="6" t="s">
        <v>1618</v>
      </c>
      <c r="B2250" s="6" t="s">
        <v>1617</v>
      </c>
      <c r="C2250" s="6" t="s">
        <v>1733</v>
      </c>
      <c r="D2250" s="7" t="str">
        <f t="shared" si="324"/>
        <v>12Go Link</v>
      </c>
      <c r="E2250" s="6" t="s">
        <v>1625</v>
      </c>
    </row>
    <row r="2251">
      <c r="A2251" s="6" t="s">
        <v>1618</v>
      </c>
      <c r="B2251" s="6" t="s">
        <v>1617</v>
      </c>
      <c r="C2251" s="6" t="s">
        <v>1734</v>
      </c>
      <c r="D2251" s="7" t="str">
        <f t="shared" ref="D2251:D2256" si="325">HYPERLINK("https://12go.asia/en/travel/Phuket-Chalong-Hotel-Transfer/Laemtong-Pier-Koh-Phi-Phi", "12Go Link")</f>
        <v>12Go Link</v>
      </c>
      <c r="E2251" s="6" t="s">
        <v>1620</v>
      </c>
    </row>
    <row r="2252">
      <c r="A2252" s="6" t="s">
        <v>1618</v>
      </c>
      <c r="B2252" s="6" t="s">
        <v>1617</v>
      </c>
      <c r="C2252" s="6" t="s">
        <v>1734</v>
      </c>
      <c r="D2252" s="7" t="str">
        <f t="shared" si="325"/>
        <v>12Go Link</v>
      </c>
      <c r="E2252" s="6" t="s">
        <v>1621</v>
      </c>
    </row>
    <row r="2253">
      <c r="A2253" s="6" t="s">
        <v>1618</v>
      </c>
      <c r="B2253" s="6" t="s">
        <v>1617</v>
      </c>
      <c r="C2253" s="6" t="s">
        <v>1734</v>
      </c>
      <c r="D2253" s="7" t="str">
        <f t="shared" si="325"/>
        <v>12Go Link</v>
      </c>
      <c r="E2253" s="6" t="s">
        <v>1622</v>
      </c>
    </row>
    <row r="2254">
      <c r="A2254" s="6" t="s">
        <v>1618</v>
      </c>
      <c r="B2254" s="6" t="s">
        <v>1617</v>
      </c>
      <c r="C2254" s="6" t="s">
        <v>1734</v>
      </c>
      <c r="D2254" s="7" t="str">
        <f t="shared" si="325"/>
        <v>12Go Link</v>
      </c>
      <c r="E2254" s="6" t="s">
        <v>1623</v>
      </c>
    </row>
    <row r="2255">
      <c r="A2255" s="6" t="s">
        <v>1618</v>
      </c>
      <c r="B2255" s="6" t="s">
        <v>1617</v>
      </c>
      <c r="C2255" s="6" t="s">
        <v>1734</v>
      </c>
      <c r="D2255" s="7" t="str">
        <f t="shared" si="325"/>
        <v>12Go Link</v>
      </c>
      <c r="E2255" s="6" t="s">
        <v>1624</v>
      </c>
    </row>
    <row r="2256">
      <c r="A2256" s="6" t="s">
        <v>1618</v>
      </c>
      <c r="B2256" s="6" t="s">
        <v>1617</v>
      </c>
      <c r="C2256" s="6" t="s">
        <v>1734</v>
      </c>
      <c r="D2256" s="7" t="str">
        <f t="shared" si="325"/>
        <v>12Go Link</v>
      </c>
      <c r="E2256" s="6" t="s">
        <v>1625</v>
      </c>
    </row>
    <row r="2257">
      <c r="A2257" s="6" t="s">
        <v>1618</v>
      </c>
      <c r="B2257" s="6" t="s">
        <v>1617</v>
      </c>
      <c r="C2257" s="6" t="s">
        <v>1735</v>
      </c>
      <c r="D2257" s="7" t="str">
        <f t="shared" ref="D2257:D2262" si="326">HYPERLINK("https://12go.asia/en/travel/Phuket-Kalim-Hotel-Transfer/Koh-Phi-Phi-Ton-Sai-Pier", "12Go Link")</f>
        <v>12Go Link</v>
      </c>
      <c r="E2257" s="6" t="s">
        <v>1620</v>
      </c>
    </row>
    <row r="2258">
      <c r="A2258" s="6" t="s">
        <v>1618</v>
      </c>
      <c r="B2258" s="6" t="s">
        <v>1617</v>
      </c>
      <c r="C2258" s="6" t="s">
        <v>1735</v>
      </c>
      <c r="D2258" s="7" t="str">
        <f t="shared" si="326"/>
        <v>12Go Link</v>
      </c>
      <c r="E2258" s="6" t="s">
        <v>1621</v>
      </c>
    </row>
    <row r="2259">
      <c r="A2259" s="6" t="s">
        <v>1618</v>
      </c>
      <c r="B2259" s="6" t="s">
        <v>1617</v>
      </c>
      <c r="C2259" s="6" t="s">
        <v>1735</v>
      </c>
      <c r="D2259" s="7" t="str">
        <f t="shared" si="326"/>
        <v>12Go Link</v>
      </c>
      <c r="E2259" s="6" t="s">
        <v>1622</v>
      </c>
    </row>
    <row r="2260">
      <c r="A2260" s="6" t="s">
        <v>1618</v>
      </c>
      <c r="B2260" s="6" t="s">
        <v>1617</v>
      </c>
      <c r="C2260" s="6" t="s">
        <v>1735</v>
      </c>
      <c r="D2260" s="7" t="str">
        <f t="shared" si="326"/>
        <v>12Go Link</v>
      </c>
      <c r="E2260" s="6" t="s">
        <v>1623</v>
      </c>
    </row>
    <row r="2261">
      <c r="A2261" s="6" t="s">
        <v>1618</v>
      </c>
      <c r="B2261" s="6" t="s">
        <v>1617</v>
      </c>
      <c r="C2261" s="6" t="s">
        <v>1735</v>
      </c>
      <c r="D2261" s="7" t="str">
        <f t="shared" si="326"/>
        <v>12Go Link</v>
      </c>
      <c r="E2261" s="6" t="s">
        <v>1624</v>
      </c>
    </row>
    <row r="2262">
      <c r="A2262" s="6" t="s">
        <v>1618</v>
      </c>
      <c r="B2262" s="6" t="s">
        <v>1617</v>
      </c>
      <c r="C2262" s="6" t="s">
        <v>1735</v>
      </c>
      <c r="D2262" s="7" t="str">
        <f t="shared" si="326"/>
        <v>12Go Link</v>
      </c>
      <c r="E2262" s="6" t="s">
        <v>1625</v>
      </c>
    </row>
    <row r="2263">
      <c r="A2263" s="6" t="s">
        <v>1618</v>
      </c>
      <c r="B2263" s="6" t="s">
        <v>1617</v>
      </c>
      <c r="C2263" s="6" t="s">
        <v>1736</v>
      </c>
      <c r="D2263" s="7" t="str">
        <f t="shared" ref="D2263:D2268" si="327">HYPERLINK("https://12go.asia/en/travel/Phuket-Kalim-Hotel-Transfer/Laemtong-Pier-Koh-Phi-Phi", "12Go Link")</f>
        <v>12Go Link</v>
      </c>
      <c r="E2263" s="6" t="s">
        <v>1620</v>
      </c>
    </row>
    <row r="2264">
      <c r="A2264" s="6" t="s">
        <v>1618</v>
      </c>
      <c r="B2264" s="6" t="s">
        <v>1617</v>
      </c>
      <c r="C2264" s="6" t="s">
        <v>1736</v>
      </c>
      <c r="D2264" s="7" t="str">
        <f t="shared" si="327"/>
        <v>12Go Link</v>
      </c>
      <c r="E2264" s="6" t="s">
        <v>1621</v>
      </c>
    </row>
    <row r="2265">
      <c r="A2265" s="6" t="s">
        <v>1618</v>
      </c>
      <c r="B2265" s="6" t="s">
        <v>1617</v>
      </c>
      <c r="C2265" s="6" t="s">
        <v>1736</v>
      </c>
      <c r="D2265" s="7" t="str">
        <f t="shared" si="327"/>
        <v>12Go Link</v>
      </c>
      <c r="E2265" s="6" t="s">
        <v>1622</v>
      </c>
    </row>
    <row r="2266">
      <c r="A2266" s="6" t="s">
        <v>1618</v>
      </c>
      <c r="B2266" s="6" t="s">
        <v>1617</v>
      </c>
      <c r="C2266" s="6" t="s">
        <v>1736</v>
      </c>
      <c r="D2266" s="7" t="str">
        <f t="shared" si="327"/>
        <v>12Go Link</v>
      </c>
      <c r="E2266" s="6" t="s">
        <v>1623</v>
      </c>
    </row>
    <row r="2267">
      <c r="A2267" s="6" t="s">
        <v>1618</v>
      </c>
      <c r="B2267" s="6" t="s">
        <v>1617</v>
      </c>
      <c r="C2267" s="6" t="s">
        <v>1736</v>
      </c>
      <c r="D2267" s="7" t="str">
        <f t="shared" si="327"/>
        <v>12Go Link</v>
      </c>
      <c r="E2267" s="6" t="s">
        <v>1624</v>
      </c>
    </row>
    <row r="2268">
      <c r="A2268" s="6" t="s">
        <v>1618</v>
      </c>
      <c r="B2268" s="6" t="s">
        <v>1617</v>
      </c>
      <c r="C2268" s="6" t="s">
        <v>1736</v>
      </c>
      <c r="D2268" s="7" t="str">
        <f t="shared" si="327"/>
        <v>12Go Link</v>
      </c>
      <c r="E2268" s="6" t="s">
        <v>1625</v>
      </c>
    </row>
    <row r="2269">
      <c r="A2269" s="6" t="s">
        <v>1618</v>
      </c>
      <c r="B2269" s="6" t="s">
        <v>1617</v>
      </c>
      <c r="C2269" s="6" t="s">
        <v>1737</v>
      </c>
      <c r="D2269" s="7" t="str">
        <f t="shared" ref="D2269:D2274" si="328">HYPERLINK("https://12go.asia/en/travel/Phuket-Town-Hotel-Transfer/Koh-Phi-Phi-Ton-Sai-Pier", "12Go Link")</f>
        <v>12Go Link</v>
      </c>
      <c r="E2269" s="6" t="s">
        <v>1620</v>
      </c>
    </row>
    <row r="2270">
      <c r="A2270" s="6" t="s">
        <v>1618</v>
      </c>
      <c r="B2270" s="6" t="s">
        <v>1617</v>
      </c>
      <c r="C2270" s="6" t="s">
        <v>1737</v>
      </c>
      <c r="D2270" s="7" t="str">
        <f t="shared" si="328"/>
        <v>12Go Link</v>
      </c>
      <c r="E2270" s="6" t="s">
        <v>1621</v>
      </c>
    </row>
    <row r="2271">
      <c r="A2271" s="6" t="s">
        <v>1618</v>
      </c>
      <c r="B2271" s="6" t="s">
        <v>1617</v>
      </c>
      <c r="C2271" s="6" t="s">
        <v>1737</v>
      </c>
      <c r="D2271" s="7" t="str">
        <f t="shared" si="328"/>
        <v>12Go Link</v>
      </c>
      <c r="E2271" s="6" t="s">
        <v>1622</v>
      </c>
    </row>
    <row r="2272">
      <c r="A2272" s="6" t="s">
        <v>1618</v>
      </c>
      <c r="B2272" s="6" t="s">
        <v>1617</v>
      </c>
      <c r="C2272" s="6" t="s">
        <v>1737</v>
      </c>
      <c r="D2272" s="7" t="str">
        <f t="shared" si="328"/>
        <v>12Go Link</v>
      </c>
      <c r="E2272" s="6" t="s">
        <v>1623</v>
      </c>
    </row>
    <row r="2273">
      <c r="A2273" s="6" t="s">
        <v>1618</v>
      </c>
      <c r="B2273" s="6" t="s">
        <v>1617</v>
      </c>
      <c r="C2273" s="6" t="s">
        <v>1737</v>
      </c>
      <c r="D2273" s="7" t="str">
        <f t="shared" si="328"/>
        <v>12Go Link</v>
      </c>
      <c r="E2273" s="6" t="s">
        <v>1624</v>
      </c>
    </row>
    <row r="2274">
      <c r="A2274" s="6" t="s">
        <v>1618</v>
      </c>
      <c r="B2274" s="6" t="s">
        <v>1617</v>
      </c>
      <c r="C2274" s="6" t="s">
        <v>1737</v>
      </c>
      <c r="D2274" s="7" t="str">
        <f t="shared" si="328"/>
        <v>12Go Link</v>
      </c>
      <c r="E2274" s="6" t="s">
        <v>1625</v>
      </c>
    </row>
    <row r="2275">
      <c r="A2275" s="6" t="s">
        <v>1618</v>
      </c>
      <c r="B2275" s="6" t="s">
        <v>1617</v>
      </c>
      <c r="C2275" s="6" t="s">
        <v>1738</v>
      </c>
      <c r="D2275" s="7" t="str">
        <f t="shared" ref="D2275:D2280" si="329">HYPERLINK("https://12go.asia/en/travel/Phuket-Town-Hotel-Transfer/Laemtong-Pier-Koh-Phi-Phi", "12Go Link")</f>
        <v>12Go Link</v>
      </c>
      <c r="E2275" s="6" t="s">
        <v>1620</v>
      </c>
    </row>
    <row r="2276">
      <c r="A2276" s="6" t="s">
        <v>1618</v>
      </c>
      <c r="B2276" s="6" t="s">
        <v>1617</v>
      </c>
      <c r="C2276" s="6" t="s">
        <v>1738</v>
      </c>
      <c r="D2276" s="7" t="str">
        <f t="shared" si="329"/>
        <v>12Go Link</v>
      </c>
      <c r="E2276" s="6" t="s">
        <v>1621</v>
      </c>
    </row>
    <row r="2277">
      <c r="A2277" s="6" t="s">
        <v>1618</v>
      </c>
      <c r="B2277" s="6" t="s">
        <v>1617</v>
      </c>
      <c r="C2277" s="6" t="s">
        <v>1738</v>
      </c>
      <c r="D2277" s="7" t="str">
        <f t="shared" si="329"/>
        <v>12Go Link</v>
      </c>
      <c r="E2277" s="6" t="s">
        <v>1622</v>
      </c>
    </row>
    <row r="2278">
      <c r="A2278" s="6" t="s">
        <v>1618</v>
      </c>
      <c r="B2278" s="6" t="s">
        <v>1617</v>
      </c>
      <c r="C2278" s="6" t="s">
        <v>1738</v>
      </c>
      <c r="D2278" s="7" t="str">
        <f t="shared" si="329"/>
        <v>12Go Link</v>
      </c>
      <c r="E2278" s="6" t="s">
        <v>1623</v>
      </c>
    </row>
    <row r="2279">
      <c r="A2279" s="6" t="s">
        <v>1618</v>
      </c>
      <c r="B2279" s="6" t="s">
        <v>1617</v>
      </c>
      <c r="C2279" s="6" t="s">
        <v>1738</v>
      </c>
      <c r="D2279" s="7" t="str">
        <f t="shared" si="329"/>
        <v>12Go Link</v>
      </c>
      <c r="E2279" s="6" t="s">
        <v>1624</v>
      </c>
    </row>
    <row r="2280">
      <c r="A2280" s="6" t="s">
        <v>1618</v>
      </c>
      <c r="B2280" s="6" t="s">
        <v>1617</v>
      </c>
      <c r="C2280" s="6" t="s">
        <v>1738</v>
      </c>
      <c r="D2280" s="7" t="str">
        <f t="shared" si="329"/>
        <v>12Go Link</v>
      </c>
      <c r="E2280" s="6" t="s">
        <v>1625</v>
      </c>
    </row>
    <row r="2281">
      <c r="A2281" s="6" t="s">
        <v>1618</v>
      </c>
      <c r="B2281" s="6" t="s">
        <v>1617</v>
      </c>
      <c r="C2281" s="6" t="s">
        <v>1739</v>
      </c>
      <c r="D2281" s="7" t="str">
        <f t="shared" ref="D2281:D2286" si="330">HYPERLINK("https://12go.asia/en/travel/Rawai-Transfer/Koh-Phi-Phi-Ton-Sai-Pier", "12Go Link")</f>
        <v>12Go Link</v>
      </c>
      <c r="E2281" s="6" t="s">
        <v>1620</v>
      </c>
    </row>
    <row r="2282">
      <c r="A2282" s="6" t="s">
        <v>1618</v>
      </c>
      <c r="B2282" s="6" t="s">
        <v>1617</v>
      </c>
      <c r="C2282" s="6" t="s">
        <v>1739</v>
      </c>
      <c r="D2282" s="7" t="str">
        <f t="shared" si="330"/>
        <v>12Go Link</v>
      </c>
      <c r="E2282" s="6" t="s">
        <v>1621</v>
      </c>
    </row>
    <row r="2283">
      <c r="A2283" s="6" t="s">
        <v>1618</v>
      </c>
      <c r="B2283" s="6" t="s">
        <v>1617</v>
      </c>
      <c r="C2283" s="6" t="s">
        <v>1739</v>
      </c>
      <c r="D2283" s="7" t="str">
        <f t="shared" si="330"/>
        <v>12Go Link</v>
      </c>
      <c r="E2283" s="6" t="s">
        <v>1622</v>
      </c>
    </row>
    <row r="2284">
      <c r="A2284" s="6" t="s">
        <v>1618</v>
      </c>
      <c r="B2284" s="6" t="s">
        <v>1617</v>
      </c>
      <c r="C2284" s="6" t="s">
        <v>1739</v>
      </c>
      <c r="D2284" s="7" t="str">
        <f t="shared" si="330"/>
        <v>12Go Link</v>
      </c>
      <c r="E2284" s="6" t="s">
        <v>1623</v>
      </c>
    </row>
    <row r="2285">
      <c r="A2285" s="6" t="s">
        <v>1618</v>
      </c>
      <c r="B2285" s="6" t="s">
        <v>1617</v>
      </c>
      <c r="C2285" s="6" t="s">
        <v>1739</v>
      </c>
      <c r="D2285" s="7" t="str">
        <f t="shared" si="330"/>
        <v>12Go Link</v>
      </c>
      <c r="E2285" s="6" t="s">
        <v>1624</v>
      </c>
    </row>
    <row r="2286">
      <c r="A2286" s="6" t="s">
        <v>1618</v>
      </c>
      <c r="B2286" s="6" t="s">
        <v>1617</v>
      </c>
      <c r="C2286" s="6" t="s">
        <v>1739</v>
      </c>
      <c r="D2286" s="7" t="str">
        <f t="shared" si="330"/>
        <v>12Go Link</v>
      </c>
      <c r="E2286" s="6" t="s">
        <v>1625</v>
      </c>
    </row>
    <row r="2287">
      <c r="A2287" s="6" t="s">
        <v>1618</v>
      </c>
      <c r="B2287" s="6" t="s">
        <v>1617</v>
      </c>
      <c r="C2287" s="6" t="s">
        <v>1740</v>
      </c>
      <c r="D2287" s="7" t="str">
        <f t="shared" ref="D2287:D2292" si="331">HYPERLINK("https://12go.asia/en/travel/Rawai-Transfer/Laemtong-Pier-Koh-Phi-Phi", "12Go Link")</f>
        <v>12Go Link</v>
      </c>
      <c r="E2287" s="6" t="s">
        <v>1620</v>
      </c>
    </row>
    <row r="2288">
      <c r="A2288" s="6" t="s">
        <v>1618</v>
      </c>
      <c r="B2288" s="6" t="s">
        <v>1617</v>
      </c>
      <c r="C2288" s="6" t="s">
        <v>1740</v>
      </c>
      <c r="D2288" s="7" t="str">
        <f t="shared" si="331"/>
        <v>12Go Link</v>
      </c>
      <c r="E2288" s="6" t="s">
        <v>1621</v>
      </c>
    </row>
    <row r="2289">
      <c r="A2289" s="6" t="s">
        <v>1618</v>
      </c>
      <c r="B2289" s="6" t="s">
        <v>1617</v>
      </c>
      <c r="C2289" s="6" t="s">
        <v>1740</v>
      </c>
      <c r="D2289" s="7" t="str">
        <f t="shared" si="331"/>
        <v>12Go Link</v>
      </c>
      <c r="E2289" s="6" t="s">
        <v>1622</v>
      </c>
    </row>
    <row r="2290">
      <c r="A2290" s="6" t="s">
        <v>1618</v>
      </c>
      <c r="B2290" s="6" t="s">
        <v>1617</v>
      </c>
      <c r="C2290" s="6" t="s">
        <v>1740</v>
      </c>
      <c r="D2290" s="7" t="str">
        <f t="shared" si="331"/>
        <v>12Go Link</v>
      </c>
      <c r="E2290" s="6" t="s">
        <v>1623</v>
      </c>
    </row>
    <row r="2291">
      <c r="A2291" s="6" t="s">
        <v>1618</v>
      </c>
      <c r="B2291" s="6" t="s">
        <v>1617</v>
      </c>
      <c r="C2291" s="6" t="s">
        <v>1740</v>
      </c>
      <c r="D2291" s="7" t="str">
        <f t="shared" si="331"/>
        <v>12Go Link</v>
      </c>
      <c r="E2291" s="6" t="s">
        <v>1624</v>
      </c>
    </row>
    <row r="2292">
      <c r="A2292" s="6" t="s">
        <v>1618</v>
      </c>
      <c r="B2292" s="6" t="s">
        <v>1617</v>
      </c>
      <c r="C2292" s="6" t="s">
        <v>1740</v>
      </c>
      <c r="D2292" s="7" t="str">
        <f t="shared" si="331"/>
        <v>12Go Link</v>
      </c>
      <c r="E2292" s="6" t="s">
        <v>1625</v>
      </c>
    </row>
    <row r="2293">
      <c r="A2293" s="6" t="s">
        <v>1618</v>
      </c>
      <c r="B2293" s="6" t="s">
        <v>1617</v>
      </c>
      <c r="C2293" s="6" t="s">
        <v>1741</v>
      </c>
      <c r="D2293" s="7" t="str">
        <f t="shared" ref="D2293:D2298" si="332">HYPERLINK("https://12go.asia/en/travel/Surin-Transfer/Koh-Phi-Phi-Ton-Sai-Pier", "12Go Link")</f>
        <v>12Go Link</v>
      </c>
      <c r="E2293" s="6" t="s">
        <v>1620</v>
      </c>
    </row>
    <row r="2294">
      <c r="A2294" s="6" t="s">
        <v>1618</v>
      </c>
      <c r="B2294" s="6" t="s">
        <v>1617</v>
      </c>
      <c r="C2294" s="6" t="s">
        <v>1741</v>
      </c>
      <c r="D2294" s="7" t="str">
        <f t="shared" si="332"/>
        <v>12Go Link</v>
      </c>
      <c r="E2294" s="6" t="s">
        <v>1621</v>
      </c>
    </row>
    <row r="2295">
      <c r="A2295" s="6" t="s">
        <v>1618</v>
      </c>
      <c r="B2295" s="6" t="s">
        <v>1617</v>
      </c>
      <c r="C2295" s="6" t="s">
        <v>1741</v>
      </c>
      <c r="D2295" s="7" t="str">
        <f t="shared" si="332"/>
        <v>12Go Link</v>
      </c>
      <c r="E2295" s="6" t="s">
        <v>1622</v>
      </c>
    </row>
    <row r="2296">
      <c r="A2296" s="6" t="s">
        <v>1618</v>
      </c>
      <c r="B2296" s="6" t="s">
        <v>1617</v>
      </c>
      <c r="C2296" s="6" t="s">
        <v>1741</v>
      </c>
      <c r="D2296" s="7" t="str">
        <f t="shared" si="332"/>
        <v>12Go Link</v>
      </c>
      <c r="E2296" s="6" t="s">
        <v>1623</v>
      </c>
    </row>
    <row r="2297">
      <c r="A2297" s="6" t="s">
        <v>1618</v>
      </c>
      <c r="B2297" s="6" t="s">
        <v>1617</v>
      </c>
      <c r="C2297" s="6" t="s">
        <v>1741</v>
      </c>
      <c r="D2297" s="7" t="str">
        <f t="shared" si="332"/>
        <v>12Go Link</v>
      </c>
      <c r="E2297" s="6" t="s">
        <v>1624</v>
      </c>
    </row>
    <row r="2298">
      <c r="A2298" s="6" t="s">
        <v>1618</v>
      </c>
      <c r="B2298" s="6" t="s">
        <v>1617</v>
      </c>
      <c r="C2298" s="6" t="s">
        <v>1741</v>
      </c>
      <c r="D2298" s="7" t="str">
        <f t="shared" si="332"/>
        <v>12Go Link</v>
      </c>
      <c r="E2298" s="6" t="s">
        <v>1625</v>
      </c>
    </row>
    <row r="2299">
      <c r="A2299" s="6" t="s">
        <v>1618</v>
      </c>
      <c r="B2299" s="6" t="s">
        <v>1617</v>
      </c>
      <c r="C2299" s="6" t="s">
        <v>1742</v>
      </c>
      <c r="D2299" s="7" t="str">
        <f t="shared" ref="D2299:D2304" si="333">HYPERLINK("https://12go.asia/en/travel/Surin-Transfer/Laemtong-Pier-Koh-Phi-Phi", "12Go Link")</f>
        <v>12Go Link</v>
      </c>
      <c r="E2299" s="6" t="s">
        <v>1620</v>
      </c>
    </row>
    <row r="2300">
      <c r="A2300" s="6" t="s">
        <v>1618</v>
      </c>
      <c r="B2300" s="6" t="s">
        <v>1617</v>
      </c>
      <c r="C2300" s="6" t="s">
        <v>1742</v>
      </c>
      <c r="D2300" s="7" t="str">
        <f t="shared" si="333"/>
        <v>12Go Link</v>
      </c>
      <c r="E2300" s="6" t="s">
        <v>1621</v>
      </c>
    </row>
    <row r="2301">
      <c r="A2301" s="6" t="s">
        <v>1618</v>
      </c>
      <c r="B2301" s="6" t="s">
        <v>1617</v>
      </c>
      <c r="C2301" s="6" t="s">
        <v>1742</v>
      </c>
      <c r="D2301" s="7" t="str">
        <f t="shared" si="333"/>
        <v>12Go Link</v>
      </c>
      <c r="E2301" s="6" t="s">
        <v>1622</v>
      </c>
    </row>
    <row r="2302">
      <c r="A2302" s="6" t="s">
        <v>1618</v>
      </c>
      <c r="B2302" s="6" t="s">
        <v>1617</v>
      </c>
      <c r="C2302" s="6" t="s">
        <v>1742</v>
      </c>
      <c r="D2302" s="7" t="str">
        <f t="shared" si="333"/>
        <v>12Go Link</v>
      </c>
      <c r="E2302" s="6" t="s">
        <v>1623</v>
      </c>
    </row>
    <row r="2303">
      <c r="A2303" s="6" t="s">
        <v>1618</v>
      </c>
      <c r="B2303" s="6" t="s">
        <v>1617</v>
      </c>
      <c r="C2303" s="6" t="s">
        <v>1742</v>
      </c>
      <c r="D2303" s="7" t="str">
        <f t="shared" si="333"/>
        <v>12Go Link</v>
      </c>
      <c r="E2303" s="6" t="s">
        <v>1624</v>
      </c>
    </row>
    <row r="2304">
      <c r="A2304" s="6" t="s">
        <v>1618</v>
      </c>
      <c r="B2304" s="6" t="s">
        <v>1617</v>
      </c>
      <c r="C2304" s="6" t="s">
        <v>1742</v>
      </c>
      <c r="D2304" s="7" t="str">
        <f t="shared" si="333"/>
        <v>12Go Link</v>
      </c>
      <c r="E2304" s="6" t="s">
        <v>1625</v>
      </c>
    </row>
    <row r="2305">
      <c r="A2305" s="6" t="s">
        <v>1618</v>
      </c>
      <c r="B2305" s="6" t="s">
        <v>1617</v>
      </c>
      <c r="C2305" s="6" t="s">
        <v>1743</v>
      </c>
      <c r="D2305" s="7" t="str">
        <f t="shared" ref="D2305:D2310" si="334">HYPERLINK("https://12go.asia/en/travel/Thalang-Hotel-Transfer/Koh-Phi-Phi-Ton-Sai-Pier", "12Go Link")</f>
        <v>12Go Link</v>
      </c>
      <c r="E2305" s="6" t="s">
        <v>1620</v>
      </c>
    </row>
    <row r="2306">
      <c r="A2306" s="6" t="s">
        <v>1618</v>
      </c>
      <c r="B2306" s="6" t="s">
        <v>1617</v>
      </c>
      <c r="C2306" s="6" t="s">
        <v>1743</v>
      </c>
      <c r="D2306" s="7" t="str">
        <f t="shared" si="334"/>
        <v>12Go Link</v>
      </c>
      <c r="E2306" s="6" t="s">
        <v>1621</v>
      </c>
    </row>
    <row r="2307">
      <c r="A2307" s="6" t="s">
        <v>1618</v>
      </c>
      <c r="B2307" s="6" t="s">
        <v>1617</v>
      </c>
      <c r="C2307" s="6" t="s">
        <v>1743</v>
      </c>
      <c r="D2307" s="7" t="str">
        <f t="shared" si="334"/>
        <v>12Go Link</v>
      </c>
      <c r="E2307" s="6" t="s">
        <v>1622</v>
      </c>
    </row>
    <row r="2308">
      <c r="A2308" s="6" t="s">
        <v>1618</v>
      </c>
      <c r="B2308" s="6" t="s">
        <v>1617</v>
      </c>
      <c r="C2308" s="6" t="s">
        <v>1743</v>
      </c>
      <c r="D2308" s="7" t="str">
        <f t="shared" si="334"/>
        <v>12Go Link</v>
      </c>
      <c r="E2308" s="6" t="s">
        <v>1623</v>
      </c>
    </row>
    <row r="2309">
      <c r="A2309" s="6" t="s">
        <v>1618</v>
      </c>
      <c r="B2309" s="6" t="s">
        <v>1617</v>
      </c>
      <c r="C2309" s="6" t="s">
        <v>1743</v>
      </c>
      <c r="D2309" s="7" t="str">
        <f t="shared" si="334"/>
        <v>12Go Link</v>
      </c>
      <c r="E2309" s="6" t="s">
        <v>1624</v>
      </c>
    </row>
    <row r="2310">
      <c r="A2310" s="6" t="s">
        <v>1618</v>
      </c>
      <c r="B2310" s="6" t="s">
        <v>1617</v>
      </c>
      <c r="C2310" s="6" t="s">
        <v>1743</v>
      </c>
      <c r="D2310" s="7" t="str">
        <f t="shared" si="334"/>
        <v>12Go Link</v>
      </c>
      <c r="E2310" s="6" t="s">
        <v>1625</v>
      </c>
    </row>
    <row r="2311">
      <c r="A2311" s="6" t="s">
        <v>1618</v>
      </c>
      <c r="B2311" s="6" t="s">
        <v>1617</v>
      </c>
      <c r="C2311" s="6" t="s">
        <v>1744</v>
      </c>
      <c r="D2311" s="7" t="str">
        <f t="shared" ref="D2311:D2316" si="335">HYPERLINK("https://12go.asia/en/travel/Thalang-Hotel-Transfer/Laemtong-Pier-Koh-Phi-Phi", "12Go Link")</f>
        <v>12Go Link</v>
      </c>
      <c r="E2311" s="6" t="s">
        <v>1620</v>
      </c>
    </row>
    <row r="2312">
      <c r="A2312" s="6" t="s">
        <v>1618</v>
      </c>
      <c r="B2312" s="6" t="s">
        <v>1617</v>
      </c>
      <c r="C2312" s="6" t="s">
        <v>1744</v>
      </c>
      <c r="D2312" s="7" t="str">
        <f t="shared" si="335"/>
        <v>12Go Link</v>
      </c>
      <c r="E2312" s="6" t="s">
        <v>1621</v>
      </c>
    </row>
    <row r="2313">
      <c r="A2313" s="6" t="s">
        <v>1618</v>
      </c>
      <c r="B2313" s="6" t="s">
        <v>1617</v>
      </c>
      <c r="C2313" s="6" t="s">
        <v>1744</v>
      </c>
      <c r="D2313" s="7" t="str">
        <f t="shared" si="335"/>
        <v>12Go Link</v>
      </c>
      <c r="E2313" s="6" t="s">
        <v>1622</v>
      </c>
    </row>
    <row r="2314">
      <c r="A2314" s="6" t="s">
        <v>1618</v>
      </c>
      <c r="B2314" s="6" t="s">
        <v>1617</v>
      </c>
      <c r="C2314" s="6" t="s">
        <v>1744</v>
      </c>
      <c r="D2314" s="7" t="str">
        <f t="shared" si="335"/>
        <v>12Go Link</v>
      </c>
      <c r="E2314" s="6" t="s">
        <v>1623</v>
      </c>
    </row>
    <row r="2315">
      <c r="A2315" s="6" t="s">
        <v>1618</v>
      </c>
      <c r="B2315" s="6" t="s">
        <v>1617</v>
      </c>
      <c r="C2315" s="6" t="s">
        <v>1744</v>
      </c>
      <c r="D2315" s="7" t="str">
        <f t="shared" si="335"/>
        <v>12Go Link</v>
      </c>
      <c r="E2315" s="6" t="s">
        <v>1624</v>
      </c>
    </row>
    <row r="2316">
      <c r="A2316" s="6" t="s">
        <v>1618</v>
      </c>
      <c r="B2316" s="6" t="s">
        <v>1617</v>
      </c>
      <c r="C2316" s="6" t="s">
        <v>1744</v>
      </c>
      <c r="D2316" s="7" t="str">
        <f t="shared" si="335"/>
        <v>12Go Link</v>
      </c>
      <c r="E2316" s="6" t="s">
        <v>1625</v>
      </c>
    </row>
    <row r="2317">
      <c r="A2317" s="6" t="s">
        <v>1618</v>
      </c>
      <c r="B2317" s="6" t="s">
        <v>1617</v>
      </c>
      <c r="C2317" s="6" t="s">
        <v>1745</v>
      </c>
      <c r="D2317" s="7" t="str">
        <f t="shared" ref="D2317:D2322" si="336">HYPERLINK("https://12go.asia/en/travel/Tri-Trang-Beach-Transfer/Koh-Phi-Phi-Ton-Sai-Pier", "12Go Link")</f>
        <v>12Go Link</v>
      </c>
      <c r="E2317" s="6" t="s">
        <v>1620</v>
      </c>
    </row>
    <row r="2318">
      <c r="A2318" s="6" t="s">
        <v>1618</v>
      </c>
      <c r="B2318" s="6" t="s">
        <v>1617</v>
      </c>
      <c r="C2318" s="6" t="s">
        <v>1745</v>
      </c>
      <c r="D2318" s="7" t="str">
        <f t="shared" si="336"/>
        <v>12Go Link</v>
      </c>
      <c r="E2318" s="6" t="s">
        <v>1621</v>
      </c>
    </row>
    <row r="2319">
      <c r="A2319" s="6" t="s">
        <v>1618</v>
      </c>
      <c r="B2319" s="6" t="s">
        <v>1617</v>
      </c>
      <c r="C2319" s="6" t="s">
        <v>1745</v>
      </c>
      <c r="D2319" s="7" t="str">
        <f t="shared" si="336"/>
        <v>12Go Link</v>
      </c>
      <c r="E2319" s="6" t="s">
        <v>1622</v>
      </c>
    </row>
    <row r="2320">
      <c r="A2320" s="6" t="s">
        <v>1618</v>
      </c>
      <c r="B2320" s="6" t="s">
        <v>1617</v>
      </c>
      <c r="C2320" s="6" t="s">
        <v>1745</v>
      </c>
      <c r="D2320" s="7" t="str">
        <f t="shared" si="336"/>
        <v>12Go Link</v>
      </c>
      <c r="E2320" s="6" t="s">
        <v>1623</v>
      </c>
    </row>
    <row r="2321">
      <c r="A2321" s="6" t="s">
        <v>1618</v>
      </c>
      <c r="B2321" s="6" t="s">
        <v>1617</v>
      </c>
      <c r="C2321" s="6" t="s">
        <v>1745</v>
      </c>
      <c r="D2321" s="7" t="str">
        <f t="shared" si="336"/>
        <v>12Go Link</v>
      </c>
      <c r="E2321" s="6" t="s">
        <v>1624</v>
      </c>
    </row>
    <row r="2322">
      <c r="A2322" s="6" t="s">
        <v>1618</v>
      </c>
      <c r="B2322" s="6" t="s">
        <v>1617</v>
      </c>
      <c r="C2322" s="6" t="s">
        <v>1745</v>
      </c>
      <c r="D2322" s="7" t="str">
        <f t="shared" si="336"/>
        <v>12Go Link</v>
      </c>
      <c r="E2322" s="6" t="s">
        <v>1625</v>
      </c>
    </row>
    <row r="2323">
      <c r="A2323" s="6" t="s">
        <v>1618</v>
      </c>
      <c r="B2323" s="6" t="s">
        <v>1617</v>
      </c>
      <c r="C2323" s="6" t="s">
        <v>1746</v>
      </c>
      <c r="D2323" s="7" t="str">
        <f t="shared" ref="D2323:D2328" si="337">HYPERLINK("https://12go.asia/en/travel/Tri-Trang-Beach-Transfer/Laemtong-Pier-Koh-Phi-Phi", "12Go Link")</f>
        <v>12Go Link</v>
      </c>
      <c r="E2323" s="6" t="s">
        <v>1620</v>
      </c>
    </row>
    <row r="2324">
      <c r="A2324" s="6" t="s">
        <v>1618</v>
      </c>
      <c r="B2324" s="6" t="s">
        <v>1617</v>
      </c>
      <c r="C2324" s="6" t="s">
        <v>1746</v>
      </c>
      <c r="D2324" s="7" t="str">
        <f t="shared" si="337"/>
        <v>12Go Link</v>
      </c>
      <c r="E2324" s="6" t="s">
        <v>1621</v>
      </c>
    </row>
    <row r="2325">
      <c r="A2325" s="6" t="s">
        <v>1618</v>
      </c>
      <c r="B2325" s="6" t="s">
        <v>1617</v>
      </c>
      <c r="C2325" s="6" t="s">
        <v>1746</v>
      </c>
      <c r="D2325" s="7" t="str">
        <f t="shared" si="337"/>
        <v>12Go Link</v>
      </c>
      <c r="E2325" s="6" t="s">
        <v>1622</v>
      </c>
    </row>
    <row r="2326">
      <c r="A2326" s="6" t="s">
        <v>1618</v>
      </c>
      <c r="B2326" s="6" t="s">
        <v>1617</v>
      </c>
      <c r="C2326" s="6" t="s">
        <v>1746</v>
      </c>
      <c r="D2326" s="7" t="str">
        <f t="shared" si="337"/>
        <v>12Go Link</v>
      </c>
      <c r="E2326" s="6" t="s">
        <v>1623</v>
      </c>
    </row>
    <row r="2327">
      <c r="A2327" s="6" t="s">
        <v>1618</v>
      </c>
      <c r="B2327" s="6" t="s">
        <v>1617</v>
      </c>
      <c r="C2327" s="6" t="s">
        <v>1746</v>
      </c>
      <c r="D2327" s="7" t="str">
        <f t="shared" si="337"/>
        <v>12Go Link</v>
      </c>
      <c r="E2327" s="6" t="s">
        <v>1624</v>
      </c>
    </row>
    <row r="2328">
      <c r="A2328" s="6" t="s">
        <v>1618</v>
      </c>
      <c r="B2328" s="6" t="s">
        <v>1617</v>
      </c>
      <c r="C2328" s="6" t="s">
        <v>1746</v>
      </c>
      <c r="D2328" s="7" t="str">
        <f t="shared" si="337"/>
        <v>12Go Link</v>
      </c>
      <c r="E2328" s="6" t="s">
        <v>1625</v>
      </c>
    </row>
    <row r="2329">
      <c r="A2329" s="6" t="s">
        <v>1618</v>
      </c>
      <c r="B2329" s="6" t="s">
        <v>1600</v>
      </c>
      <c r="C2329" s="6" t="s">
        <v>1747</v>
      </c>
      <c r="D2329" s="7" t="str">
        <f>HYPERLINK("https://12go.asia/en/travel/Patong-Beach-Phuket/Hat-Yao-pier", "12Go Link")</f>
        <v>12Go Link</v>
      </c>
      <c r="E2329" s="6" t="s">
        <v>567</v>
      </c>
    </row>
    <row r="2330">
      <c r="A2330" s="6" t="s">
        <v>1618</v>
      </c>
      <c r="B2330" s="6" t="s">
        <v>1600</v>
      </c>
      <c r="C2330" s="6" t="s">
        <v>1748</v>
      </c>
      <c r="D2330" s="7" t="str">
        <f>HYPERLINK("https://12go.asia/en/travel/Patong-Beach-Phuket/Khuan-Tung-Ku-Pier", "12Go Link")</f>
        <v>12Go Link</v>
      </c>
      <c r="E2330" s="6" t="s">
        <v>567</v>
      </c>
    </row>
    <row r="2331">
      <c r="A2331" s="6" t="s">
        <v>1618</v>
      </c>
      <c r="B2331" s="6" t="s">
        <v>1600</v>
      </c>
      <c r="C2331" s="6" t="s">
        <v>1749</v>
      </c>
      <c r="D2331" s="7" t="str">
        <f>HYPERLINK("https://12go.asia/en/travel/Phuket-Town-Transfer/Hat-Yao-pier", "12Go Link")</f>
        <v>12Go Link</v>
      </c>
      <c r="E2331" s="6" t="s">
        <v>567</v>
      </c>
    </row>
    <row r="2332">
      <c r="A2332" s="6" t="s">
        <v>1618</v>
      </c>
      <c r="B2332" s="6" t="s">
        <v>1600</v>
      </c>
      <c r="C2332" s="6" t="s">
        <v>1750</v>
      </c>
      <c r="D2332" s="7" t="str">
        <f>HYPERLINK("https://12go.asia/en/travel/Phuket-Town-Transfer/Khuan-Tung-Ku-Pier", "12Go Link")</f>
        <v>12Go Link</v>
      </c>
      <c r="E2332" s="6" t="s">
        <v>567</v>
      </c>
    </row>
    <row r="2333">
      <c r="A2333" s="6" t="s">
        <v>1618</v>
      </c>
      <c r="B2333" s="6" t="s">
        <v>1600</v>
      </c>
      <c r="C2333" s="6" t="s">
        <v>1751</v>
      </c>
      <c r="D2333" s="7" t="str">
        <f>HYPERLINK("https://12go.asia/en/travel/Rawai-Beach-Phuket/Hat-Yao-pier", "12Go Link")</f>
        <v>12Go Link</v>
      </c>
      <c r="E2333" s="6" t="s">
        <v>567</v>
      </c>
    </row>
    <row r="2334">
      <c r="A2334" s="6" t="s">
        <v>1618</v>
      </c>
      <c r="B2334" s="6" t="s">
        <v>1600</v>
      </c>
      <c r="C2334" s="6" t="s">
        <v>1752</v>
      </c>
      <c r="D2334" s="7" t="str">
        <f>HYPERLINK("https://12go.asia/en/travel/Rawai-Beach-Phuket/Khuan-Tung-Ku-Pier", "12Go Link")</f>
        <v>12Go Link</v>
      </c>
      <c r="E2334" s="6" t="s">
        <v>567</v>
      </c>
    </row>
    <row r="2335">
      <c r="A2335" s="8" t="s">
        <v>1753</v>
      </c>
      <c r="B2335" s="8" t="s">
        <v>1600</v>
      </c>
      <c r="C2335" s="8" t="s">
        <v>1754</v>
      </c>
      <c r="D2335" s="9" t="str">
        <f>HYPERLINK("https://12go.asia/en/travel/Ranong-Town-Transfer/Hat-Yao-pier", "12Go Link")</f>
        <v>12Go Link</v>
      </c>
      <c r="E2335" s="8" t="s">
        <v>567</v>
      </c>
    </row>
    <row r="2336">
      <c r="A2336" s="8" t="s">
        <v>1753</v>
      </c>
      <c r="B2336" s="8" t="s">
        <v>1600</v>
      </c>
      <c r="C2336" s="8" t="s">
        <v>1755</v>
      </c>
      <c r="D2336" s="9" t="str">
        <f>HYPERLINK("https://12go.asia/en/travel/Ranong-Town-Transfer/Khuan-Tung-Ku-Pier", "12Go Link")</f>
        <v>12Go Link</v>
      </c>
      <c r="E2336" s="8" t="s">
        <v>567</v>
      </c>
    </row>
    <row r="2337">
      <c r="A2337" s="6" t="s">
        <v>1665</v>
      </c>
      <c r="B2337" s="6" t="s">
        <v>1617</v>
      </c>
      <c r="C2337" s="6" t="s">
        <v>1756</v>
      </c>
      <c r="D2337" s="7" t="str">
        <f t="shared" ref="D2337:D2342" si="338">HYPERLINK("https://12go.asia/en/travel/Rassada-Pier/Koh-Phi-Phi-Ton-Sai-Pier", "12Go Link")</f>
        <v>12Go Link</v>
      </c>
      <c r="E2337" s="6" t="s">
        <v>1667</v>
      </c>
    </row>
    <row r="2338">
      <c r="A2338" s="6" t="s">
        <v>1665</v>
      </c>
      <c r="B2338" s="6" t="s">
        <v>1617</v>
      </c>
      <c r="C2338" s="6" t="s">
        <v>1756</v>
      </c>
      <c r="D2338" s="7" t="str">
        <f t="shared" si="338"/>
        <v>12Go Link</v>
      </c>
      <c r="E2338" s="6" t="s">
        <v>1668</v>
      </c>
    </row>
    <row r="2339">
      <c r="A2339" s="6" t="s">
        <v>1665</v>
      </c>
      <c r="B2339" s="6" t="s">
        <v>1617</v>
      </c>
      <c r="C2339" s="6" t="s">
        <v>1756</v>
      </c>
      <c r="D2339" s="7" t="str">
        <f t="shared" si="338"/>
        <v>12Go Link</v>
      </c>
      <c r="E2339" s="6" t="s">
        <v>1669</v>
      </c>
    </row>
    <row r="2340">
      <c r="A2340" s="6" t="s">
        <v>1665</v>
      </c>
      <c r="B2340" s="6" t="s">
        <v>1617</v>
      </c>
      <c r="C2340" s="6" t="s">
        <v>1756</v>
      </c>
      <c r="D2340" s="7" t="str">
        <f t="shared" si="338"/>
        <v>12Go Link</v>
      </c>
      <c r="E2340" s="6" t="s">
        <v>1670</v>
      </c>
    </row>
    <row r="2341">
      <c r="A2341" s="6" t="s">
        <v>1665</v>
      </c>
      <c r="B2341" s="6" t="s">
        <v>1617</v>
      </c>
      <c r="C2341" s="6" t="s">
        <v>1756</v>
      </c>
      <c r="D2341" s="7" t="str">
        <f t="shared" si="338"/>
        <v>12Go Link</v>
      </c>
      <c r="E2341" s="6" t="s">
        <v>1671</v>
      </c>
    </row>
    <row r="2342">
      <c r="A2342" s="6" t="s">
        <v>1665</v>
      </c>
      <c r="B2342" s="6" t="s">
        <v>1617</v>
      </c>
      <c r="C2342" s="6" t="s">
        <v>1756</v>
      </c>
      <c r="D2342" s="7" t="str">
        <f t="shared" si="338"/>
        <v>12Go Link</v>
      </c>
      <c r="E2342" s="6" t="s">
        <v>1672</v>
      </c>
    </row>
    <row r="2343">
      <c r="A2343" s="6" t="s">
        <v>1665</v>
      </c>
      <c r="B2343" s="6" t="s">
        <v>1617</v>
      </c>
      <c r="C2343" s="6" t="s">
        <v>1757</v>
      </c>
      <c r="D2343" s="7" t="str">
        <f t="shared" ref="D2343:D2348" si="339">HYPERLINK("https://12go.asia/en/travel/Rassada-Pier/Laemtong-Pier-Koh-Phi-Phi", "12Go Link")</f>
        <v>12Go Link</v>
      </c>
      <c r="E2343" s="6" t="s">
        <v>1667</v>
      </c>
    </row>
    <row r="2344">
      <c r="A2344" s="6" t="s">
        <v>1665</v>
      </c>
      <c r="B2344" s="6" t="s">
        <v>1617</v>
      </c>
      <c r="C2344" s="6" t="s">
        <v>1757</v>
      </c>
      <c r="D2344" s="7" t="str">
        <f t="shared" si="339"/>
        <v>12Go Link</v>
      </c>
      <c r="E2344" s="6" t="s">
        <v>1668</v>
      </c>
    </row>
    <row r="2345">
      <c r="A2345" s="6" t="s">
        <v>1665</v>
      </c>
      <c r="B2345" s="6" t="s">
        <v>1617</v>
      </c>
      <c r="C2345" s="6" t="s">
        <v>1757</v>
      </c>
      <c r="D2345" s="7" t="str">
        <f t="shared" si="339"/>
        <v>12Go Link</v>
      </c>
      <c r="E2345" s="6" t="s">
        <v>1669</v>
      </c>
    </row>
    <row r="2346">
      <c r="A2346" s="6" t="s">
        <v>1665</v>
      </c>
      <c r="B2346" s="6" t="s">
        <v>1617</v>
      </c>
      <c r="C2346" s="6" t="s">
        <v>1757</v>
      </c>
      <c r="D2346" s="7" t="str">
        <f t="shared" si="339"/>
        <v>12Go Link</v>
      </c>
      <c r="E2346" s="6" t="s">
        <v>1670</v>
      </c>
    </row>
    <row r="2347">
      <c r="A2347" s="6" t="s">
        <v>1665</v>
      </c>
      <c r="B2347" s="6" t="s">
        <v>1617</v>
      </c>
      <c r="C2347" s="6" t="s">
        <v>1757</v>
      </c>
      <c r="D2347" s="7" t="str">
        <f t="shared" si="339"/>
        <v>12Go Link</v>
      </c>
      <c r="E2347" s="6" t="s">
        <v>1671</v>
      </c>
    </row>
    <row r="2348">
      <c r="A2348" s="6" t="s">
        <v>1665</v>
      </c>
      <c r="B2348" s="6" t="s">
        <v>1617</v>
      </c>
      <c r="C2348" s="6" t="s">
        <v>1757</v>
      </c>
      <c r="D2348" s="7" t="str">
        <f t="shared" si="339"/>
        <v>12Go Link</v>
      </c>
      <c r="E2348" s="6" t="s">
        <v>1672</v>
      </c>
    </row>
    <row r="2349">
      <c r="A2349" s="8" t="s">
        <v>1758</v>
      </c>
      <c r="B2349" s="8" t="s">
        <v>1600</v>
      </c>
      <c r="C2349" s="8" t="s">
        <v>1759</v>
      </c>
      <c r="D2349" s="9" t="str">
        <f>HYPERLINK("https://12go.asia/en/travel/Pak-Bara-Pier/Hat-Yao-pier", "12Go Link")</f>
        <v>12Go Link</v>
      </c>
      <c r="E2349" s="8" t="s">
        <v>567</v>
      </c>
    </row>
    <row r="2350">
      <c r="A2350" s="8" t="s">
        <v>1758</v>
      </c>
      <c r="B2350" s="8" t="s">
        <v>1600</v>
      </c>
      <c r="C2350" s="8" t="s">
        <v>1760</v>
      </c>
      <c r="D2350" s="9" t="str">
        <f>HYPERLINK("https://12go.asia/en/travel/Pak-Bara-Pier/Khuan-Tung-Ku-Pier", "12Go Link")</f>
        <v>12Go Link</v>
      </c>
      <c r="E2350" s="8" t="s">
        <v>567</v>
      </c>
    </row>
    <row r="2351">
      <c r="A2351" s="6" t="s">
        <v>1701</v>
      </c>
      <c r="B2351" s="6" t="s">
        <v>1697</v>
      </c>
      <c r="C2351" s="6" t="s">
        <v>1761</v>
      </c>
      <c r="D2351" s="7" t="str">
        <f>HYPERLINK("https://12go.asia/en/travel/Seatran-Ferry/Nakhon-Si-Thammarat-Airport", "12Go Link")</f>
        <v>12Go Link</v>
      </c>
      <c r="E2351" s="6" t="s">
        <v>608</v>
      </c>
    </row>
    <row r="2352">
      <c r="A2352" s="6" t="s">
        <v>1701</v>
      </c>
      <c r="B2352" s="6" t="s">
        <v>1697</v>
      </c>
      <c r="C2352" s="6" t="s">
        <v>1762</v>
      </c>
      <c r="D2352" s="7" t="str">
        <f>HYPERLINK("https://12go.asia/en/travel/Seatran-Ferry/Sri-Khanom-Hotel-Transfer", "12Go Link")</f>
        <v>12Go Link</v>
      </c>
      <c r="E2352" s="6" t="s">
        <v>608</v>
      </c>
    </row>
    <row r="2353">
      <c r="A2353" s="6" t="s">
        <v>1701</v>
      </c>
      <c r="B2353" s="6" t="s">
        <v>1600</v>
      </c>
      <c r="C2353" s="6" t="s">
        <v>1763</v>
      </c>
      <c r="D2353" s="7" t="str">
        <f>HYPERLINK("https://12go.asia/en/travel/Surat-Thani-Town-Transfer/Hat-Yao-pier", "12Go Link")</f>
        <v>12Go Link</v>
      </c>
      <c r="E2353" s="6" t="s">
        <v>567</v>
      </c>
    </row>
    <row r="2354">
      <c r="A2354" s="6" t="s">
        <v>1701</v>
      </c>
      <c r="B2354" s="6" t="s">
        <v>1600</v>
      </c>
      <c r="C2354" s="6" t="s">
        <v>1764</v>
      </c>
      <c r="D2354" s="7" t="str">
        <f>HYPERLINK("https://12go.asia/en/travel/Surat-Thani-Town-Transfer/Khuan-Tung-Ku-Pier", "12Go Link")</f>
        <v>12Go Link</v>
      </c>
      <c r="E2354" s="6" t="s">
        <v>567</v>
      </c>
    </row>
    <row r="2355">
      <c r="A2355" s="8" t="s">
        <v>1676</v>
      </c>
      <c r="B2355" s="8" t="s">
        <v>1613</v>
      </c>
      <c r="C2355" s="8" t="s">
        <v>1765</v>
      </c>
      <c r="D2355" s="9" t="str">
        <f t="shared" ref="D2355:D2356" si="340">HYPERLINK("https://12go.asia/en/travel/Surat-Thani-Train-Station/Koh-Samui-Town-Transfer", "12Go Link")</f>
        <v>12Go Link</v>
      </c>
      <c r="E2355" s="8" t="s">
        <v>1678</v>
      </c>
    </row>
    <row r="2356">
      <c r="A2356" s="8" t="s">
        <v>1676</v>
      </c>
      <c r="B2356" s="8" t="s">
        <v>1613</v>
      </c>
      <c r="C2356" s="8" t="s">
        <v>1765</v>
      </c>
      <c r="D2356" s="9" t="str">
        <f t="shared" si="340"/>
        <v>12Go Link</v>
      </c>
      <c r="E2356" s="8" t="s">
        <v>1679</v>
      </c>
    </row>
    <row r="2357">
      <c r="A2357" s="6" t="s">
        <v>1600</v>
      </c>
      <c r="B2357" s="6" t="s">
        <v>1575</v>
      </c>
      <c r="C2357" s="6" t="s">
        <v>1766</v>
      </c>
      <c r="D2357" s="7" t="str">
        <f>HYPERLINK("https://12go.asia/en/travel/Hat-Yao-pier/Donsak-Piers", "12Go Link")</f>
        <v>12Go Link</v>
      </c>
      <c r="E2357" s="6" t="s">
        <v>567</v>
      </c>
    </row>
    <row r="2358">
      <c r="A2358" s="6" t="s">
        <v>1600</v>
      </c>
      <c r="B2358" s="6" t="s">
        <v>1575</v>
      </c>
      <c r="C2358" s="6" t="s">
        <v>1767</v>
      </c>
      <c r="D2358" s="7" t="str">
        <f>HYPERLINK("https://12go.asia/en/travel/Khuan-Tung-Ku-Pier/Donsak-Piers", "12Go Link")</f>
        <v>12Go Link</v>
      </c>
      <c r="E2358" s="6" t="s">
        <v>567</v>
      </c>
    </row>
    <row r="2359">
      <c r="A2359" s="6" t="s">
        <v>1600</v>
      </c>
      <c r="B2359" s="6" t="s">
        <v>1603</v>
      </c>
      <c r="C2359" s="6" t="s">
        <v>1768</v>
      </c>
      <c r="D2359" s="7" t="str">
        <f>HYPERLINK("https://12go.asia/en/travel/Hat-Yao-pier/Hat-Yai-Town-Transfer", "12Go Link")</f>
        <v>12Go Link</v>
      </c>
      <c r="E2359" s="6" t="s">
        <v>567</v>
      </c>
    </row>
    <row r="2360">
      <c r="A2360" s="6" t="s">
        <v>1600</v>
      </c>
      <c r="B2360" s="6" t="s">
        <v>1603</v>
      </c>
      <c r="C2360" s="6" t="s">
        <v>1769</v>
      </c>
      <c r="D2360" s="7" t="str">
        <f>HYPERLINK("https://12go.asia/en/travel/Khuan-Tung-Ku-Pier/Hat-Yai-Town-Transfer", "12Go Link")</f>
        <v>12Go Link</v>
      </c>
      <c r="E2360" s="6" t="s">
        <v>567</v>
      </c>
    </row>
    <row r="2361">
      <c r="A2361" s="6" t="s">
        <v>1600</v>
      </c>
      <c r="B2361" s="6" t="s">
        <v>1606</v>
      </c>
      <c r="C2361" s="6" t="s">
        <v>1770</v>
      </c>
      <c r="D2361" s="7" t="str">
        <f>HYPERLINK("https://12go.asia/en/travel/Hat-Yao-pier/Khao-Lak-Transfer", "12Go Link")</f>
        <v>12Go Link</v>
      </c>
      <c r="E2361" s="6" t="s">
        <v>567</v>
      </c>
    </row>
    <row r="2362">
      <c r="A2362" s="6" t="s">
        <v>1600</v>
      </c>
      <c r="B2362" s="6" t="s">
        <v>1606</v>
      </c>
      <c r="C2362" s="6" t="s">
        <v>1771</v>
      </c>
      <c r="D2362" s="7" t="str">
        <f>HYPERLINK("https://12go.asia/en/travel/Khuan-Tung-Ku-Pier/Khao-Lak-Transfer", "12Go Link")</f>
        <v>12Go Link</v>
      </c>
      <c r="E2362" s="6" t="s">
        <v>567</v>
      </c>
    </row>
    <row r="2363">
      <c r="A2363" s="6" t="s">
        <v>1600</v>
      </c>
      <c r="B2363" s="6" t="s">
        <v>1609</v>
      </c>
      <c r="C2363" s="6" t="s">
        <v>1772</v>
      </c>
      <c r="D2363" s="7" t="str">
        <f>HYPERLINK("https://12go.asia/en/travel/Hat-Yao-pier/Koh-Lanta-Hotel-Transfer", "12Go Link")</f>
        <v>12Go Link</v>
      </c>
      <c r="E2363" s="6" t="s">
        <v>567</v>
      </c>
    </row>
    <row r="2364">
      <c r="A2364" s="6" t="s">
        <v>1600</v>
      </c>
      <c r="B2364" s="6" t="s">
        <v>1609</v>
      </c>
      <c r="C2364" s="6" t="s">
        <v>1773</v>
      </c>
      <c r="D2364" s="7" t="str">
        <f>HYPERLINK("https://12go.asia/en/travel/Khuan-Tung-Ku-Pier/Koh-Lanta-Hotel-Transfer", "12Go Link")</f>
        <v>12Go Link</v>
      </c>
      <c r="E2364" s="6" t="s">
        <v>567</v>
      </c>
    </row>
    <row r="2365">
      <c r="A2365" s="6" t="s">
        <v>1600</v>
      </c>
      <c r="B2365" s="6" t="s">
        <v>1609</v>
      </c>
      <c r="C2365" s="6" t="s">
        <v>1774</v>
      </c>
      <c r="D2365" s="7" t="str">
        <f>HYPERLINK("https://12go.asia/en/travel/Trang-Hotel-Transfer/Koh-Lanta-Transfer", "12Go Link")</f>
        <v>12Go Link</v>
      </c>
      <c r="E2365" s="6" t="s">
        <v>585</v>
      </c>
    </row>
    <row r="2366">
      <c r="A2366" s="6" t="s">
        <v>1600</v>
      </c>
      <c r="B2366" s="6" t="s">
        <v>1685</v>
      </c>
      <c r="C2366" s="6" t="s">
        <v>1775</v>
      </c>
      <c r="D2366" s="7" t="str">
        <f>HYPERLINK("https://12go.asia/en/travel/Hat-Yao-pier/Ao-Nam-Mao-Pier", "12Go Link")</f>
        <v>12Go Link</v>
      </c>
      <c r="E2366" s="6" t="s">
        <v>567</v>
      </c>
    </row>
    <row r="2367">
      <c r="A2367" s="6" t="s">
        <v>1600</v>
      </c>
      <c r="B2367" s="6" t="s">
        <v>1685</v>
      </c>
      <c r="C2367" s="6" t="s">
        <v>1776</v>
      </c>
      <c r="D2367" s="7" t="str">
        <f>HYPERLINK("https://12go.asia/en/travel/Hat-Yao-pier/Ao-Nang-Noppharat-Thara-Klong-Muang-Tubkaek", "12Go Link")</f>
        <v>12Go Link</v>
      </c>
      <c r="E2367" s="6" t="s">
        <v>567</v>
      </c>
    </row>
    <row r="2368">
      <c r="A2368" s="6" t="s">
        <v>1600</v>
      </c>
      <c r="B2368" s="6" t="s">
        <v>1685</v>
      </c>
      <c r="C2368" s="6" t="s">
        <v>1777</v>
      </c>
      <c r="D2368" s="7" t="str">
        <f>HYPERLINK("https://12go.asia/en/travel/Hat-Yao-pier/Krabi-Town-Hotel-Transfer", "12Go Link")</f>
        <v>12Go Link</v>
      </c>
      <c r="E2368" s="6" t="s">
        <v>567</v>
      </c>
    </row>
    <row r="2369">
      <c r="A2369" s="6" t="s">
        <v>1600</v>
      </c>
      <c r="B2369" s="6" t="s">
        <v>1685</v>
      </c>
      <c r="C2369" s="6" t="s">
        <v>1778</v>
      </c>
      <c r="D2369" s="7" t="str">
        <f>HYPERLINK("https://12go.asia/en/travel/Hat-Yao-pier/Laem-Kruat-Pier", "12Go Link")</f>
        <v>12Go Link</v>
      </c>
      <c r="E2369" s="6" t="s">
        <v>567</v>
      </c>
    </row>
    <row r="2370">
      <c r="A2370" s="6" t="s">
        <v>1600</v>
      </c>
      <c r="B2370" s="6" t="s">
        <v>1685</v>
      </c>
      <c r="C2370" s="6" t="s">
        <v>1779</v>
      </c>
      <c r="D2370" s="7" t="str">
        <f>HYPERLINK("https://12go.asia/en/travel/Hat-Yao-pier/Talen-Pier", "12Go Link")</f>
        <v>12Go Link</v>
      </c>
      <c r="E2370" s="6" t="s">
        <v>567</v>
      </c>
    </row>
    <row r="2371">
      <c r="A2371" s="6" t="s">
        <v>1600</v>
      </c>
      <c r="B2371" s="6" t="s">
        <v>1685</v>
      </c>
      <c r="C2371" s="6" t="s">
        <v>1780</v>
      </c>
      <c r="D2371" s="7" t="str">
        <f>HYPERLINK("https://12go.asia/en/travel/Khuan-Tung-Ku-Pier/Ao-Nam-Mao-Pier", "12Go Link")</f>
        <v>12Go Link</v>
      </c>
      <c r="E2371" s="6" t="s">
        <v>567</v>
      </c>
    </row>
    <row r="2372">
      <c r="A2372" s="6" t="s">
        <v>1600</v>
      </c>
      <c r="B2372" s="6" t="s">
        <v>1685</v>
      </c>
      <c r="C2372" s="6" t="s">
        <v>1781</v>
      </c>
      <c r="D2372" s="7" t="str">
        <f>HYPERLINK("https://12go.asia/en/travel/Khuan-Tung-Ku-Pier/Ao-Nang-Noppharat-Thara-Klong-Muang-Tubkaek", "12Go Link")</f>
        <v>12Go Link</v>
      </c>
      <c r="E2372" s="6" t="s">
        <v>567</v>
      </c>
    </row>
    <row r="2373">
      <c r="A2373" s="6" t="s">
        <v>1600</v>
      </c>
      <c r="B2373" s="6" t="s">
        <v>1685</v>
      </c>
      <c r="C2373" s="6" t="s">
        <v>1782</v>
      </c>
      <c r="D2373" s="7" t="str">
        <f>HYPERLINK("https://12go.asia/en/travel/Khuan-Tung-Ku-Pier/Krabi-Town-Hotel-Transfer", "12Go Link")</f>
        <v>12Go Link</v>
      </c>
      <c r="E2373" s="6" t="s">
        <v>567</v>
      </c>
    </row>
    <row r="2374">
      <c r="A2374" s="6" t="s">
        <v>1600</v>
      </c>
      <c r="B2374" s="6" t="s">
        <v>1685</v>
      </c>
      <c r="C2374" s="6" t="s">
        <v>1783</v>
      </c>
      <c r="D2374" s="7" t="str">
        <f>HYPERLINK("https://12go.asia/en/travel/Khuan-Tung-Ku-Pier/Laem-Kruat-Pier", "12Go Link")</f>
        <v>12Go Link</v>
      </c>
      <c r="E2374" s="6" t="s">
        <v>567</v>
      </c>
    </row>
    <row r="2375">
      <c r="A2375" s="6" t="s">
        <v>1600</v>
      </c>
      <c r="B2375" s="6" t="s">
        <v>1685</v>
      </c>
      <c r="C2375" s="6" t="s">
        <v>1784</v>
      </c>
      <c r="D2375" s="7" t="str">
        <f>HYPERLINK("https://12go.asia/en/travel/Khuan-Tung-Ku-Pier/Talen-Pier", "12Go Link")</f>
        <v>12Go Link</v>
      </c>
      <c r="E2375" s="6" t="s">
        <v>567</v>
      </c>
    </row>
    <row r="2376">
      <c r="A2376" s="6" t="s">
        <v>1600</v>
      </c>
      <c r="B2376" s="6" t="s">
        <v>1704</v>
      </c>
      <c r="C2376" s="6" t="s">
        <v>1785</v>
      </c>
      <c r="D2376" s="7" t="str">
        <f>HYPERLINK("https://12go.asia/en/travel/Hat-Yao-pier/Khao-Sok-Town-Transfer", "12Go Link")</f>
        <v>12Go Link</v>
      </c>
      <c r="E2376" s="6" t="s">
        <v>567</v>
      </c>
    </row>
    <row r="2377">
      <c r="A2377" s="6" t="s">
        <v>1600</v>
      </c>
      <c r="B2377" s="6" t="s">
        <v>1704</v>
      </c>
      <c r="C2377" s="6" t="s">
        <v>1786</v>
      </c>
      <c r="D2377" s="7" t="str">
        <f>HYPERLINK("https://12go.asia/en/travel/Khuan-Tung-Ku-Pier/Khao-Sok-Town-Transfer", "12Go Link")</f>
        <v>12Go Link</v>
      </c>
      <c r="E2377" s="6" t="s">
        <v>567</v>
      </c>
    </row>
    <row r="2378">
      <c r="A2378" s="6" t="s">
        <v>1600</v>
      </c>
      <c r="B2378" s="6" t="s">
        <v>1618</v>
      </c>
      <c r="C2378" s="6" t="s">
        <v>1787</v>
      </c>
      <c r="D2378" s="7" t="str">
        <f>HYPERLINK("https://12go.asia/en/travel/Hat-Yao-pier/Patong-Beach-Phuket", "12Go Link")</f>
        <v>12Go Link</v>
      </c>
      <c r="E2378" s="6" t="s">
        <v>567</v>
      </c>
    </row>
    <row r="2379">
      <c r="A2379" s="6" t="s">
        <v>1600</v>
      </c>
      <c r="B2379" s="6" t="s">
        <v>1618</v>
      </c>
      <c r="C2379" s="6" t="s">
        <v>1788</v>
      </c>
      <c r="D2379" s="7" t="str">
        <f>HYPERLINK("https://12go.asia/en/travel/Hat-Yao-pier/Phuket-Town-Transfer", "12Go Link")</f>
        <v>12Go Link</v>
      </c>
      <c r="E2379" s="6" t="s">
        <v>567</v>
      </c>
    </row>
    <row r="2380">
      <c r="A2380" s="6" t="s">
        <v>1600</v>
      </c>
      <c r="B2380" s="6" t="s">
        <v>1618</v>
      </c>
      <c r="C2380" s="6" t="s">
        <v>1789</v>
      </c>
      <c r="D2380" s="7" t="str">
        <f>HYPERLINK("https://12go.asia/en/travel/Hat-Yao-pier/Rawai-Beach-Phuket", "12Go Link")</f>
        <v>12Go Link</v>
      </c>
      <c r="E2380" s="6" t="s">
        <v>567</v>
      </c>
    </row>
    <row r="2381">
      <c r="A2381" s="6" t="s">
        <v>1600</v>
      </c>
      <c r="B2381" s="6" t="s">
        <v>1618</v>
      </c>
      <c r="C2381" s="6" t="s">
        <v>1790</v>
      </c>
      <c r="D2381" s="7" t="str">
        <f>HYPERLINK("https://12go.asia/en/travel/Khuan-Tung-Ku-Pier/Patong-Beach-Phuket", "12Go Link")</f>
        <v>12Go Link</v>
      </c>
      <c r="E2381" s="6" t="s">
        <v>567</v>
      </c>
    </row>
    <row r="2382">
      <c r="A2382" s="6" t="s">
        <v>1600</v>
      </c>
      <c r="B2382" s="6" t="s">
        <v>1618</v>
      </c>
      <c r="C2382" s="6" t="s">
        <v>1791</v>
      </c>
      <c r="D2382" s="7" t="str">
        <f>HYPERLINK("https://12go.asia/en/travel/Khuan-Tung-Ku-Pier/Phuket-Town-Transfer", "12Go Link")</f>
        <v>12Go Link</v>
      </c>
      <c r="E2382" s="6" t="s">
        <v>567</v>
      </c>
    </row>
    <row r="2383">
      <c r="A2383" s="6" t="s">
        <v>1600</v>
      </c>
      <c r="B2383" s="6" t="s">
        <v>1618</v>
      </c>
      <c r="C2383" s="6" t="s">
        <v>1792</v>
      </c>
      <c r="D2383" s="7" t="str">
        <f>HYPERLINK("https://12go.asia/en/travel/Khuan-Tung-Ku-Pier/Rawai-Beach-Phuket", "12Go Link")</f>
        <v>12Go Link</v>
      </c>
      <c r="E2383" s="6" t="s">
        <v>567</v>
      </c>
    </row>
    <row r="2384">
      <c r="A2384" s="6" t="s">
        <v>1600</v>
      </c>
      <c r="B2384" s="6" t="s">
        <v>1753</v>
      </c>
      <c r="C2384" s="6" t="s">
        <v>1793</v>
      </c>
      <c r="D2384" s="7" t="str">
        <f>HYPERLINK("https://12go.asia/en/travel/Hat-Yao-pier/Ranong-Town-Transfer", "12Go Link")</f>
        <v>12Go Link</v>
      </c>
      <c r="E2384" s="6" t="s">
        <v>567</v>
      </c>
    </row>
    <row r="2385">
      <c r="A2385" s="6" t="s">
        <v>1600</v>
      </c>
      <c r="B2385" s="6" t="s">
        <v>1753</v>
      </c>
      <c r="C2385" s="6" t="s">
        <v>1794</v>
      </c>
      <c r="D2385" s="7" t="str">
        <f>HYPERLINK("https://12go.asia/en/travel/Khuan-Tung-Ku-Pier/Ranong-Town-Transfer", "12Go Link")</f>
        <v>12Go Link</v>
      </c>
      <c r="E2385" s="6" t="s">
        <v>567</v>
      </c>
    </row>
    <row r="2386">
      <c r="A2386" s="6" t="s">
        <v>1600</v>
      </c>
      <c r="B2386" s="6" t="s">
        <v>1758</v>
      </c>
      <c r="C2386" s="6" t="s">
        <v>1795</v>
      </c>
      <c r="D2386" s="7" t="str">
        <f>HYPERLINK("https://12go.asia/en/travel/Hat-Yao-pier/Pak-Bara-Pier", "12Go Link")</f>
        <v>12Go Link</v>
      </c>
      <c r="E2386" s="6" t="s">
        <v>567</v>
      </c>
    </row>
    <row r="2387">
      <c r="A2387" s="6" t="s">
        <v>1600</v>
      </c>
      <c r="B2387" s="6" t="s">
        <v>1758</v>
      </c>
      <c r="C2387" s="6" t="s">
        <v>1796</v>
      </c>
      <c r="D2387" s="7" t="str">
        <f>HYPERLINK("https://12go.asia/en/travel/Khuan-Tung-Ku-Pier/Pak-Bara-Pier", "12Go Link")</f>
        <v>12Go Link</v>
      </c>
      <c r="E2387" s="6" t="s">
        <v>567</v>
      </c>
    </row>
    <row r="2388">
      <c r="A2388" s="6" t="s">
        <v>1600</v>
      </c>
      <c r="B2388" s="6" t="s">
        <v>1701</v>
      </c>
      <c r="C2388" s="6" t="s">
        <v>1797</v>
      </c>
      <c r="D2388" s="7" t="str">
        <f>HYPERLINK("https://12go.asia/en/travel/Hat-Yao-pier/Surat-Thani-Town-Transfer", "12Go Link")</f>
        <v>12Go Link</v>
      </c>
      <c r="E2388" s="6" t="s">
        <v>567</v>
      </c>
    </row>
    <row r="2389">
      <c r="A2389" s="6" t="s">
        <v>1600</v>
      </c>
      <c r="B2389" s="6" t="s">
        <v>1701</v>
      </c>
      <c r="C2389" s="6" t="s">
        <v>1798</v>
      </c>
      <c r="D2389" s="7" t="str">
        <f>HYPERLINK("https://12go.asia/en/travel/Khuan-Tung-Ku-Pier/Surat-Thani-Town-Transfer", "12Go Link")</f>
        <v>12Go Link</v>
      </c>
      <c r="E2389" s="6" t="s">
        <v>567</v>
      </c>
    </row>
    <row r="2390">
      <c r="A2390" s="6" t="s">
        <v>1600</v>
      </c>
      <c r="B2390" s="6" t="s">
        <v>1600</v>
      </c>
      <c r="C2390" s="6" t="s">
        <v>1799</v>
      </c>
      <c r="D2390" s="7" t="str">
        <f>HYPERLINK("https://12go.asia/en/travel/Hat-Yao-pier/Laem-Tase-Pier", "12Go Link")</f>
        <v>12Go Link</v>
      </c>
      <c r="E2390" s="6" t="s">
        <v>567</v>
      </c>
    </row>
    <row r="2391">
      <c r="A2391" s="6" t="s">
        <v>1600</v>
      </c>
      <c r="B2391" s="6" t="s">
        <v>1600</v>
      </c>
      <c r="C2391" s="6" t="s">
        <v>1800</v>
      </c>
      <c r="D2391" s="7" t="str">
        <f>HYPERLINK("https://12go.asia/en/travel/Hat-Yao-Pier/Trang-Airport", "12Go Link")</f>
        <v>12Go Link</v>
      </c>
      <c r="E2391" s="6" t="s">
        <v>608</v>
      </c>
    </row>
    <row r="2392">
      <c r="A2392" s="6" t="s">
        <v>1600</v>
      </c>
      <c r="B2392" s="6" t="s">
        <v>1600</v>
      </c>
      <c r="C2392" s="6" t="s">
        <v>1801</v>
      </c>
      <c r="D2392" s="7" t="str">
        <f>HYPERLINK("https://12go.asia/en/travel/Hat-Yao-pier/Trang-Bus-Terminal", "12Go Link")</f>
        <v>12Go Link</v>
      </c>
      <c r="E2392" s="6" t="s">
        <v>567</v>
      </c>
    </row>
    <row r="2393">
      <c r="A2393" s="6" t="s">
        <v>1600</v>
      </c>
      <c r="B2393" s="6" t="s">
        <v>1600</v>
      </c>
      <c r="C2393" s="6" t="s">
        <v>1802</v>
      </c>
      <c r="D2393" s="7" t="str">
        <f>HYPERLINK("https://12go.asia/en/travel/Hat-Yao-Pier/Trang-Railway-Station", "12Go Link")</f>
        <v>12Go Link</v>
      </c>
      <c r="E2393" s="6" t="s">
        <v>608</v>
      </c>
    </row>
    <row r="2394">
      <c r="A2394" s="6" t="s">
        <v>1600</v>
      </c>
      <c r="B2394" s="6" t="s">
        <v>1600</v>
      </c>
      <c r="C2394" s="6" t="s">
        <v>1803</v>
      </c>
      <c r="D2394" s="7" t="str">
        <f>HYPERLINK("https://12go.asia/en/travel/Hat-Yao-Pier/Trang-Town", "12Go Link")</f>
        <v>12Go Link</v>
      </c>
      <c r="E2394" s="6" t="s">
        <v>608</v>
      </c>
    </row>
    <row r="2395">
      <c r="A2395" s="6" t="s">
        <v>1600</v>
      </c>
      <c r="B2395" s="6" t="s">
        <v>1600</v>
      </c>
      <c r="C2395" s="6" t="s">
        <v>1804</v>
      </c>
      <c r="D2395" s="7" t="str">
        <f>HYPERLINK("https://12go.asia/en/travel/Khuan-Tung-Ku-Pier/Laem-Tase-Pier", "12Go Link")</f>
        <v>12Go Link</v>
      </c>
      <c r="E2395" s="6" t="s">
        <v>567</v>
      </c>
    </row>
    <row r="2396">
      <c r="A2396" s="6" t="s">
        <v>1600</v>
      </c>
      <c r="B2396" s="6" t="s">
        <v>1600</v>
      </c>
      <c r="C2396" s="6" t="s">
        <v>1805</v>
      </c>
      <c r="D2396" s="7" t="str">
        <f>HYPERLINK("https://12go.asia/en/travel/Khuan-Tung-Ku-Pier/Trang-Bus-Terminal", "12Go Link")</f>
        <v>12Go Link</v>
      </c>
      <c r="E2396" s="6" t="s">
        <v>567</v>
      </c>
    </row>
    <row r="2397">
      <c r="A2397" s="6" t="s">
        <v>1600</v>
      </c>
      <c r="B2397" s="6" t="s">
        <v>1600</v>
      </c>
      <c r="C2397" s="6" t="s">
        <v>1806</v>
      </c>
      <c r="D2397" s="7" t="str">
        <f>HYPERLINK("https://12go.asia/en/travel/Laem-Tase-Pier/Hat-Yao-pier", "12Go Link")</f>
        <v>12Go Link</v>
      </c>
      <c r="E2397" s="6" t="s">
        <v>567</v>
      </c>
    </row>
    <row r="2398">
      <c r="A2398" s="6" t="s">
        <v>1600</v>
      </c>
      <c r="B2398" s="6" t="s">
        <v>1600</v>
      </c>
      <c r="C2398" s="6" t="s">
        <v>1807</v>
      </c>
      <c r="D2398" s="7" t="str">
        <f>HYPERLINK("https://12go.asia/en/travel/Laem-Tase-Pier/Khuan-Tung-Ku-Pier", "12Go Link")</f>
        <v>12Go Link</v>
      </c>
      <c r="E2398" s="6" t="s">
        <v>567</v>
      </c>
    </row>
    <row r="2399">
      <c r="A2399" s="6" t="s">
        <v>1600</v>
      </c>
      <c r="B2399" s="6" t="s">
        <v>1600</v>
      </c>
      <c r="C2399" s="6" t="s">
        <v>1808</v>
      </c>
      <c r="D2399" s="7" t="str">
        <f>HYPERLINK("https://12go.asia/en/travel/Trang-Airport/Hat-Yao-Pier", "12Go Link")</f>
        <v>12Go Link</v>
      </c>
      <c r="E2399" s="6" t="s">
        <v>608</v>
      </c>
    </row>
    <row r="2400">
      <c r="A2400" s="6" t="s">
        <v>1600</v>
      </c>
      <c r="B2400" s="6" t="s">
        <v>1600</v>
      </c>
      <c r="C2400" s="6" t="s">
        <v>1809</v>
      </c>
      <c r="D2400" s="7" t="str">
        <f>HYPERLINK("https://12go.asia/en/travel/Trang-Bus-Terminal/Hat-Yao-pier", "12Go Link")</f>
        <v>12Go Link</v>
      </c>
      <c r="E2400" s="6" t="s">
        <v>567</v>
      </c>
    </row>
    <row r="2401">
      <c r="A2401" s="6" t="s">
        <v>1600</v>
      </c>
      <c r="B2401" s="6" t="s">
        <v>1600</v>
      </c>
      <c r="C2401" s="6" t="s">
        <v>1810</v>
      </c>
      <c r="D2401" s="7" t="str">
        <f>HYPERLINK("https://12go.asia/en/travel/Trang-Bus-Terminal/Khuan-Tung-Ku-Pier", "12Go Link")</f>
        <v>12Go Link</v>
      </c>
      <c r="E2401" s="6" t="s">
        <v>567</v>
      </c>
    </row>
    <row r="2402">
      <c r="A2402" s="6" t="s">
        <v>1600</v>
      </c>
      <c r="B2402" s="6" t="s">
        <v>1600</v>
      </c>
      <c r="C2402" s="6" t="s">
        <v>1811</v>
      </c>
      <c r="D2402" s="7" t="str">
        <f>HYPERLINK("https://12go.asia/en/travel/Trang-Railway-Station/Hat-Yao-Pier", "12Go Link")</f>
        <v>12Go Link</v>
      </c>
      <c r="E2402" s="6" t="s">
        <v>608</v>
      </c>
    </row>
    <row r="2403">
      <c r="A2403" s="6" t="s">
        <v>1600</v>
      </c>
      <c r="B2403" s="6" t="s">
        <v>1600</v>
      </c>
      <c r="C2403" s="6" t="s">
        <v>1812</v>
      </c>
      <c r="D2403" s="7" t="str">
        <f>HYPERLINK("https://12go.asia/en/travel/Trang-Town/Hat-Yao-Pier", "12Go Link")</f>
        <v>12Go Link</v>
      </c>
      <c r="E2403" s="6" t="s">
        <v>608</v>
      </c>
    </row>
    <row r="2404">
      <c r="A2404" s="8" t="s">
        <v>1813</v>
      </c>
      <c r="B2404" s="8" t="s">
        <v>1578</v>
      </c>
      <c r="C2404" s="8" t="s">
        <v>1814</v>
      </c>
      <c r="D2404" s="9" t="str">
        <f>HYPERLINK("https://12go.asia/en/travel/nakhonchaiair-bus-station/mochit", "12Go Link")</f>
        <v>12Go Link</v>
      </c>
      <c r="E2404" s="8" t="s">
        <v>66</v>
      </c>
    </row>
    <row r="2405">
      <c r="A2405" s="2" t="s">
        <v>1815</v>
      </c>
      <c r="B2405" s="2" t="s">
        <v>1816</v>
      </c>
      <c r="C2405" s="2" t="s">
        <v>1817</v>
      </c>
      <c r="D2405" s="3" t="str">
        <f t="shared" ref="D2405:D2408" si="341">HYPERLINK("https://12go.asia/en/travel/Akyaka-Hotel-Transfer/Dalaman-Airport", "12Go Link")</f>
        <v>12Go Link</v>
      </c>
      <c r="E2405" s="2" t="s">
        <v>1818</v>
      </c>
    </row>
    <row r="2406">
      <c r="A2406" s="2" t="s">
        <v>1815</v>
      </c>
      <c r="B2406" s="2" t="s">
        <v>1816</v>
      </c>
      <c r="C2406" s="2" t="s">
        <v>1817</v>
      </c>
      <c r="D2406" s="3" t="str">
        <f t="shared" si="341"/>
        <v>12Go Link</v>
      </c>
      <c r="E2406" s="2" t="s">
        <v>567</v>
      </c>
    </row>
    <row r="2407">
      <c r="A2407" s="2" t="s">
        <v>1815</v>
      </c>
      <c r="B2407" s="2" t="s">
        <v>1816</v>
      </c>
      <c r="C2407" s="2" t="s">
        <v>1817</v>
      </c>
      <c r="D2407" s="3" t="str">
        <f t="shared" si="341"/>
        <v>12Go Link</v>
      </c>
      <c r="E2407" s="2" t="s">
        <v>568</v>
      </c>
    </row>
    <row r="2408">
      <c r="A2408" s="2" t="s">
        <v>1815</v>
      </c>
      <c r="B2408" s="2" t="s">
        <v>1816</v>
      </c>
      <c r="C2408" s="2" t="s">
        <v>1817</v>
      </c>
      <c r="D2408" s="3" t="str">
        <f t="shared" si="341"/>
        <v>12Go Link</v>
      </c>
      <c r="E2408" s="2" t="s">
        <v>1819</v>
      </c>
    </row>
    <row r="2409">
      <c r="A2409" s="4" t="s">
        <v>1820</v>
      </c>
      <c r="B2409" s="4" t="s">
        <v>1821</v>
      </c>
      <c r="C2409" s="4" t="s">
        <v>1822</v>
      </c>
      <c r="D2409" s="5" t="str">
        <f t="shared" ref="D2409:D2411" si="342">HYPERLINK("https://12go.asia/en/travel/Reisdere-Hotel-Transfer/Adnan-Menderes-Airport", "12Go Link")</f>
        <v>12Go Link</v>
      </c>
      <c r="E2409" s="4" t="s">
        <v>1818</v>
      </c>
    </row>
    <row r="2410">
      <c r="A2410" s="4" t="s">
        <v>1820</v>
      </c>
      <c r="B2410" s="4" t="s">
        <v>1821</v>
      </c>
      <c r="C2410" s="4" t="s">
        <v>1822</v>
      </c>
      <c r="D2410" s="5" t="str">
        <f t="shared" si="342"/>
        <v>12Go Link</v>
      </c>
      <c r="E2410" s="4" t="s">
        <v>568</v>
      </c>
    </row>
    <row r="2411">
      <c r="A2411" s="4" t="s">
        <v>1820</v>
      </c>
      <c r="B2411" s="4" t="s">
        <v>1821</v>
      </c>
      <c r="C2411" s="4" t="s">
        <v>1822</v>
      </c>
      <c r="D2411" s="5" t="str">
        <f t="shared" si="342"/>
        <v>12Go Link</v>
      </c>
      <c r="E2411" s="4" t="s">
        <v>1819</v>
      </c>
    </row>
    <row r="2412">
      <c r="A2412" s="4" t="s">
        <v>1820</v>
      </c>
      <c r="B2412" s="4" t="s">
        <v>1821</v>
      </c>
      <c r="C2412" s="4" t="s">
        <v>1823</v>
      </c>
      <c r="D2412" s="5" t="str">
        <f t="shared" ref="D2412:D2415" si="343">HYPERLINK("https://12go.asia/en/travel/Yali-Hotel-Transfer/Adnan-Menderes-Airport", "12Go Link")</f>
        <v>12Go Link</v>
      </c>
      <c r="E2412" s="4" t="s">
        <v>1818</v>
      </c>
    </row>
    <row r="2413">
      <c r="A2413" s="4" t="s">
        <v>1820</v>
      </c>
      <c r="B2413" s="4" t="s">
        <v>1821</v>
      </c>
      <c r="C2413" s="4" t="s">
        <v>1823</v>
      </c>
      <c r="D2413" s="5" t="str">
        <f t="shared" si="343"/>
        <v>12Go Link</v>
      </c>
      <c r="E2413" s="4" t="s">
        <v>567</v>
      </c>
    </row>
    <row r="2414">
      <c r="A2414" s="4" t="s">
        <v>1820</v>
      </c>
      <c r="B2414" s="4" t="s">
        <v>1821</v>
      </c>
      <c r="C2414" s="4" t="s">
        <v>1823</v>
      </c>
      <c r="D2414" s="5" t="str">
        <f t="shared" si="343"/>
        <v>12Go Link</v>
      </c>
      <c r="E2414" s="4" t="s">
        <v>568</v>
      </c>
    </row>
    <row r="2415">
      <c r="A2415" s="4" t="s">
        <v>1820</v>
      </c>
      <c r="B2415" s="4" t="s">
        <v>1821</v>
      </c>
      <c r="C2415" s="4" t="s">
        <v>1823</v>
      </c>
      <c r="D2415" s="5" t="str">
        <f t="shared" si="343"/>
        <v>12Go Link</v>
      </c>
      <c r="E2415" s="4" t="s">
        <v>1819</v>
      </c>
    </row>
    <row r="2416">
      <c r="A2416" s="2" t="s">
        <v>1816</v>
      </c>
      <c r="B2416" s="2" t="s">
        <v>1815</v>
      </c>
      <c r="C2416" s="2" t="s">
        <v>1824</v>
      </c>
      <c r="D2416" s="3" t="str">
        <f t="shared" ref="D2416:D2419" si="344">HYPERLINK("https://12go.asia/en/travel/Dalaman-Airport/Akyaka-Hotel-Transfer", "12Go Link")</f>
        <v>12Go Link</v>
      </c>
      <c r="E2416" s="2" t="s">
        <v>1818</v>
      </c>
    </row>
    <row r="2417">
      <c r="A2417" s="2" t="s">
        <v>1816</v>
      </c>
      <c r="B2417" s="2" t="s">
        <v>1815</v>
      </c>
      <c r="C2417" s="2" t="s">
        <v>1824</v>
      </c>
      <c r="D2417" s="3" t="str">
        <f t="shared" si="344"/>
        <v>12Go Link</v>
      </c>
      <c r="E2417" s="2" t="s">
        <v>567</v>
      </c>
    </row>
    <row r="2418">
      <c r="A2418" s="2" t="s">
        <v>1816</v>
      </c>
      <c r="B2418" s="2" t="s">
        <v>1815</v>
      </c>
      <c r="C2418" s="2" t="s">
        <v>1824</v>
      </c>
      <c r="D2418" s="3" t="str">
        <f t="shared" si="344"/>
        <v>12Go Link</v>
      </c>
      <c r="E2418" s="2" t="s">
        <v>568</v>
      </c>
    </row>
    <row r="2419">
      <c r="A2419" s="2" t="s">
        <v>1816</v>
      </c>
      <c r="B2419" s="2" t="s">
        <v>1815</v>
      </c>
      <c r="C2419" s="2" t="s">
        <v>1824</v>
      </c>
      <c r="D2419" s="3" t="str">
        <f t="shared" si="344"/>
        <v>12Go Link</v>
      </c>
      <c r="E2419" s="2" t="s">
        <v>1819</v>
      </c>
    </row>
    <row r="2420">
      <c r="A2420" s="2" t="s">
        <v>1816</v>
      </c>
      <c r="B2420" s="2" t="s">
        <v>1825</v>
      </c>
      <c r="C2420" s="2" t="s">
        <v>1826</v>
      </c>
      <c r="D2420" s="3" t="str">
        <f t="shared" ref="D2420:D2423" si="345">HYPERLINK("https://12go.asia/en/travel/Dalaman-Airport/Fethiye-Hotel-Transfer", "12Go Link")</f>
        <v>12Go Link</v>
      </c>
      <c r="E2420" s="2" t="s">
        <v>1818</v>
      </c>
    </row>
    <row r="2421">
      <c r="A2421" s="2" t="s">
        <v>1816</v>
      </c>
      <c r="B2421" s="2" t="s">
        <v>1825</v>
      </c>
      <c r="C2421" s="2" t="s">
        <v>1826</v>
      </c>
      <c r="D2421" s="3" t="str">
        <f t="shared" si="345"/>
        <v>12Go Link</v>
      </c>
      <c r="E2421" s="2" t="s">
        <v>567</v>
      </c>
    </row>
    <row r="2422">
      <c r="A2422" s="2" t="s">
        <v>1816</v>
      </c>
      <c r="B2422" s="2" t="s">
        <v>1825</v>
      </c>
      <c r="C2422" s="2" t="s">
        <v>1826</v>
      </c>
      <c r="D2422" s="3" t="str">
        <f t="shared" si="345"/>
        <v>12Go Link</v>
      </c>
      <c r="E2422" s="2" t="s">
        <v>568</v>
      </c>
    </row>
    <row r="2423">
      <c r="A2423" s="2" t="s">
        <v>1816</v>
      </c>
      <c r="B2423" s="2" t="s">
        <v>1825</v>
      </c>
      <c r="C2423" s="2" t="s">
        <v>1826</v>
      </c>
      <c r="D2423" s="3" t="str">
        <f t="shared" si="345"/>
        <v>12Go Link</v>
      </c>
      <c r="E2423" s="2" t="s">
        <v>1819</v>
      </c>
    </row>
    <row r="2424">
      <c r="A2424" s="4" t="s">
        <v>1827</v>
      </c>
      <c r="B2424" s="4" t="s">
        <v>1821</v>
      </c>
      <c r="C2424" s="4" t="s">
        <v>1828</v>
      </c>
      <c r="D2424" s="5" t="str">
        <f t="shared" ref="D2424:D2427" si="346">HYPERLINK("https://12go.asia/en/travel/Fevzipasa-Hotel-Transfer/Adnan-Menderes-Airport", "12Go Link")</f>
        <v>12Go Link</v>
      </c>
      <c r="E2424" s="4" t="s">
        <v>1818</v>
      </c>
    </row>
    <row r="2425">
      <c r="A2425" s="4" t="s">
        <v>1827</v>
      </c>
      <c r="B2425" s="4" t="s">
        <v>1821</v>
      </c>
      <c r="C2425" s="4" t="s">
        <v>1828</v>
      </c>
      <c r="D2425" s="5" t="str">
        <f t="shared" si="346"/>
        <v>12Go Link</v>
      </c>
      <c r="E2425" s="4" t="s">
        <v>567</v>
      </c>
    </row>
    <row r="2426">
      <c r="A2426" s="4" t="s">
        <v>1827</v>
      </c>
      <c r="B2426" s="4" t="s">
        <v>1821</v>
      </c>
      <c r="C2426" s="4" t="s">
        <v>1828</v>
      </c>
      <c r="D2426" s="5" t="str">
        <f t="shared" si="346"/>
        <v>12Go Link</v>
      </c>
      <c r="E2426" s="4" t="s">
        <v>568</v>
      </c>
    </row>
    <row r="2427">
      <c r="A2427" s="4" t="s">
        <v>1827</v>
      </c>
      <c r="B2427" s="4" t="s">
        <v>1821</v>
      </c>
      <c r="C2427" s="4" t="s">
        <v>1828</v>
      </c>
      <c r="D2427" s="5" t="str">
        <f t="shared" si="346"/>
        <v>12Go Link</v>
      </c>
      <c r="E2427" s="4" t="s">
        <v>1819</v>
      </c>
    </row>
    <row r="2428">
      <c r="A2428" s="2" t="s">
        <v>1825</v>
      </c>
      <c r="B2428" s="2" t="s">
        <v>1816</v>
      </c>
      <c r="C2428" s="2" t="s">
        <v>1829</v>
      </c>
      <c r="D2428" s="3" t="str">
        <f t="shared" ref="D2428:D2431" si="347">HYPERLINK("https://12go.asia/en/travel/Fethiye-Hotel-Transfer/Dalaman-Airport", "12Go Link")</f>
        <v>12Go Link</v>
      </c>
      <c r="E2428" s="2" t="s">
        <v>1818</v>
      </c>
    </row>
    <row r="2429">
      <c r="A2429" s="2" t="s">
        <v>1825</v>
      </c>
      <c r="B2429" s="2" t="s">
        <v>1816</v>
      </c>
      <c r="C2429" s="2" t="s">
        <v>1829</v>
      </c>
      <c r="D2429" s="3" t="str">
        <f t="shared" si="347"/>
        <v>12Go Link</v>
      </c>
      <c r="E2429" s="2" t="s">
        <v>567</v>
      </c>
    </row>
    <row r="2430">
      <c r="A2430" s="2" t="s">
        <v>1825</v>
      </c>
      <c r="B2430" s="2" t="s">
        <v>1816</v>
      </c>
      <c r="C2430" s="2" t="s">
        <v>1829</v>
      </c>
      <c r="D2430" s="3" t="str">
        <f t="shared" si="347"/>
        <v>12Go Link</v>
      </c>
      <c r="E2430" s="2" t="s">
        <v>568</v>
      </c>
    </row>
    <row r="2431">
      <c r="A2431" s="2" t="s">
        <v>1825</v>
      </c>
      <c r="B2431" s="2" t="s">
        <v>1816</v>
      </c>
      <c r="C2431" s="2" t="s">
        <v>1829</v>
      </c>
      <c r="D2431" s="3" t="str">
        <f t="shared" si="347"/>
        <v>12Go Link</v>
      </c>
      <c r="E2431" s="2" t="s">
        <v>1819</v>
      </c>
    </row>
    <row r="2432">
      <c r="A2432" s="4" t="s">
        <v>1830</v>
      </c>
      <c r="B2432" s="4" t="s">
        <v>1821</v>
      </c>
      <c r="C2432" s="4" t="s">
        <v>1831</v>
      </c>
      <c r="D2432" s="5" t="str">
        <f t="shared" ref="D2432:D2435" si="348">HYPERLINK("https://12go.asia/en/travel/Cumhuriyet-Hotel-Transfer/Adnan-Menderes-Airport", "12Go Link")</f>
        <v>12Go Link</v>
      </c>
      <c r="E2432" s="4" t="s">
        <v>1818</v>
      </c>
    </row>
    <row r="2433">
      <c r="A2433" s="4" t="s">
        <v>1830</v>
      </c>
      <c r="B2433" s="4" t="s">
        <v>1821</v>
      </c>
      <c r="C2433" s="4" t="s">
        <v>1831</v>
      </c>
      <c r="D2433" s="5" t="str">
        <f t="shared" si="348"/>
        <v>12Go Link</v>
      </c>
      <c r="E2433" s="4" t="s">
        <v>567</v>
      </c>
    </row>
    <row r="2434">
      <c r="A2434" s="4" t="s">
        <v>1830</v>
      </c>
      <c r="B2434" s="4" t="s">
        <v>1821</v>
      </c>
      <c r="C2434" s="4" t="s">
        <v>1831</v>
      </c>
      <c r="D2434" s="5" t="str">
        <f t="shared" si="348"/>
        <v>12Go Link</v>
      </c>
      <c r="E2434" s="4" t="s">
        <v>568</v>
      </c>
    </row>
    <row r="2435">
      <c r="A2435" s="4" t="s">
        <v>1830</v>
      </c>
      <c r="B2435" s="4" t="s">
        <v>1821</v>
      </c>
      <c r="C2435" s="4" t="s">
        <v>1831</v>
      </c>
      <c r="D2435" s="5" t="str">
        <f t="shared" si="348"/>
        <v>12Go Link</v>
      </c>
      <c r="E2435" s="4" t="s">
        <v>1819</v>
      </c>
    </row>
    <row r="2436">
      <c r="A2436" s="4" t="s">
        <v>1830</v>
      </c>
      <c r="B2436" s="4" t="s">
        <v>1821</v>
      </c>
      <c r="C2436" s="4" t="s">
        <v>1832</v>
      </c>
      <c r="D2436" s="5" t="str">
        <f t="shared" ref="D2436:D2439" si="349">HYPERLINK("https://12go.asia/en/travel/Fatih-Hotel-Transfer/Adnan-Menderes-Airport", "12Go Link")</f>
        <v>12Go Link</v>
      </c>
      <c r="E2436" s="4" t="s">
        <v>1818</v>
      </c>
    </row>
    <row r="2437">
      <c r="A2437" s="4" t="s">
        <v>1830</v>
      </c>
      <c r="B2437" s="4" t="s">
        <v>1821</v>
      </c>
      <c r="C2437" s="4" t="s">
        <v>1832</v>
      </c>
      <c r="D2437" s="5" t="str">
        <f t="shared" si="349"/>
        <v>12Go Link</v>
      </c>
      <c r="E2437" s="4" t="s">
        <v>567</v>
      </c>
    </row>
    <row r="2438">
      <c r="A2438" s="4" t="s">
        <v>1830</v>
      </c>
      <c r="B2438" s="4" t="s">
        <v>1821</v>
      </c>
      <c r="C2438" s="4" t="s">
        <v>1832</v>
      </c>
      <c r="D2438" s="5" t="str">
        <f t="shared" si="349"/>
        <v>12Go Link</v>
      </c>
      <c r="E2438" s="4" t="s">
        <v>568</v>
      </c>
    </row>
    <row r="2439">
      <c r="A2439" s="4" t="s">
        <v>1830</v>
      </c>
      <c r="B2439" s="4" t="s">
        <v>1821</v>
      </c>
      <c r="C2439" s="4" t="s">
        <v>1832</v>
      </c>
      <c r="D2439" s="5" t="str">
        <f t="shared" si="349"/>
        <v>12Go Link</v>
      </c>
      <c r="E2439" s="4" t="s">
        <v>1819</v>
      </c>
    </row>
    <row r="2440">
      <c r="A2440" s="4" t="s">
        <v>1830</v>
      </c>
      <c r="B2440" s="4" t="s">
        <v>1821</v>
      </c>
      <c r="C2440" s="4" t="s">
        <v>1833</v>
      </c>
      <c r="D2440" s="5" t="str">
        <f t="shared" ref="D2440:D2442" si="350">HYPERLINK("https://12go.asia/en/travel/Kozbeyli-Hotel-Transfer/Adnan-Menderes-Airport", "12Go Link")</f>
        <v>12Go Link</v>
      </c>
      <c r="E2440" s="4" t="s">
        <v>1818</v>
      </c>
    </row>
    <row r="2441">
      <c r="A2441" s="4" t="s">
        <v>1830</v>
      </c>
      <c r="B2441" s="4" t="s">
        <v>1821</v>
      </c>
      <c r="C2441" s="4" t="s">
        <v>1833</v>
      </c>
      <c r="D2441" s="5" t="str">
        <f t="shared" si="350"/>
        <v>12Go Link</v>
      </c>
      <c r="E2441" s="4" t="s">
        <v>568</v>
      </c>
    </row>
    <row r="2442">
      <c r="A2442" s="4" t="s">
        <v>1830</v>
      </c>
      <c r="B2442" s="4" t="s">
        <v>1821</v>
      </c>
      <c r="C2442" s="4" t="s">
        <v>1833</v>
      </c>
      <c r="D2442" s="5" t="str">
        <f t="shared" si="350"/>
        <v>12Go Link</v>
      </c>
      <c r="E2442" s="4" t="s">
        <v>1819</v>
      </c>
    </row>
    <row r="2443">
      <c r="A2443" s="2" t="s">
        <v>1834</v>
      </c>
      <c r="B2443" s="2" t="s">
        <v>1821</v>
      </c>
      <c r="C2443" s="2" t="s">
        <v>1835</v>
      </c>
      <c r="D2443" s="3" t="str">
        <f t="shared" ref="D2443:D2445" si="351">HYPERLINK("https://12go.asia/en/travel/Gaziemir-Hotel-Transfer/Adnan-Menderes-Airport", "12Go Link")</f>
        <v>12Go Link</v>
      </c>
      <c r="E2443" s="2" t="s">
        <v>1818</v>
      </c>
    </row>
    <row r="2444">
      <c r="A2444" s="2" t="s">
        <v>1834</v>
      </c>
      <c r="B2444" s="2" t="s">
        <v>1821</v>
      </c>
      <c r="C2444" s="2" t="s">
        <v>1835</v>
      </c>
      <c r="D2444" s="3" t="str">
        <f t="shared" si="351"/>
        <v>12Go Link</v>
      </c>
      <c r="E2444" s="2" t="s">
        <v>568</v>
      </c>
    </row>
    <row r="2445">
      <c r="A2445" s="2" t="s">
        <v>1834</v>
      </c>
      <c r="B2445" s="2" t="s">
        <v>1821</v>
      </c>
      <c r="C2445" s="2" t="s">
        <v>1835</v>
      </c>
      <c r="D2445" s="3" t="str">
        <f t="shared" si="351"/>
        <v>12Go Link</v>
      </c>
      <c r="E2445" s="2" t="s">
        <v>1819</v>
      </c>
    </row>
    <row r="2446">
      <c r="A2446" s="4" t="s">
        <v>1836</v>
      </c>
      <c r="B2446" s="4" t="s">
        <v>1821</v>
      </c>
      <c r="C2446" s="4" t="s">
        <v>1837</v>
      </c>
      <c r="D2446" s="5" t="str">
        <f t="shared" ref="D2446:D2449" si="352">HYPERLINK("https://12go.asia/en/travel/Gumuldur-Cumhuriyet-Hotel-Transfer/Adnan-Menderes-Airport", "12Go Link")</f>
        <v>12Go Link</v>
      </c>
      <c r="E2446" s="4" t="s">
        <v>1818</v>
      </c>
    </row>
    <row r="2447">
      <c r="A2447" s="4" t="s">
        <v>1836</v>
      </c>
      <c r="B2447" s="4" t="s">
        <v>1821</v>
      </c>
      <c r="C2447" s="4" t="s">
        <v>1837</v>
      </c>
      <c r="D2447" s="5" t="str">
        <f t="shared" si="352"/>
        <v>12Go Link</v>
      </c>
      <c r="E2447" s="4" t="s">
        <v>567</v>
      </c>
    </row>
    <row r="2448">
      <c r="A2448" s="4" t="s">
        <v>1836</v>
      </c>
      <c r="B2448" s="4" t="s">
        <v>1821</v>
      </c>
      <c r="C2448" s="4" t="s">
        <v>1837</v>
      </c>
      <c r="D2448" s="5" t="str">
        <f t="shared" si="352"/>
        <v>12Go Link</v>
      </c>
      <c r="E2448" s="4" t="s">
        <v>568</v>
      </c>
    </row>
    <row r="2449">
      <c r="A2449" s="4" t="s">
        <v>1836</v>
      </c>
      <c r="B2449" s="4" t="s">
        <v>1821</v>
      </c>
      <c r="C2449" s="4" t="s">
        <v>1837</v>
      </c>
      <c r="D2449" s="5" t="str">
        <f t="shared" si="352"/>
        <v>12Go Link</v>
      </c>
      <c r="E2449" s="4" t="s">
        <v>1819</v>
      </c>
    </row>
    <row r="2450">
      <c r="A2450" s="2" t="s">
        <v>1821</v>
      </c>
      <c r="B2450" s="2" t="s">
        <v>1820</v>
      </c>
      <c r="C2450" s="2" t="s">
        <v>1838</v>
      </c>
      <c r="D2450" s="3" t="str">
        <f t="shared" ref="D2450:D2452" si="353">HYPERLINK("https://12go.asia/en/travel/Adnan-Menderes-Airport/Reisdere-Hotel-Transfer", "12Go Link")</f>
        <v>12Go Link</v>
      </c>
      <c r="E2450" s="2" t="s">
        <v>1818</v>
      </c>
    </row>
    <row r="2451">
      <c r="A2451" s="2" t="s">
        <v>1821</v>
      </c>
      <c r="B2451" s="2" t="s">
        <v>1820</v>
      </c>
      <c r="C2451" s="2" t="s">
        <v>1838</v>
      </c>
      <c r="D2451" s="3" t="str">
        <f t="shared" si="353"/>
        <v>12Go Link</v>
      </c>
      <c r="E2451" s="2" t="s">
        <v>568</v>
      </c>
    </row>
    <row r="2452">
      <c r="A2452" s="2" t="s">
        <v>1821</v>
      </c>
      <c r="B2452" s="2" t="s">
        <v>1820</v>
      </c>
      <c r="C2452" s="2" t="s">
        <v>1838</v>
      </c>
      <c r="D2452" s="3" t="str">
        <f t="shared" si="353"/>
        <v>12Go Link</v>
      </c>
      <c r="E2452" s="2" t="s">
        <v>1819</v>
      </c>
    </row>
    <row r="2453">
      <c r="A2453" s="2" t="s">
        <v>1821</v>
      </c>
      <c r="B2453" s="2" t="s">
        <v>1820</v>
      </c>
      <c r="C2453" s="2" t="s">
        <v>1839</v>
      </c>
      <c r="D2453" s="3" t="str">
        <f t="shared" ref="D2453:D2456" si="354">HYPERLINK("https://12go.asia/en/travel/Adnan-Menderes-Airport/Yali-Hotel-Transfer", "12Go Link")</f>
        <v>12Go Link</v>
      </c>
      <c r="E2453" s="2" t="s">
        <v>1818</v>
      </c>
    </row>
    <row r="2454">
      <c r="A2454" s="2" t="s">
        <v>1821</v>
      </c>
      <c r="B2454" s="2" t="s">
        <v>1820</v>
      </c>
      <c r="C2454" s="2" t="s">
        <v>1839</v>
      </c>
      <c r="D2454" s="3" t="str">
        <f t="shared" si="354"/>
        <v>12Go Link</v>
      </c>
      <c r="E2454" s="2" t="s">
        <v>567</v>
      </c>
    </row>
    <row r="2455">
      <c r="A2455" s="2" t="s">
        <v>1821</v>
      </c>
      <c r="B2455" s="2" t="s">
        <v>1820</v>
      </c>
      <c r="C2455" s="2" t="s">
        <v>1839</v>
      </c>
      <c r="D2455" s="3" t="str">
        <f t="shared" si="354"/>
        <v>12Go Link</v>
      </c>
      <c r="E2455" s="2" t="s">
        <v>568</v>
      </c>
    </row>
    <row r="2456">
      <c r="A2456" s="2" t="s">
        <v>1821</v>
      </c>
      <c r="B2456" s="2" t="s">
        <v>1820</v>
      </c>
      <c r="C2456" s="2" t="s">
        <v>1839</v>
      </c>
      <c r="D2456" s="3" t="str">
        <f t="shared" si="354"/>
        <v>12Go Link</v>
      </c>
      <c r="E2456" s="2" t="s">
        <v>1819</v>
      </c>
    </row>
    <row r="2457">
      <c r="A2457" s="2" t="s">
        <v>1821</v>
      </c>
      <c r="B2457" s="2" t="s">
        <v>1827</v>
      </c>
      <c r="C2457" s="2" t="s">
        <v>1840</v>
      </c>
      <c r="D2457" s="3" t="str">
        <f t="shared" ref="D2457:D2460" si="355">HYPERLINK("https://12go.asia/en/travel/Adnan-Menderes-Airport/Fevzipasa-Hotel-Transfer", "12Go Link")</f>
        <v>12Go Link</v>
      </c>
      <c r="E2457" s="2" t="s">
        <v>1818</v>
      </c>
    </row>
    <row r="2458">
      <c r="A2458" s="2" t="s">
        <v>1821</v>
      </c>
      <c r="B2458" s="2" t="s">
        <v>1827</v>
      </c>
      <c r="C2458" s="2" t="s">
        <v>1840</v>
      </c>
      <c r="D2458" s="3" t="str">
        <f t="shared" si="355"/>
        <v>12Go Link</v>
      </c>
      <c r="E2458" s="2" t="s">
        <v>567</v>
      </c>
    </row>
    <row r="2459">
      <c r="A2459" s="2" t="s">
        <v>1821</v>
      </c>
      <c r="B2459" s="2" t="s">
        <v>1827</v>
      </c>
      <c r="C2459" s="2" t="s">
        <v>1840</v>
      </c>
      <c r="D2459" s="3" t="str">
        <f t="shared" si="355"/>
        <v>12Go Link</v>
      </c>
      <c r="E2459" s="2" t="s">
        <v>568</v>
      </c>
    </row>
    <row r="2460">
      <c r="A2460" s="2" t="s">
        <v>1821</v>
      </c>
      <c r="B2460" s="2" t="s">
        <v>1827</v>
      </c>
      <c r="C2460" s="2" t="s">
        <v>1840</v>
      </c>
      <c r="D2460" s="3" t="str">
        <f t="shared" si="355"/>
        <v>12Go Link</v>
      </c>
      <c r="E2460" s="2" t="s">
        <v>1819</v>
      </c>
    </row>
    <row r="2461">
      <c r="A2461" s="2" t="s">
        <v>1821</v>
      </c>
      <c r="B2461" s="2" t="s">
        <v>1830</v>
      </c>
      <c r="C2461" s="2" t="s">
        <v>1841</v>
      </c>
      <c r="D2461" s="3" t="str">
        <f t="shared" ref="D2461:D2464" si="356">HYPERLINK("https://12go.asia/en/travel/Adnan-Menderes-Airport/Cumhuriyet-Hotel-Transfer", "12Go Link")</f>
        <v>12Go Link</v>
      </c>
      <c r="E2461" s="2" t="s">
        <v>1818</v>
      </c>
    </row>
    <row r="2462">
      <c r="A2462" s="2" t="s">
        <v>1821</v>
      </c>
      <c r="B2462" s="2" t="s">
        <v>1830</v>
      </c>
      <c r="C2462" s="2" t="s">
        <v>1841</v>
      </c>
      <c r="D2462" s="3" t="str">
        <f t="shared" si="356"/>
        <v>12Go Link</v>
      </c>
      <c r="E2462" s="2" t="s">
        <v>567</v>
      </c>
    </row>
    <row r="2463">
      <c r="A2463" s="2" t="s">
        <v>1821</v>
      </c>
      <c r="B2463" s="2" t="s">
        <v>1830</v>
      </c>
      <c r="C2463" s="2" t="s">
        <v>1841</v>
      </c>
      <c r="D2463" s="3" t="str">
        <f t="shared" si="356"/>
        <v>12Go Link</v>
      </c>
      <c r="E2463" s="2" t="s">
        <v>568</v>
      </c>
    </row>
    <row r="2464">
      <c r="A2464" s="2" t="s">
        <v>1821</v>
      </c>
      <c r="B2464" s="2" t="s">
        <v>1830</v>
      </c>
      <c r="C2464" s="2" t="s">
        <v>1841</v>
      </c>
      <c r="D2464" s="3" t="str">
        <f t="shared" si="356"/>
        <v>12Go Link</v>
      </c>
      <c r="E2464" s="2" t="s">
        <v>1819</v>
      </c>
    </row>
    <row r="2465">
      <c r="A2465" s="2" t="s">
        <v>1821</v>
      </c>
      <c r="B2465" s="2" t="s">
        <v>1830</v>
      </c>
      <c r="C2465" s="2" t="s">
        <v>1842</v>
      </c>
      <c r="D2465" s="3" t="str">
        <f t="shared" ref="D2465:D2468" si="357">HYPERLINK("https://12go.asia/en/travel/Adnan-Menderes-Airport/Fatih-Hotel-Transfer", "12Go Link")</f>
        <v>12Go Link</v>
      </c>
      <c r="E2465" s="2" t="s">
        <v>1818</v>
      </c>
    </row>
    <row r="2466">
      <c r="A2466" s="2" t="s">
        <v>1821</v>
      </c>
      <c r="B2466" s="2" t="s">
        <v>1830</v>
      </c>
      <c r="C2466" s="2" t="s">
        <v>1842</v>
      </c>
      <c r="D2466" s="3" t="str">
        <f t="shared" si="357"/>
        <v>12Go Link</v>
      </c>
      <c r="E2466" s="2" t="s">
        <v>567</v>
      </c>
    </row>
    <row r="2467">
      <c r="A2467" s="2" t="s">
        <v>1821</v>
      </c>
      <c r="B2467" s="2" t="s">
        <v>1830</v>
      </c>
      <c r="C2467" s="2" t="s">
        <v>1842</v>
      </c>
      <c r="D2467" s="3" t="str">
        <f t="shared" si="357"/>
        <v>12Go Link</v>
      </c>
      <c r="E2467" s="2" t="s">
        <v>568</v>
      </c>
    </row>
    <row r="2468">
      <c r="A2468" s="2" t="s">
        <v>1821</v>
      </c>
      <c r="B2468" s="2" t="s">
        <v>1830</v>
      </c>
      <c r="C2468" s="2" t="s">
        <v>1842</v>
      </c>
      <c r="D2468" s="3" t="str">
        <f t="shared" si="357"/>
        <v>12Go Link</v>
      </c>
      <c r="E2468" s="2" t="s">
        <v>1819</v>
      </c>
    </row>
    <row r="2469">
      <c r="A2469" s="2" t="s">
        <v>1821</v>
      </c>
      <c r="B2469" s="2" t="s">
        <v>1830</v>
      </c>
      <c r="C2469" s="2" t="s">
        <v>1843</v>
      </c>
      <c r="D2469" s="3" t="str">
        <f t="shared" ref="D2469:D2471" si="358">HYPERLINK("https://12go.asia/en/travel/Adnan-Menderes-Airport/Kozbeyli-Hotel-Transfer", "12Go Link")</f>
        <v>12Go Link</v>
      </c>
      <c r="E2469" s="2" t="s">
        <v>1818</v>
      </c>
    </row>
    <row r="2470">
      <c r="A2470" s="2" t="s">
        <v>1821</v>
      </c>
      <c r="B2470" s="2" t="s">
        <v>1830</v>
      </c>
      <c r="C2470" s="2" t="s">
        <v>1843</v>
      </c>
      <c r="D2470" s="3" t="str">
        <f t="shared" si="358"/>
        <v>12Go Link</v>
      </c>
      <c r="E2470" s="2" t="s">
        <v>568</v>
      </c>
    </row>
    <row r="2471">
      <c r="A2471" s="2" t="s">
        <v>1821</v>
      </c>
      <c r="B2471" s="2" t="s">
        <v>1830</v>
      </c>
      <c r="C2471" s="2" t="s">
        <v>1843</v>
      </c>
      <c r="D2471" s="3" t="str">
        <f t="shared" si="358"/>
        <v>12Go Link</v>
      </c>
      <c r="E2471" s="2" t="s">
        <v>1819</v>
      </c>
    </row>
    <row r="2472">
      <c r="A2472" s="2" t="s">
        <v>1821</v>
      </c>
      <c r="B2472" s="2" t="s">
        <v>1834</v>
      </c>
      <c r="C2472" s="2" t="s">
        <v>1844</v>
      </c>
      <c r="D2472" s="3" t="str">
        <f t="shared" ref="D2472:D2474" si="359">HYPERLINK("https://12go.asia/en/travel/Adnan-Menderes-Airport/Gaziemir-Hotel-Transfer", "12Go Link")</f>
        <v>12Go Link</v>
      </c>
      <c r="E2472" s="2" t="s">
        <v>1818</v>
      </c>
    </row>
    <row r="2473">
      <c r="A2473" s="2" t="s">
        <v>1821</v>
      </c>
      <c r="B2473" s="2" t="s">
        <v>1834</v>
      </c>
      <c r="C2473" s="2" t="s">
        <v>1844</v>
      </c>
      <c r="D2473" s="3" t="str">
        <f t="shared" si="359"/>
        <v>12Go Link</v>
      </c>
      <c r="E2473" s="2" t="s">
        <v>568</v>
      </c>
    </row>
    <row r="2474">
      <c r="A2474" s="2" t="s">
        <v>1821</v>
      </c>
      <c r="B2474" s="2" t="s">
        <v>1834</v>
      </c>
      <c r="C2474" s="2" t="s">
        <v>1844</v>
      </c>
      <c r="D2474" s="3" t="str">
        <f t="shared" si="359"/>
        <v>12Go Link</v>
      </c>
      <c r="E2474" s="2" t="s">
        <v>1819</v>
      </c>
    </row>
    <row r="2475">
      <c r="A2475" s="2" t="s">
        <v>1821</v>
      </c>
      <c r="B2475" s="2" t="s">
        <v>1836</v>
      </c>
      <c r="C2475" s="2" t="s">
        <v>1845</v>
      </c>
      <c r="D2475" s="3" t="str">
        <f t="shared" ref="D2475:D2478" si="360">HYPERLINK("https://12go.asia/en/travel/Adnan-Menderes-Airport/Gumuldur-Cumhuriyet-Hotel-Transfer", "12Go Link")</f>
        <v>12Go Link</v>
      </c>
      <c r="E2475" s="2" t="s">
        <v>1818</v>
      </c>
    </row>
    <row r="2476">
      <c r="A2476" s="2" t="s">
        <v>1821</v>
      </c>
      <c r="B2476" s="2" t="s">
        <v>1836</v>
      </c>
      <c r="C2476" s="2" t="s">
        <v>1845</v>
      </c>
      <c r="D2476" s="3" t="str">
        <f t="shared" si="360"/>
        <v>12Go Link</v>
      </c>
      <c r="E2476" s="2" t="s">
        <v>567</v>
      </c>
    </row>
    <row r="2477">
      <c r="A2477" s="2" t="s">
        <v>1821</v>
      </c>
      <c r="B2477" s="2" t="s">
        <v>1836</v>
      </c>
      <c r="C2477" s="2" t="s">
        <v>1845</v>
      </c>
      <c r="D2477" s="3" t="str">
        <f t="shared" si="360"/>
        <v>12Go Link</v>
      </c>
      <c r="E2477" s="2" t="s">
        <v>568</v>
      </c>
    </row>
    <row r="2478">
      <c r="A2478" s="2" t="s">
        <v>1821</v>
      </c>
      <c r="B2478" s="2" t="s">
        <v>1836</v>
      </c>
      <c r="C2478" s="2" t="s">
        <v>1845</v>
      </c>
      <c r="D2478" s="3" t="str">
        <f t="shared" si="360"/>
        <v>12Go Link</v>
      </c>
      <c r="E2478" s="2" t="s">
        <v>1819</v>
      </c>
    </row>
    <row r="2479">
      <c r="A2479" s="2" t="s">
        <v>1821</v>
      </c>
      <c r="B2479" s="2" t="s">
        <v>1821</v>
      </c>
      <c r="C2479" s="2" t="s">
        <v>1846</v>
      </c>
      <c r="D2479" s="3" t="str">
        <f t="shared" ref="D2479:D2481" si="361">HYPERLINK("https://12go.asia/en/travel/Adnan-Menderes-Airport/Ciftlik-Koyu-Ciftlikkoy-Hotel-Transfer", "12Go Link")</f>
        <v>12Go Link</v>
      </c>
      <c r="E2479" s="2" t="s">
        <v>1818</v>
      </c>
    </row>
    <row r="2480">
      <c r="A2480" s="2" t="s">
        <v>1821</v>
      </c>
      <c r="B2480" s="2" t="s">
        <v>1821</v>
      </c>
      <c r="C2480" s="2" t="s">
        <v>1846</v>
      </c>
      <c r="D2480" s="3" t="str">
        <f t="shared" si="361"/>
        <v>12Go Link</v>
      </c>
      <c r="E2480" s="2" t="s">
        <v>568</v>
      </c>
    </row>
    <row r="2481">
      <c r="A2481" s="2" t="s">
        <v>1821</v>
      </c>
      <c r="B2481" s="2" t="s">
        <v>1821</v>
      </c>
      <c r="C2481" s="2" t="s">
        <v>1846</v>
      </c>
      <c r="D2481" s="3" t="str">
        <f t="shared" si="361"/>
        <v>12Go Link</v>
      </c>
      <c r="E2481" s="2" t="s">
        <v>1819</v>
      </c>
    </row>
    <row r="2482">
      <c r="A2482" s="2" t="s">
        <v>1821</v>
      </c>
      <c r="B2482" s="2" t="s">
        <v>1821</v>
      </c>
      <c r="C2482" s="2" t="s">
        <v>1847</v>
      </c>
      <c r="D2482" s="3" t="str">
        <f t="shared" ref="D2482:D2485" si="362">HYPERLINK("https://12go.asia/en/travel/Adnan-Menderes-Airport/Izmir-Hotel-Transfer", "12Go Link")</f>
        <v>12Go Link</v>
      </c>
      <c r="E2482" s="2" t="s">
        <v>1818</v>
      </c>
    </row>
    <row r="2483">
      <c r="A2483" s="2" t="s">
        <v>1821</v>
      </c>
      <c r="B2483" s="2" t="s">
        <v>1821</v>
      </c>
      <c r="C2483" s="2" t="s">
        <v>1847</v>
      </c>
      <c r="D2483" s="3" t="str">
        <f t="shared" si="362"/>
        <v>12Go Link</v>
      </c>
      <c r="E2483" s="2" t="s">
        <v>567</v>
      </c>
    </row>
    <row r="2484">
      <c r="A2484" s="2" t="s">
        <v>1821</v>
      </c>
      <c r="B2484" s="2" t="s">
        <v>1821</v>
      </c>
      <c r="C2484" s="2" t="s">
        <v>1847</v>
      </c>
      <c r="D2484" s="3" t="str">
        <f t="shared" si="362"/>
        <v>12Go Link</v>
      </c>
      <c r="E2484" s="2" t="s">
        <v>568</v>
      </c>
    </row>
    <row r="2485">
      <c r="A2485" s="2" t="s">
        <v>1821</v>
      </c>
      <c r="B2485" s="2" t="s">
        <v>1821</v>
      </c>
      <c r="C2485" s="2" t="s">
        <v>1847</v>
      </c>
      <c r="D2485" s="3" t="str">
        <f t="shared" si="362"/>
        <v>12Go Link</v>
      </c>
      <c r="E2485" s="2" t="s">
        <v>1819</v>
      </c>
    </row>
    <row r="2486">
      <c r="A2486" s="2" t="s">
        <v>1821</v>
      </c>
      <c r="B2486" s="2" t="s">
        <v>1821</v>
      </c>
      <c r="C2486" s="2" t="s">
        <v>1848</v>
      </c>
      <c r="D2486" s="3" t="str">
        <f t="shared" ref="D2486:D2488" si="363">HYPERLINK("https://12go.asia/en/travel/Ciftlik-Koyu-Ciftlikkoy-Hotel-Transfer/Adnan-Menderes-Airport", "12Go Link")</f>
        <v>12Go Link</v>
      </c>
      <c r="E2486" s="2" t="s">
        <v>1818</v>
      </c>
    </row>
    <row r="2487">
      <c r="A2487" s="2" t="s">
        <v>1821</v>
      </c>
      <c r="B2487" s="2" t="s">
        <v>1821</v>
      </c>
      <c r="C2487" s="2" t="s">
        <v>1848</v>
      </c>
      <c r="D2487" s="3" t="str">
        <f t="shared" si="363"/>
        <v>12Go Link</v>
      </c>
      <c r="E2487" s="2" t="s">
        <v>568</v>
      </c>
    </row>
    <row r="2488">
      <c r="A2488" s="2" t="s">
        <v>1821</v>
      </c>
      <c r="B2488" s="2" t="s">
        <v>1821</v>
      </c>
      <c r="C2488" s="2" t="s">
        <v>1848</v>
      </c>
      <c r="D2488" s="3" t="str">
        <f t="shared" si="363"/>
        <v>12Go Link</v>
      </c>
      <c r="E2488" s="2" t="s">
        <v>1819</v>
      </c>
    </row>
    <row r="2489">
      <c r="A2489" s="2" t="s">
        <v>1821</v>
      </c>
      <c r="B2489" s="2" t="s">
        <v>1821</v>
      </c>
      <c r="C2489" s="2" t="s">
        <v>1849</v>
      </c>
      <c r="D2489" s="3" t="str">
        <f t="shared" ref="D2489:D2492" si="364">HYPERLINK("https://12go.asia/en/travel/Izmir-Hotel-Transfer/Adnan-Menderes-Airport", "12Go Link")</f>
        <v>12Go Link</v>
      </c>
      <c r="E2489" s="2" t="s">
        <v>1818</v>
      </c>
    </row>
    <row r="2490">
      <c r="A2490" s="2" t="s">
        <v>1821</v>
      </c>
      <c r="B2490" s="2" t="s">
        <v>1821</v>
      </c>
      <c r="C2490" s="2" t="s">
        <v>1849</v>
      </c>
      <c r="D2490" s="3" t="str">
        <f t="shared" si="364"/>
        <v>12Go Link</v>
      </c>
      <c r="E2490" s="2" t="s">
        <v>567</v>
      </c>
    </row>
    <row r="2491">
      <c r="A2491" s="2" t="s">
        <v>1821</v>
      </c>
      <c r="B2491" s="2" t="s">
        <v>1821</v>
      </c>
      <c r="C2491" s="2" t="s">
        <v>1849</v>
      </c>
      <c r="D2491" s="3" t="str">
        <f t="shared" si="364"/>
        <v>12Go Link</v>
      </c>
      <c r="E2491" s="2" t="s">
        <v>568</v>
      </c>
    </row>
    <row r="2492">
      <c r="A2492" s="2" t="s">
        <v>1821</v>
      </c>
      <c r="B2492" s="2" t="s">
        <v>1821</v>
      </c>
      <c r="C2492" s="2" t="s">
        <v>1849</v>
      </c>
      <c r="D2492" s="3" t="str">
        <f t="shared" si="364"/>
        <v>12Go Link</v>
      </c>
      <c r="E2492" s="2" t="s">
        <v>1819</v>
      </c>
    </row>
    <row r="2493">
      <c r="A2493" s="2" t="s">
        <v>1821</v>
      </c>
      <c r="B2493" s="2" t="s">
        <v>1850</v>
      </c>
      <c r="C2493" s="2" t="s">
        <v>1851</v>
      </c>
      <c r="D2493" s="3" t="str">
        <f t="shared" ref="D2493:D2495" si="365">HYPERLINK("https://12go.asia/en/travel/Adnan-Menderes-Airport/Bayraklidede-Hotel-Transfer", "12Go Link")</f>
        <v>12Go Link</v>
      </c>
      <c r="E2493" s="2" t="s">
        <v>1818</v>
      </c>
    </row>
    <row r="2494">
      <c r="A2494" s="2" t="s">
        <v>1821</v>
      </c>
      <c r="B2494" s="2" t="s">
        <v>1850</v>
      </c>
      <c r="C2494" s="2" t="s">
        <v>1851</v>
      </c>
      <c r="D2494" s="3" t="str">
        <f t="shared" si="365"/>
        <v>12Go Link</v>
      </c>
      <c r="E2494" s="2" t="s">
        <v>568</v>
      </c>
    </row>
    <row r="2495">
      <c r="A2495" s="2" t="s">
        <v>1821</v>
      </c>
      <c r="B2495" s="2" t="s">
        <v>1850</v>
      </c>
      <c r="C2495" s="2" t="s">
        <v>1851</v>
      </c>
      <c r="D2495" s="3" t="str">
        <f t="shared" si="365"/>
        <v>12Go Link</v>
      </c>
      <c r="E2495" s="2" t="s">
        <v>1819</v>
      </c>
    </row>
    <row r="2496">
      <c r="A2496" s="2" t="s">
        <v>1821</v>
      </c>
      <c r="B2496" s="2" t="s">
        <v>1850</v>
      </c>
      <c r="C2496" s="2" t="s">
        <v>1852</v>
      </c>
      <c r="D2496" s="3" t="str">
        <f t="shared" ref="D2496:D2498" si="366">HYPERLINK("https://12go.asia/en/travel/Adnan-Menderes-Airport/Kirazli-Hotel-Transfer", "12Go Link")</f>
        <v>12Go Link</v>
      </c>
      <c r="E2496" s="2" t="s">
        <v>1818</v>
      </c>
    </row>
    <row r="2497">
      <c r="A2497" s="2" t="s">
        <v>1821</v>
      </c>
      <c r="B2497" s="2" t="s">
        <v>1850</v>
      </c>
      <c r="C2497" s="2" t="s">
        <v>1852</v>
      </c>
      <c r="D2497" s="3" t="str">
        <f t="shared" si="366"/>
        <v>12Go Link</v>
      </c>
      <c r="E2497" s="2" t="s">
        <v>568</v>
      </c>
    </row>
    <row r="2498">
      <c r="A2498" s="2" t="s">
        <v>1821</v>
      </c>
      <c r="B2498" s="2" t="s">
        <v>1850</v>
      </c>
      <c r="C2498" s="2" t="s">
        <v>1852</v>
      </c>
      <c r="D2498" s="3" t="str">
        <f t="shared" si="366"/>
        <v>12Go Link</v>
      </c>
      <c r="E2498" s="2" t="s">
        <v>1819</v>
      </c>
    </row>
    <row r="2499">
      <c r="A2499" s="2" t="s">
        <v>1821</v>
      </c>
      <c r="B2499" s="2" t="s">
        <v>1850</v>
      </c>
      <c r="C2499" s="2" t="s">
        <v>1853</v>
      </c>
      <c r="D2499" s="3" t="str">
        <f t="shared" ref="D2499:D2502" si="367">HYPERLINK("https://12go.asia/en/travel/Adnan-Menderes-Airport/Yenikoy-Hotel-Transfer", "12Go Link")</f>
        <v>12Go Link</v>
      </c>
      <c r="E2499" s="2" t="s">
        <v>1818</v>
      </c>
    </row>
    <row r="2500">
      <c r="A2500" s="2" t="s">
        <v>1821</v>
      </c>
      <c r="B2500" s="2" t="s">
        <v>1850</v>
      </c>
      <c r="C2500" s="2" t="s">
        <v>1853</v>
      </c>
      <c r="D2500" s="3" t="str">
        <f t="shared" si="367"/>
        <v>12Go Link</v>
      </c>
      <c r="E2500" s="2" t="s">
        <v>567</v>
      </c>
    </row>
    <row r="2501">
      <c r="A2501" s="2" t="s">
        <v>1821</v>
      </c>
      <c r="B2501" s="2" t="s">
        <v>1850</v>
      </c>
      <c r="C2501" s="2" t="s">
        <v>1853</v>
      </c>
      <c r="D2501" s="3" t="str">
        <f t="shared" si="367"/>
        <v>12Go Link</v>
      </c>
      <c r="E2501" s="2" t="s">
        <v>568</v>
      </c>
    </row>
    <row r="2502">
      <c r="A2502" s="2" t="s">
        <v>1821</v>
      </c>
      <c r="B2502" s="2" t="s">
        <v>1850</v>
      </c>
      <c r="C2502" s="2" t="s">
        <v>1853</v>
      </c>
      <c r="D2502" s="3" t="str">
        <f t="shared" si="367"/>
        <v>12Go Link</v>
      </c>
      <c r="E2502" s="2" t="s">
        <v>1819</v>
      </c>
    </row>
    <row r="2503">
      <c r="A2503" s="2" t="s">
        <v>1821</v>
      </c>
      <c r="B2503" s="2" t="s">
        <v>1854</v>
      </c>
      <c r="C2503" s="2" t="s">
        <v>1855</v>
      </c>
      <c r="D2503" s="3" t="str">
        <f t="shared" ref="D2503:D2505" si="368">HYPERLINK("https://12go.asia/en/travel/Adnan-Menderes-Airport/Menderes-Hotel-Transfer", "12Go Link")</f>
        <v>12Go Link</v>
      </c>
      <c r="E2503" s="2" t="s">
        <v>1818</v>
      </c>
    </row>
    <row r="2504">
      <c r="A2504" s="2" t="s">
        <v>1821</v>
      </c>
      <c r="B2504" s="2" t="s">
        <v>1854</v>
      </c>
      <c r="C2504" s="2" t="s">
        <v>1855</v>
      </c>
      <c r="D2504" s="3" t="str">
        <f t="shared" si="368"/>
        <v>12Go Link</v>
      </c>
      <c r="E2504" s="2" t="s">
        <v>568</v>
      </c>
    </row>
    <row r="2505">
      <c r="A2505" s="2" t="s">
        <v>1821</v>
      </c>
      <c r="B2505" s="2" t="s">
        <v>1854</v>
      </c>
      <c r="C2505" s="2" t="s">
        <v>1855</v>
      </c>
      <c r="D2505" s="3" t="str">
        <f t="shared" si="368"/>
        <v>12Go Link</v>
      </c>
      <c r="E2505" s="2" t="s">
        <v>1819</v>
      </c>
    </row>
    <row r="2506">
      <c r="A2506" s="2" t="s">
        <v>1821</v>
      </c>
      <c r="B2506" s="2" t="s">
        <v>1854</v>
      </c>
      <c r="C2506" s="2" t="s">
        <v>1856</v>
      </c>
      <c r="D2506" s="3" t="str">
        <f t="shared" ref="D2506:D2509" si="369">HYPERLINK("https://12go.asia/en/travel/Adnan-Menderes-Airport/Orta-Hotel-Transfer", "12Go Link")</f>
        <v>12Go Link</v>
      </c>
      <c r="E2506" s="2" t="s">
        <v>1818</v>
      </c>
    </row>
    <row r="2507">
      <c r="A2507" s="2" t="s">
        <v>1821</v>
      </c>
      <c r="B2507" s="2" t="s">
        <v>1854</v>
      </c>
      <c r="C2507" s="2" t="s">
        <v>1856</v>
      </c>
      <c r="D2507" s="3" t="str">
        <f t="shared" si="369"/>
        <v>12Go Link</v>
      </c>
      <c r="E2507" s="2" t="s">
        <v>567</v>
      </c>
    </row>
    <row r="2508">
      <c r="A2508" s="2" t="s">
        <v>1821</v>
      </c>
      <c r="B2508" s="2" t="s">
        <v>1854</v>
      </c>
      <c r="C2508" s="2" t="s">
        <v>1856</v>
      </c>
      <c r="D2508" s="3" t="str">
        <f t="shared" si="369"/>
        <v>12Go Link</v>
      </c>
      <c r="E2508" s="2" t="s">
        <v>568</v>
      </c>
    </row>
    <row r="2509">
      <c r="A2509" s="2" t="s">
        <v>1821</v>
      </c>
      <c r="B2509" s="2" t="s">
        <v>1854</v>
      </c>
      <c r="C2509" s="2" t="s">
        <v>1856</v>
      </c>
      <c r="D2509" s="3" t="str">
        <f t="shared" si="369"/>
        <v>12Go Link</v>
      </c>
      <c r="E2509" s="2" t="s">
        <v>1819</v>
      </c>
    </row>
    <row r="2510">
      <c r="A2510" s="2" t="s">
        <v>1821</v>
      </c>
      <c r="B2510" s="2" t="s">
        <v>1857</v>
      </c>
      <c r="C2510" s="2" t="s">
        <v>1858</v>
      </c>
      <c r="D2510" s="3" t="str">
        <f t="shared" ref="D2510:D2512" si="370">HYPERLINK("https://12go.asia/en/travel/Adnan-Menderes-Airport/Cukuralti-Hotel-Transfer", "12Go Link")</f>
        <v>12Go Link</v>
      </c>
      <c r="E2510" s="2" t="s">
        <v>1818</v>
      </c>
    </row>
    <row r="2511">
      <c r="A2511" s="2" t="s">
        <v>1821</v>
      </c>
      <c r="B2511" s="2" t="s">
        <v>1857</v>
      </c>
      <c r="C2511" s="2" t="s">
        <v>1858</v>
      </c>
      <c r="D2511" s="3" t="str">
        <f t="shared" si="370"/>
        <v>12Go Link</v>
      </c>
      <c r="E2511" s="2" t="s">
        <v>568</v>
      </c>
    </row>
    <row r="2512">
      <c r="A2512" s="2" t="s">
        <v>1821</v>
      </c>
      <c r="B2512" s="2" t="s">
        <v>1857</v>
      </c>
      <c r="C2512" s="2" t="s">
        <v>1858</v>
      </c>
      <c r="D2512" s="3" t="str">
        <f t="shared" si="370"/>
        <v>12Go Link</v>
      </c>
      <c r="E2512" s="2" t="s">
        <v>1819</v>
      </c>
    </row>
    <row r="2513">
      <c r="A2513" s="2" t="s">
        <v>1821</v>
      </c>
      <c r="B2513" s="2" t="s">
        <v>1859</v>
      </c>
      <c r="C2513" s="2" t="s">
        <v>1860</v>
      </c>
      <c r="D2513" s="3" t="str">
        <f t="shared" ref="D2513:D2515" si="371">HYPERLINK("https://12go.asia/en/travel/Adnan-Menderes-Airport/Gokcealan-Hotel-Transfer", "12Go Link")</f>
        <v>12Go Link</v>
      </c>
      <c r="E2513" s="2" t="s">
        <v>1818</v>
      </c>
    </row>
    <row r="2514">
      <c r="A2514" s="2" t="s">
        <v>1821</v>
      </c>
      <c r="B2514" s="2" t="s">
        <v>1859</v>
      </c>
      <c r="C2514" s="2" t="s">
        <v>1860</v>
      </c>
      <c r="D2514" s="3" t="str">
        <f t="shared" si="371"/>
        <v>12Go Link</v>
      </c>
      <c r="E2514" s="2" t="s">
        <v>568</v>
      </c>
    </row>
    <row r="2515">
      <c r="A2515" s="2" t="s">
        <v>1821</v>
      </c>
      <c r="B2515" s="2" t="s">
        <v>1859</v>
      </c>
      <c r="C2515" s="2" t="s">
        <v>1860</v>
      </c>
      <c r="D2515" s="3" t="str">
        <f t="shared" si="371"/>
        <v>12Go Link</v>
      </c>
      <c r="E2515" s="2" t="s">
        <v>1819</v>
      </c>
    </row>
    <row r="2516">
      <c r="A2516" s="2" t="s">
        <v>1821</v>
      </c>
      <c r="B2516" s="2" t="s">
        <v>1861</v>
      </c>
      <c r="C2516" s="2" t="s">
        <v>1862</v>
      </c>
      <c r="D2516" s="3" t="str">
        <f t="shared" ref="D2516:D2518" si="372">HYPERLINK("https://12go.asia/en/travel/Adnan-Menderes-Airport/Sirince-Hotel-Transfer", "12Go Link")</f>
        <v>12Go Link</v>
      </c>
      <c r="E2516" s="2" t="s">
        <v>1818</v>
      </c>
    </row>
    <row r="2517">
      <c r="A2517" s="2" t="s">
        <v>1821</v>
      </c>
      <c r="B2517" s="2" t="s">
        <v>1861</v>
      </c>
      <c r="C2517" s="2" t="s">
        <v>1862</v>
      </c>
      <c r="D2517" s="3" t="str">
        <f t="shared" si="372"/>
        <v>12Go Link</v>
      </c>
      <c r="E2517" s="2" t="s">
        <v>568</v>
      </c>
    </row>
    <row r="2518">
      <c r="A2518" s="2" t="s">
        <v>1821</v>
      </c>
      <c r="B2518" s="2" t="s">
        <v>1861</v>
      </c>
      <c r="C2518" s="2" t="s">
        <v>1862</v>
      </c>
      <c r="D2518" s="3" t="str">
        <f t="shared" si="372"/>
        <v>12Go Link</v>
      </c>
      <c r="E2518" s="2" t="s">
        <v>1819</v>
      </c>
    </row>
    <row r="2519">
      <c r="A2519" s="2" t="s">
        <v>1821</v>
      </c>
      <c r="B2519" s="2" t="s">
        <v>1863</v>
      </c>
      <c r="C2519" s="2" t="s">
        <v>1864</v>
      </c>
      <c r="D2519" s="3" t="str">
        <f t="shared" ref="D2519:D2521" si="373">HYPERLINK("https://12go.asia/en/travel/Adnan-Menderes-Airport/Sogucak-Hotel-Transfer", "12Go Link")</f>
        <v>12Go Link</v>
      </c>
      <c r="E2519" s="2" t="s">
        <v>1818</v>
      </c>
    </row>
    <row r="2520">
      <c r="A2520" s="2" t="s">
        <v>1821</v>
      </c>
      <c r="B2520" s="2" t="s">
        <v>1863</v>
      </c>
      <c r="C2520" s="2" t="s">
        <v>1864</v>
      </c>
      <c r="D2520" s="3" t="str">
        <f t="shared" si="373"/>
        <v>12Go Link</v>
      </c>
      <c r="E2520" s="2" t="s">
        <v>568</v>
      </c>
    </row>
    <row r="2521">
      <c r="A2521" s="2" t="s">
        <v>1821</v>
      </c>
      <c r="B2521" s="2" t="s">
        <v>1863</v>
      </c>
      <c r="C2521" s="2" t="s">
        <v>1864</v>
      </c>
      <c r="D2521" s="3" t="str">
        <f t="shared" si="373"/>
        <v>12Go Link</v>
      </c>
      <c r="E2521" s="2" t="s">
        <v>1819</v>
      </c>
    </row>
    <row r="2522">
      <c r="A2522" s="2" t="s">
        <v>1821</v>
      </c>
      <c r="B2522" s="2" t="s">
        <v>1865</v>
      </c>
      <c r="C2522" s="2" t="s">
        <v>1866</v>
      </c>
      <c r="D2522" s="3" t="str">
        <f t="shared" ref="D2522:D2524" si="374">HYPERLINK("https://12go.asia/en/travel/Adnan-Menderes-Airport/Doganbey-Hotel-Transfer", "12Go Link")</f>
        <v>12Go Link</v>
      </c>
      <c r="E2522" s="2" t="s">
        <v>1818</v>
      </c>
    </row>
    <row r="2523">
      <c r="A2523" s="2" t="s">
        <v>1821</v>
      </c>
      <c r="B2523" s="2" t="s">
        <v>1865</v>
      </c>
      <c r="C2523" s="2" t="s">
        <v>1866</v>
      </c>
      <c r="D2523" s="3" t="str">
        <f t="shared" si="374"/>
        <v>12Go Link</v>
      </c>
      <c r="E2523" s="2" t="s">
        <v>568</v>
      </c>
    </row>
    <row r="2524">
      <c r="A2524" s="2" t="s">
        <v>1821</v>
      </c>
      <c r="B2524" s="2" t="s">
        <v>1865</v>
      </c>
      <c r="C2524" s="2" t="s">
        <v>1866</v>
      </c>
      <c r="D2524" s="3" t="str">
        <f t="shared" si="374"/>
        <v>12Go Link</v>
      </c>
      <c r="E2524" s="2" t="s">
        <v>1819</v>
      </c>
    </row>
    <row r="2525">
      <c r="A2525" s="2" t="s">
        <v>1821</v>
      </c>
      <c r="B2525" s="2" t="s">
        <v>1867</v>
      </c>
      <c r="C2525" s="2" t="s">
        <v>1868</v>
      </c>
      <c r="D2525" s="3" t="str">
        <f t="shared" ref="D2525:D2527" si="375">HYPERLINK("https://12go.asia/en/travel/Adnan-Menderes-Airport/Gulbahce-Hotel-Transfer", "12Go Link")</f>
        <v>12Go Link</v>
      </c>
      <c r="E2525" s="2" t="s">
        <v>1818</v>
      </c>
    </row>
    <row r="2526">
      <c r="A2526" s="2" t="s">
        <v>1821</v>
      </c>
      <c r="B2526" s="2" t="s">
        <v>1867</v>
      </c>
      <c r="C2526" s="2" t="s">
        <v>1868</v>
      </c>
      <c r="D2526" s="3" t="str">
        <f t="shared" si="375"/>
        <v>12Go Link</v>
      </c>
      <c r="E2526" s="2" t="s">
        <v>568</v>
      </c>
    </row>
    <row r="2527">
      <c r="A2527" s="2" t="s">
        <v>1821</v>
      </c>
      <c r="B2527" s="2" t="s">
        <v>1867</v>
      </c>
      <c r="C2527" s="2" t="s">
        <v>1868</v>
      </c>
      <c r="D2527" s="3" t="str">
        <f t="shared" si="375"/>
        <v>12Go Link</v>
      </c>
      <c r="E2527" s="2" t="s">
        <v>1819</v>
      </c>
    </row>
    <row r="2528">
      <c r="A2528" s="2" t="s">
        <v>1821</v>
      </c>
      <c r="B2528" s="2" t="s">
        <v>1867</v>
      </c>
      <c r="C2528" s="2" t="s">
        <v>1869</v>
      </c>
      <c r="D2528" s="3" t="str">
        <f t="shared" ref="D2528:D2530" si="376">HYPERLINK("https://12go.asia/en/travel/Adnan-Menderes-Airport/Guvendik-Transfer", "12Go Link")</f>
        <v>12Go Link</v>
      </c>
      <c r="E2528" s="2" t="s">
        <v>1818</v>
      </c>
    </row>
    <row r="2529">
      <c r="A2529" s="2" t="s">
        <v>1821</v>
      </c>
      <c r="B2529" s="2" t="s">
        <v>1867</v>
      </c>
      <c r="C2529" s="2" t="s">
        <v>1869</v>
      </c>
      <c r="D2529" s="3" t="str">
        <f t="shared" si="376"/>
        <v>12Go Link</v>
      </c>
      <c r="E2529" s="2" t="s">
        <v>568</v>
      </c>
    </row>
    <row r="2530">
      <c r="A2530" s="2" t="s">
        <v>1821</v>
      </c>
      <c r="B2530" s="2" t="s">
        <v>1867</v>
      </c>
      <c r="C2530" s="2" t="s">
        <v>1869</v>
      </c>
      <c r="D2530" s="3" t="str">
        <f t="shared" si="376"/>
        <v>12Go Link</v>
      </c>
      <c r="E2530" s="2" t="s">
        <v>1819</v>
      </c>
    </row>
    <row r="2531">
      <c r="A2531" s="2" t="s">
        <v>1821</v>
      </c>
      <c r="B2531" s="2" t="s">
        <v>1867</v>
      </c>
      <c r="C2531" s="2" t="s">
        <v>1870</v>
      </c>
      <c r="D2531" s="3" t="str">
        <f t="shared" ref="D2531:D2533" si="377">HYPERLINK("https://12go.asia/en/travel/Adnan-Menderes-Airport/Icmeler-Hotel-Transfer", "12Go Link")</f>
        <v>12Go Link</v>
      </c>
      <c r="E2531" s="2" t="s">
        <v>1818</v>
      </c>
    </row>
    <row r="2532">
      <c r="A2532" s="2" t="s">
        <v>1821</v>
      </c>
      <c r="B2532" s="2" t="s">
        <v>1867</v>
      </c>
      <c r="C2532" s="2" t="s">
        <v>1870</v>
      </c>
      <c r="D2532" s="3" t="str">
        <f t="shared" si="377"/>
        <v>12Go Link</v>
      </c>
      <c r="E2532" s="2" t="s">
        <v>568</v>
      </c>
    </row>
    <row r="2533">
      <c r="A2533" s="2" t="s">
        <v>1821</v>
      </c>
      <c r="B2533" s="2" t="s">
        <v>1867</v>
      </c>
      <c r="C2533" s="2" t="s">
        <v>1870</v>
      </c>
      <c r="D2533" s="3" t="str">
        <f t="shared" si="377"/>
        <v>12Go Link</v>
      </c>
      <c r="E2533" s="2" t="s">
        <v>1819</v>
      </c>
    </row>
    <row r="2534">
      <c r="A2534" s="2" t="s">
        <v>1821</v>
      </c>
      <c r="B2534" s="2" t="s">
        <v>1867</v>
      </c>
      <c r="C2534" s="2" t="s">
        <v>1871</v>
      </c>
      <c r="D2534" s="3" t="str">
        <f t="shared" ref="D2534:D2536" si="378">HYPERLINK("https://12go.asia/en/travel/Adnan-Menderes-Airport/Ozbek-Hotel-Transfer", "12Go Link")</f>
        <v>12Go Link</v>
      </c>
      <c r="E2534" s="2" t="s">
        <v>1818</v>
      </c>
    </row>
    <row r="2535">
      <c r="A2535" s="2" t="s">
        <v>1821</v>
      </c>
      <c r="B2535" s="2" t="s">
        <v>1867</v>
      </c>
      <c r="C2535" s="2" t="s">
        <v>1871</v>
      </c>
      <c r="D2535" s="3" t="str">
        <f t="shared" si="378"/>
        <v>12Go Link</v>
      </c>
      <c r="E2535" s="2" t="s">
        <v>568</v>
      </c>
    </row>
    <row r="2536">
      <c r="A2536" s="2" t="s">
        <v>1821</v>
      </c>
      <c r="B2536" s="2" t="s">
        <v>1867</v>
      </c>
      <c r="C2536" s="2" t="s">
        <v>1871</v>
      </c>
      <c r="D2536" s="3" t="str">
        <f t="shared" si="378"/>
        <v>12Go Link</v>
      </c>
      <c r="E2536" s="2" t="s">
        <v>1819</v>
      </c>
    </row>
    <row r="2537">
      <c r="A2537" s="4" t="s">
        <v>1850</v>
      </c>
      <c r="B2537" s="4" t="s">
        <v>1821</v>
      </c>
      <c r="C2537" s="4" t="s">
        <v>1872</v>
      </c>
      <c r="D2537" s="5" t="str">
        <f t="shared" ref="D2537:D2539" si="379">HYPERLINK("https://12go.asia/en/travel/Bayraklidede-Hotel-Transfer/Adnan-Menderes-Airport", "12Go Link")</f>
        <v>12Go Link</v>
      </c>
      <c r="E2537" s="4" t="s">
        <v>1818</v>
      </c>
    </row>
    <row r="2538">
      <c r="A2538" s="4" t="s">
        <v>1850</v>
      </c>
      <c r="B2538" s="4" t="s">
        <v>1821</v>
      </c>
      <c r="C2538" s="4" t="s">
        <v>1872</v>
      </c>
      <c r="D2538" s="5" t="str">
        <f t="shared" si="379"/>
        <v>12Go Link</v>
      </c>
      <c r="E2538" s="4" t="s">
        <v>568</v>
      </c>
    </row>
    <row r="2539">
      <c r="A2539" s="4" t="s">
        <v>1850</v>
      </c>
      <c r="B2539" s="4" t="s">
        <v>1821</v>
      </c>
      <c r="C2539" s="4" t="s">
        <v>1872</v>
      </c>
      <c r="D2539" s="5" t="str">
        <f t="shared" si="379"/>
        <v>12Go Link</v>
      </c>
      <c r="E2539" s="4" t="s">
        <v>1819</v>
      </c>
    </row>
    <row r="2540">
      <c r="A2540" s="4" t="s">
        <v>1850</v>
      </c>
      <c r="B2540" s="4" t="s">
        <v>1821</v>
      </c>
      <c r="C2540" s="4" t="s">
        <v>1873</v>
      </c>
      <c r="D2540" s="5" t="str">
        <f t="shared" ref="D2540:D2542" si="380">HYPERLINK("https://12go.asia/en/travel/Kirazli-Hotel-Transfer/Adnan-Menderes-Airport", "12Go Link")</f>
        <v>12Go Link</v>
      </c>
      <c r="E2540" s="4" t="s">
        <v>1818</v>
      </c>
    </row>
    <row r="2541">
      <c r="A2541" s="4" t="s">
        <v>1850</v>
      </c>
      <c r="B2541" s="4" t="s">
        <v>1821</v>
      </c>
      <c r="C2541" s="4" t="s">
        <v>1873</v>
      </c>
      <c r="D2541" s="5" t="str">
        <f t="shared" si="380"/>
        <v>12Go Link</v>
      </c>
      <c r="E2541" s="4" t="s">
        <v>568</v>
      </c>
    </row>
    <row r="2542">
      <c r="A2542" s="4" t="s">
        <v>1850</v>
      </c>
      <c r="B2542" s="4" t="s">
        <v>1821</v>
      </c>
      <c r="C2542" s="4" t="s">
        <v>1873</v>
      </c>
      <c r="D2542" s="5" t="str">
        <f t="shared" si="380"/>
        <v>12Go Link</v>
      </c>
      <c r="E2542" s="4" t="s">
        <v>1819</v>
      </c>
    </row>
    <row r="2543">
      <c r="A2543" s="4" t="s">
        <v>1850</v>
      </c>
      <c r="B2543" s="4" t="s">
        <v>1821</v>
      </c>
      <c r="C2543" s="4" t="s">
        <v>1874</v>
      </c>
      <c r="D2543" s="5" t="str">
        <f t="shared" ref="D2543:D2546" si="381">HYPERLINK("https://12go.asia/en/travel/Yenikoy-Hotel-Transfer/Adnan-Menderes-Airport", "12Go Link")</f>
        <v>12Go Link</v>
      </c>
      <c r="E2543" s="4" t="s">
        <v>1818</v>
      </c>
    </row>
    <row r="2544">
      <c r="A2544" s="4" t="s">
        <v>1850</v>
      </c>
      <c r="B2544" s="4" t="s">
        <v>1821</v>
      </c>
      <c r="C2544" s="4" t="s">
        <v>1874</v>
      </c>
      <c r="D2544" s="5" t="str">
        <f t="shared" si="381"/>
        <v>12Go Link</v>
      </c>
      <c r="E2544" s="4" t="s">
        <v>567</v>
      </c>
    </row>
    <row r="2545">
      <c r="A2545" s="4" t="s">
        <v>1850</v>
      </c>
      <c r="B2545" s="4" t="s">
        <v>1821</v>
      </c>
      <c r="C2545" s="4" t="s">
        <v>1874</v>
      </c>
      <c r="D2545" s="5" t="str">
        <f t="shared" si="381"/>
        <v>12Go Link</v>
      </c>
      <c r="E2545" s="4" t="s">
        <v>568</v>
      </c>
    </row>
    <row r="2546">
      <c r="A2546" s="4" t="s">
        <v>1850</v>
      </c>
      <c r="B2546" s="4" t="s">
        <v>1821</v>
      </c>
      <c r="C2546" s="4" t="s">
        <v>1874</v>
      </c>
      <c r="D2546" s="5" t="str">
        <f t="shared" si="381"/>
        <v>12Go Link</v>
      </c>
      <c r="E2546" s="4" t="s">
        <v>1819</v>
      </c>
    </row>
    <row r="2547">
      <c r="A2547" s="2" t="s">
        <v>1854</v>
      </c>
      <c r="B2547" s="2" t="s">
        <v>1821</v>
      </c>
      <c r="C2547" s="2" t="s">
        <v>1875</v>
      </c>
      <c r="D2547" s="3" t="str">
        <f t="shared" ref="D2547:D2549" si="382">HYPERLINK("https://12go.asia/en/travel/Menderes-Hotel-Transfer/Adnan-Menderes-Airport", "12Go Link")</f>
        <v>12Go Link</v>
      </c>
      <c r="E2547" s="2" t="s">
        <v>1818</v>
      </c>
    </row>
    <row r="2548">
      <c r="A2548" s="2" t="s">
        <v>1854</v>
      </c>
      <c r="B2548" s="2" t="s">
        <v>1821</v>
      </c>
      <c r="C2548" s="2" t="s">
        <v>1875</v>
      </c>
      <c r="D2548" s="3" t="str">
        <f t="shared" si="382"/>
        <v>12Go Link</v>
      </c>
      <c r="E2548" s="2" t="s">
        <v>568</v>
      </c>
    </row>
    <row r="2549">
      <c r="A2549" s="2" t="s">
        <v>1854</v>
      </c>
      <c r="B2549" s="2" t="s">
        <v>1821</v>
      </c>
      <c r="C2549" s="2" t="s">
        <v>1875</v>
      </c>
      <c r="D2549" s="3" t="str">
        <f t="shared" si="382"/>
        <v>12Go Link</v>
      </c>
      <c r="E2549" s="2" t="s">
        <v>1819</v>
      </c>
    </row>
    <row r="2550">
      <c r="A2550" s="2" t="s">
        <v>1854</v>
      </c>
      <c r="B2550" s="2" t="s">
        <v>1821</v>
      </c>
      <c r="C2550" s="2" t="s">
        <v>1876</v>
      </c>
      <c r="D2550" s="3" t="str">
        <f t="shared" ref="D2550:D2553" si="383">HYPERLINK("https://12go.asia/en/travel/Orta-Hotel-Transfer/Adnan-Menderes-Airport", "12Go Link")</f>
        <v>12Go Link</v>
      </c>
      <c r="E2550" s="2" t="s">
        <v>1818</v>
      </c>
    </row>
    <row r="2551">
      <c r="A2551" s="2" t="s">
        <v>1854</v>
      </c>
      <c r="B2551" s="2" t="s">
        <v>1821</v>
      </c>
      <c r="C2551" s="2" t="s">
        <v>1876</v>
      </c>
      <c r="D2551" s="3" t="str">
        <f t="shared" si="383"/>
        <v>12Go Link</v>
      </c>
      <c r="E2551" s="2" t="s">
        <v>567</v>
      </c>
    </row>
    <row r="2552">
      <c r="A2552" s="2" t="s">
        <v>1854</v>
      </c>
      <c r="B2552" s="2" t="s">
        <v>1821</v>
      </c>
      <c r="C2552" s="2" t="s">
        <v>1876</v>
      </c>
      <c r="D2552" s="3" t="str">
        <f t="shared" si="383"/>
        <v>12Go Link</v>
      </c>
      <c r="E2552" s="2" t="s">
        <v>568</v>
      </c>
    </row>
    <row r="2553">
      <c r="A2553" s="2" t="s">
        <v>1854</v>
      </c>
      <c r="B2553" s="2" t="s">
        <v>1821</v>
      </c>
      <c r="C2553" s="2" t="s">
        <v>1876</v>
      </c>
      <c r="D2553" s="3" t="str">
        <f t="shared" si="383"/>
        <v>12Go Link</v>
      </c>
      <c r="E2553" s="2" t="s">
        <v>1819</v>
      </c>
    </row>
    <row r="2554">
      <c r="A2554" s="4" t="s">
        <v>1857</v>
      </c>
      <c r="B2554" s="4" t="s">
        <v>1821</v>
      </c>
      <c r="C2554" s="4" t="s">
        <v>1877</v>
      </c>
      <c r="D2554" s="5" t="str">
        <f t="shared" ref="D2554:D2556" si="384">HYPERLINK("https://12go.asia/en/travel/Cukuralti-Hotel-Transfer/Adnan-Menderes-Airport", "12Go Link")</f>
        <v>12Go Link</v>
      </c>
      <c r="E2554" s="4" t="s">
        <v>1818</v>
      </c>
    </row>
    <row r="2555">
      <c r="A2555" s="4" t="s">
        <v>1857</v>
      </c>
      <c r="B2555" s="4" t="s">
        <v>1821</v>
      </c>
      <c r="C2555" s="4" t="s">
        <v>1877</v>
      </c>
      <c r="D2555" s="5" t="str">
        <f t="shared" si="384"/>
        <v>12Go Link</v>
      </c>
      <c r="E2555" s="4" t="s">
        <v>568</v>
      </c>
    </row>
    <row r="2556">
      <c r="A2556" s="4" t="s">
        <v>1857</v>
      </c>
      <c r="B2556" s="4" t="s">
        <v>1821</v>
      </c>
      <c r="C2556" s="4" t="s">
        <v>1877</v>
      </c>
      <c r="D2556" s="5" t="str">
        <f t="shared" si="384"/>
        <v>12Go Link</v>
      </c>
      <c r="E2556" s="4" t="s">
        <v>1819</v>
      </c>
    </row>
    <row r="2557">
      <c r="A2557" s="2" t="s">
        <v>1859</v>
      </c>
      <c r="B2557" s="2" t="s">
        <v>1821</v>
      </c>
      <c r="C2557" s="2" t="s">
        <v>1878</v>
      </c>
      <c r="D2557" s="3" t="str">
        <f t="shared" ref="D2557:D2559" si="385">HYPERLINK("https://12go.asia/en/travel/Gokcealan-Hotel-Transfer/Adnan-Menderes-Airport", "12Go Link")</f>
        <v>12Go Link</v>
      </c>
      <c r="E2557" s="2" t="s">
        <v>1818</v>
      </c>
    </row>
    <row r="2558">
      <c r="A2558" s="2" t="s">
        <v>1859</v>
      </c>
      <c r="B2558" s="2" t="s">
        <v>1821</v>
      </c>
      <c r="C2558" s="2" t="s">
        <v>1878</v>
      </c>
      <c r="D2558" s="3" t="str">
        <f t="shared" si="385"/>
        <v>12Go Link</v>
      </c>
      <c r="E2558" s="2" t="s">
        <v>568</v>
      </c>
    </row>
    <row r="2559">
      <c r="A2559" s="2" t="s">
        <v>1859</v>
      </c>
      <c r="B2559" s="2" t="s">
        <v>1821</v>
      </c>
      <c r="C2559" s="2" t="s">
        <v>1878</v>
      </c>
      <c r="D2559" s="3" t="str">
        <f t="shared" si="385"/>
        <v>12Go Link</v>
      </c>
      <c r="E2559" s="2" t="s">
        <v>1819</v>
      </c>
    </row>
    <row r="2560">
      <c r="A2560" s="4" t="s">
        <v>1861</v>
      </c>
      <c r="B2560" s="4" t="s">
        <v>1821</v>
      </c>
      <c r="C2560" s="4" t="s">
        <v>1879</v>
      </c>
      <c r="D2560" s="5" t="str">
        <f t="shared" ref="D2560:D2562" si="386">HYPERLINK("https://12go.asia/en/travel/Sirince-Hotel-Transfer/Adnan-Menderes-Airport", "12Go Link")</f>
        <v>12Go Link</v>
      </c>
      <c r="E2560" s="4" t="s">
        <v>1818</v>
      </c>
    </row>
    <row r="2561">
      <c r="A2561" s="4" t="s">
        <v>1861</v>
      </c>
      <c r="B2561" s="4" t="s">
        <v>1821</v>
      </c>
      <c r="C2561" s="4" t="s">
        <v>1879</v>
      </c>
      <c r="D2561" s="5" t="str">
        <f t="shared" si="386"/>
        <v>12Go Link</v>
      </c>
      <c r="E2561" s="4" t="s">
        <v>568</v>
      </c>
    </row>
    <row r="2562">
      <c r="A2562" s="4" t="s">
        <v>1861</v>
      </c>
      <c r="B2562" s="4" t="s">
        <v>1821</v>
      </c>
      <c r="C2562" s="4" t="s">
        <v>1879</v>
      </c>
      <c r="D2562" s="5" t="str">
        <f t="shared" si="386"/>
        <v>12Go Link</v>
      </c>
      <c r="E2562" s="4" t="s">
        <v>1819</v>
      </c>
    </row>
    <row r="2563">
      <c r="A2563" s="2" t="s">
        <v>1863</v>
      </c>
      <c r="B2563" s="2" t="s">
        <v>1821</v>
      </c>
      <c r="C2563" s="2" t="s">
        <v>1880</v>
      </c>
      <c r="D2563" s="3" t="str">
        <f t="shared" ref="D2563:D2565" si="387">HYPERLINK("https://12go.asia/en/travel/Sogucak-Hotel-Transfer/Adnan-Menderes-Airport", "12Go Link")</f>
        <v>12Go Link</v>
      </c>
      <c r="E2563" s="2" t="s">
        <v>1818</v>
      </c>
    </row>
    <row r="2564">
      <c r="A2564" s="2" t="s">
        <v>1863</v>
      </c>
      <c r="B2564" s="2" t="s">
        <v>1821</v>
      </c>
      <c r="C2564" s="2" t="s">
        <v>1880</v>
      </c>
      <c r="D2564" s="3" t="str">
        <f t="shared" si="387"/>
        <v>12Go Link</v>
      </c>
      <c r="E2564" s="2" t="s">
        <v>568</v>
      </c>
    </row>
    <row r="2565">
      <c r="A2565" s="2" t="s">
        <v>1863</v>
      </c>
      <c r="B2565" s="2" t="s">
        <v>1821</v>
      </c>
      <c r="C2565" s="2" t="s">
        <v>1880</v>
      </c>
      <c r="D2565" s="3" t="str">
        <f t="shared" si="387"/>
        <v>12Go Link</v>
      </c>
      <c r="E2565" s="2" t="s">
        <v>1819</v>
      </c>
    </row>
    <row r="2566">
      <c r="A2566" s="4" t="s">
        <v>1865</v>
      </c>
      <c r="B2566" s="4" t="s">
        <v>1821</v>
      </c>
      <c r="C2566" s="4" t="s">
        <v>1881</v>
      </c>
      <c r="D2566" s="5" t="str">
        <f t="shared" ref="D2566:D2568" si="388">HYPERLINK("https://12go.asia/en/travel/Doganbey-Hotel-Transfer/Adnan-Menderes-Airport", "12Go Link")</f>
        <v>12Go Link</v>
      </c>
      <c r="E2566" s="4" t="s">
        <v>1818</v>
      </c>
    </row>
    <row r="2567">
      <c r="A2567" s="4" t="s">
        <v>1865</v>
      </c>
      <c r="B2567" s="4" t="s">
        <v>1821</v>
      </c>
      <c r="C2567" s="4" t="s">
        <v>1881</v>
      </c>
      <c r="D2567" s="5" t="str">
        <f t="shared" si="388"/>
        <v>12Go Link</v>
      </c>
      <c r="E2567" s="4" t="s">
        <v>568</v>
      </c>
    </row>
    <row r="2568">
      <c r="A2568" s="4" t="s">
        <v>1865</v>
      </c>
      <c r="B2568" s="4" t="s">
        <v>1821</v>
      </c>
      <c r="C2568" s="4" t="s">
        <v>1881</v>
      </c>
      <c r="D2568" s="5" t="str">
        <f t="shared" si="388"/>
        <v>12Go Link</v>
      </c>
      <c r="E2568" s="4" t="s">
        <v>1819</v>
      </c>
    </row>
    <row r="2569">
      <c r="A2569" s="2" t="s">
        <v>1867</v>
      </c>
      <c r="B2569" s="2" t="s">
        <v>1821</v>
      </c>
      <c r="C2569" s="2" t="s">
        <v>1882</v>
      </c>
      <c r="D2569" s="3" t="str">
        <f t="shared" ref="D2569:D2571" si="389">HYPERLINK("https://12go.asia/en/travel/Gulbahce-Hotel-Transfer/Adnan-Menderes-Airport", "12Go Link")</f>
        <v>12Go Link</v>
      </c>
      <c r="E2569" s="2" t="s">
        <v>1818</v>
      </c>
    </row>
    <row r="2570">
      <c r="A2570" s="2" t="s">
        <v>1867</v>
      </c>
      <c r="B2570" s="2" t="s">
        <v>1821</v>
      </c>
      <c r="C2570" s="2" t="s">
        <v>1882</v>
      </c>
      <c r="D2570" s="3" t="str">
        <f t="shared" si="389"/>
        <v>12Go Link</v>
      </c>
      <c r="E2570" s="2" t="s">
        <v>568</v>
      </c>
    </row>
    <row r="2571">
      <c r="A2571" s="2" t="s">
        <v>1867</v>
      </c>
      <c r="B2571" s="2" t="s">
        <v>1821</v>
      </c>
      <c r="C2571" s="2" t="s">
        <v>1882</v>
      </c>
      <c r="D2571" s="3" t="str">
        <f t="shared" si="389"/>
        <v>12Go Link</v>
      </c>
      <c r="E2571" s="2" t="s">
        <v>1819</v>
      </c>
    </row>
    <row r="2572">
      <c r="A2572" s="2" t="s">
        <v>1867</v>
      </c>
      <c r="B2572" s="2" t="s">
        <v>1821</v>
      </c>
      <c r="C2572" s="2" t="s">
        <v>1883</v>
      </c>
      <c r="D2572" s="3" t="str">
        <f t="shared" ref="D2572:D2574" si="390">HYPERLINK("https://12go.asia/en/travel/Guvendik-Transfer/Adnan-Menderes-Airport", "12Go Link")</f>
        <v>12Go Link</v>
      </c>
      <c r="E2572" s="2" t="s">
        <v>1818</v>
      </c>
    </row>
    <row r="2573">
      <c r="A2573" s="2" t="s">
        <v>1867</v>
      </c>
      <c r="B2573" s="2" t="s">
        <v>1821</v>
      </c>
      <c r="C2573" s="2" t="s">
        <v>1883</v>
      </c>
      <c r="D2573" s="3" t="str">
        <f t="shared" si="390"/>
        <v>12Go Link</v>
      </c>
      <c r="E2573" s="2" t="s">
        <v>568</v>
      </c>
    </row>
    <row r="2574">
      <c r="A2574" s="2" t="s">
        <v>1867</v>
      </c>
      <c r="B2574" s="2" t="s">
        <v>1821</v>
      </c>
      <c r="C2574" s="2" t="s">
        <v>1883</v>
      </c>
      <c r="D2574" s="3" t="str">
        <f t="shared" si="390"/>
        <v>12Go Link</v>
      </c>
      <c r="E2574" s="2" t="s">
        <v>1819</v>
      </c>
    </row>
    <row r="2575">
      <c r="A2575" s="2" t="s">
        <v>1867</v>
      </c>
      <c r="B2575" s="2" t="s">
        <v>1821</v>
      </c>
      <c r="C2575" s="2" t="s">
        <v>1884</v>
      </c>
      <c r="D2575" s="3" t="str">
        <f t="shared" ref="D2575:D2577" si="391">HYPERLINK("https://12go.asia/en/travel/Icmeler-Hotel-Transfer/Adnan-Menderes-Airport", "12Go Link")</f>
        <v>12Go Link</v>
      </c>
      <c r="E2575" s="2" t="s">
        <v>1818</v>
      </c>
    </row>
    <row r="2576">
      <c r="A2576" s="2" t="s">
        <v>1867</v>
      </c>
      <c r="B2576" s="2" t="s">
        <v>1821</v>
      </c>
      <c r="C2576" s="2" t="s">
        <v>1884</v>
      </c>
      <c r="D2576" s="3" t="str">
        <f t="shared" si="391"/>
        <v>12Go Link</v>
      </c>
      <c r="E2576" s="2" t="s">
        <v>568</v>
      </c>
    </row>
    <row r="2577">
      <c r="A2577" s="2" t="s">
        <v>1867</v>
      </c>
      <c r="B2577" s="2" t="s">
        <v>1821</v>
      </c>
      <c r="C2577" s="2" t="s">
        <v>1884</v>
      </c>
      <c r="D2577" s="3" t="str">
        <f t="shared" si="391"/>
        <v>12Go Link</v>
      </c>
      <c r="E2577" s="2" t="s">
        <v>1819</v>
      </c>
    </row>
    <row r="2578">
      <c r="A2578" s="2" t="s">
        <v>1867</v>
      </c>
      <c r="B2578" s="2" t="s">
        <v>1821</v>
      </c>
      <c r="C2578" s="2" t="s">
        <v>1885</v>
      </c>
      <c r="D2578" s="3" t="str">
        <f t="shared" ref="D2578:D2580" si="392">HYPERLINK("https://12go.asia/en/travel/Ozbek-Hotel-Transfer/Adnan-Menderes-Airport", "12Go Link")</f>
        <v>12Go Link</v>
      </c>
      <c r="E2578" s="2" t="s">
        <v>1818</v>
      </c>
    </row>
    <row r="2579">
      <c r="A2579" s="2" t="s">
        <v>1867</v>
      </c>
      <c r="B2579" s="2" t="s">
        <v>1821</v>
      </c>
      <c r="C2579" s="2" t="s">
        <v>1885</v>
      </c>
      <c r="D2579" s="3" t="str">
        <f t="shared" si="392"/>
        <v>12Go Link</v>
      </c>
      <c r="E2579" s="2" t="s">
        <v>568</v>
      </c>
    </row>
    <row r="2580">
      <c r="A2580" s="2" t="s">
        <v>1867</v>
      </c>
      <c r="B2580" s="2" t="s">
        <v>1821</v>
      </c>
      <c r="C2580" s="2" t="s">
        <v>1885</v>
      </c>
      <c r="D2580" s="3" t="str">
        <f t="shared" si="392"/>
        <v>12Go Link</v>
      </c>
      <c r="E2580" s="2" t="s">
        <v>1819</v>
      </c>
    </row>
    <row r="2581">
      <c r="A2581" s="8" t="s">
        <v>1886</v>
      </c>
      <c r="B2581" s="8" t="s">
        <v>1887</v>
      </c>
      <c r="C2581" s="8" t="s">
        <v>1888</v>
      </c>
      <c r="D2581" s="9" t="str">
        <f>HYPERLINK("https://12go.asia/en/travel/aldershot/st-catharines", "12Go Link")</f>
        <v>12Go Link</v>
      </c>
      <c r="E2581" s="8" t="s">
        <v>239</v>
      </c>
    </row>
    <row r="2582">
      <c r="A2582" s="2" t="s">
        <v>572</v>
      </c>
      <c r="B2582" s="2" t="s">
        <v>571</v>
      </c>
      <c r="C2582" s="2" t="s">
        <v>1889</v>
      </c>
      <c r="D2582" s="3" t="str">
        <f>HYPERLINK("https://12go.asia/en/travel/Tashkent-Hotel-Transfer/Cholpon-Ata-Bus-Station", "12Go Link")</f>
        <v>12Go Link</v>
      </c>
      <c r="E2582" s="2" t="s">
        <v>154</v>
      </c>
    </row>
    <row r="2583">
      <c r="A2583" s="8" t="s">
        <v>1890</v>
      </c>
      <c r="B2583" s="8" t="s">
        <v>1891</v>
      </c>
      <c r="C2583" s="8" t="s">
        <v>1892</v>
      </c>
      <c r="D2583" s="9" t="str">
        <f t="shared" ref="D2583:D2584" si="393">HYPERLINK("https://12go.asia/en/travel/Quy-Nhon-City/Cam-Ranh-Airport", "12Go Link")</f>
        <v>12Go Link</v>
      </c>
      <c r="E2583" s="8" t="s">
        <v>567</v>
      </c>
    </row>
    <row r="2584">
      <c r="A2584" s="8" t="s">
        <v>1890</v>
      </c>
      <c r="B2584" s="8" t="s">
        <v>1891</v>
      </c>
      <c r="C2584" s="8" t="s">
        <v>1892</v>
      </c>
      <c r="D2584" s="9" t="str">
        <f t="shared" si="393"/>
        <v>12Go Link</v>
      </c>
      <c r="E2584" s="8" t="s">
        <v>772</v>
      </c>
    </row>
    <row r="2585">
      <c r="A2585" s="8" t="s">
        <v>1890</v>
      </c>
      <c r="B2585" s="8" t="s">
        <v>1893</v>
      </c>
      <c r="C2585" s="8" t="s">
        <v>1894</v>
      </c>
      <c r="D2585" s="9" t="str">
        <f t="shared" ref="D2585:D2586" si="394">HYPERLINK("https://12go.asia/en/travel/Quy-Nhon-City/Mang-Den", "12Go Link")</f>
        <v>12Go Link</v>
      </c>
      <c r="E2585" s="8" t="s">
        <v>567</v>
      </c>
    </row>
    <row r="2586">
      <c r="A2586" s="8" t="s">
        <v>1890</v>
      </c>
      <c r="B2586" s="8" t="s">
        <v>1893</v>
      </c>
      <c r="C2586" s="8" t="s">
        <v>1894</v>
      </c>
      <c r="D2586" s="9" t="str">
        <f t="shared" si="394"/>
        <v>12Go Link</v>
      </c>
      <c r="E2586" s="8" t="s">
        <v>772</v>
      </c>
    </row>
    <row r="2587">
      <c r="A2587" s="6" t="s">
        <v>1895</v>
      </c>
      <c r="B2587" s="6" t="s">
        <v>1896</v>
      </c>
      <c r="C2587" s="6" t="s">
        <v>1897</v>
      </c>
      <c r="D2587" s="7" t="str">
        <f>HYPERLINK("https://12go.asia/en/travel/Phan-Thiet-North-Bus-Station/Da-Lat-Bus-Station", "12Go Link")</f>
        <v>12Go Link</v>
      </c>
      <c r="E2587" s="6" t="s">
        <v>1898</v>
      </c>
    </row>
    <row r="2588">
      <c r="A2588" s="6" t="s">
        <v>1895</v>
      </c>
      <c r="B2588" s="6" t="s">
        <v>1899</v>
      </c>
      <c r="C2588" s="6" t="s">
        <v>1900</v>
      </c>
      <c r="D2588" s="7" t="str">
        <f t="shared" ref="D2588:D2590" si="395">HYPERLINK("https://12go.asia/en/travel/Bac-Phan-Thiet-Roundabout/166-Dien-Bien-Phu", "12Go Link")</f>
        <v>12Go Link</v>
      </c>
      <c r="E2588" s="6" t="s">
        <v>1901</v>
      </c>
    </row>
    <row r="2589">
      <c r="A2589" s="6" t="s">
        <v>1895</v>
      </c>
      <c r="B2589" s="6" t="s">
        <v>1899</v>
      </c>
      <c r="C2589" s="6" t="s">
        <v>1900</v>
      </c>
      <c r="D2589" s="7" t="str">
        <f t="shared" si="395"/>
        <v>12Go Link</v>
      </c>
      <c r="E2589" s="6" t="s">
        <v>1902</v>
      </c>
    </row>
    <row r="2590">
      <c r="A2590" s="6" t="s">
        <v>1895</v>
      </c>
      <c r="B2590" s="6" t="s">
        <v>1899</v>
      </c>
      <c r="C2590" s="6" t="s">
        <v>1900</v>
      </c>
      <c r="D2590" s="7" t="str">
        <f t="shared" si="395"/>
        <v>12Go Link</v>
      </c>
      <c r="E2590" s="6" t="s">
        <v>1903</v>
      </c>
    </row>
    <row r="2591">
      <c r="A2591" s="6" t="s">
        <v>1895</v>
      </c>
      <c r="B2591" s="6" t="s">
        <v>1904</v>
      </c>
      <c r="C2591" s="6" t="s">
        <v>1905</v>
      </c>
      <c r="D2591" s="7" t="str">
        <f t="shared" ref="D2591:D2593" si="396">HYPERLINK("https://12go.asia/en/travel/Bac-Phan-Thiet-Roundabout/109-Ton-Duc-Thang", "12Go Link")</f>
        <v>12Go Link</v>
      </c>
      <c r="E2591" s="6" t="s">
        <v>1901</v>
      </c>
    </row>
    <row r="2592">
      <c r="A2592" s="6" t="s">
        <v>1895</v>
      </c>
      <c r="B2592" s="6" t="s">
        <v>1904</v>
      </c>
      <c r="C2592" s="6" t="s">
        <v>1905</v>
      </c>
      <c r="D2592" s="7" t="str">
        <f t="shared" si="396"/>
        <v>12Go Link</v>
      </c>
      <c r="E2592" s="6" t="s">
        <v>1902</v>
      </c>
    </row>
    <row r="2593">
      <c r="A2593" s="6" t="s">
        <v>1895</v>
      </c>
      <c r="B2593" s="6" t="s">
        <v>1904</v>
      </c>
      <c r="C2593" s="6" t="s">
        <v>1905</v>
      </c>
      <c r="D2593" s="7" t="str">
        <f t="shared" si="396"/>
        <v>12Go Link</v>
      </c>
      <c r="E2593" s="6" t="s">
        <v>1903</v>
      </c>
    </row>
    <row r="2594">
      <c r="A2594" s="6" t="s">
        <v>1895</v>
      </c>
      <c r="B2594" s="6" t="s">
        <v>1906</v>
      </c>
      <c r="C2594" s="6" t="s">
        <v>1907</v>
      </c>
      <c r="D2594" s="7" t="str">
        <f t="shared" ref="D2594:D2595" si="397">HYPERLINK("https://12go.asia/en/travel/Bac-Phan-Thiet-Roundabout/54-Le-Duan", "12Go Link")</f>
        <v>12Go Link</v>
      </c>
      <c r="E2594" s="6" t="s">
        <v>1902</v>
      </c>
    </row>
    <row r="2595">
      <c r="A2595" s="6" t="s">
        <v>1895</v>
      </c>
      <c r="B2595" s="6" t="s">
        <v>1906</v>
      </c>
      <c r="C2595" s="6" t="s">
        <v>1907</v>
      </c>
      <c r="D2595" s="7" t="str">
        <f t="shared" si="397"/>
        <v>12Go Link</v>
      </c>
      <c r="E2595" s="6" t="s">
        <v>1903</v>
      </c>
    </row>
    <row r="2596">
      <c r="A2596" s="8" t="s">
        <v>1891</v>
      </c>
      <c r="B2596" s="8" t="s">
        <v>1890</v>
      </c>
      <c r="C2596" s="8" t="s">
        <v>1908</v>
      </c>
      <c r="D2596" s="9" t="str">
        <f t="shared" ref="D2596:D2597" si="398">HYPERLINK("https://12go.asia/en/travel/Cam-Ranh-Airport/Quy-Nhon-City", "12Go Link")</f>
        <v>12Go Link</v>
      </c>
      <c r="E2596" s="8" t="s">
        <v>567</v>
      </c>
    </row>
    <row r="2597">
      <c r="A2597" s="8" t="s">
        <v>1891</v>
      </c>
      <c r="B2597" s="8" t="s">
        <v>1890</v>
      </c>
      <c r="C2597" s="8" t="s">
        <v>1908</v>
      </c>
      <c r="D2597" s="9" t="str">
        <f t="shared" si="398"/>
        <v>12Go Link</v>
      </c>
      <c r="E2597" s="8" t="s">
        <v>772</v>
      </c>
    </row>
    <row r="2598">
      <c r="A2598" s="8" t="s">
        <v>1891</v>
      </c>
      <c r="B2598" s="8" t="s">
        <v>1896</v>
      </c>
      <c r="C2598" s="8" t="s">
        <v>1909</v>
      </c>
      <c r="D2598" s="9" t="str">
        <f t="shared" ref="D2598:D2599" si="399">HYPERLINK("https://12go.asia/en/travel/Cam-Ranh-Airport/Da-Lat-Hotel-Transfer", "12Go Link")</f>
        <v>12Go Link</v>
      </c>
      <c r="E2598" s="8" t="s">
        <v>567</v>
      </c>
    </row>
    <row r="2599">
      <c r="A2599" s="8" t="s">
        <v>1891</v>
      </c>
      <c r="B2599" s="8" t="s">
        <v>1896</v>
      </c>
      <c r="C2599" s="8" t="s">
        <v>1909</v>
      </c>
      <c r="D2599" s="9" t="str">
        <f t="shared" si="399"/>
        <v>12Go Link</v>
      </c>
      <c r="E2599" s="8" t="s">
        <v>772</v>
      </c>
    </row>
    <row r="2600">
      <c r="A2600" s="8" t="s">
        <v>1891</v>
      </c>
      <c r="B2600" s="8" t="s">
        <v>1896</v>
      </c>
      <c r="C2600" s="8" t="s">
        <v>1910</v>
      </c>
      <c r="D2600" s="9" t="str">
        <f>HYPERLINK("https://12go.asia/en/travel/Cam-Ranh-Airport/Da-Lat-Transfer", "12Go Link")</f>
        <v>12Go Link</v>
      </c>
      <c r="E2600" s="8" t="s">
        <v>1911</v>
      </c>
    </row>
    <row r="2601">
      <c r="A2601" s="8" t="s">
        <v>1891</v>
      </c>
      <c r="B2601" s="8" t="s">
        <v>170</v>
      </c>
      <c r="C2601" s="8" t="s">
        <v>1912</v>
      </c>
      <c r="D2601" s="9" t="str">
        <f t="shared" ref="D2601:D2602" si="400">HYPERLINK("https://12go.asia/en/travel/Cam-Ranh-Airport/Ho-Chi-Minh-Hotel-Transfer", "12Go Link")</f>
        <v>12Go Link</v>
      </c>
      <c r="E2601" s="8" t="s">
        <v>567</v>
      </c>
    </row>
    <row r="2602">
      <c r="A2602" s="8" t="s">
        <v>1891</v>
      </c>
      <c r="B2602" s="8" t="s">
        <v>170</v>
      </c>
      <c r="C2602" s="8" t="s">
        <v>1912</v>
      </c>
      <c r="D2602" s="9" t="str">
        <f t="shared" si="400"/>
        <v>12Go Link</v>
      </c>
      <c r="E2602" s="8" t="s">
        <v>772</v>
      </c>
    </row>
    <row r="2603">
      <c r="A2603" s="6" t="s">
        <v>1913</v>
      </c>
      <c r="B2603" s="6" t="s">
        <v>162</v>
      </c>
      <c r="C2603" s="6" t="s">
        <v>1914</v>
      </c>
      <c r="D2603" s="7" t="str">
        <f>HYPERLINK("https://12go.asia/en/travel/Can-Tho/Koh-Rong", "12Go Link")</f>
        <v>12Go Link</v>
      </c>
      <c r="E2603" s="6" t="s">
        <v>172</v>
      </c>
    </row>
    <row r="2604">
      <c r="A2604" s="6" t="s">
        <v>1913</v>
      </c>
      <c r="B2604" s="6" t="s">
        <v>163</v>
      </c>
      <c r="C2604" s="6" t="s">
        <v>1915</v>
      </c>
      <c r="D2604" s="7" t="str">
        <f>HYPERLINK("https://12go.asia/en/travel/Can-Tho/Koh-Rong-Samloem", "12Go Link")</f>
        <v>12Go Link</v>
      </c>
      <c r="E2604" s="6" t="s">
        <v>172</v>
      </c>
    </row>
    <row r="2605">
      <c r="A2605" s="6" t="s">
        <v>1913</v>
      </c>
      <c r="B2605" s="6" t="s">
        <v>152</v>
      </c>
      <c r="C2605" s="6" t="s">
        <v>1916</v>
      </c>
      <c r="D2605" s="7" t="str">
        <f>HYPERLINK("https://12go.asia/en/travel/Can-Tho/Phnom-Penh", "12Go Link")</f>
        <v>12Go Link</v>
      </c>
      <c r="E2605" s="6" t="s">
        <v>1917</v>
      </c>
    </row>
    <row r="2606">
      <c r="A2606" s="6" t="s">
        <v>1913</v>
      </c>
      <c r="B2606" s="6" t="s">
        <v>195</v>
      </c>
      <c r="C2606" s="6" t="s">
        <v>1918</v>
      </c>
      <c r="D2606" s="7" t="str">
        <f>HYPERLINK("https://12go.asia/en/travel/Can-Tho/Sihanoukville", "12Go Link")</f>
        <v>12Go Link</v>
      </c>
      <c r="E2606" s="6" t="s">
        <v>1917</v>
      </c>
    </row>
    <row r="2607">
      <c r="A2607" s="6" t="s">
        <v>1913</v>
      </c>
      <c r="B2607" s="6" t="s">
        <v>213</v>
      </c>
      <c r="C2607" s="6" t="s">
        <v>1919</v>
      </c>
      <c r="D2607" s="7" t="str">
        <f>HYPERLINK("https://12go.asia/en/travel/Can-Tho/Cang-Bai-Vong-Phu-Quoc", "12Go Link")</f>
        <v>12Go Link</v>
      </c>
      <c r="E2607" s="6" t="s">
        <v>1920</v>
      </c>
    </row>
    <row r="2608">
      <c r="A2608" s="8" t="s">
        <v>1921</v>
      </c>
      <c r="B2608" s="8" t="s">
        <v>652</v>
      </c>
      <c r="C2608" s="8" t="s">
        <v>1922</v>
      </c>
      <c r="D2608" s="9" t="str">
        <f t="shared" ref="D2608:D2609" si="401">HYPERLINK("https://12go.asia/en/travel/Cao-Bang/Sapa", "12Go Link")</f>
        <v>12Go Link</v>
      </c>
      <c r="E2608" s="8" t="s">
        <v>567</v>
      </c>
    </row>
    <row r="2609">
      <c r="A2609" s="8" t="s">
        <v>1921</v>
      </c>
      <c r="B2609" s="8" t="s">
        <v>652</v>
      </c>
      <c r="C2609" s="8" t="s">
        <v>1922</v>
      </c>
      <c r="D2609" s="9" t="str">
        <f t="shared" si="401"/>
        <v>12Go Link</v>
      </c>
      <c r="E2609" s="8" t="s">
        <v>772</v>
      </c>
    </row>
    <row r="2610">
      <c r="A2610" s="6" t="s">
        <v>207</v>
      </c>
      <c r="B2610" s="6" t="s">
        <v>162</v>
      </c>
      <c r="C2610" s="6" t="s">
        <v>1923</v>
      </c>
      <c r="D2610" s="7" t="str">
        <f>HYPERLINK("https://12go.asia/en/travel/Chau-Doc/Koh-Rong", "12Go Link")</f>
        <v>12Go Link</v>
      </c>
      <c r="E2610" s="6" t="s">
        <v>215</v>
      </c>
    </row>
    <row r="2611">
      <c r="A2611" s="6" t="s">
        <v>207</v>
      </c>
      <c r="B2611" s="6" t="s">
        <v>163</v>
      </c>
      <c r="C2611" s="6" t="s">
        <v>1924</v>
      </c>
      <c r="D2611" s="7" t="str">
        <f>HYPERLINK("https://12go.asia/en/travel/Chau-Doc/Koh-Rong-Samloem", "12Go Link")</f>
        <v>12Go Link</v>
      </c>
      <c r="E2611" s="6" t="s">
        <v>215</v>
      </c>
    </row>
    <row r="2612">
      <c r="A2612" s="6" t="s">
        <v>207</v>
      </c>
      <c r="B2612" s="6" t="s">
        <v>195</v>
      </c>
      <c r="C2612" s="6" t="s">
        <v>1925</v>
      </c>
      <c r="D2612" s="7" t="str">
        <f>HYPERLINK("https://12go.asia/en/travel/Chau-Doc/Sihanoukville", "12Go Link")</f>
        <v>12Go Link</v>
      </c>
      <c r="E2612" s="6" t="s">
        <v>209</v>
      </c>
    </row>
    <row r="2613">
      <c r="A2613" s="8" t="s">
        <v>1896</v>
      </c>
      <c r="B2613" s="8" t="s">
        <v>1891</v>
      </c>
      <c r="C2613" s="8" t="s">
        <v>1926</v>
      </c>
      <c r="D2613" s="9" t="str">
        <f t="shared" ref="D2613:D2614" si="402">HYPERLINK("https://12go.asia/en/travel/Da-Lat-Hotel-Transfer/Cam-Ranh-Airport", "12Go Link")</f>
        <v>12Go Link</v>
      </c>
      <c r="E2613" s="8" t="s">
        <v>567</v>
      </c>
    </row>
    <row r="2614">
      <c r="A2614" s="8" t="s">
        <v>1896</v>
      </c>
      <c r="B2614" s="8" t="s">
        <v>1891</v>
      </c>
      <c r="C2614" s="8" t="s">
        <v>1926</v>
      </c>
      <c r="D2614" s="9" t="str">
        <f t="shared" si="402"/>
        <v>12Go Link</v>
      </c>
      <c r="E2614" s="8" t="s">
        <v>772</v>
      </c>
    </row>
    <row r="2615">
      <c r="A2615" s="8" t="s">
        <v>1896</v>
      </c>
      <c r="B2615" s="8" t="s">
        <v>1891</v>
      </c>
      <c r="C2615" s="8" t="s">
        <v>1927</v>
      </c>
      <c r="D2615" s="9" t="str">
        <f>HYPERLINK("https://12go.asia/en/travel/Da-Lat-Transfer/Cam-Ranh-Airport", "12Go Link")</f>
        <v>12Go Link</v>
      </c>
      <c r="E2615" s="8" t="s">
        <v>1911</v>
      </c>
    </row>
    <row r="2616">
      <c r="A2616" s="8" t="s">
        <v>1896</v>
      </c>
      <c r="B2616" s="8" t="s">
        <v>1899</v>
      </c>
      <c r="C2616" s="8" t="s">
        <v>1928</v>
      </c>
      <c r="D2616" s="9" t="str">
        <f>HYPERLINK("https://12go.asia/en/travel/Lo-H1-KQH-Pham-Hong-Thai/Sieu-Thi-Dac-San-Huong-Da", "12Go Link")</f>
        <v>12Go Link</v>
      </c>
      <c r="E2616" s="8" t="s">
        <v>1929</v>
      </c>
    </row>
    <row r="2617">
      <c r="A2617" s="8" t="s">
        <v>1896</v>
      </c>
      <c r="B2617" s="8" t="s">
        <v>1930</v>
      </c>
      <c r="C2617" s="8" t="s">
        <v>1931</v>
      </c>
      <c r="D2617" s="9" t="str">
        <f>HYPERLINK("https://12go.asia/en/travel/257-Phu-Dong-Thien-Vuong/117-Nguyen-Dinh-Chieu", "12Go Link")</f>
        <v>12Go Link</v>
      </c>
      <c r="E2617" s="8" t="s">
        <v>1932</v>
      </c>
    </row>
    <row r="2618">
      <c r="A2618" s="8" t="s">
        <v>1896</v>
      </c>
      <c r="B2618" s="8" t="s">
        <v>1933</v>
      </c>
      <c r="C2618" s="8" t="s">
        <v>1934</v>
      </c>
      <c r="D2618" s="9" t="str">
        <f>HYPERLINK("https://12go.asia/en/travel/Lo-H1-KQH-Pham-Hong-Thai/5-To-Huu", "12Go Link")</f>
        <v>12Go Link</v>
      </c>
      <c r="E2618" s="8" t="s">
        <v>1929</v>
      </c>
    </row>
    <row r="2619">
      <c r="A2619" s="6" t="s">
        <v>1899</v>
      </c>
      <c r="B2619" s="6" t="s">
        <v>1895</v>
      </c>
      <c r="C2619" s="6" t="s">
        <v>1935</v>
      </c>
      <c r="D2619" s="7" t="str">
        <f t="shared" ref="D2619:D2621" si="403">HYPERLINK("https://12go.asia/en/travel/166-Dien-Bien-Phu/Bac-Phan-Thiet-Roundabout", "12Go Link")</f>
        <v>12Go Link</v>
      </c>
      <c r="E2619" s="6" t="s">
        <v>1901</v>
      </c>
    </row>
    <row r="2620">
      <c r="A2620" s="6" t="s">
        <v>1899</v>
      </c>
      <c r="B2620" s="6" t="s">
        <v>1895</v>
      </c>
      <c r="C2620" s="6" t="s">
        <v>1935</v>
      </c>
      <c r="D2620" s="7" t="str">
        <f t="shared" si="403"/>
        <v>12Go Link</v>
      </c>
      <c r="E2620" s="6" t="s">
        <v>1902</v>
      </c>
    </row>
    <row r="2621">
      <c r="A2621" s="6" t="s">
        <v>1899</v>
      </c>
      <c r="B2621" s="6" t="s">
        <v>1895</v>
      </c>
      <c r="C2621" s="6" t="s">
        <v>1935</v>
      </c>
      <c r="D2621" s="7" t="str">
        <f t="shared" si="403"/>
        <v>12Go Link</v>
      </c>
      <c r="E2621" s="6" t="s">
        <v>1903</v>
      </c>
    </row>
    <row r="2622">
      <c r="A2622" s="6" t="s">
        <v>1899</v>
      </c>
      <c r="B2622" s="6" t="s">
        <v>1896</v>
      </c>
      <c r="C2622" s="6" t="s">
        <v>1936</v>
      </c>
      <c r="D2622" s="7" t="str">
        <f>HYPERLINK("https://12go.asia/en/travel/Sieu-Thi-Dac-San-Huong-Da/Lo-H1-KQH-Pham-Hong-Thai", "12Go Link")</f>
        <v>12Go Link</v>
      </c>
      <c r="E2622" s="6" t="s">
        <v>1929</v>
      </c>
    </row>
    <row r="2623">
      <c r="A2623" s="6" t="s">
        <v>1899</v>
      </c>
      <c r="B2623" s="6" t="s">
        <v>650</v>
      </c>
      <c r="C2623" s="6" t="s">
        <v>1937</v>
      </c>
      <c r="D2623" s="7" t="str">
        <f t="shared" ref="D2623:D2624" si="404">HYPERLINK("https://12go.asia/en/travel/133-Hoang-Thi-Loan/218-Do-Muoi", "12Go Link")</f>
        <v>12Go Link</v>
      </c>
      <c r="E2623" s="6" t="s">
        <v>1938</v>
      </c>
    </row>
    <row r="2624">
      <c r="A2624" s="6" t="s">
        <v>1899</v>
      </c>
      <c r="B2624" s="6" t="s">
        <v>650</v>
      </c>
      <c r="C2624" s="6" t="s">
        <v>1937</v>
      </c>
      <c r="D2624" s="7" t="str">
        <f t="shared" si="404"/>
        <v>12Go Link</v>
      </c>
      <c r="E2624" s="6" t="s">
        <v>1939</v>
      </c>
    </row>
    <row r="2625">
      <c r="A2625" s="6" t="s">
        <v>1899</v>
      </c>
      <c r="B2625" s="6" t="s">
        <v>170</v>
      </c>
      <c r="C2625" s="6" t="s">
        <v>1940</v>
      </c>
      <c r="D2625" s="7" t="str">
        <f t="shared" ref="D2625:D2627" si="405">HYPERLINK("https://12go.asia/en/travel/166-Dien-Bien-Phu/306A-Hong-Lac", "12Go Link")</f>
        <v>12Go Link</v>
      </c>
      <c r="E2625" s="6" t="s">
        <v>1901</v>
      </c>
    </row>
    <row r="2626">
      <c r="A2626" s="6" t="s">
        <v>1899</v>
      </c>
      <c r="B2626" s="6" t="s">
        <v>170</v>
      </c>
      <c r="C2626" s="6" t="s">
        <v>1940</v>
      </c>
      <c r="D2626" s="7" t="str">
        <f t="shared" si="405"/>
        <v>12Go Link</v>
      </c>
      <c r="E2626" s="6" t="s">
        <v>1902</v>
      </c>
    </row>
    <row r="2627">
      <c r="A2627" s="6" t="s">
        <v>1899</v>
      </c>
      <c r="B2627" s="6" t="s">
        <v>170</v>
      </c>
      <c r="C2627" s="6" t="s">
        <v>1940</v>
      </c>
      <c r="D2627" s="7" t="str">
        <f t="shared" si="405"/>
        <v>12Go Link</v>
      </c>
      <c r="E2627" s="6" t="s">
        <v>1903</v>
      </c>
    </row>
    <row r="2628">
      <c r="A2628" s="6" t="s">
        <v>1899</v>
      </c>
      <c r="B2628" s="6" t="s">
        <v>170</v>
      </c>
      <c r="C2628" s="6" t="s">
        <v>1941</v>
      </c>
      <c r="D2628" s="7" t="str">
        <f t="shared" ref="D2628:D2630" si="406">HYPERLINK("https://12go.asia/en/travel/166-Dien-Bien-Phu/39-National-Highway-1A", "12Go Link")</f>
        <v>12Go Link</v>
      </c>
      <c r="E2628" s="6" t="s">
        <v>1901</v>
      </c>
    </row>
    <row r="2629">
      <c r="A2629" s="6" t="s">
        <v>1899</v>
      </c>
      <c r="B2629" s="6" t="s">
        <v>170</v>
      </c>
      <c r="C2629" s="6" t="s">
        <v>1941</v>
      </c>
      <c r="D2629" s="7" t="str">
        <f t="shared" si="406"/>
        <v>12Go Link</v>
      </c>
      <c r="E2629" s="6" t="s">
        <v>1902</v>
      </c>
    </row>
    <row r="2630">
      <c r="A2630" s="6" t="s">
        <v>1899</v>
      </c>
      <c r="B2630" s="6" t="s">
        <v>170</v>
      </c>
      <c r="C2630" s="6" t="s">
        <v>1941</v>
      </c>
      <c r="D2630" s="7" t="str">
        <f t="shared" si="406"/>
        <v>12Go Link</v>
      </c>
      <c r="E2630" s="6" t="s">
        <v>1903</v>
      </c>
    </row>
    <row r="2631">
      <c r="A2631" s="6" t="s">
        <v>1899</v>
      </c>
      <c r="B2631" s="6" t="s">
        <v>170</v>
      </c>
      <c r="C2631" s="6" t="s">
        <v>1942</v>
      </c>
      <c r="D2631" s="7" t="str">
        <f>HYPERLINK("https://12go.asia/en/travel/190-Le-Dai-Hanh/292-Dinh-Bo-Linh", "12Go Link")</f>
        <v>12Go Link</v>
      </c>
      <c r="E2631" s="6" t="s">
        <v>1943</v>
      </c>
    </row>
    <row r="2632">
      <c r="A2632" s="6" t="s">
        <v>1899</v>
      </c>
      <c r="B2632" s="6" t="s">
        <v>170</v>
      </c>
      <c r="C2632" s="6" t="s">
        <v>1944</v>
      </c>
      <c r="D2632" s="7" t="str">
        <f>HYPERLINK("https://12go.asia/en/travel/190-Le-Dai-Hanh/332-Go-Dau", "12Go Link")</f>
        <v>12Go Link</v>
      </c>
      <c r="E2632" s="6" t="s">
        <v>1943</v>
      </c>
    </row>
    <row r="2633">
      <c r="A2633" s="6" t="s">
        <v>1899</v>
      </c>
      <c r="B2633" s="6" t="s">
        <v>1906</v>
      </c>
      <c r="C2633" s="6" t="s">
        <v>1945</v>
      </c>
      <c r="D2633" s="7" t="str">
        <f>HYPERLINK("https://12go.asia/en/travel/200-Vo-Nguyen-Giap-My-Khe-Beach/35-Ben-Nghe", "12Go Link")</f>
        <v>12Go Link</v>
      </c>
      <c r="E2633" s="6" t="s">
        <v>1946</v>
      </c>
    </row>
    <row r="2634">
      <c r="A2634" s="6" t="s">
        <v>1899</v>
      </c>
      <c r="B2634" s="6" t="s">
        <v>1906</v>
      </c>
      <c r="C2634" s="6" t="s">
        <v>1947</v>
      </c>
      <c r="D2634" s="7" t="str">
        <f>HYPERLINK("https://12go.asia/en/travel/200-Vo-Nguyen-Giap-My-Khe-Beach/Highlands-Coffee-Le-Loi", "12Go Link")</f>
        <v>12Go Link</v>
      </c>
      <c r="E2634" s="6" t="s">
        <v>1946</v>
      </c>
    </row>
    <row r="2635">
      <c r="A2635" s="6" t="s">
        <v>1899</v>
      </c>
      <c r="B2635" s="6" t="s">
        <v>1906</v>
      </c>
      <c r="C2635" s="6" t="s">
        <v>1948</v>
      </c>
      <c r="D2635" s="7" t="str">
        <f>HYPERLINK("https://12go.asia/en/travel/233-Nguyen-Van-Thoai/35-Ben-Nghe", "12Go Link")</f>
        <v>12Go Link</v>
      </c>
      <c r="E2635" s="6" t="s">
        <v>1946</v>
      </c>
    </row>
    <row r="2636">
      <c r="A2636" s="6" t="s">
        <v>1899</v>
      </c>
      <c r="B2636" s="6" t="s">
        <v>1906</v>
      </c>
      <c r="C2636" s="6" t="s">
        <v>1949</v>
      </c>
      <c r="D2636" s="7" t="str">
        <f>HYPERLINK("https://12go.asia/en/travel/233-Nguyen-Van-Thoai/Highlands-Coffee-Le-Loi", "12Go Link")</f>
        <v>12Go Link</v>
      </c>
      <c r="E2636" s="6" t="s">
        <v>1946</v>
      </c>
    </row>
    <row r="2637">
      <c r="A2637" s="6" t="s">
        <v>1899</v>
      </c>
      <c r="B2637" s="6" t="s">
        <v>1906</v>
      </c>
      <c r="C2637" s="6" t="s">
        <v>1950</v>
      </c>
      <c r="D2637" s="7" t="str">
        <f>HYPERLINK("https://12go.asia/en/travel/Da-Nang/Hue", "12Go Link")</f>
        <v>12Go Link</v>
      </c>
      <c r="E2637" s="6" t="s">
        <v>1951</v>
      </c>
    </row>
    <row r="2638">
      <c r="A2638" s="6" t="s">
        <v>1899</v>
      </c>
      <c r="B2638" s="6" t="s">
        <v>1906</v>
      </c>
      <c r="C2638" s="6" t="s">
        <v>1952</v>
      </c>
      <c r="D2638" s="7" t="str">
        <f>HYPERLINK("https://12go.asia/en/travel/GO-Da-Nang/GO-Hue", "12Go Link")</f>
        <v>12Go Link</v>
      </c>
      <c r="E2638" s="6" t="s">
        <v>1953</v>
      </c>
    </row>
    <row r="2639">
      <c r="A2639" s="6" t="s">
        <v>1899</v>
      </c>
      <c r="B2639" s="6" t="s">
        <v>1906</v>
      </c>
      <c r="C2639" s="6" t="s">
        <v>1954</v>
      </c>
      <c r="D2639" s="7" t="str">
        <f>HYPERLINK("https://12go.asia/en/travel/Vincom-Plaza-Da-Nang/TTTM-Vincom-Plaza", "12Go Link")</f>
        <v>12Go Link</v>
      </c>
      <c r="E2639" s="6" t="s">
        <v>1953</v>
      </c>
    </row>
    <row r="2640">
      <c r="A2640" s="6" t="s">
        <v>1899</v>
      </c>
      <c r="B2640" s="6" t="s">
        <v>1930</v>
      </c>
      <c r="C2640" s="6" t="s">
        <v>1955</v>
      </c>
      <c r="D2640" s="7" t="str">
        <f t="shared" ref="D2640:D2641" si="407">HYPERLINK("https://12go.asia/en/travel/166-Dien-Bien-Phu/245-Nguyen-Dinh-Chieu", "12Go Link")</f>
        <v>12Go Link</v>
      </c>
      <c r="E2640" s="6" t="s">
        <v>1902</v>
      </c>
    </row>
    <row r="2641">
      <c r="A2641" s="6" t="s">
        <v>1899</v>
      </c>
      <c r="B2641" s="6" t="s">
        <v>1930</v>
      </c>
      <c r="C2641" s="6" t="s">
        <v>1955</v>
      </c>
      <c r="D2641" s="7" t="str">
        <f t="shared" si="407"/>
        <v>12Go Link</v>
      </c>
      <c r="E2641" s="6" t="s">
        <v>1903</v>
      </c>
    </row>
    <row r="2642">
      <c r="A2642" s="6" t="s">
        <v>1899</v>
      </c>
      <c r="B2642" s="6" t="s">
        <v>1933</v>
      </c>
      <c r="C2642" s="6" t="s">
        <v>1956</v>
      </c>
      <c r="D2642" s="7" t="str">
        <f>HYPERLINK("https://12go.asia/en/travel/79-Nguyen-Tuong-Pho/5-To-Huu", "12Go Link")</f>
        <v>12Go Link</v>
      </c>
      <c r="E2642" s="6" t="s">
        <v>1929</v>
      </c>
    </row>
    <row r="2643">
      <c r="A2643" s="6" t="s">
        <v>1899</v>
      </c>
      <c r="B2643" s="6" t="s">
        <v>1933</v>
      </c>
      <c r="C2643" s="6" t="s">
        <v>1957</v>
      </c>
      <c r="D2643" s="7" t="str">
        <f>HYPERLINK("https://12go.asia/en/travel/Sieu-Thi-Dac-San-Huong-Da/Coopmart-Supermarket-Nha-Trang", "12Go Link")</f>
        <v>12Go Link</v>
      </c>
      <c r="E2643" s="6" t="s">
        <v>1929</v>
      </c>
    </row>
    <row r="2644">
      <c r="A2644" s="6" t="s">
        <v>1899</v>
      </c>
      <c r="B2644" s="6" t="s">
        <v>1958</v>
      </c>
      <c r="C2644" s="6" t="s">
        <v>1959</v>
      </c>
      <c r="D2644" s="7" t="str">
        <f t="shared" ref="D2644:D2645" si="408">HYPERLINK("https://12go.asia/en/travel/133-Hoang-Thi-Loan/Tam-Coc", "12Go Link")</f>
        <v>12Go Link</v>
      </c>
      <c r="E2644" s="6" t="s">
        <v>1938</v>
      </c>
    </row>
    <row r="2645">
      <c r="A2645" s="6" t="s">
        <v>1899</v>
      </c>
      <c r="B2645" s="6" t="s">
        <v>1958</v>
      </c>
      <c r="C2645" s="6" t="s">
        <v>1959</v>
      </c>
      <c r="D2645" s="7" t="str">
        <f t="shared" si="408"/>
        <v>12Go Link</v>
      </c>
      <c r="E2645" s="6" t="s">
        <v>1939</v>
      </c>
    </row>
    <row r="2646">
      <c r="A2646" s="6" t="s">
        <v>1899</v>
      </c>
      <c r="B2646" s="6" t="s">
        <v>1958</v>
      </c>
      <c r="C2646" s="6" t="s">
        <v>1960</v>
      </c>
      <c r="D2646" s="7" t="str">
        <f t="shared" ref="D2646:D2648" si="409">HYPERLINK("https://12go.asia/en/travel/Da-Nang/Ninh-Binh", "12Go Link")</f>
        <v>12Go Link</v>
      </c>
      <c r="E2646" s="6" t="s">
        <v>1961</v>
      </c>
    </row>
    <row r="2647">
      <c r="A2647" s="6" t="s">
        <v>1899</v>
      </c>
      <c r="B2647" s="6" t="s">
        <v>1958</v>
      </c>
      <c r="C2647" s="6" t="s">
        <v>1960</v>
      </c>
      <c r="D2647" s="7" t="str">
        <f t="shared" si="409"/>
        <v>12Go Link</v>
      </c>
      <c r="E2647" s="6" t="s">
        <v>1962</v>
      </c>
    </row>
    <row r="2648">
      <c r="A2648" s="6" t="s">
        <v>1899</v>
      </c>
      <c r="B2648" s="6" t="s">
        <v>1958</v>
      </c>
      <c r="C2648" s="6" t="s">
        <v>1960</v>
      </c>
      <c r="D2648" s="7" t="str">
        <f t="shared" si="409"/>
        <v>12Go Link</v>
      </c>
      <c r="E2648" s="6" t="s">
        <v>1963</v>
      </c>
    </row>
    <row r="2649">
      <c r="A2649" s="6" t="s">
        <v>1899</v>
      </c>
      <c r="B2649" s="6" t="s">
        <v>1964</v>
      </c>
      <c r="C2649" s="6" t="s">
        <v>1965</v>
      </c>
      <c r="D2649" s="7" t="str">
        <f>HYPERLINK("https://12go.asia/en/travel/79-Nguyen-Tuong-Pho/Phong-Nha-Hung-Thanh-Bus-Office", "12Go Link")</f>
        <v>12Go Link</v>
      </c>
      <c r="E2649" s="6" t="s">
        <v>1929</v>
      </c>
    </row>
    <row r="2650">
      <c r="A2650" s="6" t="s">
        <v>1899</v>
      </c>
      <c r="B2650" s="6" t="s">
        <v>1966</v>
      </c>
      <c r="C2650" s="6" t="s">
        <v>1967</v>
      </c>
      <c r="D2650" s="7" t="str">
        <f t="shared" ref="D2650:D2651" si="410">HYPERLINK("https://12go.asia/en/travel/Da-Nang-City/Dong-Hoi", "12Go Link")</f>
        <v>12Go Link</v>
      </c>
      <c r="E2650" s="6" t="s">
        <v>567</v>
      </c>
    </row>
    <row r="2651">
      <c r="A2651" s="6" t="s">
        <v>1899</v>
      </c>
      <c r="B2651" s="6" t="s">
        <v>1966</v>
      </c>
      <c r="C2651" s="6" t="s">
        <v>1967</v>
      </c>
      <c r="D2651" s="7" t="str">
        <f t="shared" si="410"/>
        <v>12Go Link</v>
      </c>
      <c r="E2651" s="6" t="s">
        <v>772</v>
      </c>
    </row>
    <row r="2652">
      <c r="A2652" s="6" t="s">
        <v>1899</v>
      </c>
      <c r="B2652" s="6" t="s">
        <v>1968</v>
      </c>
      <c r="C2652" s="6" t="s">
        <v>1969</v>
      </c>
      <c r="D2652" s="7" t="str">
        <f>HYPERLINK("https://12go.asia/en/travel/Sieu-Thi-Dac-San-Huong-Da/Lan-Anh-Hotel", "12Go Link")</f>
        <v>12Go Link</v>
      </c>
      <c r="E2652" s="6" t="s">
        <v>1929</v>
      </c>
    </row>
    <row r="2653">
      <c r="A2653" s="6" t="s">
        <v>1899</v>
      </c>
      <c r="B2653" s="6" t="s">
        <v>1970</v>
      </c>
      <c r="C2653" s="6" t="s">
        <v>1971</v>
      </c>
      <c r="D2653" s="7" t="str">
        <f t="shared" ref="D2653:D2655" si="411">HYPERLINK("https://12go.asia/en/travel/166-Dien-Bien-Phu/Dinh-Nhan-Bus-VP-Binh-Phuoc", "12Go Link")</f>
        <v>12Go Link</v>
      </c>
      <c r="E2653" s="6" t="s">
        <v>1901</v>
      </c>
    </row>
    <row r="2654">
      <c r="A2654" s="6" t="s">
        <v>1899</v>
      </c>
      <c r="B2654" s="6" t="s">
        <v>1970</v>
      </c>
      <c r="C2654" s="6" t="s">
        <v>1971</v>
      </c>
      <c r="D2654" s="7" t="str">
        <f t="shared" si="411"/>
        <v>12Go Link</v>
      </c>
      <c r="E2654" s="6" t="s">
        <v>1902</v>
      </c>
    </row>
    <row r="2655">
      <c r="A2655" s="6" t="s">
        <v>1899</v>
      </c>
      <c r="B2655" s="6" t="s">
        <v>1970</v>
      </c>
      <c r="C2655" s="6" t="s">
        <v>1971</v>
      </c>
      <c r="D2655" s="7" t="str">
        <f t="shared" si="411"/>
        <v>12Go Link</v>
      </c>
      <c r="E2655" s="6" t="s">
        <v>1903</v>
      </c>
    </row>
    <row r="2656">
      <c r="A2656" s="6" t="s">
        <v>1899</v>
      </c>
      <c r="B2656" s="6" t="s">
        <v>1970</v>
      </c>
      <c r="C2656" s="6" t="s">
        <v>1972</v>
      </c>
      <c r="D2656" s="7" t="str">
        <f>HYPERLINK("https://12go.asia/en/travel/190-Le-Dai-Hanh/720-Do-Muoi", "12Go Link")</f>
        <v>12Go Link</v>
      </c>
      <c r="E2656" s="6" t="s">
        <v>1943</v>
      </c>
    </row>
    <row r="2657">
      <c r="A2657" s="8" t="s">
        <v>1973</v>
      </c>
      <c r="B2657" s="8" t="s">
        <v>652</v>
      </c>
      <c r="C2657" s="8" t="s">
        <v>1974</v>
      </c>
      <c r="D2657" s="9" t="str">
        <f t="shared" ref="D2657:D2658" si="412">HYPERLINK("https://12go.asia/en/travel/Dien-Bien/Sapa", "12Go Link")</f>
        <v>12Go Link</v>
      </c>
      <c r="E2657" s="8" t="s">
        <v>567</v>
      </c>
    </row>
    <row r="2658">
      <c r="A2658" s="8" t="s">
        <v>1973</v>
      </c>
      <c r="B2658" s="8" t="s">
        <v>652</v>
      </c>
      <c r="C2658" s="8" t="s">
        <v>1974</v>
      </c>
      <c r="D2658" s="9" t="str">
        <f t="shared" si="412"/>
        <v>12Go Link</v>
      </c>
      <c r="E2658" s="8" t="s">
        <v>772</v>
      </c>
    </row>
    <row r="2659">
      <c r="A2659" s="6" t="s">
        <v>1975</v>
      </c>
      <c r="B2659" s="6" t="s">
        <v>650</v>
      </c>
      <c r="C2659" s="6" t="s">
        <v>1976</v>
      </c>
      <c r="D2659" s="7" t="str">
        <f t="shared" ref="D2659:D2661" si="413">HYPERLINK("https://12go.asia/en/travel/Dong-Ha/Hanoi", "12Go Link")</f>
        <v>12Go Link</v>
      </c>
      <c r="E2659" s="6" t="s">
        <v>1961</v>
      </c>
    </row>
    <row r="2660">
      <c r="A2660" s="6" t="s">
        <v>1975</v>
      </c>
      <c r="B2660" s="6" t="s">
        <v>650</v>
      </c>
      <c r="C2660" s="6" t="s">
        <v>1976</v>
      </c>
      <c r="D2660" s="7" t="str">
        <f t="shared" si="413"/>
        <v>12Go Link</v>
      </c>
      <c r="E2660" s="6" t="s">
        <v>1962</v>
      </c>
    </row>
    <row r="2661">
      <c r="A2661" s="6" t="s">
        <v>1975</v>
      </c>
      <c r="B2661" s="6" t="s">
        <v>650</v>
      </c>
      <c r="C2661" s="6" t="s">
        <v>1976</v>
      </c>
      <c r="D2661" s="7" t="str">
        <f t="shared" si="413"/>
        <v>12Go Link</v>
      </c>
      <c r="E2661" s="6" t="s">
        <v>1963</v>
      </c>
    </row>
    <row r="2662">
      <c r="A2662" s="6" t="s">
        <v>1975</v>
      </c>
      <c r="B2662" s="6" t="s">
        <v>1958</v>
      </c>
      <c r="C2662" s="6" t="s">
        <v>1977</v>
      </c>
      <c r="D2662" s="7" t="str">
        <f t="shared" ref="D2662:D2664" si="414">HYPERLINK("https://12go.asia/en/travel/Dong-Ha/Ninh-Binh", "12Go Link")</f>
        <v>12Go Link</v>
      </c>
      <c r="E2662" s="6" t="s">
        <v>1961</v>
      </c>
    </row>
    <row r="2663">
      <c r="A2663" s="6" t="s">
        <v>1975</v>
      </c>
      <c r="B2663" s="6" t="s">
        <v>1958</v>
      </c>
      <c r="C2663" s="6" t="s">
        <v>1977</v>
      </c>
      <c r="D2663" s="7" t="str">
        <f t="shared" si="414"/>
        <v>12Go Link</v>
      </c>
      <c r="E2663" s="6" t="s">
        <v>1962</v>
      </c>
    </row>
    <row r="2664">
      <c r="A2664" s="6" t="s">
        <v>1975</v>
      </c>
      <c r="B2664" s="6" t="s">
        <v>1958</v>
      </c>
      <c r="C2664" s="6" t="s">
        <v>1977</v>
      </c>
      <c r="D2664" s="7" t="str">
        <f t="shared" si="414"/>
        <v>12Go Link</v>
      </c>
      <c r="E2664" s="6" t="s">
        <v>1963</v>
      </c>
    </row>
    <row r="2665">
      <c r="A2665" s="8" t="s">
        <v>1978</v>
      </c>
      <c r="B2665" s="8" t="s">
        <v>650</v>
      </c>
      <c r="C2665" s="8" t="s">
        <v>1979</v>
      </c>
      <c r="D2665" s="9" t="str">
        <f t="shared" ref="D2665:D2667" si="415">HYPERLINK("https://12go.asia/en/travel/Dong-Hoi/Hanoi", "12Go Link")</f>
        <v>12Go Link</v>
      </c>
      <c r="E2665" s="8" t="s">
        <v>1961</v>
      </c>
    </row>
    <row r="2666">
      <c r="A2666" s="8" t="s">
        <v>1978</v>
      </c>
      <c r="B2666" s="8" t="s">
        <v>650</v>
      </c>
      <c r="C2666" s="8" t="s">
        <v>1979</v>
      </c>
      <c r="D2666" s="9" t="str">
        <f t="shared" si="415"/>
        <v>12Go Link</v>
      </c>
      <c r="E2666" s="8" t="s">
        <v>1962</v>
      </c>
    </row>
    <row r="2667">
      <c r="A2667" s="8" t="s">
        <v>1978</v>
      </c>
      <c r="B2667" s="8" t="s">
        <v>650</v>
      </c>
      <c r="C2667" s="8" t="s">
        <v>1979</v>
      </c>
      <c r="D2667" s="9" t="str">
        <f t="shared" si="415"/>
        <v>12Go Link</v>
      </c>
      <c r="E2667" s="8" t="s">
        <v>1963</v>
      </c>
    </row>
    <row r="2668">
      <c r="A2668" s="8" t="s">
        <v>1978</v>
      </c>
      <c r="B2668" s="8" t="s">
        <v>1958</v>
      </c>
      <c r="C2668" s="8" t="s">
        <v>1980</v>
      </c>
      <c r="D2668" s="9" t="str">
        <f t="shared" ref="D2668:D2670" si="416">HYPERLINK("https://12go.asia/en/travel/Dong-Hoi/Ninh-Binh", "12Go Link")</f>
        <v>12Go Link</v>
      </c>
      <c r="E2668" s="8" t="s">
        <v>1961</v>
      </c>
    </row>
    <row r="2669">
      <c r="A2669" s="8" t="s">
        <v>1978</v>
      </c>
      <c r="B2669" s="8" t="s">
        <v>1958</v>
      </c>
      <c r="C2669" s="8" t="s">
        <v>1980</v>
      </c>
      <c r="D2669" s="9" t="str">
        <f t="shared" si="416"/>
        <v>12Go Link</v>
      </c>
      <c r="E2669" s="8" t="s">
        <v>1962</v>
      </c>
    </row>
    <row r="2670">
      <c r="A2670" s="8" t="s">
        <v>1978</v>
      </c>
      <c r="B2670" s="8" t="s">
        <v>1958</v>
      </c>
      <c r="C2670" s="8" t="s">
        <v>1980</v>
      </c>
      <c r="D2670" s="9" t="str">
        <f t="shared" si="416"/>
        <v>12Go Link</v>
      </c>
      <c r="E2670" s="8" t="s">
        <v>1963</v>
      </c>
    </row>
    <row r="2671">
      <c r="A2671" s="6" t="s">
        <v>1981</v>
      </c>
      <c r="B2671" s="6" t="s">
        <v>1933</v>
      </c>
      <c r="C2671" s="6" t="s">
        <v>1982</v>
      </c>
      <c r="D2671" s="7" t="str">
        <f t="shared" ref="D2671:D2672" si="417">HYPERLINK("https://12go.asia/en/travel/Nam-Cat-Tien-Hotel-Transfer/Nha-Trang-Hotel-Transfer", "12Go Link")</f>
        <v>12Go Link</v>
      </c>
      <c r="E2671" s="6" t="s">
        <v>567</v>
      </c>
    </row>
    <row r="2672">
      <c r="A2672" s="6" t="s">
        <v>1981</v>
      </c>
      <c r="B2672" s="6" t="s">
        <v>1933</v>
      </c>
      <c r="C2672" s="6" t="s">
        <v>1982</v>
      </c>
      <c r="D2672" s="7" t="str">
        <f t="shared" si="417"/>
        <v>12Go Link</v>
      </c>
      <c r="E2672" s="6" t="s">
        <v>772</v>
      </c>
    </row>
    <row r="2673">
      <c r="A2673" s="8" t="s">
        <v>1983</v>
      </c>
      <c r="B2673" s="8" t="s">
        <v>1958</v>
      </c>
      <c r="C2673" s="8" t="s">
        <v>1984</v>
      </c>
      <c r="D2673" s="9" t="str">
        <f t="shared" ref="D2673:D2674" si="418">HYPERLINK("https://12go.asia/en/travel/204-Tran-Quang-Khai/Tam-Coc-Boat-Station", "12Go Link")</f>
        <v>12Go Link</v>
      </c>
      <c r="E2673" s="8" t="s">
        <v>567</v>
      </c>
    </row>
    <row r="2674">
      <c r="A2674" s="8" t="s">
        <v>1983</v>
      </c>
      <c r="B2674" s="8" t="s">
        <v>1958</v>
      </c>
      <c r="C2674" s="8" t="s">
        <v>1984</v>
      </c>
      <c r="D2674" s="9" t="str">
        <f t="shared" si="418"/>
        <v>12Go Link</v>
      </c>
      <c r="E2674" s="8" t="s">
        <v>772</v>
      </c>
    </row>
    <row r="2675">
      <c r="A2675" s="8" t="s">
        <v>1983</v>
      </c>
      <c r="B2675" s="8" t="s">
        <v>1985</v>
      </c>
      <c r="C2675" s="8" t="s">
        <v>1986</v>
      </c>
      <c r="D2675" s="9" t="str">
        <f t="shared" ref="D2675:D2676" si="419">HYPERLINK("https://12go.asia/en/travel/204-Tran-Quang-Khai/Tuan-Chau-International-Port", "12Go Link")</f>
        <v>12Go Link</v>
      </c>
      <c r="E2675" s="8" t="s">
        <v>567</v>
      </c>
    </row>
    <row r="2676">
      <c r="A2676" s="8" t="s">
        <v>1983</v>
      </c>
      <c r="B2676" s="8" t="s">
        <v>1985</v>
      </c>
      <c r="C2676" s="8" t="s">
        <v>1986</v>
      </c>
      <c r="D2676" s="9" t="str">
        <f t="shared" si="419"/>
        <v>12Go Link</v>
      </c>
      <c r="E2676" s="8" t="s">
        <v>772</v>
      </c>
    </row>
    <row r="2677">
      <c r="A2677" s="8" t="s">
        <v>1983</v>
      </c>
      <c r="B2677" s="8" t="s">
        <v>652</v>
      </c>
      <c r="C2677" s="8" t="s">
        <v>1987</v>
      </c>
      <c r="D2677" s="9" t="str">
        <f t="shared" ref="D2677:D2678" si="420">HYPERLINK("https://12go.asia/en/travel/204-Tran-Quang-Khai/Sa-Pa-SapaExpress", "12Go Link")</f>
        <v>12Go Link</v>
      </c>
      <c r="E2677" s="8" t="s">
        <v>567</v>
      </c>
    </row>
    <row r="2678">
      <c r="A2678" s="8" t="s">
        <v>1983</v>
      </c>
      <c r="B2678" s="8" t="s">
        <v>652</v>
      </c>
      <c r="C2678" s="8" t="s">
        <v>1987</v>
      </c>
      <c r="D2678" s="9" t="str">
        <f t="shared" si="420"/>
        <v>12Go Link</v>
      </c>
      <c r="E2678" s="8" t="s">
        <v>772</v>
      </c>
    </row>
    <row r="2679">
      <c r="A2679" s="6" t="s">
        <v>1988</v>
      </c>
      <c r="B2679" s="6" t="s">
        <v>650</v>
      </c>
      <c r="C2679" s="6" t="s">
        <v>1989</v>
      </c>
      <c r="D2679" s="7" t="str">
        <f>HYPERLINK("https://12go.asia/en/travel/10-Nguyen-Trai/3-Tran-Phu", "12Go Link")</f>
        <v>12Go Link</v>
      </c>
      <c r="E2679" s="6" t="s">
        <v>1990</v>
      </c>
    </row>
    <row r="2680">
      <c r="A2680" s="6" t="s">
        <v>1988</v>
      </c>
      <c r="B2680" s="6" t="s">
        <v>650</v>
      </c>
      <c r="C2680" s="6" t="s">
        <v>1991</v>
      </c>
      <c r="D2680" s="7" t="str">
        <f>HYPERLINK("https://12go.asia/en/travel/10-Nguyen-Trai/Hanoi-Opera-House", "12Go Link")</f>
        <v>12Go Link</v>
      </c>
      <c r="E2680" s="6" t="s">
        <v>1992</v>
      </c>
    </row>
    <row r="2681">
      <c r="A2681" s="6" t="s">
        <v>1988</v>
      </c>
      <c r="B2681" s="6" t="s">
        <v>650</v>
      </c>
      <c r="C2681" s="6" t="s">
        <v>1993</v>
      </c>
      <c r="D2681" s="7" t="str">
        <f t="shared" ref="D2681:D2682" si="421">HYPERLINK("https://12go.asia/en/travel/29-Nguyen-Trung-Truc/Ha-Noi-Railway-Station", "12Go Link")</f>
        <v>12Go Link</v>
      </c>
      <c r="E2681" s="6" t="s">
        <v>1990</v>
      </c>
    </row>
    <row r="2682">
      <c r="A2682" s="6" t="s">
        <v>1988</v>
      </c>
      <c r="B2682" s="6" t="s">
        <v>650</v>
      </c>
      <c r="C2682" s="6" t="s">
        <v>1993</v>
      </c>
      <c r="D2682" s="7" t="str">
        <f t="shared" si="421"/>
        <v>12Go Link</v>
      </c>
      <c r="E2682" s="6" t="s">
        <v>1992</v>
      </c>
    </row>
    <row r="2683">
      <c r="A2683" s="6" t="s">
        <v>1988</v>
      </c>
      <c r="B2683" s="6" t="s">
        <v>650</v>
      </c>
      <c r="C2683" s="6" t="s">
        <v>1994</v>
      </c>
      <c r="D2683" s="7" t="str">
        <f>HYPERLINK("https://12go.asia/en/travel/49-Minh-Khai/160-Tran-Quang-Khai", "12Go Link")</f>
        <v>12Go Link</v>
      </c>
      <c r="E2683" s="6" t="s">
        <v>1992</v>
      </c>
    </row>
    <row r="2684">
      <c r="A2684" s="6" t="s">
        <v>1988</v>
      </c>
      <c r="B2684" s="6" t="s">
        <v>650</v>
      </c>
      <c r="C2684" s="6" t="s">
        <v>1995</v>
      </c>
      <c r="D2684" s="7" t="str">
        <f>HYPERLINK("https://12go.asia/en/travel/49-Minh-Khai/Hanoi-Opera-House", "12Go Link")</f>
        <v>12Go Link</v>
      </c>
      <c r="E2684" s="6" t="s">
        <v>1990</v>
      </c>
    </row>
    <row r="2685">
      <c r="A2685" s="6" t="s">
        <v>1988</v>
      </c>
      <c r="B2685" s="6" t="s">
        <v>650</v>
      </c>
      <c r="C2685" s="6" t="s">
        <v>1996</v>
      </c>
      <c r="D2685" s="7" t="str">
        <f t="shared" ref="D2685:D2689" si="422">HYPERLINK("https://12go.asia/en/travel/Ha-Giang/Hanoi", "12Go Link")</f>
        <v>12Go Link</v>
      </c>
      <c r="E2685" s="6" t="s">
        <v>1997</v>
      </c>
    </row>
    <row r="2686">
      <c r="A2686" s="6" t="s">
        <v>1988</v>
      </c>
      <c r="B2686" s="6" t="s">
        <v>650</v>
      </c>
      <c r="C2686" s="6" t="s">
        <v>1996</v>
      </c>
      <c r="D2686" s="7" t="str">
        <f t="shared" si="422"/>
        <v>12Go Link</v>
      </c>
      <c r="E2686" s="6" t="s">
        <v>772</v>
      </c>
    </row>
    <row r="2687">
      <c r="A2687" s="6" t="s">
        <v>1988</v>
      </c>
      <c r="B2687" s="6" t="s">
        <v>650</v>
      </c>
      <c r="C2687" s="6" t="s">
        <v>1996</v>
      </c>
      <c r="D2687" s="7" t="str">
        <f t="shared" si="422"/>
        <v>12Go Link</v>
      </c>
      <c r="E2687" s="6" t="s">
        <v>1998</v>
      </c>
    </row>
    <row r="2688">
      <c r="A2688" s="6" t="s">
        <v>1988</v>
      </c>
      <c r="B2688" s="6" t="s">
        <v>650</v>
      </c>
      <c r="C2688" s="6" t="s">
        <v>1996</v>
      </c>
      <c r="D2688" s="7" t="str">
        <f t="shared" si="422"/>
        <v>12Go Link</v>
      </c>
      <c r="E2688" s="6" t="s">
        <v>1999</v>
      </c>
    </row>
    <row r="2689">
      <c r="A2689" s="6" t="s">
        <v>1988</v>
      </c>
      <c r="B2689" s="6" t="s">
        <v>650</v>
      </c>
      <c r="C2689" s="6" t="s">
        <v>1996</v>
      </c>
      <c r="D2689" s="7" t="str">
        <f t="shared" si="422"/>
        <v>12Go Link</v>
      </c>
      <c r="E2689" s="6" t="s">
        <v>2000</v>
      </c>
    </row>
    <row r="2690">
      <c r="A2690" s="6" t="s">
        <v>1988</v>
      </c>
      <c r="B2690" s="6" t="s">
        <v>650</v>
      </c>
      <c r="C2690" s="6" t="s">
        <v>2001</v>
      </c>
      <c r="D2690" s="7" t="str">
        <f>HYPERLINK("https://12go.asia/en/travel/Ha-Giang-Bus-Terminal/160-Tran-Quang-Khai", "12Go Link")</f>
        <v>12Go Link</v>
      </c>
      <c r="E2690" s="6" t="s">
        <v>1990</v>
      </c>
    </row>
    <row r="2691">
      <c r="A2691" s="6" t="s">
        <v>1988</v>
      </c>
      <c r="B2691" s="6" t="s">
        <v>650</v>
      </c>
      <c r="C2691" s="6" t="s">
        <v>2002</v>
      </c>
      <c r="D2691" s="7" t="str">
        <f>HYPERLINK("https://12go.asia/en/travel/Ha-Giang-Bus-Terminal/Daily-Limousine-Office", "12Go Link")</f>
        <v>12Go Link</v>
      </c>
      <c r="E2691" s="6" t="s">
        <v>1992</v>
      </c>
    </row>
    <row r="2692">
      <c r="A2692" s="6" t="s">
        <v>1988</v>
      </c>
      <c r="B2692" s="6" t="s">
        <v>650</v>
      </c>
      <c r="C2692" s="6" t="s">
        <v>2003</v>
      </c>
      <c r="D2692" s="7" t="str">
        <f>HYPERLINK("https://12go.asia/en/travel/Ha-Giang-Hostel/3-Tran-Phu", "12Go Link")</f>
        <v>12Go Link</v>
      </c>
      <c r="E2692" s="6" t="s">
        <v>1992</v>
      </c>
    </row>
    <row r="2693">
      <c r="A2693" s="6" t="s">
        <v>1988</v>
      </c>
      <c r="B2693" s="6" t="s">
        <v>650</v>
      </c>
      <c r="C2693" s="6" t="s">
        <v>2004</v>
      </c>
      <c r="D2693" s="7" t="str">
        <f>HYPERLINK("https://12go.asia/en/travel/Ha-Giang-Hostel/Daily-Limousine-Office", "12Go Link")</f>
        <v>12Go Link</v>
      </c>
      <c r="E2693" s="6" t="s">
        <v>1990</v>
      </c>
    </row>
    <row r="2694">
      <c r="A2694" s="6" t="s">
        <v>1988</v>
      </c>
      <c r="B2694" s="6" t="s">
        <v>650</v>
      </c>
      <c r="C2694" s="6" t="s">
        <v>2005</v>
      </c>
      <c r="D2694" s="7" t="str">
        <f>HYPERLINK("https://12go.asia/en/travel/Rocks-Hagiang-Hostel-Tours/11-Hang-Ruoi", "12Go Link")</f>
        <v>12Go Link</v>
      </c>
      <c r="E2694" s="6" t="s">
        <v>2006</v>
      </c>
    </row>
    <row r="2695">
      <c r="A2695" s="6" t="s">
        <v>1988</v>
      </c>
      <c r="B2695" s="6" t="s">
        <v>2007</v>
      </c>
      <c r="C2695" s="6" t="s">
        <v>2008</v>
      </c>
      <c r="D2695" s="7" t="str">
        <f t="shared" ref="D2695:D2696" si="423">HYPERLINK("https://12go.asia/en/travel/10-Nguyen-Trai/Hanoi-Airport", "12Go Link")</f>
        <v>12Go Link</v>
      </c>
      <c r="E2695" s="6" t="s">
        <v>1990</v>
      </c>
    </row>
    <row r="2696">
      <c r="A2696" s="6" t="s">
        <v>1988</v>
      </c>
      <c r="B2696" s="6" t="s">
        <v>2007</v>
      </c>
      <c r="C2696" s="6" t="s">
        <v>2008</v>
      </c>
      <c r="D2696" s="7" t="str">
        <f t="shared" si="423"/>
        <v>12Go Link</v>
      </c>
      <c r="E2696" s="6" t="s">
        <v>1992</v>
      </c>
    </row>
    <row r="2697">
      <c r="A2697" s="6" t="s">
        <v>1988</v>
      </c>
      <c r="B2697" s="6" t="s">
        <v>2007</v>
      </c>
      <c r="C2697" s="6" t="s">
        <v>2009</v>
      </c>
      <c r="D2697" s="7" t="str">
        <f t="shared" ref="D2697:D2698" si="424">HYPERLINK("https://12go.asia/en/travel/Ha-Giang-Bus-Terminal/Hanoi-Airport", "12Go Link")</f>
        <v>12Go Link</v>
      </c>
      <c r="E2697" s="6" t="s">
        <v>1990</v>
      </c>
    </row>
    <row r="2698">
      <c r="A2698" s="6" t="s">
        <v>1988</v>
      </c>
      <c r="B2698" s="6" t="s">
        <v>2007</v>
      </c>
      <c r="C2698" s="6" t="s">
        <v>2009</v>
      </c>
      <c r="D2698" s="7" t="str">
        <f t="shared" si="424"/>
        <v>12Go Link</v>
      </c>
      <c r="E2698" s="6" t="s">
        <v>1992</v>
      </c>
    </row>
    <row r="2699">
      <c r="A2699" s="6" t="s">
        <v>1988</v>
      </c>
      <c r="B2699" s="6" t="s">
        <v>2007</v>
      </c>
      <c r="C2699" s="6" t="s">
        <v>2010</v>
      </c>
      <c r="D2699" s="7" t="str">
        <f t="shared" ref="D2699:D2700" si="425">HYPERLINK("https://12go.asia/en/travel/Ha-Giang-Hostel/Hanoi-Airport", "12Go Link")</f>
        <v>12Go Link</v>
      </c>
      <c r="E2699" s="6" t="s">
        <v>1990</v>
      </c>
    </row>
    <row r="2700">
      <c r="A2700" s="6" t="s">
        <v>1988</v>
      </c>
      <c r="B2700" s="6" t="s">
        <v>2007</v>
      </c>
      <c r="C2700" s="6" t="s">
        <v>2010</v>
      </c>
      <c r="D2700" s="7" t="str">
        <f t="shared" si="425"/>
        <v>12Go Link</v>
      </c>
      <c r="E2700" s="6" t="s">
        <v>1992</v>
      </c>
    </row>
    <row r="2701">
      <c r="A2701" s="8" t="s">
        <v>2011</v>
      </c>
      <c r="B2701" s="8" t="s">
        <v>1958</v>
      </c>
      <c r="C2701" s="8" t="s">
        <v>2012</v>
      </c>
      <c r="D2701" s="9" t="str">
        <f t="shared" ref="D2701:D2702" si="426">HYPERLINK("https://12go.asia/en/travel/Cat-Ba-Island/Ninh-Binh-Hotel-Transfer", "12Go Link")</f>
        <v>12Go Link</v>
      </c>
      <c r="E2701" s="8" t="s">
        <v>567</v>
      </c>
    </row>
    <row r="2702">
      <c r="A2702" s="8" t="s">
        <v>2011</v>
      </c>
      <c r="B2702" s="8" t="s">
        <v>1958</v>
      </c>
      <c r="C2702" s="8" t="s">
        <v>2012</v>
      </c>
      <c r="D2702" s="9" t="str">
        <f t="shared" si="426"/>
        <v>12Go Link</v>
      </c>
      <c r="E2702" s="8" t="s">
        <v>772</v>
      </c>
    </row>
    <row r="2703">
      <c r="A2703" s="8" t="s">
        <v>2011</v>
      </c>
      <c r="B2703" s="8" t="s">
        <v>1958</v>
      </c>
      <c r="C2703" s="8" t="s">
        <v>2013</v>
      </c>
      <c r="D2703" s="9" t="str">
        <f>HYPERLINK("https://12go.asia/en/travel/Hai-Phong/Ninh-Binh-Hotel-Transfer", "12Go Link")</f>
        <v>12Go Link</v>
      </c>
      <c r="E2703" s="8" t="s">
        <v>772</v>
      </c>
    </row>
    <row r="2704">
      <c r="A2704" s="6" t="s">
        <v>2014</v>
      </c>
      <c r="B2704" s="6" t="s">
        <v>650</v>
      </c>
      <c r="C2704" s="6" t="s">
        <v>2015</v>
      </c>
      <c r="D2704" s="7" t="str">
        <f t="shared" ref="D2704:D2706" si="427">HYPERLINK("https://12go.asia/en/travel/Van-Don-Cai-Rong-Port-Stop/28-Dinh-Nup", "12Go Link")</f>
        <v>12Go Link</v>
      </c>
      <c r="E2704" s="6" t="s">
        <v>2016</v>
      </c>
    </row>
    <row r="2705">
      <c r="A2705" s="6" t="s">
        <v>2014</v>
      </c>
      <c r="B2705" s="6" t="s">
        <v>650</v>
      </c>
      <c r="C2705" s="6" t="s">
        <v>2015</v>
      </c>
      <c r="D2705" s="7" t="str">
        <f t="shared" si="427"/>
        <v>12Go Link</v>
      </c>
      <c r="E2705" s="6" t="s">
        <v>2017</v>
      </c>
    </row>
    <row r="2706">
      <c r="A2706" s="6" t="s">
        <v>2014</v>
      </c>
      <c r="B2706" s="6" t="s">
        <v>650</v>
      </c>
      <c r="C2706" s="6" t="s">
        <v>2015</v>
      </c>
      <c r="D2706" s="7" t="str">
        <f t="shared" si="427"/>
        <v>12Go Link</v>
      </c>
      <c r="E2706" s="6" t="s">
        <v>2018</v>
      </c>
    </row>
    <row r="2707">
      <c r="A2707" s="6" t="s">
        <v>2014</v>
      </c>
      <c r="B2707" s="6" t="s">
        <v>650</v>
      </c>
      <c r="C2707" s="6" t="s">
        <v>2019</v>
      </c>
      <c r="D2707" s="7" t="str">
        <f t="shared" ref="D2707:D2709" si="428">HYPERLINK("https://12go.asia/en/travel/Van-Don-Cai-Rong-Port-Stop/Aeon-Mall-Long-Bien", "12Go Link")</f>
        <v>12Go Link</v>
      </c>
      <c r="E2707" s="6" t="s">
        <v>2016</v>
      </c>
    </row>
    <row r="2708">
      <c r="A2708" s="6" t="s">
        <v>2014</v>
      </c>
      <c r="B2708" s="6" t="s">
        <v>650</v>
      </c>
      <c r="C2708" s="6" t="s">
        <v>2019</v>
      </c>
      <c r="D2708" s="7" t="str">
        <f t="shared" si="428"/>
        <v>12Go Link</v>
      </c>
      <c r="E2708" s="6" t="s">
        <v>2017</v>
      </c>
    </row>
    <row r="2709">
      <c r="A2709" s="6" t="s">
        <v>2014</v>
      </c>
      <c r="B2709" s="6" t="s">
        <v>650</v>
      </c>
      <c r="C2709" s="6" t="s">
        <v>2019</v>
      </c>
      <c r="D2709" s="7" t="str">
        <f t="shared" si="428"/>
        <v>12Go Link</v>
      </c>
      <c r="E2709" s="6" t="s">
        <v>2018</v>
      </c>
    </row>
    <row r="2710">
      <c r="A2710" s="6" t="s">
        <v>2014</v>
      </c>
      <c r="B2710" s="6" t="s">
        <v>650</v>
      </c>
      <c r="C2710" s="6" t="s">
        <v>2020</v>
      </c>
      <c r="D2710" s="7" t="str">
        <f t="shared" ref="D2710:D2712" si="429">HYPERLINK("https://12go.asia/en/travel/Van-Don-Cai-Rong-Port-Stop/Gate-R6-Royal-City", "12Go Link")</f>
        <v>12Go Link</v>
      </c>
      <c r="E2710" s="6" t="s">
        <v>2016</v>
      </c>
    </row>
    <row r="2711">
      <c r="A2711" s="6" t="s">
        <v>2014</v>
      </c>
      <c r="B2711" s="6" t="s">
        <v>650</v>
      </c>
      <c r="C2711" s="6" t="s">
        <v>2020</v>
      </c>
      <c r="D2711" s="7" t="str">
        <f t="shared" si="429"/>
        <v>12Go Link</v>
      </c>
      <c r="E2711" s="6" t="s">
        <v>2017</v>
      </c>
    </row>
    <row r="2712">
      <c r="A2712" s="6" t="s">
        <v>2014</v>
      </c>
      <c r="B2712" s="6" t="s">
        <v>650</v>
      </c>
      <c r="C2712" s="6" t="s">
        <v>2020</v>
      </c>
      <c r="D2712" s="7" t="str">
        <f t="shared" si="429"/>
        <v>12Go Link</v>
      </c>
      <c r="E2712" s="6" t="s">
        <v>2018</v>
      </c>
    </row>
    <row r="2713">
      <c r="A2713" s="6" t="s">
        <v>2014</v>
      </c>
      <c r="B2713" s="6" t="s">
        <v>650</v>
      </c>
      <c r="C2713" s="6" t="s">
        <v>2021</v>
      </c>
      <c r="D2713" s="7" t="str">
        <f t="shared" ref="D2713:D2715" si="430">HYPERLINK("https://12go.asia/en/travel/Van-Don-Cai-Rong-Port-Stop/Minh-Chau-Limousine-Office", "12Go Link")</f>
        <v>12Go Link</v>
      </c>
      <c r="E2713" s="6" t="s">
        <v>2016</v>
      </c>
    </row>
    <row r="2714">
      <c r="A2714" s="6" t="s">
        <v>2014</v>
      </c>
      <c r="B2714" s="6" t="s">
        <v>650</v>
      </c>
      <c r="C2714" s="6" t="s">
        <v>2021</v>
      </c>
      <c r="D2714" s="7" t="str">
        <f t="shared" si="430"/>
        <v>12Go Link</v>
      </c>
      <c r="E2714" s="6" t="s">
        <v>2017</v>
      </c>
    </row>
    <row r="2715">
      <c r="A2715" s="6" t="s">
        <v>2014</v>
      </c>
      <c r="B2715" s="6" t="s">
        <v>650</v>
      </c>
      <c r="C2715" s="6" t="s">
        <v>2021</v>
      </c>
      <c r="D2715" s="7" t="str">
        <f t="shared" si="430"/>
        <v>12Go Link</v>
      </c>
      <c r="E2715" s="6" t="s">
        <v>2018</v>
      </c>
    </row>
    <row r="2716">
      <c r="A2716" s="6" t="s">
        <v>2014</v>
      </c>
      <c r="B2716" s="6" t="s">
        <v>650</v>
      </c>
      <c r="C2716" s="6" t="s">
        <v>2022</v>
      </c>
      <c r="D2716" s="7" t="str">
        <f t="shared" ref="D2716:D2718" si="431">HYPERLINK("https://12go.asia/en/travel/Van-Don-Cai-Rong-Port-Stop/Time-City", "12Go Link")</f>
        <v>12Go Link</v>
      </c>
      <c r="E2716" s="6" t="s">
        <v>2016</v>
      </c>
    </row>
    <row r="2717">
      <c r="A2717" s="6" t="s">
        <v>2014</v>
      </c>
      <c r="B2717" s="6" t="s">
        <v>650</v>
      </c>
      <c r="C2717" s="6" t="s">
        <v>2022</v>
      </c>
      <c r="D2717" s="7" t="str">
        <f t="shared" si="431"/>
        <v>12Go Link</v>
      </c>
      <c r="E2717" s="6" t="s">
        <v>2017</v>
      </c>
    </row>
    <row r="2718">
      <c r="A2718" s="6" t="s">
        <v>2014</v>
      </c>
      <c r="B2718" s="6" t="s">
        <v>650</v>
      </c>
      <c r="C2718" s="6" t="s">
        <v>2022</v>
      </c>
      <c r="D2718" s="7" t="str">
        <f t="shared" si="431"/>
        <v>12Go Link</v>
      </c>
      <c r="E2718" s="6" t="s">
        <v>2018</v>
      </c>
    </row>
    <row r="2719">
      <c r="A2719" s="6" t="s">
        <v>2014</v>
      </c>
      <c r="B2719" s="6" t="s">
        <v>650</v>
      </c>
      <c r="C2719" s="6" t="s">
        <v>2023</v>
      </c>
      <c r="D2719" s="7" t="str">
        <f t="shared" ref="D2719:D2721" si="432">HYPERLINK("https://12go.asia/en/travel/Van-Don-Cai-Rong-Port-Stop/Vinhomes-Ocean-Park-1", "12Go Link")</f>
        <v>12Go Link</v>
      </c>
      <c r="E2719" s="6" t="s">
        <v>2016</v>
      </c>
    </row>
    <row r="2720">
      <c r="A2720" s="6" t="s">
        <v>2014</v>
      </c>
      <c r="B2720" s="6" t="s">
        <v>650</v>
      </c>
      <c r="C2720" s="6" t="s">
        <v>2023</v>
      </c>
      <c r="D2720" s="7" t="str">
        <f t="shared" si="432"/>
        <v>12Go Link</v>
      </c>
      <c r="E2720" s="6" t="s">
        <v>2017</v>
      </c>
    </row>
    <row r="2721">
      <c r="A2721" s="6" t="s">
        <v>2014</v>
      </c>
      <c r="B2721" s="6" t="s">
        <v>650</v>
      </c>
      <c r="C2721" s="6" t="s">
        <v>2023</v>
      </c>
      <c r="D2721" s="7" t="str">
        <f t="shared" si="432"/>
        <v>12Go Link</v>
      </c>
      <c r="E2721" s="6" t="s">
        <v>2018</v>
      </c>
    </row>
    <row r="2722">
      <c r="A2722" s="6" t="s">
        <v>2014</v>
      </c>
      <c r="B2722" s="6" t="s">
        <v>650</v>
      </c>
      <c r="C2722" s="6" t="s">
        <v>2024</v>
      </c>
      <c r="D2722" s="7" t="str">
        <f t="shared" ref="D2722:D2724" si="433">HYPERLINK("https://12go.asia/en/travel/Van-Don-Cai-Rong-Port-Stop/Vinhomes-Ocean-Park-2-3", "12Go Link")</f>
        <v>12Go Link</v>
      </c>
      <c r="E2722" s="6" t="s">
        <v>2016</v>
      </c>
    </row>
    <row r="2723">
      <c r="A2723" s="6" t="s">
        <v>2014</v>
      </c>
      <c r="B2723" s="6" t="s">
        <v>650</v>
      </c>
      <c r="C2723" s="6" t="s">
        <v>2024</v>
      </c>
      <c r="D2723" s="7" t="str">
        <f t="shared" si="433"/>
        <v>12Go Link</v>
      </c>
      <c r="E2723" s="6" t="s">
        <v>2017</v>
      </c>
    </row>
    <row r="2724">
      <c r="A2724" s="6" t="s">
        <v>2014</v>
      </c>
      <c r="B2724" s="6" t="s">
        <v>650</v>
      </c>
      <c r="C2724" s="6" t="s">
        <v>2024</v>
      </c>
      <c r="D2724" s="7" t="str">
        <f t="shared" si="433"/>
        <v>12Go Link</v>
      </c>
      <c r="E2724" s="6" t="s">
        <v>2018</v>
      </c>
    </row>
    <row r="2725">
      <c r="A2725" s="6" t="s">
        <v>2014</v>
      </c>
      <c r="B2725" s="6" t="s">
        <v>1958</v>
      </c>
      <c r="C2725" s="6" t="s">
        <v>2025</v>
      </c>
      <c r="D2725" s="7" t="str">
        <f>HYPERLINK("https://12go.asia/en/travel/Halong-Bay-Transfer/Ninh-Binh-Hotel-Transfer", "12Go Link")</f>
        <v>12Go Link</v>
      </c>
      <c r="E2725" s="6" t="s">
        <v>772</v>
      </c>
    </row>
    <row r="2726">
      <c r="A2726" s="8" t="s">
        <v>650</v>
      </c>
      <c r="B2726" s="8" t="s">
        <v>1975</v>
      </c>
      <c r="C2726" s="8" t="s">
        <v>2026</v>
      </c>
      <c r="D2726" s="9" t="str">
        <f t="shared" ref="D2726:D2728" si="434">HYPERLINK("https://12go.asia/en/travel/Hanoi/Dong-Ha", "12Go Link")</f>
        <v>12Go Link</v>
      </c>
      <c r="E2726" s="8" t="s">
        <v>1961</v>
      </c>
    </row>
    <row r="2727">
      <c r="A2727" s="8" t="s">
        <v>650</v>
      </c>
      <c r="B2727" s="8" t="s">
        <v>1975</v>
      </c>
      <c r="C2727" s="8" t="s">
        <v>2026</v>
      </c>
      <c r="D2727" s="9" t="str">
        <f t="shared" si="434"/>
        <v>12Go Link</v>
      </c>
      <c r="E2727" s="8" t="s">
        <v>1962</v>
      </c>
    </row>
    <row r="2728">
      <c r="A2728" s="8" t="s">
        <v>650</v>
      </c>
      <c r="B2728" s="8" t="s">
        <v>1975</v>
      </c>
      <c r="C2728" s="8" t="s">
        <v>2026</v>
      </c>
      <c r="D2728" s="9" t="str">
        <f t="shared" si="434"/>
        <v>12Go Link</v>
      </c>
      <c r="E2728" s="8" t="s">
        <v>1963</v>
      </c>
    </row>
    <row r="2729">
      <c r="A2729" s="8" t="s">
        <v>650</v>
      </c>
      <c r="B2729" s="8" t="s">
        <v>1978</v>
      </c>
      <c r="C2729" s="8" t="s">
        <v>2027</v>
      </c>
      <c r="D2729" s="9" t="str">
        <f t="shared" ref="D2729:D2731" si="435">HYPERLINK("https://12go.asia/en/travel/Hanoi/Dong-Hoi", "12Go Link")</f>
        <v>12Go Link</v>
      </c>
      <c r="E2729" s="8" t="s">
        <v>1961</v>
      </c>
    </row>
    <row r="2730">
      <c r="A2730" s="8" t="s">
        <v>650</v>
      </c>
      <c r="B2730" s="8" t="s">
        <v>1978</v>
      </c>
      <c r="C2730" s="8" t="s">
        <v>2027</v>
      </c>
      <c r="D2730" s="9" t="str">
        <f t="shared" si="435"/>
        <v>12Go Link</v>
      </c>
      <c r="E2730" s="8" t="s">
        <v>1962</v>
      </c>
    </row>
    <row r="2731">
      <c r="A2731" s="8" t="s">
        <v>650</v>
      </c>
      <c r="B2731" s="8" t="s">
        <v>1978</v>
      </c>
      <c r="C2731" s="8" t="s">
        <v>2027</v>
      </c>
      <c r="D2731" s="9" t="str">
        <f t="shared" si="435"/>
        <v>12Go Link</v>
      </c>
      <c r="E2731" s="8" t="s">
        <v>1963</v>
      </c>
    </row>
    <row r="2732">
      <c r="A2732" s="8" t="s">
        <v>650</v>
      </c>
      <c r="B2732" s="8" t="s">
        <v>1988</v>
      </c>
      <c r="C2732" s="8" t="s">
        <v>2028</v>
      </c>
      <c r="D2732" s="9" t="str">
        <f>HYPERLINK("https://12go.asia/en/travel/11-Hang-Ruoi/Rocks-Hagiang-Hostel-Tours", "12Go Link")</f>
        <v>12Go Link</v>
      </c>
      <c r="E2732" s="8" t="s">
        <v>2006</v>
      </c>
    </row>
    <row r="2733">
      <c r="A2733" s="8" t="s">
        <v>650</v>
      </c>
      <c r="B2733" s="8" t="s">
        <v>1988</v>
      </c>
      <c r="C2733" s="8" t="s">
        <v>2029</v>
      </c>
      <c r="D2733" s="9" t="str">
        <f t="shared" ref="D2733:D2734" si="436">HYPERLINK("https://12go.asia/en/travel/160-Tran-Quang-Khai/49-Minh-Khai", "12Go Link")</f>
        <v>12Go Link</v>
      </c>
      <c r="E2733" s="8" t="s">
        <v>1990</v>
      </c>
    </row>
    <row r="2734">
      <c r="A2734" s="8" t="s">
        <v>650</v>
      </c>
      <c r="B2734" s="8" t="s">
        <v>1988</v>
      </c>
      <c r="C2734" s="8" t="s">
        <v>2029</v>
      </c>
      <c r="D2734" s="9" t="str">
        <f t="shared" si="436"/>
        <v>12Go Link</v>
      </c>
      <c r="E2734" s="8" t="s">
        <v>1992</v>
      </c>
    </row>
    <row r="2735">
      <c r="A2735" s="8" t="s">
        <v>650</v>
      </c>
      <c r="B2735" s="8" t="s">
        <v>1988</v>
      </c>
      <c r="C2735" s="8" t="s">
        <v>2030</v>
      </c>
      <c r="D2735" s="9" t="str">
        <f t="shared" ref="D2735:D2736" si="437">HYPERLINK("https://12go.asia/en/travel/3-Tran-Phu/Ha-Giang-Hostel", "12Go Link")</f>
        <v>12Go Link</v>
      </c>
      <c r="E2735" s="8" t="s">
        <v>1990</v>
      </c>
    </row>
    <row r="2736">
      <c r="A2736" s="8" t="s">
        <v>650</v>
      </c>
      <c r="B2736" s="8" t="s">
        <v>1988</v>
      </c>
      <c r="C2736" s="8" t="s">
        <v>2030</v>
      </c>
      <c r="D2736" s="9" t="str">
        <f t="shared" si="437"/>
        <v>12Go Link</v>
      </c>
      <c r="E2736" s="8" t="s">
        <v>1992</v>
      </c>
    </row>
    <row r="2737">
      <c r="A2737" s="8" t="s">
        <v>650</v>
      </c>
      <c r="B2737" s="8" t="s">
        <v>1988</v>
      </c>
      <c r="C2737" s="8" t="s">
        <v>2031</v>
      </c>
      <c r="D2737" s="9" t="str">
        <f t="shared" ref="D2737:D2738" si="438">HYPERLINK("https://12go.asia/en/travel/Daily-Limousine-Office/Ha-Giang-Bus-Terminal", "12Go Link")</f>
        <v>12Go Link</v>
      </c>
      <c r="E2737" s="8" t="s">
        <v>1990</v>
      </c>
    </row>
    <row r="2738">
      <c r="A2738" s="8" t="s">
        <v>650</v>
      </c>
      <c r="B2738" s="8" t="s">
        <v>1988</v>
      </c>
      <c r="C2738" s="8" t="s">
        <v>2031</v>
      </c>
      <c r="D2738" s="9" t="str">
        <f t="shared" si="438"/>
        <v>12Go Link</v>
      </c>
      <c r="E2738" s="8" t="s">
        <v>1992</v>
      </c>
    </row>
    <row r="2739">
      <c r="A2739" s="8" t="s">
        <v>650</v>
      </c>
      <c r="B2739" s="8" t="s">
        <v>1988</v>
      </c>
      <c r="C2739" s="8" t="s">
        <v>2032</v>
      </c>
      <c r="D2739" s="9" t="str">
        <f t="shared" ref="D2739:D2740" si="439">HYPERLINK("https://12go.asia/en/travel/Ha-Noi-Railway-Station/29-Nguyen-Trung-Truc", "12Go Link")</f>
        <v>12Go Link</v>
      </c>
      <c r="E2739" s="8" t="s">
        <v>1990</v>
      </c>
    </row>
    <row r="2740">
      <c r="A2740" s="8" t="s">
        <v>650</v>
      </c>
      <c r="B2740" s="8" t="s">
        <v>1988</v>
      </c>
      <c r="C2740" s="8" t="s">
        <v>2032</v>
      </c>
      <c r="D2740" s="9" t="str">
        <f t="shared" si="439"/>
        <v>12Go Link</v>
      </c>
      <c r="E2740" s="8" t="s">
        <v>1992</v>
      </c>
    </row>
    <row r="2741">
      <c r="A2741" s="8" t="s">
        <v>650</v>
      </c>
      <c r="B2741" s="8" t="s">
        <v>1988</v>
      </c>
      <c r="C2741" s="8" t="s">
        <v>2033</v>
      </c>
      <c r="D2741" s="9" t="str">
        <f t="shared" ref="D2741:D2745" si="440">HYPERLINK("https://12go.asia/en/travel/Hanoi/Ha-Giang", "12Go Link")</f>
        <v>12Go Link</v>
      </c>
      <c r="E2741" s="8" t="s">
        <v>1997</v>
      </c>
    </row>
    <row r="2742">
      <c r="A2742" s="8" t="s">
        <v>650</v>
      </c>
      <c r="B2742" s="8" t="s">
        <v>1988</v>
      </c>
      <c r="C2742" s="8" t="s">
        <v>2033</v>
      </c>
      <c r="D2742" s="9" t="str">
        <f t="shared" si="440"/>
        <v>12Go Link</v>
      </c>
      <c r="E2742" s="8" t="s">
        <v>772</v>
      </c>
    </row>
    <row r="2743">
      <c r="A2743" s="8" t="s">
        <v>650</v>
      </c>
      <c r="B2743" s="8" t="s">
        <v>1988</v>
      </c>
      <c r="C2743" s="8" t="s">
        <v>2033</v>
      </c>
      <c r="D2743" s="9" t="str">
        <f t="shared" si="440"/>
        <v>12Go Link</v>
      </c>
      <c r="E2743" s="8" t="s">
        <v>1998</v>
      </c>
    </row>
    <row r="2744">
      <c r="A2744" s="8" t="s">
        <v>650</v>
      </c>
      <c r="B2744" s="8" t="s">
        <v>1988</v>
      </c>
      <c r="C2744" s="8" t="s">
        <v>2033</v>
      </c>
      <c r="D2744" s="9" t="str">
        <f t="shared" si="440"/>
        <v>12Go Link</v>
      </c>
      <c r="E2744" s="8" t="s">
        <v>1999</v>
      </c>
    </row>
    <row r="2745">
      <c r="A2745" s="8" t="s">
        <v>650</v>
      </c>
      <c r="B2745" s="8" t="s">
        <v>1988</v>
      </c>
      <c r="C2745" s="8" t="s">
        <v>2033</v>
      </c>
      <c r="D2745" s="9" t="str">
        <f t="shared" si="440"/>
        <v>12Go Link</v>
      </c>
      <c r="E2745" s="8" t="s">
        <v>2000</v>
      </c>
    </row>
    <row r="2746">
      <c r="A2746" s="8" t="s">
        <v>650</v>
      </c>
      <c r="B2746" s="8" t="s">
        <v>1988</v>
      </c>
      <c r="C2746" s="8" t="s">
        <v>2034</v>
      </c>
      <c r="D2746" s="9" t="str">
        <f t="shared" ref="D2746:D2747" si="441">HYPERLINK("https://12go.asia/en/travel/Hanoi-Opera-House/10-Nguyen-Trai", "12Go Link")</f>
        <v>12Go Link</v>
      </c>
      <c r="E2746" s="8" t="s">
        <v>1990</v>
      </c>
    </row>
    <row r="2747">
      <c r="A2747" s="8" t="s">
        <v>650</v>
      </c>
      <c r="B2747" s="8" t="s">
        <v>1988</v>
      </c>
      <c r="C2747" s="8" t="s">
        <v>2034</v>
      </c>
      <c r="D2747" s="9" t="str">
        <f t="shared" si="441"/>
        <v>12Go Link</v>
      </c>
      <c r="E2747" s="8" t="s">
        <v>1992</v>
      </c>
    </row>
    <row r="2748">
      <c r="A2748" s="8" t="s">
        <v>650</v>
      </c>
      <c r="B2748" s="8" t="s">
        <v>2014</v>
      </c>
      <c r="C2748" s="8" t="s">
        <v>2035</v>
      </c>
      <c r="D2748" s="9" t="str">
        <f t="shared" ref="D2748:D2750" si="442">HYPERLINK("https://12go.asia/en/travel/28-Dinh-Nup/Van-Don-Cai-Rong-Port-Stop", "12Go Link")</f>
        <v>12Go Link</v>
      </c>
      <c r="E2748" s="8" t="s">
        <v>2016</v>
      </c>
    </row>
    <row r="2749">
      <c r="A2749" s="8" t="s">
        <v>650</v>
      </c>
      <c r="B2749" s="8" t="s">
        <v>2014</v>
      </c>
      <c r="C2749" s="8" t="s">
        <v>2035</v>
      </c>
      <c r="D2749" s="9" t="str">
        <f t="shared" si="442"/>
        <v>12Go Link</v>
      </c>
      <c r="E2749" s="8" t="s">
        <v>2017</v>
      </c>
    </row>
    <row r="2750">
      <c r="A2750" s="8" t="s">
        <v>650</v>
      </c>
      <c r="B2750" s="8" t="s">
        <v>2014</v>
      </c>
      <c r="C2750" s="8" t="s">
        <v>2035</v>
      </c>
      <c r="D2750" s="9" t="str">
        <f t="shared" si="442"/>
        <v>12Go Link</v>
      </c>
      <c r="E2750" s="8" t="s">
        <v>2018</v>
      </c>
    </row>
    <row r="2751">
      <c r="A2751" s="8" t="s">
        <v>650</v>
      </c>
      <c r="B2751" s="8" t="s">
        <v>2014</v>
      </c>
      <c r="C2751" s="8" t="s">
        <v>2036</v>
      </c>
      <c r="D2751" s="9" t="str">
        <f t="shared" ref="D2751:D2753" si="443">HYPERLINK("https://12go.asia/en/travel/Aeon-Mall-Long-Bien/Van-Don-Cai-Rong-Port-Stop", "12Go Link")</f>
        <v>12Go Link</v>
      </c>
      <c r="E2751" s="8" t="s">
        <v>2016</v>
      </c>
    </row>
    <row r="2752">
      <c r="A2752" s="8" t="s">
        <v>650</v>
      </c>
      <c r="B2752" s="8" t="s">
        <v>2014</v>
      </c>
      <c r="C2752" s="8" t="s">
        <v>2036</v>
      </c>
      <c r="D2752" s="9" t="str">
        <f t="shared" si="443"/>
        <v>12Go Link</v>
      </c>
      <c r="E2752" s="8" t="s">
        <v>2017</v>
      </c>
    </row>
    <row r="2753">
      <c r="A2753" s="8" t="s">
        <v>650</v>
      </c>
      <c r="B2753" s="8" t="s">
        <v>2014</v>
      </c>
      <c r="C2753" s="8" t="s">
        <v>2036</v>
      </c>
      <c r="D2753" s="9" t="str">
        <f t="shared" si="443"/>
        <v>12Go Link</v>
      </c>
      <c r="E2753" s="8" t="s">
        <v>2018</v>
      </c>
    </row>
    <row r="2754">
      <c r="A2754" s="8" t="s">
        <v>650</v>
      </c>
      <c r="B2754" s="8" t="s">
        <v>2014</v>
      </c>
      <c r="C2754" s="8" t="s">
        <v>2037</v>
      </c>
      <c r="D2754" s="9" t="str">
        <f t="shared" ref="D2754:D2756" si="444">HYPERLINK("https://12go.asia/en/travel/Gate-R6-Royal-City/Van-Don-Cai-Rong-Port-Stop", "12Go Link")</f>
        <v>12Go Link</v>
      </c>
      <c r="E2754" s="8" t="s">
        <v>2016</v>
      </c>
    </row>
    <row r="2755">
      <c r="A2755" s="8" t="s">
        <v>650</v>
      </c>
      <c r="B2755" s="8" t="s">
        <v>2014</v>
      </c>
      <c r="C2755" s="8" t="s">
        <v>2037</v>
      </c>
      <c r="D2755" s="9" t="str">
        <f t="shared" si="444"/>
        <v>12Go Link</v>
      </c>
      <c r="E2755" s="8" t="s">
        <v>2017</v>
      </c>
    </row>
    <row r="2756">
      <c r="A2756" s="8" t="s">
        <v>650</v>
      </c>
      <c r="B2756" s="8" t="s">
        <v>2014</v>
      </c>
      <c r="C2756" s="8" t="s">
        <v>2037</v>
      </c>
      <c r="D2756" s="9" t="str">
        <f t="shared" si="444"/>
        <v>12Go Link</v>
      </c>
      <c r="E2756" s="8" t="s">
        <v>2018</v>
      </c>
    </row>
    <row r="2757">
      <c r="A2757" s="8" t="s">
        <v>650</v>
      </c>
      <c r="B2757" s="8" t="s">
        <v>2014</v>
      </c>
      <c r="C2757" s="8" t="s">
        <v>2038</v>
      </c>
      <c r="D2757" s="9" t="str">
        <f t="shared" ref="D2757:D2759" si="445">HYPERLINK("https://12go.asia/en/travel/Minh-Chau-Limousine-Office/Van-Don-Cai-Rong-Port-Stop", "12Go Link")</f>
        <v>12Go Link</v>
      </c>
      <c r="E2757" s="8" t="s">
        <v>2016</v>
      </c>
    </row>
    <row r="2758">
      <c r="A2758" s="8" t="s">
        <v>650</v>
      </c>
      <c r="B2758" s="8" t="s">
        <v>2014</v>
      </c>
      <c r="C2758" s="8" t="s">
        <v>2038</v>
      </c>
      <c r="D2758" s="9" t="str">
        <f t="shared" si="445"/>
        <v>12Go Link</v>
      </c>
      <c r="E2758" s="8" t="s">
        <v>2017</v>
      </c>
    </row>
    <row r="2759">
      <c r="A2759" s="8" t="s">
        <v>650</v>
      </c>
      <c r="B2759" s="8" t="s">
        <v>2014</v>
      </c>
      <c r="C2759" s="8" t="s">
        <v>2038</v>
      </c>
      <c r="D2759" s="9" t="str">
        <f t="shared" si="445"/>
        <v>12Go Link</v>
      </c>
      <c r="E2759" s="8" t="s">
        <v>2018</v>
      </c>
    </row>
    <row r="2760">
      <c r="A2760" s="8" t="s">
        <v>650</v>
      </c>
      <c r="B2760" s="8" t="s">
        <v>2014</v>
      </c>
      <c r="C2760" s="8" t="s">
        <v>2039</v>
      </c>
      <c r="D2760" s="9" t="str">
        <f t="shared" ref="D2760:D2762" si="446">HYPERLINK("https://12go.asia/en/travel/Time-City/Van-Don-Cai-Rong-Port-Stop", "12Go Link")</f>
        <v>12Go Link</v>
      </c>
      <c r="E2760" s="8" t="s">
        <v>2016</v>
      </c>
    </row>
    <row r="2761">
      <c r="A2761" s="8" t="s">
        <v>650</v>
      </c>
      <c r="B2761" s="8" t="s">
        <v>2014</v>
      </c>
      <c r="C2761" s="8" t="s">
        <v>2039</v>
      </c>
      <c r="D2761" s="9" t="str">
        <f t="shared" si="446"/>
        <v>12Go Link</v>
      </c>
      <c r="E2761" s="8" t="s">
        <v>2017</v>
      </c>
    </row>
    <row r="2762">
      <c r="A2762" s="8" t="s">
        <v>650</v>
      </c>
      <c r="B2762" s="8" t="s">
        <v>2014</v>
      </c>
      <c r="C2762" s="8" t="s">
        <v>2039</v>
      </c>
      <c r="D2762" s="9" t="str">
        <f t="shared" si="446"/>
        <v>12Go Link</v>
      </c>
      <c r="E2762" s="8" t="s">
        <v>2018</v>
      </c>
    </row>
    <row r="2763">
      <c r="A2763" s="8" t="s">
        <v>650</v>
      </c>
      <c r="B2763" s="8" t="s">
        <v>2014</v>
      </c>
      <c r="C2763" s="8" t="s">
        <v>2040</v>
      </c>
      <c r="D2763" s="9" t="str">
        <f t="shared" ref="D2763:D2765" si="447">HYPERLINK("https://12go.asia/en/travel/Vinhomes-Ocean-Park-1/Van-Don-Cai-Rong-Port-Stop", "12Go Link")</f>
        <v>12Go Link</v>
      </c>
      <c r="E2763" s="8" t="s">
        <v>2016</v>
      </c>
    </row>
    <row r="2764">
      <c r="A2764" s="8" t="s">
        <v>650</v>
      </c>
      <c r="B2764" s="8" t="s">
        <v>2014</v>
      </c>
      <c r="C2764" s="8" t="s">
        <v>2040</v>
      </c>
      <c r="D2764" s="9" t="str">
        <f t="shared" si="447"/>
        <v>12Go Link</v>
      </c>
      <c r="E2764" s="8" t="s">
        <v>2017</v>
      </c>
    </row>
    <row r="2765">
      <c r="A2765" s="8" t="s">
        <v>650</v>
      </c>
      <c r="B2765" s="8" t="s">
        <v>2014</v>
      </c>
      <c r="C2765" s="8" t="s">
        <v>2040</v>
      </c>
      <c r="D2765" s="9" t="str">
        <f t="shared" si="447"/>
        <v>12Go Link</v>
      </c>
      <c r="E2765" s="8" t="s">
        <v>2018</v>
      </c>
    </row>
    <row r="2766">
      <c r="A2766" s="8" t="s">
        <v>650</v>
      </c>
      <c r="B2766" s="8" t="s">
        <v>2014</v>
      </c>
      <c r="C2766" s="8" t="s">
        <v>2041</v>
      </c>
      <c r="D2766" s="9" t="str">
        <f t="shared" ref="D2766:D2768" si="448">HYPERLINK("https://12go.asia/en/travel/Vinhomes-Ocean-Park-2-3/Van-Don-Cai-Rong-Port-Stop", "12Go Link")</f>
        <v>12Go Link</v>
      </c>
      <c r="E2766" s="8" t="s">
        <v>2016</v>
      </c>
    </row>
    <row r="2767">
      <c r="A2767" s="8" t="s">
        <v>650</v>
      </c>
      <c r="B2767" s="8" t="s">
        <v>2014</v>
      </c>
      <c r="C2767" s="8" t="s">
        <v>2041</v>
      </c>
      <c r="D2767" s="9" t="str">
        <f t="shared" si="448"/>
        <v>12Go Link</v>
      </c>
      <c r="E2767" s="8" t="s">
        <v>2017</v>
      </c>
    </row>
    <row r="2768">
      <c r="A2768" s="8" t="s">
        <v>650</v>
      </c>
      <c r="B2768" s="8" t="s">
        <v>2014</v>
      </c>
      <c r="C2768" s="8" t="s">
        <v>2041</v>
      </c>
      <c r="D2768" s="9" t="str">
        <f t="shared" si="448"/>
        <v>12Go Link</v>
      </c>
      <c r="E2768" s="8" t="s">
        <v>2018</v>
      </c>
    </row>
    <row r="2769">
      <c r="A2769" s="8" t="s">
        <v>650</v>
      </c>
      <c r="B2769" s="8" t="s">
        <v>1906</v>
      </c>
      <c r="C2769" s="8" t="s">
        <v>2042</v>
      </c>
      <c r="D2769" s="9" t="str">
        <f t="shared" ref="D2769:D2771" si="449">HYPERLINK("https://12go.asia/en/travel/Hanoi/Hue", "12Go Link")</f>
        <v>12Go Link</v>
      </c>
      <c r="E2769" s="8" t="s">
        <v>1961</v>
      </c>
    </row>
    <row r="2770">
      <c r="A2770" s="8" t="s">
        <v>650</v>
      </c>
      <c r="B2770" s="8" t="s">
        <v>1906</v>
      </c>
      <c r="C2770" s="8" t="s">
        <v>2042</v>
      </c>
      <c r="D2770" s="9" t="str">
        <f t="shared" si="449"/>
        <v>12Go Link</v>
      </c>
      <c r="E2770" s="8" t="s">
        <v>1962</v>
      </c>
    </row>
    <row r="2771">
      <c r="A2771" s="8" t="s">
        <v>650</v>
      </c>
      <c r="B2771" s="8" t="s">
        <v>1906</v>
      </c>
      <c r="C2771" s="8" t="s">
        <v>2042</v>
      </c>
      <c r="D2771" s="9" t="str">
        <f t="shared" si="449"/>
        <v>12Go Link</v>
      </c>
      <c r="E2771" s="8" t="s">
        <v>1963</v>
      </c>
    </row>
    <row r="2772">
      <c r="A2772" s="8" t="s">
        <v>650</v>
      </c>
      <c r="B2772" s="8" t="s">
        <v>2043</v>
      </c>
      <c r="C2772" s="8" t="s">
        <v>2044</v>
      </c>
      <c r="D2772" s="9" t="str">
        <f t="shared" ref="D2772:D2774" si="450">HYPERLINK("https://12go.asia/en/travel/Hanoi/Sapa-Lao-Cai", "12Go Link")</f>
        <v>12Go Link</v>
      </c>
      <c r="E2772" s="8" t="s">
        <v>2045</v>
      </c>
    </row>
    <row r="2773">
      <c r="A2773" s="8" t="s">
        <v>650</v>
      </c>
      <c r="B2773" s="8" t="s">
        <v>2043</v>
      </c>
      <c r="C2773" s="8" t="s">
        <v>2044</v>
      </c>
      <c r="D2773" s="9" t="str">
        <f t="shared" si="450"/>
        <v>12Go Link</v>
      </c>
      <c r="E2773" s="8" t="s">
        <v>2046</v>
      </c>
    </row>
    <row r="2774">
      <c r="A2774" s="8" t="s">
        <v>650</v>
      </c>
      <c r="B2774" s="8" t="s">
        <v>2043</v>
      </c>
      <c r="C2774" s="8" t="s">
        <v>2044</v>
      </c>
      <c r="D2774" s="9" t="str">
        <f t="shared" si="450"/>
        <v>12Go Link</v>
      </c>
      <c r="E2774" s="8" t="s">
        <v>2047</v>
      </c>
    </row>
    <row r="2775">
      <c r="A2775" s="8" t="s">
        <v>650</v>
      </c>
      <c r="B2775" s="8" t="s">
        <v>2043</v>
      </c>
      <c r="C2775" s="8" t="s">
        <v>2048</v>
      </c>
      <c r="D2775" s="9" t="str">
        <f t="shared" ref="D2775:D2776" si="451">HYPERLINK("https://12go.asia/en/travel/Hanoi-GreenLion/Sapa-GreenLion", "12Go Link")</f>
        <v>12Go Link</v>
      </c>
      <c r="E2775" s="8" t="s">
        <v>2049</v>
      </c>
    </row>
    <row r="2776">
      <c r="A2776" s="8" t="s">
        <v>650</v>
      </c>
      <c r="B2776" s="8" t="s">
        <v>2043</v>
      </c>
      <c r="C2776" s="8" t="s">
        <v>2048</v>
      </c>
      <c r="D2776" s="9" t="str">
        <f t="shared" si="451"/>
        <v>12Go Link</v>
      </c>
      <c r="E2776" s="8" t="s">
        <v>2050</v>
      </c>
    </row>
    <row r="2777">
      <c r="A2777" s="8" t="s">
        <v>650</v>
      </c>
      <c r="B2777" s="8" t="s">
        <v>2051</v>
      </c>
      <c r="C2777" s="8" t="s">
        <v>2052</v>
      </c>
      <c r="D2777" s="9" t="str">
        <f t="shared" ref="D2777:D2778" si="452">HYPERLINK("https://12go.asia/en/travel/Hanoi-Transfer/Mu-Cang-Chai-Hotel-Transfer", "12Go Link")</f>
        <v>12Go Link</v>
      </c>
      <c r="E2777" s="8" t="s">
        <v>567</v>
      </c>
    </row>
    <row r="2778">
      <c r="A2778" s="8" t="s">
        <v>650</v>
      </c>
      <c r="B2778" s="8" t="s">
        <v>2051</v>
      </c>
      <c r="C2778" s="8" t="s">
        <v>2052</v>
      </c>
      <c r="D2778" s="9" t="str">
        <f t="shared" si="452"/>
        <v>12Go Link</v>
      </c>
      <c r="E2778" s="8" t="s">
        <v>772</v>
      </c>
    </row>
    <row r="2779">
      <c r="A2779" s="8" t="s">
        <v>650</v>
      </c>
      <c r="B2779" s="8" t="s">
        <v>1958</v>
      </c>
      <c r="C2779" s="8" t="s">
        <v>2053</v>
      </c>
      <c r="D2779" s="9" t="str">
        <f>HYPERLINK("https://12go.asia/en/travel/72-P-Vong/251-Luong-Van-Thang", "12Go Link")</f>
        <v>12Go Link</v>
      </c>
      <c r="E2779" s="8" t="s">
        <v>2017</v>
      </c>
    </row>
    <row r="2780">
      <c r="A2780" s="8" t="s">
        <v>650</v>
      </c>
      <c r="B2780" s="8" t="s">
        <v>1958</v>
      </c>
      <c r="C2780" s="8" t="s">
        <v>2054</v>
      </c>
      <c r="D2780" s="9" t="str">
        <f>HYPERLINK("https://12go.asia/en/travel/72-P-Vong/Dong-Gung-Bus-Station", "12Go Link")</f>
        <v>12Go Link</v>
      </c>
      <c r="E2780" s="8" t="s">
        <v>2055</v>
      </c>
    </row>
    <row r="2781">
      <c r="A2781" s="8" t="s">
        <v>650</v>
      </c>
      <c r="B2781" s="8" t="s">
        <v>1958</v>
      </c>
      <c r="C2781" s="8" t="s">
        <v>2056</v>
      </c>
      <c r="D2781" s="9" t="str">
        <f>HYPERLINK("https://12go.asia/en/travel/72-P-Vong/Trang-An-Boat-Station", "12Go Link")</f>
        <v>12Go Link</v>
      </c>
      <c r="E2781" s="8" t="s">
        <v>2055</v>
      </c>
    </row>
    <row r="2782">
      <c r="A2782" s="8" t="s">
        <v>650</v>
      </c>
      <c r="B2782" s="8" t="s">
        <v>1958</v>
      </c>
      <c r="C2782" s="8" t="s">
        <v>2057</v>
      </c>
      <c r="D2782" s="9" t="str">
        <f>HYPERLINK("https://12go.asia/en/travel/72-Tran-Nhan-Tong/251-Luong-Van-Thang", "12Go Link")</f>
        <v>12Go Link</v>
      </c>
      <c r="E2782" s="8" t="s">
        <v>2017</v>
      </c>
    </row>
    <row r="2783">
      <c r="A2783" s="8" t="s">
        <v>650</v>
      </c>
      <c r="B2783" s="8" t="s">
        <v>1958</v>
      </c>
      <c r="C2783" s="8" t="s">
        <v>2058</v>
      </c>
      <c r="D2783" s="9" t="str">
        <f>HYPERLINK("https://12go.asia/en/travel/72-Tran-Nhan-Tong/Dong-Gung-Bus-Station", "12Go Link")</f>
        <v>12Go Link</v>
      </c>
      <c r="E2783" s="8" t="s">
        <v>2055</v>
      </c>
    </row>
    <row r="2784">
      <c r="A2784" s="8" t="s">
        <v>650</v>
      </c>
      <c r="B2784" s="8" t="s">
        <v>1958</v>
      </c>
      <c r="C2784" s="8" t="s">
        <v>2059</v>
      </c>
      <c r="D2784" s="9" t="str">
        <f>HYPERLINK("https://12go.asia/en/travel/72-Tran-Nhan-Tong/Trang-An-Boat-Station", "12Go Link")</f>
        <v>12Go Link</v>
      </c>
      <c r="E2784" s="8" t="s">
        <v>2055</v>
      </c>
    </row>
    <row r="2785">
      <c r="A2785" s="8" t="s">
        <v>650</v>
      </c>
      <c r="B2785" s="8" t="s">
        <v>1958</v>
      </c>
      <c r="C2785" s="8" t="s">
        <v>2060</v>
      </c>
      <c r="D2785" s="9" t="str">
        <f>HYPERLINK("https://12go.asia/en/travel/Hanoi-Transfer/Ninh-Binh-Hotel-Transfer", "12Go Link")</f>
        <v>12Go Link</v>
      </c>
      <c r="E2785" s="8" t="s">
        <v>772</v>
      </c>
    </row>
    <row r="2786">
      <c r="A2786" s="8" t="s">
        <v>650</v>
      </c>
      <c r="B2786" s="8" t="s">
        <v>1958</v>
      </c>
      <c r="C2786" s="8" t="s">
        <v>2061</v>
      </c>
      <c r="D2786" s="9" t="str">
        <f>HYPERLINK("https://12go.asia/en/travel/Kiot-1-N7-KDT-Dong-Tau/298-Luong-Van-Thang", "12Go Link")</f>
        <v>12Go Link</v>
      </c>
      <c r="E2786" s="8" t="s">
        <v>2062</v>
      </c>
    </row>
    <row r="2787">
      <c r="A2787" s="8" t="s">
        <v>650</v>
      </c>
      <c r="B2787" s="8" t="s">
        <v>1958</v>
      </c>
      <c r="C2787" s="8" t="s">
        <v>2063</v>
      </c>
      <c r="D2787" s="9" t="str">
        <f>HYPERLINK("https://12go.asia/en/travel/Kiot-1-N7-KDT-Dong-Tau/Tam-Coc-Boat-Station", "12Go Link")</f>
        <v>12Go Link</v>
      </c>
      <c r="E2787" s="8" t="s">
        <v>2062</v>
      </c>
    </row>
    <row r="2788">
      <c r="A2788" s="8" t="s">
        <v>650</v>
      </c>
      <c r="B2788" s="8" t="s">
        <v>1958</v>
      </c>
      <c r="C2788" s="8" t="s">
        <v>2064</v>
      </c>
      <c r="D2788" s="9" t="str">
        <f>HYPERLINK("https://12go.asia/en/travel/Noi-Bai-International-Airport/251-Luong-Van-Thang", "12Go Link")</f>
        <v>12Go Link</v>
      </c>
      <c r="E2788" s="8" t="s">
        <v>2055</v>
      </c>
    </row>
    <row r="2789">
      <c r="A2789" s="8" t="s">
        <v>650</v>
      </c>
      <c r="B2789" s="8" t="s">
        <v>1958</v>
      </c>
      <c r="C2789" s="8" t="s">
        <v>2065</v>
      </c>
      <c r="D2789" s="9" t="str">
        <f>HYPERLINK("https://12go.asia/en/travel/Noi-Bai-International-Airport/Dong-Gung-Bus-Station", "12Go Link")</f>
        <v>12Go Link</v>
      </c>
      <c r="E2789" s="8" t="s">
        <v>2055</v>
      </c>
    </row>
    <row r="2790">
      <c r="A2790" s="8" t="s">
        <v>650</v>
      </c>
      <c r="B2790" s="8" t="s">
        <v>1958</v>
      </c>
      <c r="C2790" s="8" t="s">
        <v>2066</v>
      </c>
      <c r="D2790" s="9" t="str">
        <f>HYPERLINK("https://12go.asia/en/travel/Noi-Bai-International-Airport/Trang-An-Boat-Station", "12Go Link")</f>
        <v>12Go Link</v>
      </c>
      <c r="E2790" s="8" t="s">
        <v>2055</v>
      </c>
    </row>
    <row r="2791">
      <c r="A2791" s="8" t="s">
        <v>650</v>
      </c>
      <c r="B2791" s="8" t="s">
        <v>2007</v>
      </c>
      <c r="C2791" s="8" t="s">
        <v>2067</v>
      </c>
      <c r="D2791" s="9" t="str">
        <f>HYPERLINK("https://12go.asia/en/travel/Hanoi-Old-Quarter/Noi-Bai-International-Airport", "12Go Link")</f>
        <v>12Go Link</v>
      </c>
      <c r="E2791" s="8" t="s">
        <v>567</v>
      </c>
    </row>
    <row r="2792">
      <c r="A2792" s="8" t="s">
        <v>650</v>
      </c>
      <c r="B2792" s="8" t="s">
        <v>1985</v>
      </c>
      <c r="C2792" s="8" t="s">
        <v>2068</v>
      </c>
      <c r="D2792" s="9" t="str">
        <f t="shared" ref="D2792:D2794" si="453">HYPERLINK("https://12go.asia/en/travel/28-Dinh-Nup/Ao-Tien-Cruise-Terminal", "12Go Link")</f>
        <v>12Go Link</v>
      </c>
      <c r="E2792" s="8" t="s">
        <v>2016</v>
      </c>
    </row>
    <row r="2793">
      <c r="A2793" s="8" t="s">
        <v>650</v>
      </c>
      <c r="B2793" s="8" t="s">
        <v>1985</v>
      </c>
      <c r="C2793" s="8" t="s">
        <v>2068</v>
      </c>
      <c r="D2793" s="9" t="str">
        <f t="shared" si="453"/>
        <v>12Go Link</v>
      </c>
      <c r="E2793" s="8" t="s">
        <v>2017</v>
      </c>
    </row>
    <row r="2794">
      <c r="A2794" s="8" t="s">
        <v>650</v>
      </c>
      <c r="B2794" s="8" t="s">
        <v>1985</v>
      </c>
      <c r="C2794" s="8" t="s">
        <v>2068</v>
      </c>
      <c r="D2794" s="9" t="str">
        <f t="shared" si="453"/>
        <v>12Go Link</v>
      </c>
      <c r="E2794" s="8" t="s">
        <v>2018</v>
      </c>
    </row>
    <row r="2795">
      <c r="A2795" s="8" t="s">
        <v>650</v>
      </c>
      <c r="B2795" s="8" t="s">
        <v>1985</v>
      </c>
      <c r="C2795" s="8" t="s">
        <v>2069</v>
      </c>
      <c r="D2795" s="9" t="str">
        <f t="shared" ref="D2795:D2797" si="454">HYPERLINK("https://12go.asia/en/travel/28-Dinh-Nup/Tuan-Chau-Welcome-Gate", "12Go Link")</f>
        <v>12Go Link</v>
      </c>
      <c r="E2795" s="8" t="s">
        <v>2016</v>
      </c>
    </row>
    <row r="2796">
      <c r="A2796" s="8" t="s">
        <v>650</v>
      </c>
      <c r="B2796" s="8" t="s">
        <v>1985</v>
      </c>
      <c r="C2796" s="8" t="s">
        <v>2069</v>
      </c>
      <c r="D2796" s="9" t="str">
        <f t="shared" si="454"/>
        <v>12Go Link</v>
      </c>
      <c r="E2796" s="8" t="s">
        <v>2017</v>
      </c>
    </row>
    <row r="2797">
      <c r="A2797" s="8" t="s">
        <v>650</v>
      </c>
      <c r="B2797" s="8" t="s">
        <v>1985</v>
      </c>
      <c r="C2797" s="8" t="s">
        <v>2069</v>
      </c>
      <c r="D2797" s="9" t="str">
        <f t="shared" si="454"/>
        <v>12Go Link</v>
      </c>
      <c r="E2797" s="8" t="s">
        <v>2018</v>
      </c>
    </row>
    <row r="2798">
      <c r="A2798" s="8" t="s">
        <v>650</v>
      </c>
      <c r="B2798" s="8" t="s">
        <v>1985</v>
      </c>
      <c r="C2798" s="8" t="s">
        <v>2070</v>
      </c>
      <c r="D2798" s="9" t="str">
        <f t="shared" ref="D2798:D2800" si="455">HYPERLINK("https://12go.asia/en/travel/Aeon-Mall-Long-Bien/Ao-Tien-Cruise-Terminal", "12Go Link")</f>
        <v>12Go Link</v>
      </c>
      <c r="E2798" s="8" t="s">
        <v>2016</v>
      </c>
    </row>
    <row r="2799">
      <c r="A2799" s="8" t="s">
        <v>650</v>
      </c>
      <c r="B2799" s="8" t="s">
        <v>1985</v>
      </c>
      <c r="C2799" s="8" t="s">
        <v>2070</v>
      </c>
      <c r="D2799" s="9" t="str">
        <f t="shared" si="455"/>
        <v>12Go Link</v>
      </c>
      <c r="E2799" s="8" t="s">
        <v>2017</v>
      </c>
    </row>
    <row r="2800">
      <c r="A2800" s="8" t="s">
        <v>650</v>
      </c>
      <c r="B2800" s="8" t="s">
        <v>1985</v>
      </c>
      <c r="C2800" s="8" t="s">
        <v>2070</v>
      </c>
      <c r="D2800" s="9" t="str">
        <f t="shared" si="455"/>
        <v>12Go Link</v>
      </c>
      <c r="E2800" s="8" t="s">
        <v>2018</v>
      </c>
    </row>
    <row r="2801">
      <c r="A2801" s="8" t="s">
        <v>650</v>
      </c>
      <c r="B2801" s="8" t="s">
        <v>1985</v>
      </c>
      <c r="C2801" s="8" t="s">
        <v>2071</v>
      </c>
      <c r="D2801" s="9" t="str">
        <f t="shared" ref="D2801:D2803" si="456">HYPERLINK("https://12go.asia/en/travel/Aeon-Mall-Long-Bien/Tuan-Chau-Welcome-Gate", "12Go Link")</f>
        <v>12Go Link</v>
      </c>
      <c r="E2801" s="8" t="s">
        <v>2016</v>
      </c>
    </row>
    <row r="2802">
      <c r="A2802" s="8" t="s">
        <v>650</v>
      </c>
      <c r="B2802" s="8" t="s">
        <v>1985</v>
      </c>
      <c r="C2802" s="8" t="s">
        <v>2071</v>
      </c>
      <c r="D2802" s="9" t="str">
        <f t="shared" si="456"/>
        <v>12Go Link</v>
      </c>
      <c r="E2802" s="8" t="s">
        <v>2017</v>
      </c>
    </row>
    <row r="2803">
      <c r="A2803" s="8" t="s">
        <v>650</v>
      </c>
      <c r="B2803" s="8" t="s">
        <v>1985</v>
      </c>
      <c r="C2803" s="8" t="s">
        <v>2071</v>
      </c>
      <c r="D2803" s="9" t="str">
        <f t="shared" si="456"/>
        <v>12Go Link</v>
      </c>
      <c r="E2803" s="8" t="s">
        <v>2018</v>
      </c>
    </row>
    <row r="2804">
      <c r="A2804" s="8" t="s">
        <v>650</v>
      </c>
      <c r="B2804" s="8" t="s">
        <v>1985</v>
      </c>
      <c r="C2804" s="8" t="s">
        <v>2072</v>
      </c>
      <c r="D2804" s="9" t="str">
        <f t="shared" ref="D2804:D2806" si="457">HYPERLINK("https://12go.asia/en/travel/Gate-R6-Royal-City/Ao-Tien-Cruise-Terminal", "12Go Link")</f>
        <v>12Go Link</v>
      </c>
      <c r="E2804" s="8" t="s">
        <v>2016</v>
      </c>
    </row>
    <row r="2805">
      <c r="A2805" s="8" t="s">
        <v>650</v>
      </c>
      <c r="B2805" s="8" t="s">
        <v>1985</v>
      </c>
      <c r="C2805" s="8" t="s">
        <v>2072</v>
      </c>
      <c r="D2805" s="9" t="str">
        <f t="shared" si="457"/>
        <v>12Go Link</v>
      </c>
      <c r="E2805" s="8" t="s">
        <v>2017</v>
      </c>
    </row>
    <row r="2806">
      <c r="A2806" s="8" t="s">
        <v>650</v>
      </c>
      <c r="B2806" s="8" t="s">
        <v>1985</v>
      </c>
      <c r="C2806" s="8" t="s">
        <v>2072</v>
      </c>
      <c r="D2806" s="9" t="str">
        <f t="shared" si="457"/>
        <v>12Go Link</v>
      </c>
      <c r="E2806" s="8" t="s">
        <v>2018</v>
      </c>
    </row>
    <row r="2807">
      <c r="A2807" s="8" t="s">
        <v>650</v>
      </c>
      <c r="B2807" s="8" t="s">
        <v>1985</v>
      </c>
      <c r="C2807" s="8" t="s">
        <v>2073</v>
      </c>
      <c r="D2807" s="9" t="str">
        <f t="shared" ref="D2807:D2809" si="458">HYPERLINK("https://12go.asia/en/travel/Gate-R6-Royal-City/Tuan-Chau-Welcome-Gate", "12Go Link")</f>
        <v>12Go Link</v>
      </c>
      <c r="E2807" s="8" t="s">
        <v>2016</v>
      </c>
    </row>
    <row r="2808">
      <c r="A2808" s="8" t="s">
        <v>650</v>
      </c>
      <c r="B2808" s="8" t="s">
        <v>1985</v>
      </c>
      <c r="C2808" s="8" t="s">
        <v>2073</v>
      </c>
      <c r="D2808" s="9" t="str">
        <f t="shared" si="458"/>
        <v>12Go Link</v>
      </c>
      <c r="E2808" s="8" t="s">
        <v>2017</v>
      </c>
    </row>
    <row r="2809">
      <c r="A2809" s="8" t="s">
        <v>650</v>
      </c>
      <c r="B2809" s="8" t="s">
        <v>1985</v>
      </c>
      <c r="C2809" s="8" t="s">
        <v>2073</v>
      </c>
      <c r="D2809" s="9" t="str">
        <f t="shared" si="458"/>
        <v>12Go Link</v>
      </c>
      <c r="E2809" s="8" t="s">
        <v>2018</v>
      </c>
    </row>
    <row r="2810">
      <c r="A2810" s="8" t="s">
        <v>650</v>
      </c>
      <c r="B2810" s="8" t="s">
        <v>1985</v>
      </c>
      <c r="C2810" s="8" t="s">
        <v>2074</v>
      </c>
      <c r="D2810" s="9" t="str">
        <f t="shared" ref="D2810:D2812" si="459">HYPERLINK("https://12go.asia/en/travel/Minh-Chau-Limousine-Office/Ao-Tien-Cruise-Terminal", "12Go Link")</f>
        <v>12Go Link</v>
      </c>
      <c r="E2810" s="8" t="s">
        <v>2016</v>
      </c>
    </row>
    <row r="2811">
      <c r="A2811" s="8" t="s">
        <v>650</v>
      </c>
      <c r="B2811" s="8" t="s">
        <v>1985</v>
      </c>
      <c r="C2811" s="8" t="s">
        <v>2074</v>
      </c>
      <c r="D2811" s="9" t="str">
        <f t="shared" si="459"/>
        <v>12Go Link</v>
      </c>
      <c r="E2811" s="8" t="s">
        <v>2017</v>
      </c>
    </row>
    <row r="2812">
      <c r="A2812" s="8" t="s">
        <v>650</v>
      </c>
      <c r="B2812" s="8" t="s">
        <v>1985</v>
      </c>
      <c r="C2812" s="8" t="s">
        <v>2074</v>
      </c>
      <c r="D2812" s="9" t="str">
        <f t="shared" si="459"/>
        <v>12Go Link</v>
      </c>
      <c r="E2812" s="8" t="s">
        <v>2018</v>
      </c>
    </row>
    <row r="2813">
      <c r="A2813" s="8" t="s">
        <v>650</v>
      </c>
      <c r="B2813" s="8" t="s">
        <v>1985</v>
      </c>
      <c r="C2813" s="8" t="s">
        <v>2075</v>
      </c>
      <c r="D2813" s="9" t="str">
        <f t="shared" ref="D2813:D2815" si="460">HYPERLINK("https://12go.asia/en/travel/Minh-Chau-Limousine-Office/Tuan-Chau-Welcome-Gate", "12Go Link")</f>
        <v>12Go Link</v>
      </c>
      <c r="E2813" s="8" t="s">
        <v>2016</v>
      </c>
    </row>
    <row r="2814">
      <c r="A2814" s="8" t="s">
        <v>650</v>
      </c>
      <c r="B2814" s="8" t="s">
        <v>1985</v>
      </c>
      <c r="C2814" s="8" t="s">
        <v>2075</v>
      </c>
      <c r="D2814" s="9" t="str">
        <f t="shared" si="460"/>
        <v>12Go Link</v>
      </c>
      <c r="E2814" s="8" t="s">
        <v>2017</v>
      </c>
    </row>
    <row r="2815">
      <c r="A2815" s="8" t="s">
        <v>650</v>
      </c>
      <c r="B2815" s="8" t="s">
        <v>1985</v>
      </c>
      <c r="C2815" s="8" t="s">
        <v>2075</v>
      </c>
      <c r="D2815" s="9" t="str">
        <f t="shared" si="460"/>
        <v>12Go Link</v>
      </c>
      <c r="E2815" s="8" t="s">
        <v>2018</v>
      </c>
    </row>
    <row r="2816">
      <c r="A2816" s="8" t="s">
        <v>650</v>
      </c>
      <c r="B2816" s="8" t="s">
        <v>1985</v>
      </c>
      <c r="C2816" s="8" t="s">
        <v>2076</v>
      </c>
      <c r="D2816" s="9" t="str">
        <f t="shared" ref="D2816:D2818" si="461">HYPERLINK("https://12go.asia/en/travel/Time-City/Ao-Tien-Cruise-Terminal", "12Go Link")</f>
        <v>12Go Link</v>
      </c>
      <c r="E2816" s="8" t="s">
        <v>2016</v>
      </c>
    </row>
    <row r="2817">
      <c r="A2817" s="8" t="s">
        <v>650</v>
      </c>
      <c r="B2817" s="8" t="s">
        <v>1985</v>
      </c>
      <c r="C2817" s="8" t="s">
        <v>2076</v>
      </c>
      <c r="D2817" s="9" t="str">
        <f t="shared" si="461"/>
        <v>12Go Link</v>
      </c>
      <c r="E2817" s="8" t="s">
        <v>2017</v>
      </c>
    </row>
    <row r="2818">
      <c r="A2818" s="8" t="s">
        <v>650</v>
      </c>
      <c r="B2818" s="8" t="s">
        <v>1985</v>
      </c>
      <c r="C2818" s="8" t="s">
        <v>2076</v>
      </c>
      <c r="D2818" s="9" t="str">
        <f t="shared" si="461"/>
        <v>12Go Link</v>
      </c>
      <c r="E2818" s="8" t="s">
        <v>2018</v>
      </c>
    </row>
    <row r="2819">
      <c r="A2819" s="8" t="s">
        <v>650</v>
      </c>
      <c r="B2819" s="8" t="s">
        <v>1985</v>
      </c>
      <c r="C2819" s="8" t="s">
        <v>2077</v>
      </c>
      <c r="D2819" s="9" t="str">
        <f t="shared" ref="D2819:D2821" si="462">HYPERLINK("https://12go.asia/en/travel/Time-City/Tuan-Chau-Welcome-Gate", "12Go Link")</f>
        <v>12Go Link</v>
      </c>
      <c r="E2819" s="8" t="s">
        <v>2016</v>
      </c>
    </row>
    <row r="2820">
      <c r="A2820" s="8" t="s">
        <v>650</v>
      </c>
      <c r="B2820" s="8" t="s">
        <v>1985</v>
      </c>
      <c r="C2820" s="8" t="s">
        <v>2077</v>
      </c>
      <c r="D2820" s="9" t="str">
        <f t="shared" si="462"/>
        <v>12Go Link</v>
      </c>
      <c r="E2820" s="8" t="s">
        <v>2017</v>
      </c>
    </row>
    <row r="2821">
      <c r="A2821" s="8" t="s">
        <v>650</v>
      </c>
      <c r="B2821" s="8" t="s">
        <v>1985</v>
      </c>
      <c r="C2821" s="8" t="s">
        <v>2077</v>
      </c>
      <c r="D2821" s="9" t="str">
        <f t="shared" si="462"/>
        <v>12Go Link</v>
      </c>
      <c r="E2821" s="8" t="s">
        <v>2018</v>
      </c>
    </row>
    <row r="2822">
      <c r="A2822" s="8" t="s">
        <v>650</v>
      </c>
      <c r="B2822" s="8" t="s">
        <v>1985</v>
      </c>
      <c r="C2822" s="8" t="s">
        <v>2078</v>
      </c>
      <c r="D2822" s="9" t="str">
        <f t="shared" ref="D2822:D2824" si="463">HYPERLINK("https://12go.asia/en/travel/Vinhomes-Ocean-Park-1/Ao-Tien-Cruise-Terminal", "12Go Link")</f>
        <v>12Go Link</v>
      </c>
      <c r="E2822" s="8" t="s">
        <v>2016</v>
      </c>
    </row>
    <row r="2823">
      <c r="A2823" s="8" t="s">
        <v>650</v>
      </c>
      <c r="B2823" s="8" t="s">
        <v>1985</v>
      </c>
      <c r="C2823" s="8" t="s">
        <v>2078</v>
      </c>
      <c r="D2823" s="9" t="str">
        <f t="shared" si="463"/>
        <v>12Go Link</v>
      </c>
      <c r="E2823" s="8" t="s">
        <v>2017</v>
      </c>
    </row>
    <row r="2824">
      <c r="A2824" s="8" t="s">
        <v>650</v>
      </c>
      <c r="B2824" s="8" t="s">
        <v>1985</v>
      </c>
      <c r="C2824" s="8" t="s">
        <v>2078</v>
      </c>
      <c r="D2824" s="9" t="str">
        <f t="shared" si="463"/>
        <v>12Go Link</v>
      </c>
      <c r="E2824" s="8" t="s">
        <v>2018</v>
      </c>
    </row>
    <row r="2825">
      <c r="A2825" s="8" t="s">
        <v>650</v>
      </c>
      <c r="B2825" s="8" t="s">
        <v>1985</v>
      </c>
      <c r="C2825" s="8" t="s">
        <v>2079</v>
      </c>
      <c r="D2825" s="9" t="str">
        <f t="shared" ref="D2825:D2827" si="464">HYPERLINK("https://12go.asia/en/travel/Vinhomes-Ocean-Park-1/Tuan-Chau-Welcome-Gate", "12Go Link")</f>
        <v>12Go Link</v>
      </c>
      <c r="E2825" s="8" t="s">
        <v>2016</v>
      </c>
    </row>
    <row r="2826">
      <c r="A2826" s="8" t="s">
        <v>650</v>
      </c>
      <c r="B2826" s="8" t="s">
        <v>1985</v>
      </c>
      <c r="C2826" s="8" t="s">
        <v>2079</v>
      </c>
      <c r="D2826" s="9" t="str">
        <f t="shared" si="464"/>
        <v>12Go Link</v>
      </c>
      <c r="E2826" s="8" t="s">
        <v>2017</v>
      </c>
    </row>
    <row r="2827">
      <c r="A2827" s="8" t="s">
        <v>650</v>
      </c>
      <c r="B2827" s="8" t="s">
        <v>1985</v>
      </c>
      <c r="C2827" s="8" t="s">
        <v>2079</v>
      </c>
      <c r="D2827" s="9" t="str">
        <f t="shared" si="464"/>
        <v>12Go Link</v>
      </c>
      <c r="E2827" s="8" t="s">
        <v>2018</v>
      </c>
    </row>
    <row r="2828">
      <c r="A2828" s="8" t="s">
        <v>650</v>
      </c>
      <c r="B2828" s="8" t="s">
        <v>1985</v>
      </c>
      <c r="C2828" s="8" t="s">
        <v>2080</v>
      </c>
      <c r="D2828" s="9" t="str">
        <f t="shared" ref="D2828:D2830" si="465">HYPERLINK("https://12go.asia/en/travel/Vinhomes-Ocean-Park-2-3/Ao-Tien-Cruise-Terminal", "12Go Link")</f>
        <v>12Go Link</v>
      </c>
      <c r="E2828" s="8" t="s">
        <v>2016</v>
      </c>
    </row>
    <row r="2829">
      <c r="A2829" s="8" t="s">
        <v>650</v>
      </c>
      <c r="B2829" s="8" t="s">
        <v>1985</v>
      </c>
      <c r="C2829" s="8" t="s">
        <v>2080</v>
      </c>
      <c r="D2829" s="9" t="str">
        <f t="shared" si="465"/>
        <v>12Go Link</v>
      </c>
      <c r="E2829" s="8" t="s">
        <v>2017</v>
      </c>
    </row>
    <row r="2830">
      <c r="A2830" s="8" t="s">
        <v>650</v>
      </c>
      <c r="B2830" s="8" t="s">
        <v>1985</v>
      </c>
      <c r="C2830" s="8" t="s">
        <v>2080</v>
      </c>
      <c r="D2830" s="9" t="str">
        <f t="shared" si="465"/>
        <v>12Go Link</v>
      </c>
      <c r="E2830" s="8" t="s">
        <v>2018</v>
      </c>
    </row>
    <row r="2831">
      <c r="A2831" s="8" t="s">
        <v>650</v>
      </c>
      <c r="B2831" s="8" t="s">
        <v>1985</v>
      </c>
      <c r="C2831" s="8" t="s">
        <v>2081</v>
      </c>
      <c r="D2831" s="9" t="str">
        <f t="shared" ref="D2831:D2833" si="466">HYPERLINK("https://12go.asia/en/travel/Vinhomes-Ocean-Park-2-3/Tuan-Chau-Welcome-Gate", "12Go Link")</f>
        <v>12Go Link</v>
      </c>
      <c r="E2831" s="8" t="s">
        <v>2016</v>
      </c>
    </row>
    <row r="2832">
      <c r="A2832" s="8" t="s">
        <v>650</v>
      </c>
      <c r="B2832" s="8" t="s">
        <v>1985</v>
      </c>
      <c r="C2832" s="8" t="s">
        <v>2081</v>
      </c>
      <c r="D2832" s="9" t="str">
        <f t="shared" si="466"/>
        <v>12Go Link</v>
      </c>
      <c r="E2832" s="8" t="s">
        <v>2017</v>
      </c>
    </row>
    <row r="2833">
      <c r="A2833" s="8" t="s">
        <v>650</v>
      </c>
      <c r="B2833" s="8" t="s">
        <v>1985</v>
      </c>
      <c r="C2833" s="8" t="s">
        <v>2081</v>
      </c>
      <c r="D2833" s="9" t="str">
        <f t="shared" si="466"/>
        <v>12Go Link</v>
      </c>
      <c r="E2833" s="8" t="s">
        <v>2018</v>
      </c>
    </row>
    <row r="2834">
      <c r="A2834" s="8" t="s">
        <v>650</v>
      </c>
      <c r="B2834" s="8" t="s">
        <v>652</v>
      </c>
      <c r="C2834" s="8" t="s">
        <v>2082</v>
      </c>
      <c r="D2834" s="9" t="str">
        <f>HYPERLINK("https://12go.asia/en/travel/16-Tran-Nhat-Duat/Sapa-Market", "12Go Link")</f>
        <v>12Go Link</v>
      </c>
      <c r="E2834" s="8" t="s">
        <v>2083</v>
      </c>
    </row>
    <row r="2835">
      <c r="A2835" s="8" t="s">
        <v>650</v>
      </c>
      <c r="B2835" s="8" t="s">
        <v>2084</v>
      </c>
      <c r="C2835" s="8" t="s">
        <v>2085</v>
      </c>
      <c r="D2835" s="9" t="str">
        <f>HYPERLINK("https://12go.asia/en/travel/Hanoi-Noi-Bai-Airport/Buu-Dien-Bich-Dong", "12Go Link")</f>
        <v>12Go Link</v>
      </c>
      <c r="E2835" s="8" t="s">
        <v>2017</v>
      </c>
    </row>
    <row r="2836">
      <c r="A2836" s="8" t="s">
        <v>650</v>
      </c>
      <c r="B2836" s="8" t="s">
        <v>2084</v>
      </c>
      <c r="C2836" s="8" t="s">
        <v>2086</v>
      </c>
      <c r="D2836" s="9" t="str">
        <f>HYPERLINK("https://12go.asia/en/travel/Kiot-1-N7-KDT-Dong-Tau/Trang-An-Boat-Station-Ninh-Binh", "12Go Link")</f>
        <v>12Go Link</v>
      </c>
      <c r="E2836" s="8" t="s">
        <v>2062</v>
      </c>
    </row>
    <row r="2837">
      <c r="A2837" s="6" t="s">
        <v>170</v>
      </c>
      <c r="B2837" s="6" t="s">
        <v>152</v>
      </c>
      <c r="C2837" s="6" t="s">
        <v>2087</v>
      </c>
      <c r="D2837" s="7" t="str">
        <f t="shared" ref="D2837:D2838" si="467">HYPERLINK("https://12go.asia/en/travel/Kumho-Samco-Buslines-Ho-Chi-Minh/Kumho-Samco-Buslines-Phnom-Penh", "12Go Link")</f>
        <v>12Go Link</v>
      </c>
      <c r="E2837" s="6" t="s">
        <v>211</v>
      </c>
    </row>
    <row r="2838">
      <c r="A2838" s="6" t="s">
        <v>170</v>
      </c>
      <c r="B2838" s="6" t="s">
        <v>152</v>
      </c>
      <c r="C2838" s="6" t="s">
        <v>2087</v>
      </c>
      <c r="D2838" s="7" t="str">
        <f t="shared" si="467"/>
        <v>12Go Link</v>
      </c>
      <c r="E2838" s="6" t="s">
        <v>212</v>
      </c>
    </row>
    <row r="2839">
      <c r="A2839" s="6" t="s">
        <v>170</v>
      </c>
      <c r="B2839" s="6" t="s">
        <v>1895</v>
      </c>
      <c r="C2839" s="6" t="s">
        <v>2088</v>
      </c>
      <c r="D2839" s="7" t="str">
        <f t="shared" ref="D2839:D2841" si="468">HYPERLINK("https://12go.asia/en/travel/229-Pham-Ngu-Lao/10-Nguyen-Dinh-Chieu", "12Go Link")</f>
        <v>12Go Link</v>
      </c>
      <c r="E2839" s="6" t="s">
        <v>2016</v>
      </c>
    </row>
    <row r="2840">
      <c r="A2840" s="6" t="s">
        <v>170</v>
      </c>
      <c r="B2840" s="6" t="s">
        <v>1895</v>
      </c>
      <c r="C2840" s="6" t="s">
        <v>2088</v>
      </c>
      <c r="D2840" s="7" t="str">
        <f t="shared" si="468"/>
        <v>12Go Link</v>
      </c>
      <c r="E2840" s="6" t="s">
        <v>2089</v>
      </c>
    </row>
    <row r="2841">
      <c r="A2841" s="6" t="s">
        <v>170</v>
      </c>
      <c r="B2841" s="6" t="s">
        <v>1895</v>
      </c>
      <c r="C2841" s="6" t="s">
        <v>2088</v>
      </c>
      <c r="D2841" s="7" t="str">
        <f t="shared" si="468"/>
        <v>12Go Link</v>
      </c>
      <c r="E2841" s="6" t="s">
        <v>2090</v>
      </c>
    </row>
    <row r="2842">
      <c r="A2842" s="6" t="s">
        <v>170</v>
      </c>
      <c r="B2842" s="6" t="s">
        <v>1895</v>
      </c>
      <c r="C2842" s="6" t="s">
        <v>2091</v>
      </c>
      <c r="D2842" s="7" t="str">
        <f t="shared" ref="D2842:D2844" si="469">HYPERLINK("https://12go.asia/en/travel/229-Pham-Ngu-Lao/79-Nguyen-Dinh-Chieu", "12Go Link")</f>
        <v>12Go Link</v>
      </c>
      <c r="E2842" s="6" t="s">
        <v>2016</v>
      </c>
    </row>
    <row r="2843">
      <c r="A2843" s="6" t="s">
        <v>170</v>
      </c>
      <c r="B2843" s="6" t="s">
        <v>1895</v>
      </c>
      <c r="C2843" s="6" t="s">
        <v>2091</v>
      </c>
      <c r="D2843" s="7" t="str">
        <f t="shared" si="469"/>
        <v>12Go Link</v>
      </c>
      <c r="E2843" s="6" t="s">
        <v>2089</v>
      </c>
    </row>
    <row r="2844">
      <c r="A2844" s="6" t="s">
        <v>170</v>
      </c>
      <c r="B2844" s="6" t="s">
        <v>1895</v>
      </c>
      <c r="C2844" s="6" t="s">
        <v>2091</v>
      </c>
      <c r="D2844" s="7" t="str">
        <f t="shared" si="469"/>
        <v>12Go Link</v>
      </c>
      <c r="E2844" s="6" t="s">
        <v>2090</v>
      </c>
    </row>
    <row r="2845">
      <c r="A2845" s="6" t="s">
        <v>170</v>
      </c>
      <c r="B2845" s="6" t="s">
        <v>1891</v>
      </c>
      <c r="C2845" s="6" t="s">
        <v>2092</v>
      </c>
      <c r="D2845" s="7" t="str">
        <f t="shared" ref="D2845:D2846" si="470">HYPERLINK("https://12go.asia/en/travel/Ho-Chi-Minh-Hotel-Transfer/Cam-Ranh-Airport", "12Go Link")</f>
        <v>12Go Link</v>
      </c>
      <c r="E2845" s="6" t="s">
        <v>567</v>
      </c>
    </row>
    <row r="2846">
      <c r="A2846" s="6" t="s">
        <v>170</v>
      </c>
      <c r="B2846" s="6" t="s">
        <v>1891</v>
      </c>
      <c r="C2846" s="6" t="s">
        <v>2092</v>
      </c>
      <c r="D2846" s="7" t="str">
        <f t="shared" si="470"/>
        <v>12Go Link</v>
      </c>
      <c r="E2846" s="6" t="s">
        <v>772</v>
      </c>
    </row>
    <row r="2847">
      <c r="A2847" s="6" t="s">
        <v>170</v>
      </c>
      <c r="B2847" s="6" t="s">
        <v>1899</v>
      </c>
      <c r="C2847" s="6" t="s">
        <v>2093</v>
      </c>
      <c r="D2847" s="7" t="str">
        <f>HYPERLINK("https://12go.asia/en/travel/292-Dinh-Bo-Linh/190-Le-Dai-Hanh", "12Go Link")</f>
        <v>12Go Link</v>
      </c>
      <c r="E2847" s="6" t="s">
        <v>1943</v>
      </c>
    </row>
    <row r="2848">
      <c r="A2848" s="6" t="s">
        <v>170</v>
      </c>
      <c r="B2848" s="6" t="s">
        <v>1899</v>
      </c>
      <c r="C2848" s="6" t="s">
        <v>2094</v>
      </c>
      <c r="D2848" s="7" t="str">
        <f t="shared" ref="D2848:D2850" si="471">HYPERLINK("https://12go.asia/en/travel/306A-Hong-Lac/166-Dien-Bien-Phu", "12Go Link")</f>
        <v>12Go Link</v>
      </c>
      <c r="E2848" s="6" t="s">
        <v>1901</v>
      </c>
    </row>
    <row r="2849">
      <c r="A2849" s="6" t="s">
        <v>170</v>
      </c>
      <c r="B2849" s="6" t="s">
        <v>1899</v>
      </c>
      <c r="C2849" s="6" t="s">
        <v>2094</v>
      </c>
      <c r="D2849" s="7" t="str">
        <f t="shared" si="471"/>
        <v>12Go Link</v>
      </c>
      <c r="E2849" s="6" t="s">
        <v>1902</v>
      </c>
    </row>
    <row r="2850">
      <c r="A2850" s="6" t="s">
        <v>170</v>
      </c>
      <c r="B2850" s="6" t="s">
        <v>1899</v>
      </c>
      <c r="C2850" s="6" t="s">
        <v>2094</v>
      </c>
      <c r="D2850" s="7" t="str">
        <f t="shared" si="471"/>
        <v>12Go Link</v>
      </c>
      <c r="E2850" s="6" t="s">
        <v>1903</v>
      </c>
    </row>
    <row r="2851">
      <c r="A2851" s="6" t="s">
        <v>170</v>
      </c>
      <c r="B2851" s="6" t="s">
        <v>1899</v>
      </c>
      <c r="C2851" s="6" t="s">
        <v>2095</v>
      </c>
      <c r="D2851" s="7" t="str">
        <f>HYPERLINK("https://12go.asia/en/travel/332-Go-Dau/190-Le-Dai-Hanh", "12Go Link")</f>
        <v>12Go Link</v>
      </c>
      <c r="E2851" s="6" t="s">
        <v>1943</v>
      </c>
    </row>
    <row r="2852">
      <c r="A2852" s="6" t="s">
        <v>170</v>
      </c>
      <c r="B2852" s="6" t="s">
        <v>1899</v>
      </c>
      <c r="C2852" s="6" t="s">
        <v>2096</v>
      </c>
      <c r="D2852" s="7" t="str">
        <f t="shared" ref="D2852:D2854" si="472">HYPERLINK("https://12go.asia/en/travel/39-National-Highway-1A/166-Dien-Bien-Phu", "12Go Link")</f>
        <v>12Go Link</v>
      </c>
      <c r="E2852" s="6" t="s">
        <v>1901</v>
      </c>
    </row>
    <row r="2853">
      <c r="A2853" s="6" t="s">
        <v>170</v>
      </c>
      <c r="B2853" s="6" t="s">
        <v>1899</v>
      </c>
      <c r="C2853" s="6" t="s">
        <v>2096</v>
      </c>
      <c r="D2853" s="7" t="str">
        <f t="shared" si="472"/>
        <v>12Go Link</v>
      </c>
      <c r="E2853" s="6" t="s">
        <v>1902</v>
      </c>
    </row>
    <row r="2854">
      <c r="A2854" s="6" t="s">
        <v>170</v>
      </c>
      <c r="B2854" s="6" t="s">
        <v>1899</v>
      </c>
      <c r="C2854" s="6" t="s">
        <v>2096</v>
      </c>
      <c r="D2854" s="7" t="str">
        <f t="shared" si="472"/>
        <v>12Go Link</v>
      </c>
      <c r="E2854" s="6" t="s">
        <v>1903</v>
      </c>
    </row>
    <row r="2855">
      <c r="A2855" s="6" t="s">
        <v>170</v>
      </c>
      <c r="B2855" s="6" t="s">
        <v>1904</v>
      </c>
      <c r="C2855" s="6" t="s">
        <v>2097</v>
      </c>
      <c r="D2855" s="7" t="str">
        <f>HYPERLINK("https://12go.asia/en/travel/292-Dinh-Bo-Linh/181-Ton-Duc-Thang", "12Go Link")</f>
        <v>12Go Link</v>
      </c>
      <c r="E2855" s="6" t="s">
        <v>1943</v>
      </c>
    </row>
    <row r="2856">
      <c r="A2856" s="6" t="s">
        <v>170</v>
      </c>
      <c r="B2856" s="6" t="s">
        <v>1904</v>
      </c>
      <c r="C2856" s="6" t="s">
        <v>2098</v>
      </c>
      <c r="D2856" s="7" t="str">
        <f t="shared" ref="D2856:D2858" si="473">HYPERLINK("https://12go.asia/en/travel/306A-Hong-Lac/109-Ton-Duc-Thang", "12Go Link")</f>
        <v>12Go Link</v>
      </c>
      <c r="E2856" s="6" t="s">
        <v>1901</v>
      </c>
    </row>
    <row r="2857">
      <c r="A2857" s="6" t="s">
        <v>170</v>
      </c>
      <c r="B2857" s="6" t="s">
        <v>1904</v>
      </c>
      <c r="C2857" s="6" t="s">
        <v>2098</v>
      </c>
      <c r="D2857" s="7" t="str">
        <f t="shared" si="473"/>
        <v>12Go Link</v>
      </c>
      <c r="E2857" s="6" t="s">
        <v>1902</v>
      </c>
    </row>
    <row r="2858">
      <c r="A2858" s="6" t="s">
        <v>170</v>
      </c>
      <c r="B2858" s="6" t="s">
        <v>1904</v>
      </c>
      <c r="C2858" s="6" t="s">
        <v>2098</v>
      </c>
      <c r="D2858" s="7" t="str">
        <f t="shared" si="473"/>
        <v>12Go Link</v>
      </c>
      <c r="E2858" s="6" t="s">
        <v>1903</v>
      </c>
    </row>
    <row r="2859">
      <c r="A2859" s="6" t="s">
        <v>170</v>
      </c>
      <c r="B2859" s="6" t="s">
        <v>1904</v>
      </c>
      <c r="C2859" s="6" t="s">
        <v>2099</v>
      </c>
      <c r="D2859" s="7" t="str">
        <f>HYPERLINK("https://12go.asia/en/travel/332-Go-Dau/181-Ton-Duc-Thang", "12Go Link")</f>
        <v>12Go Link</v>
      </c>
      <c r="E2859" s="6" t="s">
        <v>1943</v>
      </c>
    </row>
    <row r="2860">
      <c r="A2860" s="6" t="s">
        <v>170</v>
      </c>
      <c r="B2860" s="6" t="s">
        <v>1904</v>
      </c>
      <c r="C2860" s="6" t="s">
        <v>2100</v>
      </c>
      <c r="D2860" s="7" t="str">
        <f t="shared" ref="D2860:D2862" si="474">HYPERLINK("https://12go.asia/en/travel/39-National-Highway-1A/109-Ton-Duc-Thang", "12Go Link")</f>
        <v>12Go Link</v>
      </c>
      <c r="E2860" s="6" t="s">
        <v>1901</v>
      </c>
    </row>
    <row r="2861">
      <c r="A2861" s="6" t="s">
        <v>170</v>
      </c>
      <c r="B2861" s="6" t="s">
        <v>1904</v>
      </c>
      <c r="C2861" s="6" t="s">
        <v>2100</v>
      </c>
      <c r="D2861" s="7" t="str">
        <f t="shared" si="474"/>
        <v>12Go Link</v>
      </c>
      <c r="E2861" s="6" t="s">
        <v>1902</v>
      </c>
    </row>
    <row r="2862">
      <c r="A2862" s="6" t="s">
        <v>170</v>
      </c>
      <c r="B2862" s="6" t="s">
        <v>1904</v>
      </c>
      <c r="C2862" s="6" t="s">
        <v>2100</v>
      </c>
      <c r="D2862" s="7" t="str">
        <f t="shared" si="474"/>
        <v>12Go Link</v>
      </c>
      <c r="E2862" s="6" t="s">
        <v>1903</v>
      </c>
    </row>
    <row r="2863">
      <c r="A2863" s="6" t="s">
        <v>170</v>
      </c>
      <c r="B2863" s="6" t="s">
        <v>1906</v>
      </c>
      <c r="C2863" s="6" t="s">
        <v>2101</v>
      </c>
      <c r="D2863" s="7" t="str">
        <f>HYPERLINK("https://12go.asia/en/travel/292-Dinh-Bo-Linh/55-Vo-Van-Kiet", "12Go Link")</f>
        <v>12Go Link</v>
      </c>
      <c r="E2863" s="6" t="s">
        <v>1943</v>
      </c>
    </row>
    <row r="2864">
      <c r="A2864" s="6" t="s">
        <v>170</v>
      </c>
      <c r="B2864" s="6" t="s">
        <v>1906</v>
      </c>
      <c r="C2864" s="6" t="s">
        <v>2102</v>
      </c>
      <c r="D2864" s="7" t="str">
        <f>HYPERLINK("https://12go.asia/en/travel/292-Dinh-Bo-Linh/97-An-Duong-Vuong", "12Go Link")</f>
        <v>12Go Link</v>
      </c>
      <c r="E2864" s="6" t="s">
        <v>1943</v>
      </c>
    </row>
    <row r="2865">
      <c r="A2865" s="6" t="s">
        <v>170</v>
      </c>
      <c r="B2865" s="6" t="s">
        <v>1906</v>
      </c>
      <c r="C2865" s="6" t="s">
        <v>2103</v>
      </c>
      <c r="D2865" s="7" t="str">
        <f t="shared" ref="D2865:D2866" si="475">HYPERLINK("https://12go.asia/en/travel/306A-Hong-Lac/54-Le-Duan", "12Go Link")</f>
        <v>12Go Link</v>
      </c>
      <c r="E2865" s="6" t="s">
        <v>1902</v>
      </c>
    </row>
    <row r="2866">
      <c r="A2866" s="6" t="s">
        <v>170</v>
      </c>
      <c r="B2866" s="6" t="s">
        <v>1906</v>
      </c>
      <c r="C2866" s="6" t="s">
        <v>2103</v>
      </c>
      <c r="D2866" s="7" t="str">
        <f t="shared" si="475"/>
        <v>12Go Link</v>
      </c>
      <c r="E2866" s="6" t="s">
        <v>1903</v>
      </c>
    </row>
    <row r="2867">
      <c r="A2867" s="6" t="s">
        <v>170</v>
      </c>
      <c r="B2867" s="6" t="s">
        <v>1906</v>
      </c>
      <c r="C2867" s="6" t="s">
        <v>2104</v>
      </c>
      <c r="D2867" s="7" t="str">
        <f>HYPERLINK("https://12go.asia/en/travel/332-Go-Dau/55-Vo-Van-Kiet", "12Go Link")</f>
        <v>12Go Link</v>
      </c>
      <c r="E2867" s="6" t="s">
        <v>1943</v>
      </c>
    </row>
    <row r="2868">
      <c r="A2868" s="6" t="s">
        <v>170</v>
      </c>
      <c r="B2868" s="6" t="s">
        <v>1906</v>
      </c>
      <c r="C2868" s="6" t="s">
        <v>2105</v>
      </c>
      <c r="D2868" s="7" t="str">
        <f>HYPERLINK("https://12go.asia/en/travel/332-Go-Dau/97-An-Duong-Vuong", "12Go Link")</f>
        <v>12Go Link</v>
      </c>
      <c r="E2868" s="6" t="s">
        <v>1943</v>
      </c>
    </row>
    <row r="2869">
      <c r="A2869" s="6" t="s">
        <v>170</v>
      </c>
      <c r="B2869" s="6" t="s">
        <v>1906</v>
      </c>
      <c r="C2869" s="6" t="s">
        <v>2106</v>
      </c>
      <c r="D2869" s="7" t="str">
        <f t="shared" ref="D2869:D2870" si="476">HYPERLINK("https://12go.asia/en/travel/39-National-Highway-1A/54-Le-Duan", "12Go Link")</f>
        <v>12Go Link</v>
      </c>
      <c r="E2869" s="6" t="s">
        <v>1902</v>
      </c>
    </row>
    <row r="2870">
      <c r="A2870" s="6" t="s">
        <v>170</v>
      </c>
      <c r="B2870" s="6" t="s">
        <v>1906</v>
      </c>
      <c r="C2870" s="6" t="s">
        <v>2106</v>
      </c>
      <c r="D2870" s="7" t="str">
        <f t="shared" si="476"/>
        <v>12Go Link</v>
      </c>
      <c r="E2870" s="6" t="s">
        <v>1903</v>
      </c>
    </row>
    <row r="2871">
      <c r="A2871" s="6" t="s">
        <v>170</v>
      </c>
      <c r="B2871" s="6" t="s">
        <v>1930</v>
      </c>
      <c r="C2871" s="6" t="s">
        <v>2107</v>
      </c>
      <c r="D2871" s="7" t="str">
        <f>HYPERLINK("https://12go.asia/en/travel/229-Pham-Ngu-Lao/185-Ton-Duc-Thang", "12Go Link")</f>
        <v>12Go Link</v>
      </c>
      <c r="E2871" s="6" t="s">
        <v>2089</v>
      </c>
    </row>
    <row r="2872">
      <c r="A2872" s="6" t="s">
        <v>170</v>
      </c>
      <c r="B2872" s="6" t="s">
        <v>1930</v>
      </c>
      <c r="C2872" s="6" t="s">
        <v>2108</v>
      </c>
      <c r="D2872" s="7" t="str">
        <f>HYPERLINK("https://12go.asia/en/travel/229-Pham-Ngu-Lao/356-Huynh-Thuc-Khang", "12Go Link")</f>
        <v>12Go Link</v>
      </c>
      <c r="E2872" s="6" t="s">
        <v>2016</v>
      </c>
    </row>
    <row r="2873">
      <c r="A2873" s="6" t="s">
        <v>170</v>
      </c>
      <c r="B2873" s="6" t="s">
        <v>1930</v>
      </c>
      <c r="C2873" s="6" t="s">
        <v>2109</v>
      </c>
      <c r="D2873" s="7" t="str">
        <f t="shared" ref="D2873:D2875" si="477">HYPERLINK("https://12go.asia/en/travel/229-Pham-Ngu-Lao/iHome-Backpacker-Resort", "12Go Link")</f>
        <v>12Go Link</v>
      </c>
      <c r="E2873" s="6" t="s">
        <v>2016</v>
      </c>
    </row>
    <row r="2874">
      <c r="A2874" s="6" t="s">
        <v>170</v>
      </c>
      <c r="B2874" s="6" t="s">
        <v>1930</v>
      </c>
      <c r="C2874" s="6" t="s">
        <v>2109</v>
      </c>
      <c r="D2874" s="7" t="str">
        <f t="shared" si="477"/>
        <v>12Go Link</v>
      </c>
      <c r="E2874" s="6" t="s">
        <v>2089</v>
      </c>
    </row>
    <row r="2875">
      <c r="A2875" s="6" t="s">
        <v>170</v>
      </c>
      <c r="B2875" s="6" t="s">
        <v>1930</v>
      </c>
      <c r="C2875" s="6" t="s">
        <v>2109</v>
      </c>
      <c r="D2875" s="7" t="str">
        <f t="shared" si="477"/>
        <v>12Go Link</v>
      </c>
      <c r="E2875" s="6" t="s">
        <v>2090</v>
      </c>
    </row>
    <row r="2876">
      <c r="A2876" s="6" t="s">
        <v>170</v>
      </c>
      <c r="B2876" s="6" t="s">
        <v>1930</v>
      </c>
      <c r="C2876" s="6" t="s">
        <v>2110</v>
      </c>
      <c r="D2876" s="7" t="str">
        <f t="shared" ref="D2876:D2877" si="478">HYPERLINK("https://12go.asia/en/travel/Tan-Son-Nhat-Airport/Mui-Ne-Hotel-Transfer", "12Go Link")</f>
        <v>12Go Link</v>
      </c>
      <c r="E2876" s="6" t="s">
        <v>567</v>
      </c>
    </row>
    <row r="2877">
      <c r="A2877" s="6" t="s">
        <v>170</v>
      </c>
      <c r="B2877" s="6" t="s">
        <v>1930</v>
      </c>
      <c r="C2877" s="6" t="s">
        <v>2110</v>
      </c>
      <c r="D2877" s="7" t="str">
        <f t="shared" si="478"/>
        <v>12Go Link</v>
      </c>
      <c r="E2877" s="6" t="s">
        <v>772</v>
      </c>
    </row>
    <row r="2878">
      <c r="A2878" s="6" t="s">
        <v>170</v>
      </c>
      <c r="B2878" s="6" t="s">
        <v>1933</v>
      </c>
      <c r="C2878" s="6" t="s">
        <v>2111</v>
      </c>
      <c r="D2878" s="7" t="str">
        <f t="shared" ref="D2878:D2879" si="479">HYPERLINK("https://12go.asia/en/travel/229-Pham-Ngu-Lao/Panorama-Nha-Trang-Hotel", "12Go Link")</f>
        <v>12Go Link</v>
      </c>
      <c r="E2878" s="6" t="s">
        <v>2016</v>
      </c>
    </row>
    <row r="2879">
      <c r="A2879" s="6" t="s">
        <v>170</v>
      </c>
      <c r="B2879" s="6" t="s">
        <v>1933</v>
      </c>
      <c r="C2879" s="6" t="s">
        <v>2111</v>
      </c>
      <c r="D2879" s="7" t="str">
        <f t="shared" si="479"/>
        <v>12Go Link</v>
      </c>
      <c r="E2879" s="6" t="s">
        <v>2089</v>
      </c>
    </row>
    <row r="2880">
      <c r="A2880" s="6" t="s">
        <v>170</v>
      </c>
      <c r="B2880" s="6" t="s">
        <v>2112</v>
      </c>
      <c r="C2880" s="6" t="s">
        <v>2113</v>
      </c>
      <c r="D2880" s="7" t="str">
        <f t="shared" ref="D2880:D2881" si="480">HYPERLINK("https://12go.asia/en/travel/Tan-Son-Nhat-Airport/Phan-Thiet-Hotel-Transfer", "12Go Link")</f>
        <v>12Go Link</v>
      </c>
      <c r="E2880" s="6" t="s">
        <v>567</v>
      </c>
    </row>
    <row r="2881">
      <c r="A2881" s="6" t="s">
        <v>170</v>
      </c>
      <c r="B2881" s="6" t="s">
        <v>2112</v>
      </c>
      <c r="C2881" s="6" t="s">
        <v>2113</v>
      </c>
      <c r="D2881" s="7" t="str">
        <f t="shared" si="480"/>
        <v>12Go Link</v>
      </c>
      <c r="E2881" s="6" t="s">
        <v>772</v>
      </c>
    </row>
    <row r="2882">
      <c r="A2882" s="8" t="s">
        <v>1904</v>
      </c>
      <c r="B2882" s="8" t="s">
        <v>1895</v>
      </c>
      <c r="C2882" s="8" t="s">
        <v>2114</v>
      </c>
      <c r="D2882" s="9" t="str">
        <f t="shared" ref="D2882:D2884" si="481">HYPERLINK("https://12go.asia/en/travel/109-Ton-Duc-Thang/Bac-Phan-Thiet-Roundabout", "12Go Link")</f>
        <v>12Go Link</v>
      </c>
      <c r="E2882" s="8" t="s">
        <v>1901</v>
      </c>
    </row>
    <row r="2883">
      <c r="A2883" s="8" t="s">
        <v>1904</v>
      </c>
      <c r="B2883" s="8" t="s">
        <v>1895</v>
      </c>
      <c r="C2883" s="8" t="s">
        <v>2114</v>
      </c>
      <c r="D2883" s="9" t="str">
        <f t="shared" si="481"/>
        <v>12Go Link</v>
      </c>
      <c r="E2883" s="8" t="s">
        <v>1902</v>
      </c>
    </row>
    <row r="2884">
      <c r="A2884" s="8" t="s">
        <v>1904</v>
      </c>
      <c r="B2884" s="8" t="s">
        <v>1895</v>
      </c>
      <c r="C2884" s="8" t="s">
        <v>2114</v>
      </c>
      <c r="D2884" s="9" t="str">
        <f t="shared" si="481"/>
        <v>12Go Link</v>
      </c>
      <c r="E2884" s="8" t="s">
        <v>1903</v>
      </c>
    </row>
    <row r="2885">
      <c r="A2885" s="8" t="s">
        <v>1904</v>
      </c>
      <c r="B2885" s="8" t="s">
        <v>170</v>
      </c>
      <c r="C2885" s="8" t="s">
        <v>2115</v>
      </c>
      <c r="D2885" s="9" t="str">
        <f t="shared" ref="D2885:D2887" si="482">HYPERLINK("https://12go.asia/en/travel/109-Ton-Duc-Thang/306A-Hong-Lac", "12Go Link")</f>
        <v>12Go Link</v>
      </c>
      <c r="E2885" s="8" t="s">
        <v>1901</v>
      </c>
    </row>
    <row r="2886">
      <c r="A2886" s="8" t="s">
        <v>1904</v>
      </c>
      <c r="B2886" s="8" t="s">
        <v>170</v>
      </c>
      <c r="C2886" s="8" t="s">
        <v>2115</v>
      </c>
      <c r="D2886" s="9" t="str">
        <f t="shared" si="482"/>
        <v>12Go Link</v>
      </c>
      <c r="E2886" s="8" t="s">
        <v>1902</v>
      </c>
    </row>
    <row r="2887">
      <c r="A2887" s="8" t="s">
        <v>1904</v>
      </c>
      <c r="B2887" s="8" t="s">
        <v>170</v>
      </c>
      <c r="C2887" s="8" t="s">
        <v>2115</v>
      </c>
      <c r="D2887" s="9" t="str">
        <f t="shared" si="482"/>
        <v>12Go Link</v>
      </c>
      <c r="E2887" s="8" t="s">
        <v>1903</v>
      </c>
    </row>
    <row r="2888">
      <c r="A2888" s="8" t="s">
        <v>1904</v>
      </c>
      <c r="B2888" s="8" t="s">
        <v>170</v>
      </c>
      <c r="C2888" s="8" t="s">
        <v>2116</v>
      </c>
      <c r="D2888" s="9" t="str">
        <f t="shared" ref="D2888:D2890" si="483">HYPERLINK("https://12go.asia/en/travel/109-Ton-Duc-Thang/39-National-Highway-1A", "12Go Link")</f>
        <v>12Go Link</v>
      </c>
      <c r="E2888" s="8" t="s">
        <v>1901</v>
      </c>
    </row>
    <row r="2889">
      <c r="A2889" s="8" t="s">
        <v>1904</v>
      </c>
      <c r="B2889" s="8" t="s">
        <v>170</v>
      </c>
      <c r="C2889" s="8" t="s">
        <v>2116</v>
      </c>
      <c r="D2889" s="9" t="str">
        <f t="shared" si="483"/>
        <v>12Go Link</v>
      </c>
      <c r="E2889" s="8" t="s">
        <v>1902</v>
      </c>
    </row>
    <row r="2890">
      <c r="A2890" s="8" t="s">
        <v>1904</v>
      </c>
      <c r="B2890" s="8" t="s">
        <v>170</v>
      </c>
      <c r="C2890" s="8" t="s">
        <v>2116</v>
      </c>
      <c r="D2890" s="9" t="str">
        <f t="shared" si="483"/>
        <v>12Go Link</v>
      </c>
      <c r="E2890" s="8" t="s">
        <v>1903</v>
      </c>
    </row>
    <row r="2891">
      <c r="A2891" s="8" t="s">
        <v>1904</v>
      </c>
      <c r="B2891" s="8" t="s">
        <v>170</v>
      </c>
      <c r="C2891" s="8" t="s">
        <v>2117</v>
      </c>
      <c r="D2891" s="9" t="str">
        <f>HYPERLINK("https://12go.asia/en/travel/181-Ton-Duc-Thang/292-Dinh-Bo-Linh", "12Go Link")</f>
        <v>12Go Link</v>
      </c>
      <c r="E2891" s="8" t="s">
        <v>1943</v>
      </c>
    </row>
    <row r="2892">
      <c r="A2892" s="8" t="s">
        <v>1904</v>
      </c>
      <c r="B2892" s="8" t="s">
        <v>170</v>
      </c>
      <c r="C2892" s="8" t="s">
        <v>2118</v>
      </c>
      <c r="D2892" s="9" t="str">
        <f>HYPERLINK("https://12go.asia/en/travel/181-Ton-Duc-Thang/332-Go-Dau", "12Go Link")</f>
        <v>12Go Link</v>
      </c>
      <c r="E2892" s="8" t="s">
        <v>1943</v>
      </c>
    </row>
    <row r="2893">
      <c r="A2893" s="8" t="s">
        <v>1904</v>
      </c>
      <c r="B2893" s="8" t="s">
        <v>1906</v>
      </c>
      <c r="C2893" s="8" t="s">
        <v>2119</v>
      </c>
      <c r="D2893" s="9" t="str">
        <f>HYPERLINK("https://12go.asia/en/travel/548-Hai-Ba-Trung/35-Ben-Nghe", "12Go Link")</f>
        <v>12Go Link</v>
      </c>
      <c r="E2893" s="8" t="s">
        <v>1946</v>
      </c>
    </row>
    <row r="2894">
      <c r="A2894" s="8" t="s">
        <v>1904</v>
      </c>
      <c r="B2894" s="8" t="s">
        <v>1906</v>
      </c>
      <c r="C2894" s="8" t="s">
        <v>2120</v>
      </c>
      <c r="D2894" s="9" t="str">
        <f>HYPERLINK("https://12go.asia/en/travel/548-Hai-Ba-Trung/Highlands-Coffee-Le-Loi", "12Go Link")</f>
        <v>12Go Link</v>
      </c>
      <c r="E2894" s="8" t="s">
        <v>1946</v>
      </c>
    </row>
    <row r="2895">
      <c r="A2895" s="8" t="s">
        <v>1904</v>
      </c>
      <c r="B2895" s="8" t="s">
        <v>1930</v>
      </c>
      <c r="C2895" s="8" t="s">
        <v>2121</v>
      </c>
      <c r="D2895" s="9" t="str">
        <f t="shared" ref="D2895:D2896" si="484">HYPERLINK("https://12go.asia/en/travel/109-Ton-Duc-Thang/245-Nguyen-Dinh-Chieu", "12Go Link")</f>
        <v>12Go Link</v>
      </c>
      <c r="E2895" s="8" t="s">
        <v>1902</v>
      </c>
    </row>
    <row r="2896">
      <c r="A2896" s="8" t="s">
        <v>1904</v>
      </c>
      <c r="B2896" s="8" t="s">
        <v>1930</v>
      </c>
      <c r="C2896" s="8" t="s">
        <v>2121</v>
      </c>
      <c r="D2896" s="9" t="str">
        <f t="shared" si="484"/>
        <v>12Go Link</v>
      </c>
      <c r="E2896" s="8" t="s">
        <v>1903</v>
      </c>
    </row>
    <row r="2897">
      <c r="A2897" s="8" t="s">
        <v>1904</v>
      </c>
      <c r="B2897" s="8" t="s">
        <v>1933</v>
      </c>
      <c r="C2897" s="8" t="s">
        <v>2122</v>
      </c>
      <c r="D2897" s="9" t="str">
        <f>HYPERLINK("https://12go.asia/en/travel/105-Ton-Duc-Thang/5-To-Huu", "12Go Link")</f>
        <v>12Go Link</v>
      </c>
      <c r="E2897" s="8" t="s">
        <v>1929</v>
      </c>
    </row>
    <row r="2898">
      <c r="A2898" s="8" t="s">
        <v>1904</v>
      </c>
      <c r="B2898" s="8" t="s">
        <v>1933</v>
      </c>
      <c r="C2898" s="8" t="s">
        <v>2123</v>
      </c>
      <c r="D2898" s="9" t="str">
        <f>HYPERLINK("https://12go.asia/en/travel/97-Nguyen-Tat-Thanh/5-To-Huu", "12Go Link")</f>
        <v>12Go Link</v>
      </c>
      <c r="E2898" s="8" t="s">
        <v>1929</v>
      </c>
    </row>
    <row r="2899">
      <c r="A2899" s="8" t="s">
        <v>1904</v>
      </c>
      <c r="B2899" s="8" t="s">
        <v>1964</v>
      </c>
      <c r="C2899" s="8" t="s">
        <v>2124</v>
      </c>
      <c r="D2899" s="9" t="str">
        <f>HYPERLINK("https://12go.asia/en/travel/97-Nguyen-Tat-Thanh/Phong-Nha-Hung-Thanh-Bus-Office", "12Go Link")</f>
        <v>12Go Link</v>
      </c>
      <c r="E2899" s="8" t="s">
        <v>1929</v>
      </c>
    </row>
    <row r="2900">
      <c r="A2900" s="8" t="s">
        <v>1904</v>
      </c>
      <c r="B2900" s="8" t="s">
        <v>1966</v>
      </c>
      <c r="C2900" s="8" t="s">
        <v>2125</v>
      </c>
      <c r="D2900" s="9" t="str">
        <f t="shared" ref="D2900:D2901" si="485">HYPERLINK("https://12go.asia/en/travel/Hoi-An-Hotel-Transfer/Dong-Hoi", "12Go Link")</f>
        <v>12Go Link</v>
      </c>
      <c r="E2900" s="8" t="s">
        <v>567</v>
      </c>
    </row>
    <row r="2901">
      <c r="A2901" s="8" t="s">
        <v>1904</v>
      </c>
      <c r="B2901" s="8" t="s">
        <v>1966</v>
      </c>
      <c r="C2901" s="8" t="s">
        <v>2125</v>
      </c>
      <c r="D2901" s="9" t="str">
        <f t="shared" si="485"/>
        <v>12Go Link</v>
      </c>
      <c r="E2901" s="8" t="s">
        <v>772</v>
      </c>
    </row>
    <row r="2902">
      <c r="A2902" s="8" t="s">
        <v>1904</v>
      </c>
      <c r="B2902" s="8" t="s">
        <v>1970</v>
      </c>
      <c r="C2902" s="8" t="s">
        <v>2126</v>
      </c>
      <c r="D2902" s="9" t="str">
        <f t="shared" ref="D2902:D2904" si="486">HYPERLINK("https://12go.asia/en/travel/109-Ton-Duc-Thang/Dinh-Nhan-Bus-VP-Binh-Phuoc", "12Go Link")</f>
        <v>12Go Link</v>
      </c>
      <c r="E2902" s="8" t="s">
        <v>1901</v>
      </c>
    </row>
    <row r="2903">
      <c r="A2903" s="8" t="s">
        <v>1904</v>
      </c>
      <c r="B2903" s="8" t="s">
        <v>1970</v>
      </c>
      <c r="C2903" s="8" t="s">
        <v>2126</v>
      </c>
      <c r="D2903" s="9" t="str">
        <f t="shared" si="486"/>
        <v>12Go Link</v>
      </c>
      <c r="E2903" s="8" t="s">
        <v>1902</v>
      </c>
    </row>
    <row r="2904">
      <c r="A2904" s="8" t="s">
        <v>1904</v>
      </c>
      <c r="B2904" s="8" t="s">
        <v>1970</v>
      </c>
      <c r="C2904" s="8" t="s">
        <v>2126</v>
      </c>
      <c r="D2904" s="9" t="str">
        <f t="shared" si="486"/>
        <v>12Go Link</v>
      </c>
      <c r="E2904" s="8" t="s">
        <v>1903</v>
      </c>
    </row>
    <row r="2905">
      <c r="A2905" s="8" t="s">
        <v>1904</v>
      </c>
      <c r="B2905" s="8" t="s">
        <v>1970</v>
      </c>
      <c r="C2905" s="8" t="s">
        <v>2127</v>
      </c>
      <c r="D2905" s="9" t="str">
        <f>HYPERLINK("https://12go.asia/en/travel/181-Ton-Duc-Thang/720-Do-Muoi", "12Go Link")</f>
        <v>12Go Link</v>
      </c>
      <c r="E2905" s="8" t="s">
        <v>1943</v>
      </c>
    </row>
    <row r="2906">
      <c r="A2906" s="6" t="s">
        <v>1906</v>
      </c>
      <c r="B2906" s="6" t="s">
        <v>1895</v>
      </c>
      <c r="C2906" s="6" t="s">
        <v>2128</v>
      </c>
      <c r="D2906" s="7" t="str">
        <f t="shared" ref="D2906:D2907" si="487">HYPERLINK("https://12go.asia/en/travel/54-Le-Duan/Bac-Phan-Thiet-Roundabout", "12Go Link")</f>
        <v>12Go Link</v>
      </c>
      <c r="E2906" s="6" t="s">
        <v>1902</v>
      </c>
    </row>
    <row r="2907">
      <c r="A2907" s="6" t="s">
        <v>1906</v>
      </c>
      <c r="B2907" s="6" t="s">
        <v>1895</v>
      </c>
      <c r="C2907" s="6" t="s">
        <v>2128</v>
      </c>
      <c r="D2907" s="7" t="str">
        <f t="shared" si="487"/>
        <v>12Go Link</v>
      </c>
      <c r="E2907" s="6" t="s">
        <v>1903</v>
      </c>
    </row>
    <row r="2908">
      <c r="A2908" s="6" t="s">
        <v>1906</v>
      </c>
      <c r="B2908" s="6" t="s">
        <v>1899</v>
      </c>
      <c r="C2908" s="6" t="s">
        <v>2129</v>
      </c>
      <c r="D2908" s="7" t="str">
        <f>HYPERLINK("https://12go.asia/en/travel/35-Ben-Nghe/200-Vo-Nguyen-Giap-My-Khe-Beach", "12Go Link")</f>
        <v>12Go Link</v>
      </c>
      <c r="E2908" s="6" t="s">
        <v>1946</v>
      </c>
    </row>
    <row r="2909">
      <c r="A2909" s="6" t="s">
        <v>1906</v>
      </c>
      <c r="B2909" s="6" t="s">
        <v>1899</v>
      </c>
      <c r="C2909" s="6" t="s">
        <v>2130</v>
      </c>
      <c r="D2909" s="7" t="str">
        <f>HYPERLINK("https://12go.asia/en/travel/35-Ben-Nghe/233-Nguyen-Van-Thoai", "12Go Link")</f>
        <v>12Go Link</v>
      </c>
      <c r="E2909" s="6" t="s">
        <v>1946</v>
      </c>
    </row>
    <row r="2910">
      <c r="A2910" s="6" t="s">
        <v>1906</v>
      </c>
      <c r="B2910" s="6" t="s">
        <v>1899</v>
      </c>
      <c r="C2910" s="6" t="s">
        <v>2131</v>
      </c>
      <c r="D2910" s="7" t="str">
        <f>HYPERLINK("https://12go.asia/en/travel/54-Le-Duan/166-Dien-Bien-Phu", "12Go Link")</f>
        <v>12Go Link</v>
      </c>
      <c r="E2910" s="6" t="s">
        <v>1903</v>
      </c>
    </row>
    <row r="2911">
      <c r="A2911" s="6" t="s">
        <v>1906</v>
      </c>
      <c r="B2911" s="6" t="s">
        <v>1899</v>
      </c>
      <c r="C2911" s="6" t="s">
        <v>2132</v>
      </c>
      <c r="D2911" s="7" t="str">
        <f>HYPERLINK("https://12go.asia/en/travel/GO-Hue/GO-Da-Nang", "12Go Link")</f>
        <v>12Go Link</v>
      </c>
      <c r="E2911" s="6" t="s">
        <v>1953</v>
      </c>
    </row>
    <row r="2912">
      <c r="A2912" s="6" t="s">
        <v>1906</v>
      </c>
      <c r="B2912" s="6" t="s">
        <v>1899</v>
      </c>
      <c r="C2912" s="6" t="s">
        <v>2133</v>
      </c>
      <c r="D2912" s="7" t="str">
        <f>HYPERLINK("https://12go.asia/en/travel/Highlands-Coffee-Le-Loi/200-Vo-Nguyen-Giap-My-Khe-Beach", "12Go Link")</f>
        <v>12Go Link</v>
      </c>
      <c r="E2912" s="6" t="s">
        <v>1946</v>
      </c>
    </row>
    <row r="2913">
      <c r="A2913" s="6" t="s">
        <v>1906</v>
      </c>
      <c r="B2913" s="6" t="s">
        <v>1899</v>
      </c>
      <c r="C2913" s="6" t="s">
        <v>2134</v>
      </c>
      <c r="D2913" s="7" t="str">
        <f>HYPERLINK("https://12go.asia/en/travel/Highlands-Coffee-Le-Loi/233-Nguyen-Van-Thoai", "12Go Link")</f>
        <v>12Go Link</v>
      </c>
      <c r="E2913" s="6" t="s">
        <v>1946</v>
      </c>
    </row>
    <row r="2914">
      <c r="A2914" s="6" t="s">
        <v>1906</v>
      </c>
      <c r="B2914" s="6" t="s">
        <v>1899</v>
      </c>
      <c r="C2914" s="6" t="s">
        <v>2135</v>
      </c>
      <c r="D2914" s="7" t="str">
        <f>HYPERLINK("https://12go.asia/en/travel/Hue/Da-Nang", "12Go Link")</f>
        <v>12Go Link</v>
      </c>
      <c r="E2914" s="6" t="s">
        <v>1951</v>
      </c>
    </row>
    <row r="2915">
      <c r="A2915" s="6" t="s">
        <v>1906</v>
      </c>
      <c r="B2915" s="6" t="s">
        <v>1899</v>
      </c>
      <c r="C2915" s="6" t="s">
        <v>2136</v>
      </c>
      <c r="D2915" s="7" t="str">
        <f>HYPERLINK("https://12go.asia/en/travel/TTTM-Vincom-Plaza/Vincom-Plaza-Da-Nang", "12Go Link")</f>
        <v>12Go Link</v>
      </c>
      <c r="E2915" s="6" t="s">
        <v>1953</v>
      </c>
    </row>
    <row r="2916">
      <c r="A2916" s="6" t="s">
        <v>1906</v>
      </c>
      <c r="B2916" s="6" t="s">
        <v>650</v>
      </c>
      <c r="C2916" s="6" t="s">
        <v>2137</v>
      </c>
      <c r="D2916" s="7" t="str">
        <f t="shared" ref="D2916:D2918" si="488">HYPERLINK("https://12go.asia/en/travel/Hue/Hanoi", "12Go Link")</f>
        <v>12Go Link</v>
      </c>
      <c r="E2916" s="6" t="s">
        <v>1961</v>
      </c>
    </row>
    <row r="2917">
      <c r="A2917" s="6" t="s">
        <v>1906</v>
      </c>
      <c r="B2917" s="6" t="s">
        <v>650</v>
      </c>
      <c r="C2917" s="6" t="s">
        <v>2137</v>
      </c>
      <c r="D2917" s="7" t="str">
        <f t="shared" si="488"/>
        <v>12Go Link</v>
      </c>
      <c r="E2917" s="6" t="s">
        <v>1962</v>
      </c>
    </row>
    <row r="2918">
      <c r="A2918" s="6" t="s">
        <v>1906</v>
      </c>
      <c r="B2918" s="6" t="s">
        <v>650</v>
      </c>
      <c r="C2918" s="6" t="s">
        <v>2137</v>
      </c>
      <c r="D2918" s="7" t="str">
        <f t="shared" si="488"/>
        <v>12Go Link</v>
      </c>
      <c r="E2918" s="6" t="s">
        <v>1963</v>
      </c>
    </row>
    <row r="2919">
      <c r="A2919" s="6" t="s">
        <v>1906</v>
      </c>
      <c r="B2919" s="6" t="s">
        <v>170</v>
      </c>
      <c r="C2919" s="6" t="s">
        <v>2138</v>
      </c>
      <c r="D2919" s="7" t="str">
        <f t="shared" ref="D2919:D2920" si="489">HYPERLINK("https://12go.asia/en/travel/54-Le-Duan/306A-Hong-Lac", "12Go Link")</f>
        <v>12Go Link</v>
      </c>
      <c r="E2919" s="6" t="s">
        <v>1902</v>
      </c>
    </row>
    <row r="2920">
      <c r="A2920" s="6" t="s">
        <v>1906</v>
      </c>
      <c r="B2920" s="6" t="s">
        <v>170</v>
      </c>
      <c r="C2920" s="6" t="s">
        <v>2138</v>
      </c>
      <c r="D2920" s="7" t="str">
        <f t="shared" si="489"/>
        <v>12Go Link</v>
      </c>
      <c r="E2920" s="6" t="s">
        <v>1903</v>
      </c>
    </row>
    <row r="2921">
      <c r="A2921" s="6" t="s">
        <v>1906</v>
      </c>
      <c r="B2921" s="6" t="s">
        <v>170</v>
      </c>
      <c r="C2921" s="6" t="s">
        <v>2139</v>
      </c>
      <c r="D2921" s="7" t="str">
        <f t="shared" ref="D2921:D2922" si="490">HYPERLINK("https://12go.asia/en/travel/54-Le-Duan/39-National-Highway-1A", "12Go Link")</f>
        <v>12Go Link</v>
      </c>
      <c r="E2921" s="6" t="s">
        <v>1902</v>
      </c>
    </row>
    <row r="2922">
      <c r="A2922" s="6" t="s">
        <v>1906</v>
      </c>
      <c r="B2922" s="6" t="s">
        <v>170</v>
      </c>
      <c r="C2922" s="6" t="s">
        <v>2139</v>
      </c>
      <c r="D2922" s="7" t="str">
        <f t="shared" si="490"/>
        <v>12Go Link</v>
      </c>
      <c r="E2922" s="6" t="s">
        <v>1903</v>
      </c>
    </row>
    <row r="2923">
      <c r="A2923" s="6" t="s">
        <v>1906</v>
      </c>
      <c r="B2923" s="6" t="s">
        <v>170</v>
      </c>
      <c r="C2923" s="6" t="s">
        <v>2140</v>
      </c>
      <c r="D2923" s="7" t="str">
        <f>HYPERLINK("https://12go.asia/en/travel/55-Vo-Van-Kiet/292-Dinh-Bo-Linh", "12Go Link")</f>
        <v>12Go Link</v>
      </c>
      <c r="E2923" s="6" t="s">
        <v>1943</v>
      </c>
    </row>
    <row r="2924">
      <c r="A2924" s="6" t="s">
        <v>1906</v>
      </c>
      <c r="B2924" s="6" t="s">
        <v>170</v>
      </c>
      <c r="C2924" s="6" t="s">
        <v>2141</v>
      </c>
      <c r="D2924" s="7" t="str">
        <f>HYPERLINK("https://12go.asia/en/travel/55-Vo-Van-Kiet/332-Go-Dau", "12Go Link")</f>
        <v>12Go Link</v>
      </c>
      <c r="E2924" s="6" t="s">
        <v>1943</v>
      </c>
    </row>
    <row r="2925">
      <c r="A2925" s="6" t="s">
        <v>1906</v>
      </c>
      <c r="B2925" s="6" t="s">
        <v>170</v>
      </c>
      <c r="C2925" s="6" t="s">
        <v>2142</v>
      </c>
      <c r="D2925" s="7" t="str">
        <f>HYPERLINK("https://12go.asia/en/travel/97-An-Duong-Vuong/292-Dinh-Bo-Linh", "12Go Link")</f>
        <v>12Go Link</v>
      </c>
      <c r="E2925" s="6" t="s">
        <v>1943</v>
      </c>
    </row>
    <row r="2926">
      <c r="A2926" s="6" t="s">
        <v>1906</v>
      </c>
      <c r="B2926" s="6" t="s">
        <v>170</v>
      </c>
      <c r="C2926" s="6" t="s">
        <v>2143</v>
      </c>
      <c r="D2926" s="7" t="str">
        <f>HYPERLINK("https://12go.asia/en/travel/97-An-Duong-Vuong/332-Go-Dau", "12Go Link")</f>
        <v>12Go Link</v>
      </c>
      <c r="E2926" s="6" t="s">
        <v>1943</v>
      </c>
    </row>
    <row r="2927">
      <c r="A2927" s="6" t="s">
        <v>1906</v>
      </c>
      <c r="B2927" s="6" t="s">
        <v>1904</v>
      </c>
      <c r="C2927" s="6" t="s">
        <v>2144</v>
      </c>
      <c r="D2927" s="7" t="str">
        <f>HYPERLINK("https://12go.asia/en/travel/35-Ben-Nghe/548-Hai-Ba-Trung", "12Go Link")</f>
        <v>12Go Link</v>
      </c>
      <c r="E2927" s="6" t="s">
        <v>1946</v>
      </c>
    </row>
    <row r="2928">
      <c r="A2928" s="6" t="s">
        <v>1906</v>
      </c>
      <c r="B2928" s="6" t="s">
        <v>1904</v>
      </c>
      <c r="C2928" s="6" t="s">
        <v>2145</v>
      </c>
      <c r="D2928" s="7" t="str">
        <f>HYPERLINK("https://12go.asia/en/travel/54-Le-Duan/109-Ton-Duc-Thang", "12Go Link")</f>
        <v>12Go Link</v>
      </c>
      <c r="E2928" s="6" t="s">
        <v>1903</v>
      </c>
    </row>
    <row r="2929">
      <c r="A2929" s="6" t="s">
        <v>1906</v>
      </c>
      <c r="B2929" s="6" t="s">
        <v>1904</v>
      </c>
      <c r="C2929" s="6" t="s">
        <v>2146</v>
      </c>
      <c r="D2929" s="7" t="str">
        <f>HYPERLINK("https://12go.asia/en/travel/Highlands-Coffee-Le-Loi/548-Hai-Ba-Trung", "12Go Link")</f>
        <v>12Go Link</v>
      </c>
      <c r="E2929" s="6" t="s">
        <v>1946</v>
      </c>
    </row>
    <row r="2930">
      <c r="A2930" s="6" t="s">
        <v>1906</v>
      </c>
      <c r="B2930" s="6" t="s">
        <v>1930</v>
      </c>
      <c r="C2930" s="6" t="s">
        <v>2147</v>
      </c>
      <c r="D2930" s="7" t="str">
        <f t="shared" ref="D2930:D2931" si="491">HYPERLINK("https://12go.asia/en/travel/54-Le-Duan/245-Nguyen-Dinh-Chieu", "12Go Link")</f>
        <v>12Go Link</v>
      </c>
      <c r="E2930" s="6" t="s">
        <v>1902</v>
      </c>
    </row>
    <row r="2931">
      <c r="A2931" s="6" t="s">
        <v>1906</v>
      </c>
      <c r="B2931" s="6" t="s">
        <v>1930</v>
      </c>
      <c r="C2931" s="6" t="s">
        <v>2147</v>
      </c>
      <c r="D2931" s="7" t="str">
        <f t="shared" si="491"/>
        <v>12Go Link</v>
      </c>
      <c r="E2931" s="6" t="s">
        <v>1903</v>
      </c>
    </row>
    <row r="2932">
      <c r="A2932" s="6" t="s">
        <v>1906</v>
      </c>
      <c r="B2932" s="6" t="s">
        <v>1933</v>
      </c>
      <c r="C2932" s="6" t="s">
        <v>2148</v>
      </c>
      <c r="D2932" s="7" t="str">
        <f>HYPERLINK("https://12go.asia/en/travel/Nguyen-Hoang-Bus-Station/5-To-Huu", "12Go Link")</f>
        <v>12Go Link</v>
      </c>
      <c r="E2932" s="6" t="s">
        <v>1929</v>
      </c>
    </row>
    <row r="2933">
      <c r="A2933" s="6" t="s">
        <v>1906</v>
      </c>
      <c r="B2933" s="6" t="s">
        <v>1958</v>
      </c>
      <c r="C2933" s="6" t="s">
        <v>2149</v>
      </c>
      <c r="D2933" s="7" t="str">
        <f t="shared" ref="D2933:D2935" si="492">HYPERLINK("https://12go.asia/en/travel/Hue/Ninh-Binh", "12Go Link")</f>
        <v>12Go Link</v>
      </c>
      <c r="E2933" s="6" t="s">
        <v>1961</v>
      </c>
    </row>
    <row r="2934">
      <c r="A2934" s="6" t="s">
        <v>1906</v>
      </c>
      <c r="B2934" s="6" t="s">
        <v>1958</v>
      </c>
      <c r="C2934" s="6" t="s">
        <v>2149</v>
      </c>
      <c r="D2934" s="7" t="str">
        <f t="shared" si="492"/>
        <v>12Go Link</v>
      </c>
      <c r="E2934" s="6" t="s">
        <v>1962</v>
      </c>
    </row>
    <row r="2935">
      <c r="A2935" s="6" t="s">
        <v>1906</v>
      </c>
      <c r="B2935" s="6" t="s">
        <v>1958</v>
      </c>
      <c r="C2935" s="6" t="s">
        <v>2149</v>
      </c>
      <c r="D2935" s="7" t="str">
        <f t="shared" si="492"/>
        <v>12Go Link</v>
      </c>
      <c r="E2935" s="6" t="s">
        <v>1963</v>
      </c>
    </row>
    <row r="2936">
      <c r="A2936" s="6" t="s">
        <v>1906</v>
      </c>
      <c r="B2936" s="6" t="s">
        <v>1958</v>
      </c>
      <c r="C2936" s="6" t="s">
        <v>2150</v>
      </c>
      <c r="D2936" s="7" t="str">
        <f t="shared" ref="D2936:D2937" si="493">HYPERLINK("https://12go.asia/en/travel/Hue-City/Ninh-Binh-Hotel-Transfer", "12Go Link")</f>
        <v>12Go Link</v>
      </c>
      <c r="E2936" s="6" t="s">
        <v>567</v>
      </c>
    </row>
    <row r="2937">
      <c r="A2937" s="6" t="s">
        <v>1906</v>
      </c>
      <c r="B2937" s="6" t="s">
        <v>1958</v>
      </c>
      <c r="C2937" s="6" t="s">
        <v>2150</v>
      </c>
      <c r="D2937" s="7" t="str">
        <f t="shared" si="493"/>
        <v>12Go Link</v>
      </c>
      <c r="E2937" s="6" t="s">
        <v>772</v>
      </c>
    </row>
    <row r="2938">
      <c r="A2938" s="6" t="s">
        <v>1906</v>
      </c>
      <c r="B2938" s="6" t="s">
        <v>1966</v>
      </c>
      <c r="C2938" s="6" t="s">
        <v>2151</v>
      </c>
      <c r="D2938" s="7" t="str">
        <f t="shared" ref="D2938:D2939" si="494">HYPERLINK("https://12go.asia/en/travel/Hue-City/Dong-Hoi", "12Go Link")</f>
        <v>12Go Link</v>
      </c>
      <c r="E2938" s="6" t="s">
        <v>567</v>
      </c>
    </row>
    <row r="2939">
      <c r="A2939" s="6" t="s">
        <v>1906</v>
      </c>
      <c r="B2939" s="6" t="s">
        <v>1966</v>
      </c>
      <c r="C2939" s="6" t="s">
        <v>2151</v>
      </c>
      <c r="D2939" s="7" t="str">
        <f t="shared" si="494"/>
        <v>12Go Link</v>
      </c>
      <c r="E2939" s="6" t="s">
        <v>772</v>
      </c>
    </row>
    <row r="2940">
      <c r="A2940" s="6" t="s">
        <v>1906</v>
      </c>
      <c r="B2940" s="6" t="s">
        <v>2152</v>
      </c>
      <c r="C2940" s="6" t="s">
        <v>2153</v>
      </c>
      <c r="D2940" s="7" t="str">
        <f>HYPERLINK("https://12go.asia/en/travel/35-Ben-Nghe/Hoi-An-Ivy-Hotel", "12Go Link")</f>
        <v>12Go Link</v>
      </c>
      <c r="E2940" s="6" t="s">
        <v>1946</v>
      </c>
    </row>
    <row r="2941">
      <c r="A2941" s="6" t="s">
        <v>1906</v>
      </c>
      <c r="B2941" s="6" t="s">
        <v>2152</v>
      </c>
      <c r="C2941" s="6" t="s">
        <v>2154</v>
      </c>
      <c r="D2941" s="7" t="str">
        <f>HYPERLINK("https://12go.asia/en/travel/Highlands-Coffee-Le-Loi/Hoi-An-Ivy-Hotel", "12Go Link")</f>
        <v>12Go Link</v>
      </c>
      <c r="E2941" s="6" t="s">
        <v>1946</v>
      </c>
    </row>
    <row r="2942">
      <c r="A2942" s="6" t="s">
        <v>1906</v>
      </c>
      <c r="B2942" s="6" t="s">
        <v>2155</v>
      </c>
      <c r="C2942" s="6" t="s">
        <v>2156</v>
      </c>
      <c r="D2942" s="7" t="str">
        <f t="shared" ref="D2942:D2943" si="495">HYPERLINK("https://12go.asia/en/travel/Hue-City/Pu-Luong", "12Go Link")</f>
        <v>12Go Link</v>
      </c>
      <c r="E2942" s="6" t="s">
        <v>567</v>
      </c>
    </row>
    <row r="2943">
      <c r="A2943" s="6" t="s">
        <v>1906</v>
      </c>
      <c r="B2943" s="6" t="s">
        <v>2155</v>
      </c>
      <c r="C2943" s="6" t="s">
        <v>2156</v>
      </c>
      <c r="D2943" s="7" t="str">
        <f t="shared" si="495"/>
        <v>12Go Link</v>
      </c>
      <c r="E2943" s="6" t="s">
        <v>772</v>
      </c>
    </row>
    <row r="2944">
      <c r="A2944" s="6" t="s">
        <v>1906</v>
      </c>
      <c r="B2944" s="6" t="s">
        <v>1970</v>
      </c>
      <c r="C2944" s="6" t="s">
        <v>2157</v>
      </c>
      <c r="D2944" s="7" t="str">
        <f t="shared" ref="D2944:D2945" si="496">HYPERLINK("https://12go.asia/en/travel/54-Le-Duan/Dinh-Nhan-Bus-VP-Binh-Phuoc", "12Go Link")</f>
        <v>12Go Link</v>
      </c>
      <c r="E2944" s="6" t="s">
        <v>1902</v>
      </c>
    </row>
    <row r="2945">
      <c r="A2945" s="6" t="s">
        <v>1906</v>
      </c>
      <c r="B2945" s="6" t="s">
        <v>1970</v>
      </c>
      <c r="C2945" s="6" t="s">
        <v>2157</v>
      </c>
      <c r="D2945" s="7" t="str">
        <f t="shared" si="496"/>
        <v>12Go Link</v>
      </c>
      <c r="E2945" s="6" t="s">
        <v>1903</v>
      </c>
    </row>
    <row r="2946">
      <c r="A2946" s="6" t="s">
        <v>1906</v>
      </c>
      <c r="B2946" s="6" t="s">
        <v>1970</v>
      </c>
      <c r="C2946" s="6" t="s">
        <v>2158</v>
      </c>
      <c r="D2946" s="7" t="str">
        <f>HYPERLINK("https://12go.asia/en/travel/55-Vo-Van-Kiet/720-Do-Muoi", "12Go Link")</f>
        <v>12Go Link</v>
      </c>
      <c r="E2946" s="6" t="s">
        <v>1943</v>
      </c>
    </row>
    <row r="2947">
      <c r="A2947" s="6" t="s">
        <v>1906</v>
      </c>
      <c r="B2947" s="6" t="s">
        <v>1970</v>
      </c>
      <c r="C2947" s="6" t="s">
        <v>2159</v>
      </c>
      <c r="D2947" s="7" t="str">
        <f>HYPERLINK("https://12go.asia/en/travel/97-An-Duong-Vuong/720-Do-Muoi", "12Go Link")</f>
        <v>12Go Link</v>
      </c>
      <c r="E2947" s="6" t="s">
        <v>1943</v>
      </c>
    </row>
    <row r="2948">
      <c r="A2948" s="8" t="s">
        <v>1893</v>
      </c>
      <c r="B2948" s="8" t="s">
        <v>1890</v>
      </c>
      <c r="C2948" s="8" t="s">
        <v>2160</v>
      </c>
      <c r="D2948" s="9" t="str">
        <f t="shared" ref="D2948:D2949" si="497">HYPERLINK("https://12go.asia/en/travel/Mang-Den/Quy-Nhon-City", "12Go Link")</f>
        <v>12Go Link</v>
      </c>
      <c r="E2948" s="8" t="s">
        <v>567</v>
      </c>
    </row>
    <row r="2949">
      <c r="A2949" s="8" t="s">
        <v>1893</v>
      </c>
      <c r="B2949" s="8" t="s">
        <v>1890</v>
      </c>
      <c r="C2949" s="8" t="s">
        <v>2160</v>
      </c>
      <c r="D2949" s="9" t="str">
        <f t="shared" si="497"/>
        <v>12Go Link</v>
      </c>
      <c r="E2949" s="8" t="s">
        <v>772</v>
      </c>
    </row>
    <row r="2950">
      <c r="A2950" s="6" t="s">
        <v>2161</v>
      </c>
      <c r="B2950" s="6" t="s">
        <v>652</v>
      </c>
      <c r="C2950" s="6" t="s">
        <v>2162</v>
      </c>
      <c r="D2950" s="7" t="str">
        <f t="shared" ref="D2950:D2951" si="498">HYPERLINK("https://12go.asia/en/travel/Lai-Chau/Sapa", "12Go Link")</f>
        <v>12Go Link</v>
      </c>
      <c r="E2950" s="6" t="s">
        <v>567</v>
      </c>
    </row>
    <row r="2951">
      <c r="A2951" s="6" t="s">
        <v>2161</v>
      </c>
      <c r="B2951" s="6" t="s">
        <v>652</v>
      </c>
      <c r="C2951" s="6" t="s">
        <v>2162</v>
      </c>
      <c r="D2951" s="7" t="str">
        <f t="shared" si="498"/>
        <v>12Go Link</v>
      </c>
      <c r="E2951" s="6" t="s">
        <v>772</v>
      </c>
    </row>
    <row r="2952">
      <c r="A2952" s="8" t="s">
        <v>2043</v>
      </c>
      <c r="B2952" s="8" t="s">
        <v>650</v>
      </c>
      <c r="C2952" s="8" t="s">
        <v>2163</v>
      </c>
      <c r="D2952" s="9" t="str">
        <f t="shared" ref="D2952:D2953" si="499">HYPERLINK("https://12go.asia/en/travel/Sapa-GreenLion/Hanoi-GreenLion", "12Go Link")</f>
        <v>12Go Link</v>
      </c>
      <c r="E2952" s="8" t="s">
        <v>2049</v>
      </c>
    </row>
    <row r="2953">
      <c r="A2953" s="8" t="s">
        <v>2043</v>
      </c>
      <c r="B2953" s="8" t="s">
        <v>650</v>
      </c>
      <c r="C2953" s="8" t="s">
        <v>2163</v>
      </c>
      <c r="D2953" s="9" t="str">
        <f t="shared" si="499"/>
        <v>12Go Link</v>
      </c>
      <c r="E2953" s="8" t="s">
        <v>2050</v>
      </c>
    </row>
    <row r="2954">
      <c r="A2954" s="8" t="s">
        <v>2043</v>
      </c>
      <c r="B2954" s="8" t="s">
        <v>650</v>
      </c>
      <c r="C2954" s="8" t="s">
        <v>2164</v>
      </c>
      <c r="D2954" s="9" t="str">
        <f t="shared" ref="D2954:D2956" si="500">HYPERLINK("https://12go.asia/en/travel/Sapa-Lao-Cai/Hanoi", "12Go Link")</f>
        <v>12Go Link</v>
      </c>
      <c r="E2954" s="8" t="s">
        <v>2045</v>
      </c>
    </row>
    <row r="2955">
      <c r="A2955" s="8" t="s">
        <v>2043</v>
      </c>
      <c r="B2955" s="8" t="s">
        <v>650</v>
      </c>
      <c r="C2955" s="8" t="s">
        <v>2164</v>
      </c>
      <c r="D2955" s="9" t="str">
        <f t="shared" si="500"/>
        <v>12Go Link</v>
      </c>
      <c r="E2955" s="8" t="s">
        <v>2046</v>
      </c>
    </row>
    <row r="2956">
      <c r="A2956" s="8" t="s">
        <v>2043</v>
      </c>
      <c r="B2956" s="8" t="s">
        <v>650</v>
      </c>
      <c r="C2956" s="8" t="s">
        <v>2164</v>
      </c>
      <c r="D2956" s="9" t="str">
        <f t="shared" si="500"/>
        <v>12Go Link</v>
      </c>
      <c r="E2956" s="8" t="s">
        <v>2047</v>
      </c>
    </row>
    <row r="2957">
      <c r="A2957" s="6" t="s">
        <v>2165</v>
      </c>
      <c r="B2957" s="6" t="s">
        <v>1958</v>
      </c>
      <c r="C2957" s="6" t="s">
        <v>2166</v>
      </c>
      <c r="D2957" s="7" t="str">
        <f t="shared" ref="D2957:D2958" si="501">HYPERLINK("https://12go.asia/en/travel/Mai-Chau/Ninh-Binh-Hotel-Transfer", "12Go Link")</f>
        <v>12Go Link</v>
      </c>
      <c r="E2957" s="6" t="s">
        <v>567</v>
      </c>
    </row>
    <row r="2958">
      <c r="A2958" s="6" t="s">
        <v>2165</v>
      </c>
      <c r="B2958" s="6" t="s">
        <v>1958</v>
      </c>
      <c r="C2958" s="6" t="s">
        <v>2166</v>
      </c>
      <c r="D2958" s="7" t="str">
        <f t="shared" si="501"/>
        <v>12Go Link</v>
      </c>
      <c r="E2958" s="6" t="s">
        <v>772</v>
      </c>
    </row>
    <row r="2959">
      <c r="A2959" s="6" t="s">
        <v>2165</v>
      </c>
      <c r="B2959" s="6" t="s">
        <v>2155</v>
      </c>
      <c r="C2959" s="6" t="s">
        <v>2167</v>
      </c>
      <c r="D2959" s="7" t="str">
        <f t="shared" ref="D2959:D2960" si="502">HYPERLINK("https://12go.asia/en/travel/Mai-Chau/Pu-Luong", "12Go Link")</f>
        <v>12Go Link</v>
      </c>
      <c r="E2959" s="6" t="s">
        <v>567</v>
      </c>
    </row>
    <row r="2960">
      <c r="A2960" s="6" t="s">
        <v>2165</v>
      </c>
      <c r="B2960" s="6" t="s">
        <v>2155</v>
      </c>
      <c r="C2960" s="6" t="s">
        <v>2167</v>
      </c>
      <c r="D2960" s="7" t="str">
        <f t="shared" si="502"/>
        <v>12Go Link</v>
      </c>
      <c r="E2960" s="6" t="s">
        <v>772</v>
      </c>
    </row>
    <row r="2961">
      <c r="A2961" s="8" t="s">
        <v>2051</v>
      </c>
      <c r="B2961" s="8" t="s">
        <v>650</v>
      </c>
      <c r="C2961" s="8" t="s">
        <v>2168</v>
      </c>
      <c r="D2961" s="9" t="str">
        <f t="shared" ref="D2961:D2962" si="503">HYPERLINK("https://12go.asia/en/travel/Mu-Cang-Chai-Hotel-Transfer/Hanoi-Transfer", "12Go Link")</f>
        <v>12Go Link</v>
      </c>
      <c r="E2961" s="8" t="s">
        <v>567</v>
      </c>
    </row>
    <row r="2962">
      <c r="A2962" s="8" t="s">
        <v>2051</v>
      </c>
      <c r="B2962" s="8" t="s">
        <v>650</v>
      </c>
      <c r="C2962" s="8" t="s">
        <v>2168</v>
      </c>
      <c r="D2962" s="9" t="str">
        <f t="shared" si="503"/>
        <v>12Go Link</v>
      </c>
      <c r="E2962" s="8" t="s">
        <v>772</v>
      </c>
    </row>
    <row r="2963">
      <c r="A2963" s="8" t="s">
        <v>2051</v>
      </c>
      <c r="B2963" s="8" t="s">
        <v>2007</v>
      </c>
      <c r="C2963" s="8" t="s">
        <v>2169</v>
      </c>
      <c r="D2963" s="9" t="str">
        <f t="shared" ref="D2963:D2964" si="504">HYPERLINK("https://12go.asia/en/travel/Mu-Cang-Chai-Hotel-Transfer/Noi-Bai-International-Airport", "12Go Link")</f>
        <v>12Go Link</v>
      </c>
      <c r="E2963" s="8" t="s">
        <v>567</v>
      </c>
    </row>
    <row r="2964">
      <c r="A2964" s="8" t="s">
        <v>2051</v>
      </c>
      <c r="B2964" s="8" t="s">
        <v>2007</v>
      </c>
      <c r="C2964" s="8" t="s">
        <v>2169</v>
      </c>
      <c r="D2964" s="9" t="str">
        <f t="shared" si="504"/>
        <v>12Go Link</v>
      </c>
      <c r="E2964" s="8" t="s">
        <v>772</v>
      </c>
    </row>
    <row r="2965">
      <c r="A2965" s="8" t="s">
        <v>2051</v>
      </c>
      <c r="B2965" s="8" t="s">
        <v>652</v>
      </c>
      <c r="C2965" s="8" t="s">
        <v>2170</v>
      </c>
      <c r="D2965" s="9" t="str">
        <f t="shared" ref="D2965:D2966" si="505">HYPERLINK("https://12go.asia/en/travel/Mu-Cang-Chai-Hotel-Transfer/Sapa", "12Go Link")</f>
        <v>12Go Link</v>
      </c>
      <c r="E2965" s="8" t="s">
        <v>567</v>
      </c>
    </row>
    <row r="2966">
      <c r="A2966" s="8" t="s">
        <v>2051</v>
      </c>
      <c r="B2966" s="8" t="s">
        <v>652</v>
      </c>
      <c r="C2966" s="8" t="s">
        <v>2170</v>
      </c>
      <c r="D2966" s="9" t="str">
        <f t="shared" si="505"/>
        <v>12Go Link</v>
      </c>
      <c r="E2966" s="8" t="s">
        <v>772</v>
      </c>
    </row>
    <row r="2967">
      <c r="A2967" s="6" t="s">
        <v>1930</v>
      </c>
      <c r="B2967" s="6" t="s">
        <v>1896</v>
      </c>
      <c r="C2967" s="6" t="s">
        <v>2171</v>
      </c>
      <c r="D2967" s="7" t="str">
        <f>HYPERLINK("https://12go.asia/en/travel/117-Nguyen-Dinh-Chieu/257-Phu-Dong-Thien-Vuong", "12Go Link")</f>
        <v>12Go Link</v>
      </c>
      <c r="E2967" s="6" t="s">
        <v>1932</v>
      </c>
    </row>
    <row r="2968">
      <c r="A2968" s="6" t="s">
        <v>1930</v>
      </c>
      <c r="B2968" s="6" t="s">
        <v>1899</v>
      </c>
      <c r="C2968" s="6" t="s">
        <v>2172</v>
      </c>
      <c r="D2968" s="7" t="str">
        <f t="shared" ref="D2968:D2969" si="506">HYPERLINK("https://12go.asia/en/travel/245-Nguyen-Dinh-Chieu/166-Dien-Bien-Phu", "12Go Link")</f>
        <v>12Go Link</v>
      </c>
      <c r="E2968" s="6" t="s">
        <v>1902</v>
      </c>
    </row>
    <row r="2969">
      <c r="A2969" s="6" t="s">
        <v>1930</v>
      </c>
      <c r="B2969" s="6" t="s">
        <v>1899</v>
      </c>
      <c r="C2969" s="6" t="s">
        <v>2172</v>
      </c>
      <c r="D2969" s="7" t="str">
        <f t="shared" si="506"/>
        <v>12Go Link</v>
      </c>
      <c r="E2969" s="6" t="s">
        <v>1903</v>
      </c>
    </row>
    <row r="2970">
      <c r="A2970" s="6" t="s">
        <v>1930</v>
      </c>
      <c r="B2970" s="6" t="s">
        <v>170</v>
      </c>
      <c r="C2970" s="6" t="s">
        <v>2173</v>
      </c>
      <c r="D2970" s="7" t="str">
        <f t="shared" ref="D2970:D2972" si="507">HYPERLINK("https://12go.asia/en/travel/185-Ton-Duc-Thang/229-Pham-Ngu-Lao", "12Go Link")</f>
        <v>12Go Link</v>
      </c>
      <c r="E2970" s="6" t="s">
        <v>2016</v>
      </c>
    </row>
    <row r="2971">
      <c r="A2971" s="6" t="s">
        <v>1930</v>
      </c>
      <c r="B2971" s="6" t="s">
        <v>170</v>
      </c>
      <c r="C2971" s="6" t="s">
        <v>2173</v>
      </c>
      <c r="D2971" s="7" t="str">
        <f t="shared" si="507"/>
        <v>12Go Link</v>
      </c>
      <c r="E2971" s="6" t="s">
        <v>2089</v>
      </c>
    </row>
    <row r="2972">
      <c r="A2972" s="6" t="s">
        <v>1930</v>
      </c>
      <c r="B2972" s="6" t="s">
        <v>170</v>
      </c>
      <c r="C2972" s="6" t="s">
        <v>2173</v>
      </c>
      <c r="D2972" s="7" t="str">
        <f t="shared" si="507"/>
        <v>12Go Link</v>
      </c>
      <c r="E2972" s="6" t="s">
        <v>2090</v>
      </c>
    </row>
    <row r="2973">
      <c r="A2973" s="6" t="s">
        <v>1930</v>
      </c>
      <c r="B2973" s="6" t="s">
        <v>170</v>
      </c>
      <c r="C2973" s="6" t="s">
        <v>2174</v>
      </c>
      <c r="D2973" s="7" t="str">
        <f t="shared" ref="D2973:D2975" si="508">HYPERLINK("https://12go.asia/en/travel/93-Nguyen-Dinh-Chieu/229-Pham-Ngu-Lao", "12Go Link")</f>
        <v>12Go Link</v>
      </c>
      <c r="E2973" s="6" t="s">
        <v>2016</v>
      </c>
    </row>
    <row r="2974">
      <c r="A2974" s="6" t="s">
        <v>1930</v>
      </c>
      <c r="B2974" s="6" t="s">
        <v>170</v>
      </c>
      <c r="C2974" s="6" t="s">
        <v>2174</v>
      </c>
      <c r="D2974" s="7" t="str">
        <f t="shared" si="508"/>
        <v>12Go Link</v>
      </c>
      <c r="E2974" s="6" t="s">
        <v>2089</v>
      </c>
    </row>
    <row r="2975">
      <c r="A2975" s="6" t="s">
        <v>1930</v>
      </c>
      <c r="B2975" s="6" t="s">
        <v>170</v>
      </c>
      <c r="C2975" s="6" t="s">
        <v>2174</v>
      </c>
      <c r="D2975" s="7" t="str">
        <f t="shared" si="508"/>
        <v>12Go Link</v>
      </c>
      <c r="E2975" s="6" t="s">
        <v>2090</v>
      </c>
    </row>
    <row r="2976">
      <c r="A2976" s="6" t="s">
        <v>1930</v>
      </c>
      <c r="B2976" s="6" t="s">
        <v>170</v>
      </c>
      <c r="C2976" s="6" t="s">
        <v>2175</v>
      </c>
      <c r="D2976" s="7" t="str">
        <f t="shared" ref="D2976:D2977" si="509">HYPERLINK("https://12go.asia/en/travel/Mui-Ne-Hotel-Transfer/Tan-Son-Nhat-Airport", "12Go Link")</f>
        <v>12Go Link</v>
      </c>
      <c r="E2976" s="6" t="s">
        <v>567</v>
      </c>
    </row>
    <row r="2977">
      <c r="A2977" s="6" t="s">
        <v>1930</v>
      </c>
      <c r="B2977" s="6" t="s">
        <v>170</v>
      </c>
      <c r="C2977" s="6" t="s">
        <v>2175</v>
      </c>
      <c r="D2977" s="7" t="str">
        <f t="shared" si="509"/>
        <v>12Go Link</v>
      </c>
      <c r="E2977" s="6" t="s">
        <v>772</v>
      </c>
    </row>
    <row r="2978">
      <c r="A2978" s="6" t="s">
        <v>1930</v>
      </c>
      <c r="B2978" s="6" t="s">
        <v>1904</v>
      </c>
      <c r="C2978" s="6" t="s">
        <v>2176</v>
      </c>
      <c r="D2978" s="7" t="str">
        <f t="shared" ref="D2978:D2979" si="510">HYPERLINK("https://12go.asia/en/travel/245-Nguyen-Dinh-Chieu/109-Ton-Duc-Thang", "12Go Link")</f>
        <v>12Go Link</v>
      </c>
      <c r="E2978" s="6" t="s">
        <v>1902</v>
      </c>
    </row>
    <row r="2979">
      <c r="A2979" s="6" t="s">
        <v>1930</v>
      </c>
      <c r="B2979" s="6" t="s">
        <v>1904</v>
      </c>
      <c r="C2979" s="6" t="s">
        <v>2176</v>
      </c>
      <c r="D2979" s="7" t="str">
        <f t="shared" si="510"/>
        <v>12Go Link</v>
      </c>
      <c r="E2979" s="6" t="s">
        <v>1903</v>
      </c>
    </row>
    <row r="2980">
      <c r="A2980" s="6" t="s">
        <v>1930</v>
      </c>
      <c r="B2980" s="6" t="s">
        <v>1906</v>
      </c>
      <c r="C2980" s="6" t="s">
        <v>2177</v>
      </c>
      <c r="D2980" s="7" t="str">
        <f t="shared" ref="D2980:D2981" si="511">HYPERLINK("https://12go.asia/en/travel/245-Nguyen-Dinh-Chieu/54-Le-Duan", "12Go Link")</f>
        <v>12Go Link</v>
      </c>
      <c r="E2980" s="6" t="s">
        <v>1902</v>
      </c>
    </row>
    <row r="2981">
      <c r="A2981" s="6" t="s">
        <v>1930</v>
      </c>
      <c r="B2981" s="6" t="s">
        <v>1906</v>
      </c>
      <c r="C2981" s="6" t="s">
        <v>2177</v>
      </c>
      <c r="D2981" s="7" t="str">
        <f t="shared" si="511"/>
        <v>12Go Link</v>
      </c>
      <c r="E2981" s="6" t="s">
        <v>1903</v>
      </c>
    </row>
    <row r="2982">
      <c r="A2982" s="6" t="s">
        <v>1930</v>
      </c>
      <c r="B2982" s="6" t="s">
        <v>1933</v>
      </c>
      <c r="C2982" s="6" t="s">
        <v>2178</v>
      </c>
      <c r="D2982" s="7" t="str">
        <f>HYPERLINK("https://12go.asia/en/travel/185-Ton-Duc-Thang/Panorama-Nha-Trang-Hotel", "12Go Link")</f>
        <v>12Go Link</v>
      </c>
      <c r="E2982" s="6" t="s">
        <v>2089</v>
      </c>
    </row>
    <row r="2983">
      <c r="A2983" s="6" t="s">
        <v>1930</v>
      </c>
      <c r="B2983" s="6" t="s">
        <v>1933</v>
      </c>
      <c r="C2983" s="6" t="s">
        <v>2179</v>
      </c>
      <c r="D2983" s="7" t="str">
        <f t="shared" ref="D2983:D2984" si="512">HYPERLINK("https://12go.asia/en/travel/93-Nguyen-Dinh-Chieu/Nam-Hai-STH35A-24", "12Go Link")</f>
        <v>12Go Link</v>
      </c>
      <c r="E2983" s="6" t="s">
        <v>1929</v>
      </c>
    </row>
    <row r="2984">
      <c r="A2984" s="6" t="s">
        <v>1930</v>
      </c>
      <c r="B2984" s="6" t="s">
        <v>1933</v>
      </c>
      <c r="C2984" s="6" t="s">
        <v>2179</v>
      </c>
      <c r="D2984" s="7" t="str">
        <f t="shared" si="512"/>
        <v>12Go Link</v>
      </c>
      <c r="E2984" s="6" t="s">
        <v>2089</v>
      </c>
    </row>
    <row r="2985">
      <c r="A2985" s="6" t="s">
        <v>1930</v>
      </c>
      <c r="B2985" s="6" t="s">
        <v>1933</v>
      </c>
      <c r="C2985" s="6" t="s">
        <v>2180</v>
      </c>
      <c r="D2985" s="7" t="str">
        <f t="shared" ref="D2985:D2986" si="513">HYPERLINK("https://12go.asia/en/travel/93-Nguyen-Dinh-Chieu/Panorama-Nha-Trang-Hotel", "12Go Link")</f>
        <v>12Go Link</v>
      </c>
      <c r="E2985" s="6" t="s">
        <v>1929</v>
      </c>
    </row>
    <row r="2986">
      <c r="A2986" s="6" t="s">
        <v>1930</v>
      </c>
      <c r="B2986" s="6" t="s">
        <v>1933</v>
      </c>
      <c r="C2986" s="6" t="s">
        <v>2180</v>
      </c>
      <c r="D2986" s="7" t="str">
        <f t="shared" si="513"/>
        <v>12Go Link</v>
      </c>
      <c r="E2986" s="6" t="s">
        <v>2089</v>
      </c>
    </row>
    <row r="2987">
      <c r="A2987" s="8" t="s">
        <v>1933</v>
      </c>
      <c r="B2987" s="8" t="s">
        <v>1896</v>
      </c>
      <c r="C2987" s="8" t="s">
        <v>2181</v>
      </c>
      <c r="D2987" s="9" t="str">
        <f>HYPERLINK("https://12go.asia/en/travel/5-To-Huu/Lo-H1-KQH-Pham-Hong-Thai", "12Go Link")</f>
        <v>12Go Link</v>
      </c>
      <c r="E2987" s="8" t="s">
        <v>1929</v>
      </c>
    </row>
    <row r="2988">
      <c r="A2988" s="8" t="s">
        <v>1933</v>
      </c>
      <c r="B2988" s="8" t="s">
        <v>1899</v>
      </c>
      <c r="C2988" s="8" t="s">
        <v>2182</v>
      </c>
      <c r="D2988" s="9" t="str">
        <f>HYPERLINK("https://12go.asia/en/travel/5-To-Huu/79-Nguyen-Tuong-Pho", "12Go Link")</f>
        <v>12Go Link</v>
      </c>
      <c r="E2988" s="8" t="s">
        <v>1929</v>
      </c>
    </row>
    <row r="2989">
      <c r="A2989" s="8" t="s">
        <v>1933</v>
      </c>
      <c r="B2989" s="8" t="s">
        <v>1899</v>
      </c>
      <c r="C2989" s="8" t="s">
        <v>2183</v>
      </c>
      <c r="D2989" s="9" t="str">
        <f>HYPERLINK("https://12go.asia/en/travel/Coopmart-Supermarket-Nha-Trang/Sieu-Thi-Dac-San-Huong-Da", "12Go Link")</f>
        <v>12Go Link</v>
      </c>
      <c r="E2989" s="8" t="s">
        <v>1929</v>
      </c>
    </row>
    <row r="2990">
      <c r="A2990" s="8" t="s">
        <v>1933</v>
      </c>
      <c r="B2990" s="8" t="s">
        <v>1981</v>
      </c>
      <c r="C2990" s="8" t="s">
        <v>2184</v>
      </c>
      <c r="D2990" s="9" t="str">
        <f t="shared" ref="D2990:D2991" si="514">HYPERLINK("https://12go.asia/en/travel/Nha-Trang-Hotel-Transfer/Nam-Cat-Tien-Hotel-Transfer", "12Go Link")</f>
        <v>12Go Link</v>
      </c>
      <c r="E2990" s="8" t="s">
        <v>567</v>
      </c>
    </row>
    <row r="2991">
      <c r="A2991" s="8" t="s">
        <v>1933</v>
      </c>
      <c r="B2991" s="8" t="s">
        <v>1981</v>
      </c>
      <c r="C2991" s="8" t="s">
        <v>2184</v>
      </c>
      <c r="D2991" s="9" t="str">
        <f t="shared" si="514"/>
        <v>12Go Link</v>
      </c>
      <c r="E2991" s="8" t="s">
        <v>772</v>
      </c>
    </row>
    <row r="2992">
      <c r="A2992" s="8" t="s">
        <v>1933</v>
      </c>
      <c r="B2992" s="8" t="s">
        <v>170</v>
      </c>
      <c r="C2992" s="8" t="s">
        <v>2185</v>
      </c>
      <c r="D2992" s="9" t="str">
        <f>HYPERLINK("https://12go.asia/en/travel/Nha-Trang-Northern-Bus-Station/Mien-Dong-Bus-Station", "12Go Link")</f>
        <v>12Go Link</v>
      </c>
      <c r="E2992" s="8" t="s">
        <v>2186</v>
      </c>
    </row>
    <row r="2993">
      <c r="A2993" s="8" t="s">
        <v>1933</v>
      </c>
      <c r="B2993" s="8" t="s">
        <v>170</v>
      </c>
      <c r="C2993" s="8" t="s">
        <v>2187</v>
      </c>
      <c r="D2993" s="9" t="str">
        <f>HYPERLINK("https://12go.asia/en/travel/Nha-Trang-Northern-Bus-Station/New-Mien-Dong-Bus-Station", "12Go Link")</f>
        <v>12Go Link</v>
      </c>
      <c r="E2993" s="8" t="s">
        <v>2186</v>
      </c>
    </row>
    <row r="2994">
      <c r="A2994" s="8" t="s">
        <v>1933</v>
      </c>
      <c r="B2994" s="8" t="s">
        <v>1904</v>
      </c>
      <c r="C2994" s="8" t="s">
        <v>2188</v>
      </c>
      <c r="D2994" s="9" t="str">
        <f>HYPERLINK("https://12go.asia/en/travel/5-To-Huu/105-Ton-Duc-Thang", "12Go Link")</f>
        <v>12Go Link</v>
      </c>
      <c r="E2994" s="8" t="s">
        <v>1929</v>
      </c>
    </row>
    <row r="2995">
      <c r="A2995" s="8" t="s">
        <v>1933</v>
      </c>
      <c r="B2995" s="8" t="s">
        <v>1904</v>
      </c>
      <c r="C2995" s="8" t="s">
        <v>2189</v>
      </c>
      <c r="D2995" s="9" t="str">
        <f>HYPERLINK("https://12go.asia/en/travel/5-To-Huu/97-Nguyen-Tat-Thanh", "12Go Link")</f>
        <v>12Go Link</v>
      </c>
      <c r="E2995" s="8" t="s">
        <v>1929</v>
      </c>
    </row>
    <row r="2996">
      <c r="A2996" s="8" t="s">
        <v>1933</v>
      </c>
      <c r="B2996" s="8" t="s">
        <v>1906</v>
      </c>
      <c r="C2996" s="8" t="s">
        <v>2190</v>
      </c>
      <c r="D2996" s="9" t="str">
        <f>HYPERLINK("https://12go.asia/en/travel/5-To-Huu/Nguyen-Hoang-Bus-Station", "12Go Link")</f>
        <v>12Go Link</v>
      </c>
      <c r="E2996" s="8" t="s">
        <v>1929</v>
      </c>
    </row>
    <row r="2997">
      <c r="A2997" s="8" t="s">
        <v>1933</v>
      </c>
      <c r="B2997" s="8" t="s">
        <v>1930</v>
      </c>
      <c r="C2997" s="8" t="s">
        <v>2191</v>
      </c>
      <c r="D2997" s="9" t="str">
        <f>HYPERLINK("https://12go.asia/en/travel/Nam-Hai-STH35A-24/185-Ton-Duc-Thang", "12Go Link")</f>
        <v>12Go Link</v>
      </c>
      <c r="E2997" s="8" t="s">
        <v>2016</v>
      </c>
    </row>
    <row r="2998">
      <c r="A2998" s="8" t="s">
        <v>1933</v>
      </c>
      <c r="B2998" s="8" t="s">
        <v>1930</v>
      </c>
      <c r="C2998" s="8" t="s">
        <v>2192</v>
      </c>
      <c r="D2998" s="9" t="str">
        <f t="shared" ref="D2998:D2999" si="515">HYPERLINK("https://12go.asia/en/travel/Nam-Hai-STH35A-24/93-Nguyen-Dinh-Chieu", "12Go Link")</f>
        <v>12Go Link</v>
      </c>
      <c r="E2998" s="8" t="s">
        <v>2016</v>
      </c>
    </row>
    <row r="2999">
      <c r="A2999" s="8" t="s">
        <v>1933</v>
      </c>
      <c r="B2999" s="8" t="s">
        <v>1930</v>
      </c>
      <c r="C2999" s="8" t="s">
        <v>2192</v>
      </c>
      <c r="D2999" s="9" t="str">
        <f t="shared" si="515"/>
        <v>12Go Link</v>
      </c>
      <c r="E2999" s="8" t="s">
        <v>2089</v>
      </c>
    </row>
    <row r="3000">
      <c r="A3000" s="8" t="s">
        <v>1933</v>
      </c>
      <c r="B3000" s="8" t="s">
        <v>1930</v>
      </c>
      <c r="C3000" s="8" t="s">
        <v>2193</v>
      </c>
      <c r="D3000" s="9" t="str">
        <f t="shared" ref="D3000:D3001" si="516">HYPERLINK("https://12go.asia/en/travel/Nam-Hai-STH35A-24/iHome-Backpacker-Resort", "12Go Link")</f>
        <v>12Go Link</v>
      </c>
      <c r="E3000" s="8" t="s">
        <v>2016</v>
      </c>
    </row>
    <row r="3001">
      <c r="A3001" s="8" t="s">
        <v>1933</v>
      </c>
      <c r="B3001" s="8" t="s">
        <v>1930</v>
      </c>
      <c r="C3001" s="8" t="s">
        <v>2193</v>
      </c>
      <c r="D3001" s="9" t="str">
        <f t="shared" si="516"/>
        <v>12Go Link</v>
      </c>
      <c r="E3001" s="8" t="s">
        <v>2089</v>
      </c>
    </row>
    <row r="3002">
      <c r="A3002" s="8" t="s">
        <v>1933</v>
      </c>
      <c r="B3002" s="8" t="s">
        <v>1964</v>
      </c>
      <c r="C3002" s="8" t="s">
        <v>2194</v>
      </c>
      <c r="D3002" s="9" t="str">
        <f>HYPERLINK("https://12go.asia/en/travel/5-To-Huu/Phong-Nha-Hung-Thanh-Bus-Office", "12Go Link")</f>
        <v>12Go Link</v>
      </c>
      <c r="E3002" s="8" t="s">
        <v>1929</v>
      </c>
    </row>
    <row r="3003">
      <c r="A3003" s="8" t="s">
        <v>1933</v>
      </c>
      <c r="B3003" s="8" t="s">
        <v>2195</v>
      </c>
      <c r="C3003" s="8" t="s">
        <v>2196</v>
      </c>
      <c r="D3003" s="9" t="str">
        <f>HYPERLINK("https://12go.asia/en/travel/Twosome-Coffee/Vincom-Plaza-Tuy-Hoa", "12Go Link")</f>
        <v>12Go Link</v>
      </c>
      <c r="E3003" s="8" t="s">
        <v>1911</v>
      </c>
    </row>
    <row r="3004">
      <c r="A3004" s="8" t="s">
        <v>1933</v>
      </c>
      <c r="B3004" s="8" t="s">
        <v>2197</v>
      </c>
      <c r="C3004" s="8" t="s">
        <v>2198</v>
      </c>
      <c r="D3004" s="9" t="str">
        <f>HYPERLINK("https://12go.asia/en/travel/5-To-Huu/187-Le-Duan", "12Go Link")</f>
        <v>12Go Link</v>
      </c>
      <c r="E3004" s="8" t="s">
        <v>1929</v>
      </c>
    </row>
    <row r="3005">
      <c r="A3005" s="8" t="s">
        <v>1933</v>
      </c>
      <c r="B3005" s="8" t="s">
        <v>1968</v>
      </c>
      <c r="C3005" s="8" t="s">
        <v>2199</v>
      </c>
      <c r="D3005" s="9" t="str">
        <f>HYPERLINK("https://12go.asia/en/travel/5-To-Huu/Lan-Anh-Hotel", "12Go Link")</f>
        <v>12Go Link</v>
      </c>
      <c r="E3005" s="8" t="s">
        <v>1929</v>
      </c>
    </row>
    <row r="3006">
      <c r="A3006" s="6" t="s">
        <v>1958</v>
      </c>
      <c r="B3006" s="6" t="s">
        <v>1899</v>
      </c>
      <c r="C3006" s="6" t="s">
        <v>2200</v>
      </c>
      <c r="D3006" s="7" t="str">
        <f t="shared" ref="D3006:D3008" si="517">HYPERLINK("https://12go.asia/en/travel/Ninh-Binh/Da-Nang", "12Go Link")</f>
        <v>12Go Link</v>
      </c>
      <c r="E3006" s="6" t="s">
        <v>1961</v>
      </c>
    </row>
    <row r="3007">
      <c r="A3007" s="6" t="s">
        <v>1958</v>
      </c>
      <c r="B3007" s="6" t="s">
        <v>1899</v>
      </c>
      <c r="C3007" s="6" t="s">
        <v>2200</v>
      </c>
      <c r="D3007" s="7" t="str">
        <f t="shared" si="517"/>
        <v>12Go Link</v>
      </c>
      <c r="E3007" s="6" t="s">
        <v>1962</v>
      </c>
    </row>
    <row r="3008">
      <c r="A3008" s="6" t="s">
        <v>1958</v>
      </c>
      <c r="B3008" s="6" t="s">
        <v>1899</v>
      </c>
      <c r="C3008" s="6" t="s">
        <v>2200</v>
      </c>
      <c r="D3008" s="7" t="str">
        <f t="shared" si="517"/>
        <v>12Go Link</v>
      </c>
      <c r="E3008" s="6" t="s">
        <v>1963</v>
      </c>
    </row>
    <row r="3009">
      <c r="A3009" s="6" t="s">
        <v>1958</v>
      </c>
      <c r="B3009" s="6" t="s">
        <v>1899</v>
      </c>
      <c r="C3009" s="6" t="s">
        <v>2201</v>
      </c>
      <c r="D3009" s="7" t="str">
        <f t="shared" ref="D3009:D3010" si="518">HYPERLINK("https://12go.asia/en/travel/Ninh-Binh-Railway-Station/51-D3-Thang-2", "12Go Link")</f>
        <v>12Go Link</v>
      </c>
      <c r="E3009" s="6" t="s">
        <v>1929</v>
      </c>
    </row>
    <row r="3010">
      <c r="A3010" s="6" t="s">
        <v>1958</v>
      </c>
      <c r="B3010" s="6" t="s">
        <v>1899</v>
      </c>
      <c r="C3010" s="6" t="s">
        <v>2201</v>
      </c>
      <c r="D3010" s="7" t="str">
        <f t="shared" si="518"/>
        <v>12Go Link</v>
      </c>
      <c r="E3010" s="6" t="s">
        <v>2202</v>
      </c>
    </row>
    <row r="3011">
      <c r="A3011" s="6" t="s">
        <v>1958</v>
      </c>
      <c r="B3011" s="6" t="s">
        <v>1899</v>
      </c>
      <c r="C3011" s="6" t="s">
        <v>2203</v>
      </c>
      <c r="D3011" s="7" t="str">
        <f>HYPERLINK("https://12go.asia/en/travel/Ninh-Binh-Railway-Station/Da-Nang-Central-Bus-Station", "12Go Link")</f>
        <v>12Go Link</v>
      </c>
      <c r="E3011" s="6" t="s">
        <v>2204</v>
      </c>
    </row>
    <row r="3012">
      <c r="A3012" s="6" t="s">
        <v>1958</v>
      </c>
      <c r="B3012" s="6" t="s">
        <v>1899</v>
      </c>
      <c r="C3012" s="6" t="s">
        <v>2205</v>
      </c>
      <c r="D3012" s="7" t="str">
        <f t="shared" ref="D3012:D3013" si="519">HYPERLINK("https://12go.asia/en/travel/Tam-Coc/133-Hoang-Thi-Loan", "12Go Link")</f>
        <v>12Go Link</v>
      </c>
      <c r="E3012" s="6" t="s">
        <v>1938</v>
      </c>
    </row>
    <row r="3013">
      <c r="A3013" s="6" t="s">
        <v>1958</v>
      </c>
      <c r="B3013" s="6" t="s">
        <v>1899</v>
      </c>
      <c r="C3013" s="6" t="s">
        <v>2205</v>
      </c>
      <c r="D3013" s="7" t="str">
        <f t="shared" si="519"/>
        <v>12Go Link</v>
      </c>
      <c r="E3013" s="6" t="s">
        <v>1939</v>
      </c>
    </row>
    <row r="3014">
      <c r="A3014" s="6" t="s">
        <v>1958</v>
      </c>
      <c r="B3014" s="6" t="s">
        <v>1975</v>
      </c>
      <c r="C3014" s="6" t="s">
        <v>2206</v>
      </c>
      <c r="D3014" s="7" t="str">
        <f t="shared" ref="D3014:D3016" si="520">HYPERLINK("https://12go.asia/en/travel/Ninh-Binh/Dong-Ha", "12Go Link")</f>
        <v>12Go Link</v>
      </c>
      <c r="E3014" s="6" t="s">
        <v>1961</v>
      </c>
    </row>
    <row r="3015">
      <c r="A3015" s="6" t="s">
        <v>1958</v>
      </c>
      <c r="B3015" s="6" t="s">
        <v>1975</v>
      </c>
      <c r="C3015" s="6" t="s">
        <v>2206</v>
      </c>
      <c r="D3015" s="7" t="str">
        <f t="shared" si="520"/>
        <v>12Go Link</v>
      </c>
      <c r="E3015" s="6" t="s">
        <v>1962</v>
      </c>
    </row>
    <row r="3016">
      <c r="A3016" s="6" t="s">
        <v>1958</v>
      </c>
      <c r="B3016" s="6" t="s">
        <v>1975</v>
      </c>
      <c r="C3016" s="6" t="s">
        <v>2206</v>
      </c>
      <c r="D3016" s="7" t="str">
        <f t="shared" si="520"/>
        <v>12Go Link</v>
      </c>
      <c r="E3016" s="6" t="s">
        <v>1963</v>
      </c>
    </row>
    <row r="3017">
      <c r="A3017" s="6" t="s">
        <v>1958</v>
      </c>
      <c r="B3017" s="6" t="s">
        <v>1978</v>
      </c>
      <c r="C3017" s="6" t="s">
        <v>2207</v>
      </c>
      <c r="D3017" s="7" t="str">
        <f t="shared" ref="D3017:D3019" si="521">HYPERLINK("https://12go.asia/en/travel/Ninh-Binh/Dong-Hoi", "12Go Link")</f>
        <v>12Go Link</v>
      </c>
      <c r="E3017" s="6" t="s">
        <v>1961</v>
      </c>
    </row>
    <row r="3018">
      <c r="A3018" s="6" t="s">
        <v>1958</v>
      </c>
      <c r="B3018" s="6" t="s">
        <v>1978</v>
      </c>
      <c r="C3018" s="6" t="s">
        <v>2207</v>
      </c>
      <c r="D3018" s="7" t="str">
        <f t="shared" si="521"/>
        <v>12Go Link</v>
      </c>
      <c r="E3018" s="6" t="s">
        <v>1962</v>
      </c>
    </row>
    <row r="3019">
      <c r="A3019" s="6" t="s">
        <v>1958</v>
      </c>
      <c r="B3019" s="6" t="s">
        <v>1978</v>
      </c>
      <c r="C3019" s="6" t="s">
        <v>2207</v>
      </c>
      <c r="D3019" s="7" t="str">
        <f t="shared" si="521"/>
        <v>12Go Link</v>
      </c>
      <c r="E3019" s="6" t="s">
        <v>1963</v>
      </c>
    </row>
    <row r="3020">
      <c r="A3020" s="6" t="s">
        <v>1958</v>
      </c>
      <c r="B3020" s="6" t="s">
        <v>1978</v>
      </c>
      <c r="C3020" s="6" t="s">
        <v>2208</v>
      </c>
      <c r="D3020" s="7" t="str">
        <f t="shared" ref="D3020:D3021" si="522">HYPERLINK("https://12go.asia/en/travel/Ninh-Binh-Railway-Station/Dong-Hoi-Post-Office", "12Go Link")</f>
        <v>12Go Link</v>
      </c>
      <c r="E3020" s="6" t="s">
        <v>1929</v>
      </c>
    </row>
    <row r="3021">
      <c r="A3021" s="6" t="s">
        <v>1958</v>
      </c>
      <c r="B3021" s="6" t="s">
        <v>1978</v>
      </c>
      <c r="C3021" s="6" t="s">
        <v>2208</v>
      </c>
      <c r="D3021" s="7" t="str">
        <f t="shared" si="522"/>
        <v>12Go Link</v>
      </c>
      <c r="E3021" s="6" t="s">
        <v>2202</v>
      </c>
    </row>
    <row r="3022">
      <c r="A3022" s="6" t="s">
        <v>1958</v>
      </c>
      <c r="B3022" s="6" t="s">
        <v>2011</v>
      </c>
      <c r="C3022" s="6" t="s">
        <v>2209</v>
      </c>
      <c r="D3022" s="7" t="str">
        <f t="shared" ref="D3022:D3023" si="523">HYPERLINK("https://12go.asia/en/travel/Ninh-Binh-Hotel-Transfer/Cat-Ba-Island", "12Go Link")</f>
        <v>12Go Link</v>
      </c>
      <c r="E3022" s="6" t="s">
        <v>567</v>
      </c>
    </row>
    <row r="3023">
      <c r="A3023" s="6" t="s">
        <v>1958</v>
      </c>
      <c r="B3023" s="6" t="s">
        <v>2011</v>
      </c>
      <c r="C3023" s="6" t="s">
        <v>2209</v>
      </c>
      <c r="D3023" s="7" t="str">
        <f t="shared" si="523"/>
        <v>12Go Link</v>
      </c>
      <c r="E3023" s="6" t="s">
        <v>772</v>
      </c>
    </row>
    <row r="3024">
      <c r="A3024" s="6" t="s">
        <v>1958</v>
      </c>
      <c r="B3024" s="6" t="s">
        <v>2011</v>
      </c>
      <c r="C3024" s="6" t="s">
        <v>2210</v>
      </c>
      <c r="D3024" s="7" t="str">
        <f>HYPERLINK("https://12go.asia/en/travel/Ninh-Binh-Hotel-Transfer/Hai-Phong", "12Go Link")</f>
        <v>12Go Link</v>
      </c>
      <c r="E3024" s="6" t="s">
        <v>772</v>
      </c>
    </row>
    <row r="3025">
      <c r="A3025" s="6" t="s">
        <v>1958</v>
      </c>
      <c r="B3025" s="6" t="s">
        <v>2014</v>
      </c>
      <c r="C3025" s="6" t="s">
        <v>2211</v>
      </c>
      <c r="D3025" s="7" t="str">
        <f>HYPERLINK("https://12go.asia/en/travel/Ninh-Binh-Hotel-Transfer/Halong-Bay-Transfer", "12Go Link")</f>
        <v>12Go Link</v>
      </c>
      <c r="E3025" s="6" t="s">
        <v>772</v>
      </c>
    </row>
    <row r="3026">
      <c r="A3026" s="6" t="s">
        <v>1958</v>
      </c>
      <c r="B3026" s="6" t="s">
        <v>650</v>
      </c>
      <c r="C3026" s="6" t="s">
        <v>2212</v>
      </c>
      <c r="D3026" s="7" t="str">
        <f>HYPERLINK("https://12go.asia/en/travel/251-Luong-Van-Thang/72-P-Vong", "12Go Link")</f>
        <v>12Go Link</v>
      </c>
      <c r="E3026" s="6" t="s">
        <v>2017</v>
      </c>
    </row>
    <row r="3027">
      <c r="A3027" s="6" t="s">
        <v>1958</v>
      </c>
      <c r="B3027" s="6" t="s">
        <v>650</v>
      </c>
      <c r="C3027" s="6" t="s">
        <v>2213</v>
      </c>
      <c r="D3027" s="7" t="str">
        <f>HYPERLINK("https://12go.asia/en/travel/251-Luong-Van-Thang/72-Tran-Nhan-Tong", "12Go Link")</f>
        <v>12Go Link</v>
      </c>
      <c r="E3027" s="6" t="s">
        <v>2017</v>
      </c>
    </row>
    <row r="3028">
      <c r="A3028" s="6" t="s">
        <v>1958</v>
      </c>
      <c r="B3028" s="6" t="s">
        <v>650</v>
      </c>
      <c r="C3028" s="6" t="s">
        <v>2214</v>
      </c>
      <c r="D3028" s="7" t="str">
        <f>HYPERLINK("https://12go.asia/en/travel/251-Luong-Van-Thang/Noi-Bai-International-Airport", "12Go Link")</f>
        <v>12Go Link</v>
      </c>
      <c r="E3028" s="6" t="s">
        <v>2055</v>
      </c>
    </row>
    <row r="3029">
      <c r="A3029" s="6" t="s">
        <v>1958</v>
      </c>
      <c r="B3029" s="6" t="s">
        <v>650</v>
      </c>
      <c r="C3029" s="6" t="s">
        <v>2215</v>
      </c>
      <c r="D3029" s="7" t="str">
        <f>HYPERLINK("https://12go.asia/en/travel/298-Luong-Van-Thang/Kiot-1-N7-KDT-Dong-Tau", "12Go Link")</f>
        <v>12Go Link</v>
      </c>
      <c r="E3029" s="6" t="s">
        <v>2062</v>
      </c>
    </row>
    <row r="3030">
      <c r="A3030" s="6" t="s">
        <v>1958</v>
      </c>
      <c r="B3030" s="6" t="s">
        <v>650</v>
      </c>
      <c r="C3030" s="6" t="s">
        <v>2216</v>
      </c>
      <c r="D3030" s="7" t="str">
        <f>HYPERLINK("https://12go.asia/en/travel/Dong-Gung-Bus-Station/72-P-Vong", "12Go Link")</f>
        <v>12Go Link</v>
      </c>
      <c r="E3030" s="6" t="s">
        <v>2055</v>
      </c>
    </row>
    <row r="3031">
      <c r="A3031" s="6" t="s">
        <v>1958</v>
      </c>
      <c r="B3031" s="6" t="s">
        <v>650</v>
      </c>
      <c r="C3031" s="6" t="s">
        <v>2217</v>
      </c>
      <c r="D3031" s="7" t="str">
        <f>HYPERLINK("https://12go.asia/en/travel/Dong-Gung-Bus-Station/72-Tran-Nhan-Tong", "12Go Link")</f>
        <v>12Go Link</v>
      </c>
      <c r="E3031" s="6" t="s">
        <v>2055</v>
      </c>
    </row>
    <row r="3032">
      <c r="A3032" s="6" t="s">
        <v>1958</v>
      </c>
      <c r="B3032" s="6" t="s">
        <v>650</v>
      </c>
      <c r="C3032" s="6" t="s">
        <v>2218</v>
      </c>
      <c r="D3032" s="7" t="str">
        <f>HYPERLINK("https://12go.asia/en/travel/Dong-Gung-Bus-Station/Noi-Bai-International-Airport", "12Go Link")</f>
        <v>12Go Link</v>
      </c>
      <c r="E3032" s="6" t="s">
        <v>2055</v>
      </c>
    </row>
    <row r="3033">
      <c r="A3033" s="6" t="s">
        <v>1958</v>
      </c>
      <c r="B3033" s="6" t="s">
        <v>650</v>
      </c>
      <c r="C3033" s="6" t="s">
        <v>2219</v>
      </c>
      <c r="D3033" s="7" t="str">
        <f>HYPERLINK("https://12go.asia/en/travel/Ninh-Binh-Hotel-Transfer/Hanoi-Transfer", "12Go Link")</f>
        <v>12Go Link</v>
      </c>
      <c r="E3033" s="6" t="s">
        <v>772</v>
      </c>
    </row>
    <row r="3034">
      <c r="A3034" s="6" t="s">
        <v>1958</v>
      </c>
      <c r="B3034" s="6" t="s">
        <v>650</v>
      </c>
      <c r="C3034" s="6" t="s">
        <v>2220</v>
      </c>
      <c r="D3034" s="7" t="str">
        <f>HYPERLINK("https://12go.asia/en/travel/Tam-Coc-Boat-Station/Kiot-1-N7-KDT-Dong-Tau", "12Go Link")</f>
        <v>12Go Link</v>
      </c>
      <c r="E3034" s="6" t="s">
        <v>2062</v>
      </c>
    </row>
    <row r="3035">
      <c r="A3035" s="6" t="s">
        <v>1958</v>
      </c>
      <c r="B3035" s="6" t="s">
        <v>650</v>
      </c>
      <c r="C3035" s="6" t="s">
        <v>2221</v>
      </c>
      <c r="D3035" s="7" t="str">
        <f>HYPERLINK("https://12go.asia/en/travel/Trang-An-Boat-Station/72-P-Vong", "12Go Link")</f>
        <v>12Go Link</v>
      </c>
      <c r="E3035" s="6" t="s">
        <v>2055</v>
      </c>
    </row>
    <row r="3036">
      <c r="A3036" s="6" t="s">
        <v>1958</v>
      </c>
      <c r="B3036" s="6" t="s">
        <v>650</v>
      </c>
      <c r="C3036" s="6" t="s">
        <v>2222</v>
      </c>
      <c r="D3036" s="7" t="str">
        <f>HYPERLINK("https://12go.asia/en/travel/Trang-An-Boat-Station/72-Tran-Nhan-Tong", "12Go Link")</f>
        <v>12Go Link</v>
      </c>
      <c r="E3036" s="6" t="s">
        <v>2055</v>
      </c>
    </row>
    <row r="3037">
      <c r="A3037" s="6" t="s">
        <v>1958</v>
      </c>
      <c r="B3037" s="6" t="s">
        <v>650</v>
      </c>
      <c r="C3037" s="6" t="s">
        <v>2223</v>
      </c>
      <c r="D3037" s="7" t="str">
        <f>HYPERLINK("https://12go.asia/en/travel/Trang-An-Boat-Station/Noi-Bai-International-Airport", "12Go Link")</f>
        <v>12Go Link</v>
      </c>
      <c r="E3037" s="6" t="s">
        <v>2055</v>
      </c>
    </row>
    <row r="3038">
      <c r="A3038" s="6" t="s">
        <v>1958</v>
      </c>
      <c r="B3038" s="6" t="s">
        <v>1904</v>
      </c>
      <c r="C3038" s="6" t="s">
        <v>2224</v>
      </c>
      <c r="D3038" s="7" t="str">
        <f t="shared" ref="D3038:D3039" si="524">HYPERLINK("https://12go.asia/en/travel/Ninh-Binh-Railway-Station/131-Tran-Nhan-Tong", "12Go Link")</f>
        <v>12Go Link</v>
      </c>
      <c r="E3038" s="6" t="s">
        <v>1929</v>
      </c>
    </row>
    <row r="3039">
      <c r="A3039" s="6" t="s">
        <v>1958</v>
      </c>
      <c r="B3039" s="6" t="s">
        <v>1904</v>
      </c>
      <c r="C3039" s="6" t="s">
        <v>2224</v>
      </c>
      <c r="D3039" s="7" t="str">
        <f t="shared" si="524"/>
        <v>12Go Link</v>
      </c>
      <c r="E3039" s="6" t="s">
        <v>2202</v>
      </c>
    </row>
    <row r="3040">
      <c r="A3040" s="6" t="s">
        <v>1958</v>
      </c>
      <c r="B3040" s="6" t="s">
        <v>1904</v>
      </c>
      <c r="C3040" s="6" t="s">
        <v>2225</v>
      </c>
      <c r="D3040" s="7" t="str">
        <f>HYPERLINK("https://12go.asia/en/travel/Ninh-Binh-Railway-Station/35-Ly-Thai-To", "12Go Link")</f>
        <v>12Go Link</v>
      </c>
      <c r="E3040" s="6" t="s">
        <v>2204</v>
      </c>
    </row>
    <row r="3041">
      <c r="A3041" s="6" t="s">
        <v>1958</v>
      </c>
      <c r="B3041" s="6" t="s">
        <v>1906</v>
      </c>
      <c r="C3041" s="6" t="s">
        <v>2226</v>
      </c>
      <c r="D3041" s="7" t="str">
        <f t="shared" ref="D3041:D3043" si="525">HYPERLINK("https://12go.asia/en/travel/Ninh-Binh/Hue", "12Go Link")</f>
        <v>12Go Link</v>
      </c>
      <c r="E3041" s="6" t="s">
        <v>1961</v>
      </c>
    </row>
    <row r="3042">
      <c r="A3042" s="6" t="s">
        <v>1958</v>
      </c>
      <c r="B3042" s="6" t="s">
        <v>1906</v>
      </c>
      <c r="C3042" s="6" t="s">
        <v>2226</v>
      </c>
      <c r="D3042" s="7" t="str">
        <f t="shared" si="525"/>
        <v>12Go Link</v>
      </c>
      <c r="E3042" s="6" t="s">
        <v>1962</v>
      </c>
    </row>
    <row r="3043">
      <c r="A3043" s="6" t="s">
        <v>1958</v>
      </c>
      <c r="B3043" s="6" t="s">
        <v>1906</v>
      </c>
      <c r="C3043" s="6" t="s">
        <v>2226</v>
      </c>
      <c r="D3043" s="7" t="str">
        <f t="shared" si="525"/>
        <v>12Go Link</v>
      </c>
      <c r="E3043" s="6" t="s">
        <v>1963</v>
      </c>
    </row>
    <row r="3044">
      <c r="A3044" s="6" t="s">
        <v>1958</v>
      </c>
      <c r="B3044" s="6" t="s">
        <v>1906</v>
      </c>
      <c r="C3044" s="6" t="s">
        <v>2227</v>
      </c>
      <c r="D3044" s="7" t="str">
        <f t="shared" ref="D3044:D3045" si="526">HYPERLINK("https://12go.asia/en/travel/Ninh-Binh-Hotel-Transfer/Hue-City", "12Go Link")</f>
        <v>12Go Link</v>
      </c>
      <c r="E3044" s="6" t="s">
        <v>567</v>
      </c>
    </row>
    <row r="3045">
      <c r="A3045" s="6" t="s">
        <v>1958</v>
      </c>
      <c r="B3045" s="6" t="s">
        <v>1906</v>
      </c>
      <c r="C3045" s="6" t="s">
        <v>2227</v>
      </c>
      <c r="D3045" s="7" t="str">
        <f t="shared" si="526"/>
        <v>12Go Link</v>
      </c>
      <c r="E3045" s="6" t="s">
        <v>772</v>
      </c>
    </row>
    <row r="3046">
      <c r="A3046" s="6" t="s">
        <v>1958</v>
      </c>
      <c r="B3046" s="6" t="s">
        <v>1906</v>
      </c>
      <c r="C3046" s="6" t="s">
        <v>2228</v>
      </c>
      <c r="D3046" s="7" t="str">
        <f t="shared" ref="D3046:D3047" si="527">HYPERLINK("https://12go.asia/en/travel/Ninh-Binh-Railway-Station/80-Nguyen-Sinh-Cung", "12Go Link")</f>
        <v>12Go Link</v>
      </c>
      <c r="E3046" s="6" t="s">
        <v>1929</v>
      </c>
    </row>
    <row r="3047">
      <c r="A3047" s="6" t="s">
        <v>1958</v>
      </c>
      <c r="B3047" s="6" t="s">
        <v>1906</v>
      </c>
      <c r="C3047" s="6" t="s">
        <v>2228</v>
      </c>
      <c r="D3047" s="7" t="str">
        <f t="shared" si="527"/>
        <v>12Go Link</v>
      </c>
      <c r="E3047" s="6" t="s">
        <v>2202</v>
      </c>
    </row>
    <row r="3048">
      <c r="A3048" s="6" t="s">
        <v>1958</v>
      </c>
      <c r="B3048" s="6" t="s">
        <v>1906</v>
      </c>
      <c r="C3048" s="6" t="s">
        <v>2229</v>
      </c>
      <c r="D3048" s="7" t="str">
        <f t="shared" ref="D3048:D3049" si="528">HYPERLINK("https://12go.asia/en/travel/Ninh-Binh-Railway-Station/Hue-Northern-Bus-Station", "12Go Link")</f>
        <v>12Go Link</v>
      </c>
      <c r="E3048" s="6" t="s">
        <v>2016</v>
      </c>
    </row>
    <row r="3049">
      <c r="A3049" s="6" t="s">
        <v>1958</v>
      </c>
      <c r="B3049" s="6" t="s">
        <v>1906</v>
      </c>
      <c r="C3049" s="6" t="s">
        <v>2229</v>
      </c>
      <c r="D3049" s="7" t="str">
        <f t="shared" si="528"/>
        <v>12Go Link</v>
      </c>
      <c r="E3049" s="6" t="s">
        <v>2204</v>
      </c>
    </row>
    <row r="3050">
      <c r="A3050" s="6" t="s">
        <v>1958</v>
      </c>
      <c r="B3050" s="6" t="s">
        <v>2165</v>
      </c>
      <c r="C3050" s="6" t="s">
        <v>2230</v>
      </c>
      <c r="D3050" s="7" t="str">
        <f t="shared" ref="D3050:D3051" si="529">HYPERLINK("https://12go.asia/en/travel/Ninh-Binh-Hotel-Transfer/Mai-Chau", "12Go Link")</f>
        <v>12Go Link</v>
      </c>
      <c r="E3050" s="6" t="s">
        <v>567</v>
      </c>
    </row>
    <row r="3051">
      <c r="A3051" s="6" t="s">
        <v>1958</v>
      </c>
      <c r="B3051" s="6" t="s">
        <v>2165</v>
      </c>
      <c r="C3051" s="6" t="s">
        <v>2230</v>
      </c>
      <c r="D3051" s="7" t="str">
        <f t="shared" si="529"/>
        <v>12Go Link</v>
      </c>
      <c r="E3051" s="6" t="s">
        <v>772</v>
      </c>
    </row>
    <row r="3052">
      <c r="A3052" s="6" t="s">
        <v>1958</v>
      </c>
      <c r="B3052" s="6" t="s">
        <v>2007</v>
      </c>
      <c r="C3052" s="6" t="s">
        <v>2231</v>
      </c>
      <c r="D3052" s="7" t="str">
        <f>HYPERLINK("https://12go.asia/en/travel/Ninh-Binh-Hotel-Transfer/Hanoi-Airport", "12Go Link")</f>
        <v>12Go Link</v>
      </c>
      <c r="E3052" s="6" t="s">
        <v>772</v>
      </c>
    </row>
    <row r="3053">
      <c r="A3053" s="6" t="s">
        <v>1958</v>
      </c>
      <c r="B3053" s="6" t="s">
        <v>1964</v>
      </c>
      <c r="C3053" s="6" t="s">
        <v>2232</v>
      </c>
      <c r="D3053" s="7" t="str">
        <f t="shared" ref="D3053:D3054" si="530">HYPERLINK("https://12go.asia/en/travel/Ninh-Binh-Hotel-Transfer/Phong-Nha", "12Go Link")</f>
        <v>12Go Link</v>
      </c>
      <c r="E3053" s="6" t="s">
        <v>567</v>
      </c>
    </row>
    <row r="3054">
      <c r="A3054" s="6" t="s">
        <v>1958</v>
      </c>
      <c r="B3054" s="6" t="s">
        <v>1964</v>
      </c>
      <c r="C3054" s="6" t="s">
        <v>2232</v>
      </c>
      <c r="D3054" s="7" t="str">
        <f t="shared" si="530"/>
        <v>12Go Link</v>
      </c>
      <c r="E3054" s="6" t="s">
        <v>772</v>
      </c>
    </row>
    <row r="3055">
      <c r="A3055" s="6" t="s">
        <v>1958</v>
      </c>
      <c r="B3055" s="6" t="s">
        <v>1966</v>
      </c>
      <c r="C3055" s="6" t="s">
        <v>2233</v>
      </c>
      <c r="D3055" s="7" t="str">
        <f t="shared" ref="D3055:D3058" si="531">HYPERLINK("https://12go.asia/en/travel/Ninh-Binh-Railway-Station/Nam-Anh-Hotel", "12Go Link")</f>
        <v>12Go Link</v>
      </c>
      <c r="E3055" s="6" t="s">
        <v>2016</v>
      </c>
    </row>
    <row r="3056">
      <c r="A3056" s="6" t="s">
        <v>1958</v>
      </c>
      <c r="B3056" s="6" t="s">
        <v>1966</v>
      </c>
      <c r="C3056" s="6" t="s">
        <v>2233</v>
      </c>
      <c r="D3056" s="7" t="str">
        <f t="shared" si="531"/>
        <v>12Go Link</v>
      </c>
      <c r="E3056" s="6" t="s">
        <v>1929</v>
      </c>
    </row>
    <row r="3057">
      <c r="A3057" s="6" t="s">
        <v>1958</v>
      </c>
      <c r="B3057" s="6" t="s">
        <v>1966</v>
      </c>
      <c r="C3057" s="6" t="s">
        <v>2233</v>
      </c>
      <c r="D3057" s="7" t="str">
        <f t="shared" si="531"/>
        <v>12Go Link</v>
      </c>
      <c r="E3057" s="6" t="s">
        <v>2204</v>
      </c>
    </row>
    <row r="3058">
      <c r="A3058" s="6" t="s">
        <v>1958</v>
      </c>
      <c r="B3058" s="6" t="s">
        <v>1966</v>
      </c>
      <c r="C3058" s="6" t="s">
        <v>2233</v>
      </c>
      <c r="D3058" s="7" t="str">
        <f t="shared" si="531"/>
        <v>12Go Link</v>
      </c>
      <c r="E3058" s="6" t="s">
        <v>2202</v>
      </c>
    </row>
    <row r="3059">
      <c r="A3059" s="6" t="s">
        <v>1958</v>
      </c>
      <c r="B3059" s="6" t="s">
        <v>652</v>
      </c>
      <c r="C3059" s="6" t="s">
        <v>2234</v>
      </c>
      <c r="D3059" s="7" t="str">
        <f>HYPERLINK("https://12go.asia/en/travel/Ninh-Binh-Bus-Terminal/Sapa-Bus-Station", "12Go Link")</f>
        <v>12Go Link</v>
      </c>
      <c r="E3059" s="6" t="s">
        <v>2202</v>
      </c>
    </row>
    <row r="3060">
      <c r="A3060" s="6" t="s">
        <v>1958</v>
      </c>
      <c r="B3060" s="6" t="s">
        <v>652</v>
      </c>
      <c r="C3060" s="6" t="s">
        <v>2235</v>
      </c>
      <c r="D3060" s="7" t="str">
        <f>HYPERLINK("https://12go.asia/en/travel/Ninh-Binh-Hotel-Transfer/Sapa", "12Go Link")</f>
        <v>12Go Link</v>
      </c>
      <c r="E3060" s="6" t="s">
        <v>772</v>
      </c>
    </row>
    <row r="3061">
      <c r="A3061" s="6" t="s">
        <v>1958</v>
      </c>
      <c r="B3061" s="6" t="s">
        <v>2236</v>
      </c>
      <c r="C3061" s="6" t="s">
        <v>2237</v>
      </c>
      <c r="D3061" s="7" t="str">
        <f t="shared" ref="D3061:D3062" si="532">HYPERLINK("https://12go.asia/en/travel/Ninh-Binh-Hotel-Transfer/Moc-Chau", "12Go Link")</f>
        <v>12Go Link</v>
      </c>
      <c r="E3061" s="6" t="s">
        <v>567</v>
      </c>
    </row>
    <row r="3062">
      <c r="A3062" s="6" t="s">
        <v>1958</v>
      </c>
      <c r="B3062" s="6" t="s">
        <v>2236</v>
      </c>
      <c r="C3062" s="6" t="s">
        <v>2237</v>
      </c>
      <c r="D3062" s="7" t="str">
        <f t="shared" si="532"/>
        <v>12Go Link</v>
      </c>
      <c r="E3062" s="6" t="s">
        <v>772</v>
      </c>
    </row>
    <row r="3063">
      <c r="A3063" s="6" t="s">
        <v>1958</v>
      </c>
      <c r="B3063" s="6" t="s">
        <v>2155</v>
      </c>
      <c r="C3063" s="6" t="s">
        <v>2238</v>
      </c>
      <c r="D3063" s="7" t="str">
        <f t="shared" ref="D3063:D3064" si="533">HYPERLINK("https://12go.asia/en/travel/Ninh-Binh-Hotel-Transfer/Pu-Luong", "12Go Link")</f>
        <v>12Go Link</v>
      </c>
      <c r="E3063" s="6" t="s">
        <v>567</v>
      </c>
    </row>
    <row r="3064">
      <c r="A3064" s="6" t="s">
        <v>1958</v>
      </c>
      <c r="B3064" s="6" t="s">
        <v>2155</v>
      </c>
      <c r="C3064" s="6" t="s">
        <v>2238</v>
      </c>
      <c r="D3064" s="7" t="str">
        <f t="shared" si="533"/>
        <v>12Go Link</v>
      </c>
      <c r="E3064" s="6" t="s">
        <v>772</v>
      </c>
    </row>
    <row r="3065">
      <c r="A3065" s="8" t="s">
        <v>2007</v>
      </c>
      <c r="B3065" s="8" t="s">
        <v>1988</v>
      </c>
      <c r="C3065" s="8" t="s">
        <v>2239</v>
      </c>
      <c r="D3065" s="9" t="str">
        <f t="shared" ref="D3065:D3066" si="534">HYPERLINK("https://12go.asia/en/travel/Hanoi-Airport/10-Nguyen-Trai", "12Go Link")</f>
        <v>12Go Link</v>
      </c>
      <c r="E3065" s="8" t="s">
        <v>1990</v>
      </c>
    </row>
    <row r="3066">
      <c r="A3066" s="8" t="s">
        <v>2007</v>
      </c>
      <c r="B3066" s="8" t="s">
        <v>1988</v>
      </c>
      <c r="C3066" s="8" t="s">
        <v>2239</v>
      </c>
      <c r="D3066" s="9" t="str">
        <f t="shared" si="534"/>
        <v>12Go Link</v>
      </c>
      <c r="E3066" s="8" t="s">
        <v>1992</v>
      </c>
    </row>
    <row r="3067">
      <c r="A3067" s="8" t="s">
        <v>2007</v>
      </c>
      <c r="B3067" s="8" t="s">
        <v>1988</v>
      </c>
      <c r="C3067" s="8" t="s">
        <v>2240</v>
      </c>
      <c r="D3067" s="9" t="str">
        <f t="shared" ref="D3067:D3068" si="535">HYPERLINK("https://12go.asia/en/travel/Hanoi-Airport/Ha-Giang-Bus-Terminal", "12Go Link")</f>
        <v>12Go Link</v>
      </c>
      <c r="E3067" s="8" t="s">
        <v>1990</v>
      </c>
    </row>
    <row r="3068">
      <c r="A3068" s="8" t="s">
        <v>2007</v>
      </c>
      <c r="B3068" s="8" t="s">
        <v>1988</v>
      </c>
      <c r="C3068" s="8" t="s">
        <v>2240</v>
      </c>
      <c r="D3068" s="9" t="str">
        <f t="shared" si="535"/>
        <v>12Go Link</v>
      </c>
      <c r="E3068" s="8" t="s">
        <v>1992</v>
      </c>
    </row>
    <row r="3069">
      <c r="A3069" s="8" t="s">
        <v>2007</v>
      </c>
      <c r="B3069" s="8" t="s">
        <v>1988</v>
      </c>
      <c r="C3069" s="8" t="s">
        <v>2241</v>
      </c>
      <c r="D3069" s="9" t="str">
        <f t="shared" ref="D3069:D3070" si="536">HYPERLINK("https://12go.asia/en/travel/Hanoi-Airport/Ha-Giang-Hostel", "12Go Link")</f>
        <v>12Go Link</v>
      </c>
      <c r="E3069" s="8" t="s">
        <v>1990</v>
      </c>
    </row>
    <row r="3070">
      <c r="A3070" s="8" t="s">
        <v>2007</v>
      </c>
      <c r="B3070" s="8" t="s">
        <v>1988</v>
      </c>
      <c r="C3070" s="8" t="s">
        <v>2241</v>
      </c>
      <c r="D3070" s="9" t="str">
        <f t="shared" si="536"/>
        <v>12Go Link</v>
      </c>
      <c r="E3070" s="8" t="s">
        <v>1992</v>
      </c>
    </row>
    <row r="3071">
      <c r="A3071" s="8" t="s">
        <v>2007</v>
      </c>
      <c r="B3071" s="8" t="s">
        <v>650</v>
      </c>
      <c r="C3071" s="8" t="s">
        <v>2242</v>
      </c>
      <c r="D3071" s="9" t="str">
        <f>HYPERLINK("https://12go.asia/en/travel/Noi-Bai-International-Airport/Hanoi-Old-Quarter", "12Go Link")</f>
        <v>12Go Link</v>
      </c>
      <c r="E3071" s="8" t="s">
        <v>567</v>
      </c>
    </row>
    <row r="3072">
      <c r="A3072" s="8" t="s">
        <v>2007</v>
      </c>
      <c r="B3072" s="8" t="s">
        <v>2051</v>
      </c>
      <c r="C3072" s="8" t="s">
        <v>2243</v>
      </c>
      <c r="D3072" s="9" t="str">
        <f t="shared" ref="D3072:D3073" si="537">HYPERLINK("https://12go.asia/en/travel/Noi-Bai-International-Airport/Mu-Cang-Chai-Hotel-Transfer", "12Go Link")</f>
        <v>12Go Link</v>
      </c>
      <c r="E3072" s="8" t="s">
        <v>567</v>
      </c>
    </row>
    <row r="3073">
      <c r="A3073" s="8" t="s">
        <v>2007</v>
      </c>
      <c r="B3073" s="8" t="s">
        <v>2051</v>
      </c>
      <c r="C3073" s="8" t="s">
        <v>2243</v>
      </c>
      <c r="D3073" s="9" t="str">
        <f t="shared" si="537"/>
        <v>12Go Link</v>
      </c>
      <c r="E3073" s="8" t="s">
        <v>772</v>
      </c>
    </row>
    <row r="3074">
      <c r="A3074" s="8" t="s">
        <v>2007</v>
      </c>
      <c r="B3074" s="8" t="s">
        <v>1958</v>
      </c>
      <c r="C3074" s="8" t="s">
        <v>2244</v>
      </c>
      <c r="D3074" s="9" t="str">
        <f>HYPERLINK("https://12go.asia/en/travel/Hanoi-Airport/Ninh-Binh-Hotel-Transfer", "12Go Link")</f>
        <v>12Go Link</v>
      </c>
      <c r="E3074" s="8" t="s">
        <v>772</v>
      </c>
    </row>
    <row r="3075">
      <c r="A3075" s="6" t="s">
        <v>2112</v>
      </c>
      <c r="B3075" s="6" t="s">
        <v>170</v>
      </c>
      <c r="C3075" s="6" t="s">
        <v>2245</v>
      </c>
      <c r="D3075" s="7" t="str">
        <f t="shared" ref="D3075:D3076" si="538">HYPERLINK("https://12go.asia/en/travel/Phan-Thiet-Hotel-Transfer/Tan-Son-Nhat-Airport", "12Go Link")</f>
        <v>12Go Link</v>
      </c>
      <c r="E3075" s="6" t="s">
        <v>567</v>
      </c>
    </row>
    <row r="3076">
      <c r="A3076" s="6" t="s">
        <v>2112</v>
      </c>
      <c r="B3076" s="6" t="s">
        <v>170</v>
      </c>
      <c r="C3076" s="6" t="s">
        <v>2245</v>
      </c>
      <c r="D3076" s="7" t="str">
        <f t="shared" si="538"/>
        <v>12Go Link</v>
      </c>
      <c r="E3076" s="6" t="s">
        <v>772</v>
      </c>
    </row>
    <row r="3077">
      <c r="A3077" s="8" t="s">
        <v>1964</v>
      </c>
      <c r="B3077" s="8" t="s">
        <v>1904</v>
      </c>
      <c r="C3077" s="8" t="s">
        <v>2246</v>
      </c>
      <c r="D3077" s="9" t="str">
        <f>HYPERLINK("https://12go.asia/en/travel/Phong-Nha-Hung-Thanh-Bus-Office/105-Ton-Duc-Thang", "12Go Link")</f>
        <v>12Go Link</v>
      </c>
      <c r="E3077" s="8" t="s">
        <v>1929</v>
      </c>
    </row>
    <row r="3078">
      <c r="A3078" s="8" t="s">
        <v>1964</v>
      </c>
      <c r="B3078" s="8" t="s">
        <v>1933</v>
      </c>
      <c r="C3078" s="8" t="s">
        <v>2247</v>
      </c>
      <c r="D3078" s="9" t="str">
        <f>HYPERLINK("https://12go.asia/en/travel/Phong-Nha-Hung-Thanh-Bus-Office/5-To-Huu", "12Go Link")</f>
        <v>12Go Link</v>
      </c>
      <c r="E3078" s="8" t="s">
        <v>1929</v>
      </c>
    </row>
    <row r="3079">
      <c r="A3079" s="8" t="s">
        <v>1964</v>
      </c>
      <c r="B3079" s="8" t="s">
        <v>1958</v>
      </c>
      <c r="C3079" s="8" t="s">
        <v>2248</v>
      </c>
      <c r="D3079" s="9" t="str">
        <f t="shared" ref="D3079:D3080" si="539">HYPERLINK("https://12go.asia/en/travel/Phong-Nha/Ninh-Binh-Hotel-Transfer", "12Go Link")</f>
        <v>12Go Link</v>
      </c>
      <c r="E3079" s="8" t="s">
        <v>567</v>
      </c>
    </row>
    <row r="3080">
      <c r="A3080" s="8" t="s">
        <v>1964</v>
      </c>
      <c r="B3080" s="8" t="s">
        <v>1958</v>
      </c>
      <c r="C3080" s="8" t="s">
        <v>2248</v>
      </c>
      <c r="D3080" s="9" t="str">
        <f t="shared" si="539"/>
        <v>12Go Link</v>
      </c>
      <c r="E3080" s="8" t="s">
        <v>772</v>
      </c>
    </row>
    <row r="3081">
      <c r="A3081" s="6" t="s">
        <v>213</v>
      </c>
      <c r="B3081" s="6" t="s">
        <v>162</v>
      </c>
      <c r="C3081" s="6" t="s">
        <v>2249</v>
      </c>
      <c r="D3081" s="7" t="str">
        <f>HYPERLINK("https://12go.asia/en/travel/Cang-Bai-Vong-Phu-Quoc/Koh-Rong", "12Go Link")</f>
        <v>12Go Link</v>
      </c>
      <c r="E3081" s="6" t="s">
        <v>215</v>
      </c>
    </row>
    <row r="3082">
      <c r="A3082" s="6" t="s">
        <v>213</v>
      </c>
      <c r="B3082" s="6" t="s">
        <v>163</v>
      </c>
      <c r="C3082" s="6" t="s">
        <v>2250</v>
      </c>
      <c r="D3082" s="7" t="str">
        <f>HYPERLINK("https://12go.asia/en/travel/Cang-Bai-Vong-Phu-Quoc/Koh-Rong-Samloem", "12Go Link")</f>
        <v>12Go Link</v>
      </c>
      <c r="E3082" s="6" t="s">
        <v>215</v>
      </c>
    </row>
    <row r="3083">
      <c r="A3083" s="8" t="s">
        <v>2195</v>
      </c>
      <c r="B3083" s="8" t="s">
        <v>1933</v>
      </c>
      <c r="C3083" s="8" t="s">
        <v>2251</v>
      </c>
      <c r="D3083" s="9" t="str">
        <f>HYPERLINK("https://12go.asia/en/travel/Vincom-Plaza-Tuy-Hoa/Twosome-Coffee", "12Go Link")</f>
        <v>12Go Link</v>
      </c>
      <c r="E3083" s="8" t="s">
        <v>1911</v>
      </c>
    </row>
    <row r="3084">
      <c r="A3084" s="6" t="s">
        <v>1966</v>
      </c>
      <c r="B3084" s="6" t="s">
        <v>1899</v>
      </c>
      <c r="C3084" s="6" t="s">
        <v>2252</v>
      </c>
      <c r="D3084" s="7" t="str">
        <f t="shared" ref="D3084:D3085" si="540">HYPERLINK("https://12go.asia/en/travel/Dong-Hoi/Da-Nang-City", "12Go Link")</f>
        <v>12Go Link</v>
      </c>
      <c r="E3084" s="6" t="s">
        <v>567</v>
      </c>
    </row>
    <row r="3085">
      <c r="A3085" s="6" t="s">
        <v>1966</v>
      </c>
      <c r="B3085" s="6" t="s">
        <v>1899</v>
      </c>
      <c r="C3085" s="6" t="s">
        <v>2252</v>
      </c>
      <c r="D3085" s="7" t="str">
        <f t="shared" si="540"/>
        <v>12Go Link</v>
      </c>
      <c r="E3085" s="6" t="s">
        <v>772</v>
      </c>
    </row>
    <row r="3086">
      <c r="A3086" s="6" t="s">
        <v>1966</v>
      </c>
      <c r="B3086" s="6" t="s">
        <v>1899</v>
      </c>
      <c r="C3086" s="6" t="s">
        <v>2253</v>
      </c>
      <c r="D3086" s="7" t="str">
        <f t="shared" ref="D3086:D3087" si="541">HYPERLINK("https://12go.asia/en/travel/Phong-Nha-Central-Backpackers-Hostel/90-Hoang-Thi-Loan", "12Go Link")</f>
        <v>12Go Link</v>
      </c>
      <c r="E3086" s="6" t="s">
        <v>2254</v>
      </c>
    </row>
    <row r="3087">
      <c r="A3087" s="6" t="s">
        <v>1966</v>
      </c>
      <c r="B3087" s="6" t="s">
        <v>1899</v>
      </c>
      <c r="C3087" s="6" t="s">
        <v>2253</v>
      </c>
      <c r="D3087" s="7" t="str">
        <f t="shared" si="541"/>
        <v>12Go Link</v>
      </c>
      <c r="E3087" s="6" t="s">
        <v>2255</v>
      </c>
    </row>
    <row r="3088">
      <c r="A3088" s="6" t="s">
        <v>1966</v>
      </c>
      <c r="B3088" s="6" t="s">
        <v>1904</v>
      </c>
      <c r="C3088" s="6" t="s">
        <v>2256</v>
      </c>
      <c r="D3088" s="7" t="str">
        <f t="shared" ref="D3088:D3089" si="542">HYPERLINK("https://12go.asia/en/travel/Dong-Hoi/Hoi-An-Hotel-Transfer", "12Go Link")</f>
        <v>12Go Link</v>
      </c>
      <c r="E3088" s="6" t="s">
        <v>567</v>
      </c>
    </row>
    <row r="3089">
      <c r="A3089" s="6" t="s">
        <v>1966</v>
      </c>
      <c r="B3089" s="6" t="s">
        <v>1904</v>
      </c>
      <c r="C3089" s="6" t="s">
        <v>2256</v>
      </c>
      <c r="D3089" s="7" t="str">
        <f t="shared" si="542"/>
        <v>12Go Link</v>
      </c>
      <c r="E3089" s="6" t="s">
        <v>772</v>
      </c>
    </row>
    <row r="3090">
      <c r="A3090" s="6" t="s">
        <v>1966</v>
      </c>
      <c r="B3090" s="6" t="s">
        <v>1904</v>
      </c>
      <c r="C3090" s="6" t="s">
        <v>2257</v>
      </c>
      <c r="D3090" s="7" t="str">
        <f t="shared" ref="D3090:D3091" si="543">HYPERLINK("https://12go.asia/en/travel/Phong-Nha-Central-Backpackers-Hostel/61-Nguyen-Tat-Thanh", "12Go Link")</f>
        <v>12Go Link</v>
      </c>
      <c r="E3090" s="6" t="s">
        <v>2254</v>
      </c>
    </row>
    <row r="3091">
      <c r="A3091" s="6" t="s">
        <v>1966</v>
      </c>
      <c r="B3091" s="6" t="s">
        <v>1904</v>
      </c>
      <c r="C3091" s="6" t="s">
        <v>2257</v>
      </c>
      <c r="D3091" s="7" t="str">
        <f t="shared" si="543"/>
        <v>12Go Link</v>
      </c>
      <c r="E3091" s="6" t="s">
        <v>2255</v>
      </c>
    </row>
    <row r="3092">
      <c r="A3092" s="6" t="s">
        <v>1966</v>
      </c>
      <c r="B3092" s="6" t="s">
        <v>1906</v>
      </c>
      <c r="C3092" s="6" t="s">
        <v>2258</v>
      </c>
      <c r="D3092" s="7" t="str">
        <f t="shared" ref="D3092:D3093" si="544">HYPERLINK("https://12go.asia/en/travel/Dong-Hoi/Hue-City", "12Go Link")</f>
        <v>12Go Link</v>
      </c>
      <c r="E3092" s="6" t="s">
        <v>567</v>
      </c>
    </row>
    <row r="3093">
      <c r="A3093" s="6" t="s">
        <v>1966</v>
      </c>
      <c r="B3093" s="6" t="s">
        <v>1906</v>
      </c>
      <c r="C3093" s="6" t="s">
        <v>2258</v>
      </c>
      <c r="D3093" s="7" t="str">
        <f t="shared" si="544"/>
        <v>12Go Link</v>
      </c>
      <c r="E3093" s="6" t="s">
        <v>772</v>
      </c>
    </row>
    <row r="3094">
      <c r="A3094" s="6" t="s">
        <v>1966</v>
      </c>
      <c r="B3094" s="6" t="s">
        <v>1906</v>
      </c>
      <c r="C3094" s="6" t="s">
        <v>2259</v>
      </c>
      <c r="D3094" s="7" t="str">
        <f t="shared" ref="D3094:D3095" si="545">HYPERLINK("https://12go.asia/en/travel/Phong-Nha-Central-Backpackers-Hostel/5-Le-Quang-Dao", "12Go Link")</f>
        <v>12Go Link</v>
      </c>
      <c r="E3094" s="6" t="s">
        <v>2254</v>
      </c>
    </row>
    <row r="3095">
      <c r="A3095" s="6" t="s">
        <v>1966</v>
      </c>
      <c r="B3095" s="6" t="s">
        <v>1906</v>
      </c>
      <c r="C3095" s="6" t="s">
        <v>2259</v>
      </c>
      <c r="D3095" s="7" t="str">
        <f t="shared" si="545"/>
        <v>12Go Link</v>
      </c>
      <c r="E3095" s="6" t="s">
        <v>2255</v>
      </c>
    </row>
    <row r="3096">
      <c r="A3096" s="8" t="s">
        <v>2152</v>
      </c>
      <c r="B3096" s="8" t="s">
        <v>1906</v>
      </c>
      <c r="C3096" s="8" t="s">
        <v>2260</v>
      </c>
      <c r="D3096" s="9" t="str">
        <f>HYPERLINK("https://12go.asia/en/travel/Hoi-An-Ivy-Hotel/35-Ben-Nghe", "12Go Link")</f>
        <v>12Go Link</v>
      </c>
      <c r="E3096" s="8" t="s">
        <v>1946</v>
      </c>
    </row>
    <row r="3097">
      <c r="A3097" s="8" t="s">
        <v>2152</v>
      </c>
      <c r="B3097" s="8" t="s">
        <v>1906</v>
      </c>
      <c r="C3097" s="8" t="s">
        <v>2261</v>
      </c>
      <c r="D3097" s="9" t="str">
        <f>HYPERLINK("https://12go.asia/en/travel/Hoi-An-Ivy-Hotel/Highlands-Coffee-Le-Loi", "12Go Link")</f>
        <v>12Go Link</v>
      </c>
      <c r="E3097" s="8" t="s">
        <v>1946</v>
      </c>
    </row>
    <row r="3098">
      <c r="A3098" s="6" t="s">
        <v>1985</v>
      </c>
      <c r="B3098" s="6" t="s">
        <v>650</v>
      </c>
      <c r="C3098" s="6" t="s">
        <v>2262</v>
      </c>
      <c r="D3098" s="7" t="str">
        <f t="shared" ref="D3098:D3100" si="546">HYPERLINK("https://12go.asia/en/travel/Ao-Tien-Cruise-Terminal/28-Dinh-Nup", "12Go Link")</f>
        <v>12Go Link</v>
      </c>
      <c r="E3098" s="6" t="s">
        <v>2016</v>
      </c>
    </row>
    <row r="3099">
      <c r="A3099" s="6" t="s">
        <v>1985</v>
      </c>
      <c r="B3099" s="6" t="s">
        <v>650</v>
      </c>
      <c r="C3099" s="6" t="s">
        <v>2262</v>
      </c>
      <c r="D3099" s="7" t="str">
        <f t="shared" si="546"/>
        <v>12Go Link</v>
      </c>
      <c r="E3099" s="6" t="s">
        <v>2017</v>
      </c>
    </row>
    <row r="3100">
      <c r="A3100" s="6" t="s">
        <v>1985</v>
      </c>
      <c r="B3100" s="6" t="s">
        <v>650</v>
      </c>
      <c r="C3100" s="6" t="s">
        <v>2262</v>
      </c>
      <c r="D3100" s="7" t="str">
        <f t="shared" si="546"/>
        <v>12Go Link</v>
      </c>
      <c r="E3100" s="6" t="s">
        <v>2018</v>
      </c>
    </row>
    <row r="3101">
      <c r="A3101" s="6" t="s">
        <v>1985</v>
      </c>
      <c r="B3101" s="6" t="s">
        <v>650</v>
      </c>
      <c r="C3101" s="6" t="s">
        <v>2263</v>
      </c>
      <c r="D3101" s="7" t="str">
        <f t="shared" ref="D3101:D3103" si="547">HYPERLINK("https://12go.asia/en/travel/Ao-Tien-Cruise-Terminal/Aeon-Mall-Long-Bien", "12Go Link")</f>
        <v>12Go Link</v>
      </c>
      <c r="E3101" s="6" t="s">
        <v>2016</v>
      </c>
    </row>
    <row r="3102">
      <c r="A3102" s="6" t="s">
        <v>1985</v>
      </c>
      <c r="B3102" s="6" t="s">
        <v>650</v>
      </c>
      <c r="C3102" s="6" t="s">
        <v>2263</v>
      </c>
      <c r="D3102" s="7" t="str">
        <f t="shared" si="547"/>
        <v>12Go Link</v>
      </c>
      <c r="E3102" s="6" t="s">
        <v>2017</v>
      </c>
    </row>
    <row r="3103">
      <c r="A3103" s="6" t="s">
        <v>1985</v>
      </c>
      <c r="B3103" s="6" t="s">
        <v>650</v>
      </c>
      <c r="C3103" s="6" t="s">
        <v>2263</v>
      </c>
      <c r="D3103" s="7" t="str">
        <f t="shared" si="547"/>
        <v>12Go Link</v>
      </c>
      <c r="E3103" s="6" t="s">
        <v>2018</v>
      </c>
    </row>
    <row r="3104">
      <c r="A3104" s="6" t="s">
        <v>1985</v>
      </c>
      <c r="B3104" s="6" t="s">
        <v>650</v>
      </c>
      <c r="C3104" s="6" t="s">
        <v>2264</v>
      </c>
      <c r="D3104" s="7" t="str">
        <f t="shared" ref="D3104:D3106" si="548">HYPERLINK("https://12go.asia/en/travel/Ao-Tien-Cruise-Terminal/Gate-R6-Royal-City", "12Go Link")</f>
        <v>12Go Link</v>
      </c>
      <c r="E3104" s="6" t="s">
        <v>2016</v>
      </c>
    </row>
    <row r="3105">
      <c r="A3105" s="6" t="s">
        <v>1985</v>
      </c>
      <c r="B3105" s="6" t="s">
        <v>650</v>
      </c>
      <c r="C3105" s="6" t="s">
        <v>2264</v>
      </c>
      <c r="D3105" s="7" t="str">
        <f t="shared" si="548"/>
        <v>12Go Link</v>
      </c>
      <c r="E3105" s="6" t="s">
        <v>2017</v>
      </c>
    </row>
    <row r="3106">
      <c r="A3106" s="6" t="s">
        <v>1985</v>
      </c>
      <c r="B3106" s="6" t="s">
        <v>650</v>
      </c>
      <c r="C3106" s="6" t="s">
        <v>2264</v>
      </c>
      <c r="D3106" s="7" t="str">
        <f t="shared" si="548"/>
        <v>12Go Link</v>
      </c>
      <c r="E3106" s="6" t="s">
        <v>2018</v>
      </c>
    </row>
    <row r="3107">
      <c r="A3107" s="6" t="s">
        <v>1985</v>
      </c>
      <c r="B3107" s="6" t="s">
        <v>650</v>
      </c>
      <c r="C3107" s="6" t="s">
        <v>2265</v>
      </c>
      <c r="D3107" s="7" t="str">
        <f t="shared" ref="D3107:D3109" si="549">HYPERLINK("https://12go.asia/en/travel/Ao-Tien-Cruise-Terminal/Minh-Chau-Limousine-Office", "12Go Link")</f>
        <v>12Go Link</v>
      </c>
      <c r="E3107" s="6" t="s">
        <v>2016</v>
      </c>
    </row>
    <row r="3108">
      <c r="A3108" s="6" t="s">
        <v>1985</v>
      </c>
      <c r="B3108" s="6" t="s">
        <v>650</v>
      </c>
      <c r="C3108" s="6" t="s">
        <v>2265</v>
      </c>
      <c r="D3108" s="7" t="str">
        <f t="shared" si="549"/>
        <v>12Go Link</v>
      </c>
      <c r="E3108" s="6" t="s">
        <v>2017</v>
      </c>
    </row>
    <row r="3109">
      <c r="A3109" s="6" t="s">
        <v>1985</v>
      </c>
      <c r="B3109" s="6" t="s">
        <v>650</v>
      </c>
      <c r="C3109" s="6" t="s">
        <v>2265</v>
      </c>
      <c r="D3109" s="7" t="str">
        <f t="shared" si="549"/>
        <v>12Go Link</v>
      </c>
      <c r="E3109" s="6" t="s">
        <v>2018</v>
      </c>
    </row>
    <row r="3110">
      <c r="A3110" s="6" t="s">
        <v>1985</v>
      </c>
      <c r="B3110" s="6" t="s">
        <v>650</v>
      </c>
      <c r="C3110" s="6" t="s">
        <v>2266</v>
      </c>
      <c r="D3110" s="7" t="str">
        <f t="shared" ref="D3110:D3112" si="550">HYPERLINK("https://12go.asia/en/travel/Ao-Tien-Cruise-Terminal/Time-City", "12Go Link")</f>
        <v>12Go Link</v>
      </c>
      <c r="E3110" s="6" t="s">
        <v>2016</v>
      </c>
    </row>
    <row r="3111">
      <c r="A3111" s="6" t="s">
        <v>1985</v>
      </c>
      <c r="B3111" s="6" t="s">
        <v>650</v>
      </c>
      <c r="C3111" s="6" t="s">
        <v>2266</v>
      </c>
      <c r="D3111" s="7" t="str">
        <f t="shared" si="550"/>
        <v>12Go Link</v>
      </c>
      <c r="E3111" s="6" t="s">
        <v>2017</v>
      </c>
    </row>
    <row r="3112">
      <c r="A3112" s="6" t="s">
        <v>1985</v>
      </c>
      <c r="B3112" s="6" t="s">
        <v>650</v>
      </c>
      <c r="C3112" s="6" t="s">
        <v>2266</v>
      </c>
      <c r="D3112" s="7" t="str">
        <f t="shared" si="550"/>
        <v>12Go Link</v>
      </c>
      <c r="E3112" s="6" t="s">
        <v>2018</v>
      </c>
    </row>
    <row r="3113">
      <c r="A3113" s="6" t="s">
        <v>1985</v>
      </c>
      <c r="B3113" s="6" t="s">
        <v>650</v>
      </c>
      <c r="C3113" s="6" t="s">
        <v>2267</v>
      </c>
      <c r="D3113" s="7" t="str">
        <f t="shared" ref="D3113:D3115" si="551">HYPERLINK("https://12go.asia/en/travel/Ao-Tien-Cruise-Terminal/Vinhomes-Ocean-Park-1", "12Go Link")</f>
        <v>12Go Link</v>
      </c>
      <c r="E3113" s="6" t="s">
        <v>2016</v>
      </c>
    </row>
    <row r="3114">
      <c r="A3114" s="6" t="s">
        <v>1985</v>
      </c>
      <c r="B3114" s="6" t="s">
        <v>650</v>
      </c>
      <c r="C3114" s="6" t="s">
        <v>2267</v>
      </c>
      <c r="D3114" s="7" t="str">
        <f t="shared" si="551"/>
        <v>12Go Link</v>
      </c>
      <c r="E3114" s="6" t="s">
        <v>2017</v>
      </c>
    </row>
    <row r="3115">
      <c r="A3115" s="6" t="s">
        <v>1985</v>
      </c>
      <c r="B3115" s="6" t="s">
        <v>650</v>
      </c>
      <c r="C3115" s="6" t="s">
        <v>2267</v>
      </c>
      <c r="D3115" s="7" t="str">
        <f t="shared" si="551"/>
        <v>12Go Link</v>
      </c>
      <c r="E3115" s="6" t="s">
        <v>2018</v>
      </c>
    </row>
    <row r="3116">
      <c r="A3116" s="6" t="s">
        <v>1985</v>
      </c>
      <c r="B3116" s="6" t="s">
        <v>650</v>
      </c>
      <c r="C3116" s="6" t="s">
        <v>2268</v>
      </c>
      <c r="D3116" s="7" t="str">
        <f t="shared" ref="D3116:D3118" si="552">HYPERLINK("https://12go.asia/en/travel/Ao-Tien-Cruise-Terminal/Vinhomes-Ocean-Park-2-3", "12Go Link")</f>
        <v>12Go Link</v>
      </c>
      <c r="E3116" s="6" t="s">
        <v>2016</v>
      </c>
    </row>
    <row r="3117">
      <c r="A3117" s="6" t="s">
        <v>1985</v>
      </c>
      <c r="B3117" s="6" t="s">
        <v>650</v>
      </c>
      <c r="C3117" s="6" t="s">
        <v>2268</v>
      </c>
      <c r="D3117" s="7" t="str">
        <f t="shared" si="552"/>
        <v>12Go Link</v>
      </c>
      <c r="E3117" s="6" t="s">
        <v>2017</v>
      </c>
    </row>
    <row r="3118">
      <c r="A3118" s="6" t="s">
        <v>1985</v>
      </c>
      <c r="B3118" s="6" t="s">
        <v>650</v>
      </c>
      <c r="C3118" s="6" t="s">
        <v>2268</v>
      </c>
      <c r="D3118" s="7" t="str">
        <f t="shared" si="552"/>
        <v>12Go Link</v>
      </c>
      <c r="E3118" s="6" t="s">
        <v>2018</v>
      </c>
    </row>
    <row r="3119">
      <c r="A3119" s="6" t="s">
        <v>1985</v>
      </c>
      <c r="B3119" s="6" t="s">
        <v>650</v>
      </c>
      <c r="C3119" s="6" t="s">
        <v>2269</v>
      </c>
      <c r="D3119" s="7" t="str">
        <f t="shared" ref="D3119:D3121" si="553">HYPERLINK("https://12go.asia/en/travel/Tuan-Chau-Welcome-Gate/28-Dinh-Nup", "12Go Link")</f>
        <v>12Go Link</v>
      </c>
      <c r="E3119" s="6" t="s">
        <v>2016</v>
      </c>
    </row>
    <row r="3120">
      <c r="A3120" s="6" t="s">
        <v>1985</v>
      </c>
      <c r="B3120" s="6" t="s">
        <v>650</v>
      </c>
      <c r="C3120" s="6" t="s">
        <v>2269</v>
      </c>
      <c r="D3120" s="7" t="str">
        <f t="shared" si="553"/>
        <v>12Go Link</v>
      </c>
      <c r="E3120" s="6" t="s">
        <v>2017</v>
      </c>
    </row>
    <row r="3121">
      <c r="A3121" s="6" t="s">
        <v>1985</v>
      </c>
      <c r="B3121" s="6" t="s">
        <v>650</v>
      </c>
      <c r="C3121" s="6" t="s">
        <v>2269</v>
      </c>
      <c r="D3121" s="7" t="str">
        <f t="shared" si="553"/>
        <v>12Go Link</v>
      </c>
      <c r="E3121" s="6" t="s">
        <v>2018</v>
      </c>
    </row>
    <row r="3122">
      <c r="A3122" s="6" t="s">
        <v>1985</v>
      </c>
      <c r="B3122" s="6" t="s">
        <v>650</v>
      </c>
      <c r="C3122" s="6" t="s">
        <v>2270</v>
      </c>
      <c r="D3122" s="7" t="str">
        <f t="shared" ref="D3122:D3124" si="554">HYPERLINK("https://12go.asia/en/travel/Tuan-Chau-Welcome-Gate/Aeon-Mall-Long-Bien", "12Go Link")</f>
        <v>12Go Link</v>
      </c>
      <c r="E3122" s="6" t="s">
        <v>2016</v>
      </c>
    </row>
    <row r="3123">
      <c r="A3123" s="6" t="s">
        <v>1985</v>
      </c>
      <c r="B3123" s="6" t="s">
        <v>650</v>
      </c>
      <c r="C3123" s="6" t="s">
        <v>2270</v>
      </c>
      <c r="D3123" s="7" t="str">
        <f t="shared" si="554"/>
        <v>12Go Link</v>
      </c>
      <c r="E3123" s="6" t="s">
        <v>2017</v>
      </c>
    </row>
    <row r="3124">
      <c r="A3124" s="6" t="s">
        <v>1985</v>
      </c>
      <c r="B3124" s="6" t="s">
        <v>650</v>
      </c>
      <c r="C3124" s="6" t="s">
        <v>2270</v>
      </c>
      <c r="D3124" s="7" t="str">
        <f t="shared" si="554"/>
        <v>12Go Link</v>
      </c>
      <c r="E3124" s="6" t="s">
        <v>2018</v>
      </c>
    </row>
    <row r="3125">
      <c r="A3125" s="6" t="s">
        <v>1985</v>
      </c>
      <c r="B3125" s="6" t="s">
        <v>650</v>
      </c>
      <c r="C3125" s="6" t="s">
        <v>2271</v>
      </c>
      <c r="D3125" s="7" t="str">
        <f t="shared" ref="D3125:D3127" si="555">HYPERLINK("https://12go.asia/en/travel/Tuan-Chau-Welcome-Gate/Gate-R6-Royal-City", "12Go Link")</f>
        <v>12Go Link</v>
      </c>
      <c r="E3125" s="6" t="s">
        <v>2016</v>
      </c>
    </row>
    <row r="3126">
      <c r="A3126" s="6" t="s">
        <v>1985</v>
      </c>
      <c r="B3126" s="6" t="s">
        <v>650</v>
      </c>
      <c r="C3126" s="6" t="s">
        <v>2271</v>
      </c>
      <c r="D3126" s="7" t="str">
        <f t="shared" si="555"/>
        <v>12Go Link</v>
      </c>
      <c r="E3126" s="6" t="s">
        <v>2017</v>
      </c>
    </row>
    <row r="3127">
      <c r="A3127" s="6" t="s">
        <v>1985</v>
      </c>
      <c r="B3127" s="6" t="s">
        <v>650</v>
      </c>
      <c r="C3127" s="6" t="s">
        <v>2271</v>
      </c>
      <c r="D3127" s="7" t="str">
        <f t="shared" si="555"/>
        <v>12Go Link</v>
      </c>
      <c r="E3127" s="6" t="s">
        <v>2018</v>
      </c>
    </row>
    <row r="3128">
      <c r="A3128" s="6" t="s">
        <v>1985</v>
      </c>
      <c r="B3128" s="6" t="s">
        <v>650</v>
      </c>
      <c r="C3128" s="6" t="s">
        <v>2272</v>
      </c>
      <c r="D3128" s="7" t="str">
        <f t="shared" ref="D3128:D3130" si="556">HYPERLINK("https://12go.asia/en/travel/Tuan-Chau-Welcome-Gate/Minh-Chau-Limousine-Office", "12Go Link")</f>
        <v>12Go Link</v>
      </c>
      <c r="E3128" s="6" t="s">
        <v>2016</v>
      </c>
    </row>
    <row r="3129">
      <c r="A3129" s="6" t="s">
        <v>1985</v>
      </c>
      <c r="B3129" s="6" t="s">
        <v>650</v>
      </c>
      <c r="C3129" s="6" t="s">
        <v>2272</v>
      </c>
      <c r="D3129" s="7" t="str">
        <f t="shared" si="556"/>
        <v>12Go Link</v>
      </c>
      <c r="E3129" s="6" t="s">
        <v>2017</v>
      </c>
    </row>
    <row r="3130">
      <c r="A3130" s="6" t="s">
        <v>1985</v>
      </c>
      <c r="B3130" s="6" t="s">
        <v>650</v>
      </c>
      <c r="C3130" s="6" t="s">
        <v>2272</v>
      </c>
      <c r="D3130" s="7" t="str">
        <f t="shared" si="556"/>
        <v>12Go Link</v>
      </c>
      <c r="E3130" s="6" t="s">
        <v>2018</v>
      </c>
    </row>
    <row r="3131">
      <c r="A3131" s="6" t="s">
        <v>1985</v>
      </c>
      <c r="B3131" s="6" t="s">
        <v>650</v>
      </c>
      <c r="C3131" s="6" t="s">
        <v>2273</v>
      </c>
      <c r="D3131" s="7" t="str">
        <f t="shared" ref="D3131:D3133" si="557">HYPERLINK("https://12go.asia/en/travel/Tuan-Chau-Welcome-Gate/Time-City", "12Go Link")</f>
        <v>12Go Link</v>
      </c>
      <c r="E3131" s="6" t="s">
        <v>2016</v>
      </c>
    </row>
    <row r="3132">
      <c r="A3132" s="6" t="s">
        <v>1985</v>
      </c>
      <c r="B3132" s="6" t="s">
        <v>650</v>
      </c>
      <c r="C3132" s="6" t="s">
        <v>2273</v>
      </c>
      <c r="D3132" s="7" t="str">
        <f t="shared" si="557"/>
        <v>12Go Link</v>
      </c>
      <c r="E3132" s="6" t="s">
        <v>2017</v>
      </c>
    </row>
    <row r="3133">
      <c r="A3133" s="6" t="s">
        <v>1985</v>
      </c>
      <c r="B3133" s="6" t="s">
        <v>650</v>
      </c>
      <c r="C3133" s="6" t="s">
        <v>2273</v>
      </c>
      <c r="D3133" s="7" t="str">
        <f t="shared" si="557"/>
        <v>12Go Link</v>
      </c>
      <c r="E3133" s="6" t="s">
        <v>2018</v>
      </c>
    </row>
    <row r="3134">
      <c r="A3134" s="6" t="s">
        <v>1985</v>
      </c>
      <c r="B3134" s="6" t="s">
        <v>650</v>
      </c>
      <c r="C3134" s="6" t="s">
        <v>2274</v>
      </c>
      <c r="D3134" s="7" t="str">
        <f t="shared" ref="D3134:D3136" si="558">HYPERLINK("https://12go.asia/en/travel/Tuan-Chau-Welcome-Gate/Vinhomes-Ocean-Park-1", "12Go Link")</f>
        <v>12Go Link</v>
      </c>
      <c r="E3134" s="6" t="s">
        <v>2016</v>
      </c>
    </row>
    <row r="3135">
      <c r="A3135" s="6" t="s">
        <v>1985</v>
      </c>
      <c r="B3135" s="6" t="s">
        <v>650</v>
      </c>
      <c r="C3135" s="6" t="s">
        <v>2274</v>
      </c>
      <c r="D3135" s="7" t="str">
        <f t="shared" si="558"/>
        <v>12Go Link</v>
      </c>
      <c r="E3135" s="6" t="s">
        <v>2017</v>
      </c>
    </row>
    <row r="3136">
      <c r="A3136" s="6" t="s">
        <v>1985</v>
      </c>
      <c r="B3136" s="6" t="s">
        <v>650</v>
      </c>
      <c r="C3136" s="6" t="s">
        <v>2274</v>
      </c>
      <c r="D3136" s="7" t="str">
        <f t="shared" si="558"/>
        <v>12Go Link</v>
      </c>
      <c r="E3136" s="6" t="s">
        <v>2018</v>
      </c>
    </row>
    <row r="3137">
      <c r="A3137" s="6" t="s">
        <v>1985</v>
      </c>
      <c r="B3137" s="6" t="s">
        <v>650</v>
      </c>
      <c r="C3137" s="6" t="s">
        <v>2275</v>
      </c>
      <c r="D3137" s="7" t="str">
        <f t="shared" ref="D3137:D3139" si="559">HYPERLINK("https://12go.asia/en/travel/Tuan-Chau-Welcome-Gate/Vinhomes-Ocean-Park-2-3", "12Go Link")</f>
        <v>12Go Link</v>
      </c>
      <c r="E3137" s="6" t="s">
        <v>2016</v>
      </c>
    </row>
    <row r="3138">
      <c r="A3138" s="6" t="s">
        <v>1985</v>
      </c>
      <c r="B3138" s="6" t="s">
        <v>650</v>
      </c>
      <c r="C3138" s="6" t="s">
        <v>2275</v>
      </c>
      <c r="D3138" s="7" t="str">
        <f t="shared" si="559"/>
        <v>12Go Link</v>
      </c>
      <c r="E3138" s="6" t="s">
        <v>2017</v>
      </c>
    </row>
    <row r="3139">
      <c r="A3139" s="6" t="s">
        <v>1985</v>
      </c>
      <c r="B3139" s="6" t="s">
        <v>650</v>
      </c>
      <c r="C3139" s="6" t="s">
        <v>2275</v>
      </c>
      <c r="D3139" s="7" t="str">
        <f t="shared" si="559"/>
        <v>12Go Link</v>
      </c>
      <c r="E3139" s="6" t="s">
        <v>2018</v>
      </c>
    </row>
    <row r="3140">
      <c r="A3140" s="8" t="s">
        <v>2197</v>
      </c>
      <c r="B3140" s="8" t="s">
        <v>1933</v>
      </c>
      <c r="C3140" s="8" t="s">
        <v>2276</v>
      </c>
      <c r="D3140" s="9" t="str">
        <f>HYPERLINK("https://12go.asia/en/travel/187-Le-Duan/5-To-Huu", "12Go Link")</f>
        <v>12Go Link</v>
      </c>
      <c r="E3140" s="8" t="s">
        <v>1929</v>
      </c>
    </row>
    <row r="3141">
      <c r="A3141" s="6" t="s">
        <v>1968</v>
      </c>
      <c r="B3141" s="6" t="s">
        <v>1899</v>
      </c>
      <c r="C3141" s="6" t="s">
        <v>2277</v>
      </c>
      <c r="D3141" s="7" t="str">
        <f>HYPERLINK("https://12go.asia/en/travel/Lan-Anh-Hotel/Sieu-Thi-Dac-San-Huong-Da", "12Go Link")</f>
        <v>12Go Link</v>
      </c>
      <c r="E3141" s="6" t="s">
        <v>1929</v>
      </c>
    </row>
    <row r="3142">
      <c r="A3142" s="6" t="s">
        <v>1968</v>
      </c>
      <c r="B3142" s="6" t="s">
        <v>1933</v>
      </c>
      <c r="C3142" s="6" t="s">
        <v>2278</v>
      </c>
      <c r="D3142" s="7" t="str">
        <f>HYPERLINK("https://12go.asia/en/travel/Lan-Anh-Hotel/5-To-Huu", "12Go Link")</f>
        <v>12Go Link</v>
      </c>
      <c r="E3142" s="6" t="s">
        <v>1929</v>
      </c>
    </row>
    <row r="3143">
      <c r="A3143" s="8" t="s">
        <v>652</v>
      </c>
      <c r="B3143" s="8" t="s">
        <v>1921</v>
      </c>
      <c r="C3143" s="8" t="s">
        <v>2279</v>
      </c>
      <c r="D3143" s="9" t="str">
        <f t="shared" ref="D3143:D3144" si="560">HYPERLINK("https://12go.asia/en/travel/Sapa/Cao-Bang", "12Go Link")</f>
        <v>12Go Link</v>
      </c>
      <c r="E3143" s="8" t="s">
        <v>567</v>
      </c>
    </row>
    <row r="3144">
      <c r="A3144" s="8" t="s">
        <v>652</v>
      </c>
      <c r="B3144" s="8" t="s">
        <v>1921</v>
      </c>
      <c r="C3144" s="8" t="s">
        <v>2279</v>
      </c>
      <c r="D3144" s="9" t="str">
        <f t="shared" si="560"/>
        <v>12Go Link</v>
      </c>
      <c r="E3144" s="8" t="s">
        <v>772</v>
      </c>
    </row>
    <row r="3145">
      <c r="A3145" s="8" t="s">
        <v>652</v>
      </c>
      <c r="B3145" s="8" t="s">
        <v>1973</v>
      </c>
      <c r="C3145" s="8" t="s">
        <v>2280</v>
      </c>
      <c r="D3145" s="9" t="str">
        <f t="shared" ref="D3145:D3146" si="561">HYPERLINK("https://12go.asia/en/travel/Sapa/Dien-Bien", "12Go Link")</f>
        <v>12Go Link</v>
      </c>
      <c r="E3145" s="8" t="s">
        <v>567</v>
      </c>
    </row>
    <row r="3146">
      <c r="A3146" s="8" t="s">
        <v>652</v>
      </c>
      <c r="B3146" s="8" t="s">
        <v>1973</v>
      </c>
      <c r="C3146" s="8" t="s">
        <v>2280</v>
      </c>
      <c r="D3146" s="9" t="str">
        <f t="shared" si="561"/>
        <v>12Go Link</v>
      </c>
      <c r="E3146" s="8" t="s">
        <v>772</v>
      </c>
    </row>
    <row r="3147">
      <c r="A3147" s="8" t="s">
        <v>652</v>
      </c>
      <c r="B3147" s="8" t="s">
        <v>1983</v>
      </c>
      <c r="C3147" s="8" t="s">
        <v>2281</v>
      </c>
      <c r="D3147" s="9" t="str">
        <f t="shared" ref="D3147:D3148" si="562">HYPERLINK("https://12go.asia/en/travel/Sa-Pa-SapaExpress/204-Tran-Quang-Khai", "12Go Link")</f>
        <v>12Go Link</v>
      </c>
      <c r="E3147" s="8" t="s">
        <v>567</v>
      </c>
    </row>
    <row r="3148">
      <c r="A3148" s="8" t="s">
        <v>652</v>
      </c>
      <c r="B3148" s="8" t="s">
        <v>1983</v>
      </c>
      <c r="C3148" s="8" t="s">
        <v>2281</v>
      </c>
      <c r="D3148" s="9" t="str">
        <f t="shared" si="562"/>
        <v>12Go Link</v>
      </c>
      <c r="E3148" s="8" t="s">
        <v>772</v>
      </c>
    </row>
    <row r="3149">
      <c r="A3149" s="8" t="s">
        <v>652</v>
      </c>
      <c r="B3149" s="8" t="s">
        <v>2161</v>
      </c>
      <c r="C3149" s="8" t="s">
        <v>2282</v>
      </c>
      <c r="D3149" s="9" t="str">
        <f t="shared" ref="D3149:D3150" si="563">HYPERLINK("https://12go.asia/en/travel/Sapa/Lai-Chau", "12Go Link")</f>
        <v>12Go Link</v>
      </c>
      <c r="E3149" s="8" t="s">
        <v>567</v>
      </c>
    </row>
    <row r="3150">
      <c r="A3150" s="8" t="s">
        <v>652</v>
      </c>
      <c r="B3150" s="8" t="s">
        <v>2161</v>
      </c>
      <c r="C3150" s="8" t="s">
        <v>2282</v>
      </c>
      <c r="D3150" s="9" t="str">
        <f t="shared" si="563"/>
        <v>12Go Link</v>
      </c>
      <c r="E3150" s="8" t="s">
        <v>772</v>
      </c>
    </row>
    <row r="3151">
      <c r="A3151" s="8" t="s">
        <v>652</v>
      </c>
      <c r="B3151" s="8" t="s">
        <v>2051</v>
      </c>
      <c r="C3151" s="8" t="s">
        <v>2283</v>
      </c>
      <c r="D3151" s="9" t="str">
        <f t="shared" ref="D3151:D3152" si="564">HYPERLINK("https://12go.asia/en/travel/Sapa/Mu-Cang-Chai-Hotel-Transfer", "12Go Link")</f>
        <v>12Go Link</v>
      </c>
      <c r="E3151" s="8" t="s">
        <v>567</v>
      </c>
    </row>
    <row r="3152">
      <c r="A3152" s="8" t="s">
        <v>652</v>
      </c>
      <c r="B3152" s="8" t="s">
        <v>2051</v>
      </c>
      <c r="C3152" s="8" t="s">
        <v>2283</v>
      </c>
      <c r="D3152" s="9" t="str">
        <f t="shared" si="564"/>
        <v>12Go Link</v>
      </c>
      <c r="E3152" s="8" t="s">
        <v>772</v>
      </c>
    </row>
    <row r="3153">
      <c r="A3153" s="8" t="s">
        <v>652</v>
      </c>
      <c r="B3153" s="8" t="s">
        <v>1958</v>
      </c>
      <c r="C3153" s="8" t="s">
        <v>2284</v>
      </c>
      <c r="D3153" s="9" t="str">
        <f t="shared" ref="D3153:D3154" si="565">HYPERLINK("https://12go.asia/en/travel/Sa-Pa-SapaExpress/Tam-Coc-Boat-Station", "12Go Link")</f>
        <v>12Go Link</v>
      </c>
      <c r="E3153" s="8" t="s">
        <v>567</v>
      </c>
    </row>
    <row r="3154">
      <c r="A3154" s="8" t="s">
        <v>652</v>
      </c>
      <c r="B3154" s="8" t="s">
        <v>1958</v>
      </c>
      <c r="C3154" s="8" t="s">
        <v>2284</v>
      </c>
      <c r="D3154" s="9" t="str">
        <f t="shared" si="565"/>
        <v>12Go Link</v>
      </c>
      <c r="E3154" s="8" t="s">
        <v>772</v>
      </c>
    </row>
    <row r="3155">
      <c r="A3155" s="8" t="s">
        <v>652</v>
      </c>
      <c r="B3155" s="8" t="s">
        <v>1958</v>
      </c>
      <c r="C3155" s="8" t="s">
        <v>2285</v>
      </c>
      <c r="D3155" s="9" t="str">
        <f>HYPERLINK("https://12go.asia/en/travel/Sapa/Ninh-Binh-Hotel-Transfer", "12Go Link")</f>
        <v>12Go Link</v>
      </c>
      <c r="E3155" s="8" t="s">
        <v>772</v>
      </c>
    </row>
    <row r="3156">
      <c r="A3156" s="8" t="s">
        <v>652</v>
      </c>
      <c r="B3156" s="8" t="s">
        <v>1985</v>
      </c>
      <c r="C3156" s="8" t="s">
        <v>2286</v>
      </c>
      <c r="D3156" s="9" t="str">
        <f t="shared" ref="D3156:D3157" si="566">HYPERLINK("https://12go.asia/en/travel/Sa-Pa-SapaExpress/Tuan-Chau-International-Port", "12Go Link")</f>
        <v>12Go Link</v>
      </c>
      <c r="E3156" s="8" t="s">
        <v>567</v>
      </c>
    </row>
    <row r="3157">
      <c r="A3157" s="8" t="s">
        <v>652</v>
      </c>
      <c r="B3157" s="8" t="s">
        <v>1985</v>
      </c>
      <c r="C3157" s="8" t="s">
        <v>2286</v>
      </c>
      <c r="D3157" s="9" t="str">
        <f t="shared" si="566"/>
        <v>12Go Link</v>
      </c>
      <c r="E3157" s="8" t="s">
        <v>772</v>
      </c>
    </row>
    <row r="3158">
      <c r="A3158" s="8" t="s">
        <v>652</v>
      </c>
      <c r="B3158" s="8" t="s">
        <v>2236</v>
      </c>
      <c r="C3158" s="8" t="s">
        <v>2287</v>
      </c>
      <c r="D3158" s="9" t="str">
        <f t="shared" ref="D3158:D3159" si="567">HYPERLINK("https://12go.asia/en/travel/Sapa/Son-La", "12Go Link")</f>
        <v>12Go Link</v>
      </c>
      <c r="E3158" s="8" t="s">
        <v>567</v>
      </c>
    </row>
    <row r="3159">
      <c r="A3159" s="8" t="s">
        <v>652</v>
      </c>
      <c r="B3159" s="8" t="s">
        <v>2236</v>
      </c>
      <c r="C3159" s="8" t="s">
        <v>2287</v>
      </c>
      <c r="D3159" s="9" t="str">
        <f t="shared" si="567"/>
        <v>12Go Link</v>
      </c>
      <c r="E3159" s="8" t="s">
        <v>772</v>
      </c>
    </row>
    <row r="3160">
      <c r="A3160" s="8" t="s">
        <v>652</v>
      </c>
      <c r="B3160" s="8" t="s">
        <v>2155</v>
      </c>
      <c r="C3160" s="8" t="s">
        <v>2288</v>
      </c>
      <c r="D3160" s="9" t="str">
        <f t="shared" ref="D3160:D3161" si="568">HYPERLINK("https://12go.asia/en/travel/Sapa/Pu-Luong", "12Go Link")</f>
        <v>12Go Link</v>
      </c>
      <c r="E3160" s="8" t="s">
        <v>567</v>
      </c>
    </row>
    <row r="3161">
      <c r="A3161" s="8" t="s">
        <v>652</v>
      </c>
      <c r="B3161" s="8" t="s">
        <v>2155</v>
      </c>
      <c r="C3161" s="8" t="s">
        <v>2288</v>
      </c>
      <c r="D3161" s="9" t="str">
        <f t="shared" si="568"/>
        <v>12Go Link</v>
      </c>
      <c r="E3161" s="8" t="s">
        <v>772</v>
      </c>
    </row>
    <row r="3162">
      <c r="A3162" s="6" t="s">
        <v>2236</v>
      </c>
      <c r="B3162" s="6" t="s">
        <v>1958</v>
      </c>
      <c r="C3162" s="6" t="s">
        <v>2289</v>
      </c>
      <c r="D3162" s="7" t="str">
        <f t="shared" ref="D3162:D3163" si="569">HYPERLINK("https://12go.asia/en/travel/Moc-Chau/Ninh-Binh-Hotel-Transfer", "12Go Link")</f>
        <v>12Go Link</v>
      </c>
      <c r="E3162" s="6" t="s">
        <v>567</v>
      </c>
    </row>
    <row r="3163">
      <c r="A3163" s="6" t="s">
        <v>2236</v>
      </c>
      <c r="B3163" s="6" t="s">
        <v>1958</v>
      </c>
      <c r="C3163" s="6" t="s">
        <v>2289</v>
      </c>
      <c r="D3163" s="7" t="str">
        <f t="shared" si="569"/>
        <v>12Go Link</v>
      </c>
      <c r="E3163" s="6" t="s">
        <v>772</v>
      </c>
    </row>
    <row r="3164">
      <c r="A3164" s="6" t="s">
        <v>2236</v>
      </c>
      <c r="B3164" s="6" t="s">
        <v>652</v>
      </c>
      <c r="C3164" s="6" t="s">
        <v>2290</v>
      </c>
      <c r="D3164" s="7" t="str">
        <f t="shared" ref="D3164:D3165" si="570">HYPERLINK("https://12go.asia/en/travel/Son-La/Sapa", "12Go Link")</f>
        <v>12Go Link</v>
      </c>
      <c r="E3164" s="6" t="s">
        <v>567</v>
      </c>
    </row>
    <row r="3165">
      <c r="A3165" s="6" t="s">
        <v>2236</v>
      </c>
      <c r="B3165" s="6" t="s">
        <v>652</v>
      </c>
      <c r="C3165" s="6" t="s">
        <v>2290</v>
      </c>
      <c r="D3165" s="7" t="str">
        <f t="shared" si="570"/>
        <v>12Go Link</v>
      </c>
      <c r="E3165" s="6" t="s">
        <v>772</v>
      </c>
    </row>
    <row r="3166">
      <c r="A3166" s="6" t="s">
        <v>2236</v>
      </c>
      <c r="B3166" s="6" t="s">
        <v>2155</v>
      </c>
      <c r="C3166" s="6" t="s">
        <v>2291</v>
      </c>
      <c r="D3166" s="7" t="str">
        <f t="shared" ref="D3166:D3167" si="571">HYPERLINK("https://12go.asia/en/travel/Moc-Chau/Pu-Luong", "12Go Link")</f>
        <v>12Go Link</v>
      </c>
      <c r="E3166" s="6" t="s">
        <v>567</v>
      </c>
    </row>
    <row r="3167">
      <c r="A3167" s="6" t="s">
        <v>2236</v>
      </c>
      <c r="B3167" s="6" t="s">
        <v>2155</v>
      </c>
      <c r="C3167" s="6" t="s">
        <v>2291</v>
      </c>
      <c r="D3167" s="7" t="str">
        <f t="shared" si="571"/>
        <v>12Go Link</v>
      </c>
      <c r="E3167" s="6" t="s">
        <v>772</v>
      </c>
    </row>
    <row r="3168">
      <c r="A3168" s="8" t="s">
        <v>2084</v>
      </c>
      <c r="B3168" s="8" t="s">
        <v>650</v>
      </c>
      <c r="C3168" s="8" t="s">
        <v>2292</v>
      </c>
      <c r="D3168" s="9" t="str">
        <f>HYPERLINK("https://12go.asia/en/travel/Buu-Dien-Bich-Dong/Hanoi-Noi-Bai-Airport", "12Go Link")</f>
        <v>12Go Link</v>
      </c>
      <c r="E3168" s="8" t="s">
        <v>2017</v>
      </c>
    </row>
    <row r="3169">
      <c r="A3169" s="8" t="s">
        <v>2084</v>
      </c>
      <c r="B3169" s="8" t="s">
        <v>650</v>
      </c>
      <c r="C3169" s="8" t="s">
        <v>2293</v>
      </c>
      <c r="D3169" s="9" t="str">
        <f>HYPERLINK("https://12go.asia/en/travel/Trang-An-Boat-Station-Ninh-Binh/Kiot-1-N7-KDT-Dong-Tau", "12Go Link")</f>
        <v>12Go Link</v>
      </c>
      <c r="E3169" s="8" t="s">
        <v>2062</v>
      </c>
    </row>
    <row r="3170">
      <c r="A3170" s="6" t="s">
        <v>2155</v>
      </c>
      <c r="B3170" s="6" t="s">
        <v>1906</v>
      </c>
      <c r="C3170" s="6" t="s">
        <v>2294</v>
      </c>
      <c r="D3170" s="7" t="str">
        <f t="shared" ref="D3170:D3171" si="572">HYPERLINK("https://12go.asia/en/travel/Pu-Luong/Hue-City", "12Go Link")</f>
        <v>12Go Link</v>
      </c>
      <c r="E3170" s="6" t="s">
        <v>567</v>
      </c>
    </row>
    <row r="3171">
      <c r="A3171" s="6" t="s">
        <v>2155</v>
      </c>
      <c r="B3171" s="6" t="s">
        <v>1906</v>
      </c>
      <c r="C3171" s="6" t="s">
        <v>2294</v>
      </c>
      <c r="D3171" s="7" t="str">
        <f t="shared" si="572"/>
        <v>12Go Link</v>
      </c>
      <c r="E3171" s="6" t="s">
        <v>772</v>
      </c>
    </row>
    <row r="3172">
      <c r="A3172" s="6" t="s">
        <v>2155</v>
      </c>
      <c r="B3172" s="6" t="s">
        <v>2165</v>
      </c>
      <c r="C3172" s="6" t="s">
        <v>2295</v>
      </c>
      <c r="D3172" s="7" t="str">
        <f t="shared" ref="D3172:D3173" si="573">HYPERLINK("https://12go.asia/en/travel/Pu-Luong/Mai-Chau", "12Go Link")</f>
        <v>12Go Link</v>
      </c>
      <c r="E3172" s="6" t="s">
        <v>567</v>
      </c>
    </row>
    <row r="3173">
      <c r="A3173" s="6" t="s">
        <v>2155</v>
      </c>
      <c r="B3173" s="6" t="s">
        <v>2165</v>
      </c>
      <c r="C3173" s="6" t="s">
        <v>2295</v>
      </c>
      <c r="D3173" s="7" t="str">
        <f t="shared" si="573"/>
        <v>12Go Link</v>
      </c>
      <c r="E3173" s="6" t="s">
        <v>772</v>
      </c>
    </row>
    <row r="3174">
      <c r="A3174" s="6" t="s">
        <v>2155</v>
      </c>
      <c r="B3174" s="6" t="s">
        <v>1958</v>
      </c>
      <c r="C3174" s="6" t="s">
        <v>2296</v>
      </c>
      <c r="D3174" s="7" t="str">
        <f t="shared" ref="D3174:D3175" si="574">HYPERLINK("https://12go.asia/en/travel/Pu-Luong/Ninh-Binh-Hotel-Transfer", "12Go Link")</f>
        <v>12Go Link</v>
      </c>
      <c r="E3174" s="6" t="s">
        <v>567</v>
      </c>
    </row>
    <row r="3175">
      <c r="A3175" s="6" t="s">
        <v>2155</v>
      </c>
      <c r="B3175" s="6" t="s">
        <v>1958</v>
      </c>
      <c r="C3175" s="6" t="s">
        <v>2296</v>
      </c>
      <c r="D3175" s="7" t="str">
        <f t="shared" si="574"/>
        <v>12Go Link</v>
      </c>
      <c r="E3175" s="6" t="s">
        <v>772</v>
      </c>
    </row>
    <row r="3176">
      <c r="A3176" s="6" t="s">
        <v>2155</v>
      </c>
      <c r="B3176" s="6" t="s">
        <v>652</v>
      </c>
      <c r="C3176" s="6" t="s">
        <v>2297</v>
      </c>
      <c r="D3176" s="7" t="str">
        <f t="shared" ref="D3176:D3177" si="575">HYPERLINK("https://12go.asia/en/travel/Pu-Luong/Sapa", "12Go Link")</f>
        <v>12Go Link</v>
      </c>
      <c r="E3176" s="6" t="s">
        <v>567</v>
      </c>
    </row>
    <row r="3177">
      <c r="A3177" s="6" t="s">
        <v>2155</v>
      </c>
      <c r="B3177" s="6" t="s">
        <v>652</v>
      </c>
      <c r="C3177" s="6" t="s">
        <v>2297</v>
      </c>
      <c r="D3177" s="7" t="str">
        <f t="shared" si="575"/>
        <v>12Go Link</v>
      </c>
      <c r="E3177" s="6" t="s">
        <v>772</v>
      </c>
    </row>
    <row r="3178">
      <c r="A3178" s="6" t="s">
        <v>2155</v>
      </c>
      <c r="B3178" s="6" t="s">
        <v>2236</v>
      </c>
      <c r="C3178" s="6" t="s">
        <v>2298</v>
      </c>
      <c r="D3178" s="7" t="str">
        <f t="shared" ref="D3178:D3179" si="576">HYPERLINK("https://12go.asia/en/travel/Pu-Luong/Moc-Chau", "12Go Link")</f>
        <v>12Go Link</v>
      </c>
      <c r="E3178" s="6" t="s">
        <v>567</v>
      </c>
    </row>
    <row r="3179">
      <c r="A3179" s="6" t="s">
        <v>2155</v>
      </c>
      <c r="B3179" s="6" t="s">
        <v>2236</v>
      </c>
      <c r="C3179" s="6" t="s">
        <v>2298</v>
      </c>
      <c r="D3179" s="7" t="str">
        <f t="shared" si="576"/>
        <v>12Go Link</v>
      </c>
      <c r="E3179" s="6" t="s">
        <v>772</v>
      </c>
    </row>
    <row r="3180">
      <c r="A3180" s="8" t="s">
        <v>1970</v>
      </c>
      <c r="B3180" s="8" t="s">
        <v>1899</v>
      </c>
      <c r="C3180" s="8" t="s">
        <v>2299</v>
      </c>
      <c r="D3180" s="9" t="str">
        <f>HYPERLINK("https://12go.asia/en/travel/720-Do-Muoi/190-Le-Dai-Hanh", "12Go Link")</f>
        <v>12Go Link</v>
      </c>
      <c r="E3180" s="8" t="s">
        <v>1943</v>
      </c>
    </row>
    <row r="3181">
      <c r="A3181" s="8" t="s">
        <v>1970</v>
      </c>
      <c r="B3181" s="8" t="s">
        <v>1899</v>
      </c>
      <c r="C3181" s="8" t="s">
        <v>2300</v>
      </c>
      <c r="D3181" s="9" t="str">
        <f t="shared" ref="D3181:D3183" si="577">HYPERLINK("https://12go.asia/en/travel/Dinh-Nhan-Bus-VP-Binh-Phuoc/166-Dien-Bien-Phu", "12Go Link")</f>
        <v>12Go Link</v>
      </c>
      <c r="E3181" s="8" t="s">
        <v>1901</v>
      </c>
    </row>
    <row r="3182">
      <c r="A3182" s="8" t="s">
        <v>1970</v>
      </c>
      <c r="B3182" s="8" t="s">
        <v>1899</v>
      </c>
      <c r="C3182" s="8" t="s">
        <v>2300</v>
      </c>
      <c r="D3182" s="9" t="str">
        <f t="shared" si="577"/>
        <v>12Go Link</v>
      </c>
      <c r="E3182" s="8" t="s">
        <v>1902</v>
      </c>
    </row>
    <row r="3183">
      <c r="A3183" s="8" t="s">
        <v>1970</v>
      </c>
      <c r="B3183" s="8" t="s">
        <v>1899</v>
      </c>
      <c r="C3183" s="8" t="s">
        <v>2300</v>
      </c>
      <c r="D3183" s="9" t="str">
        <f t="shared" si="577"/>
        <v>12Go Link</v>
      </c>
      <c r="E3183" s="8" t="s">
        <v>1903</v>
      </c>
    </row>
    <row r="3184">
      <c r="A3184" s="8" t="s">
        <v>1970</v>
      </c>
      <c r="B3184" s="8" t="s">
        <v>1904</v>
      </c>
      <c r="C3184" s="8" t="s">
        <v>2301</v>
      </c>
      <c r="D3184" s="9" t="str">
        <f>HYPERLINK("https://12go.asia/en/travel/720-Do-Muoi/181-Ton-Duc-Thang", "12Go Link")</f>
        <v>12Go Link</v>
      </c>
      <c r="E3184" s="8" t="s">
        <v>1943</v>
      </c>
    </row>
    <row r="3185">
      <c r="A3185" s="8" t="s">
        <v>1970</v>
      </c>
      <c r="B3185" s="8" t="s">
        <v>1904</v>
      </c>
      <c r="C3185" s="8" t="s">
        <v>2302</v>
      </c>
      <c r="D3185" s="9" t="str">
        <f t="shared" ref="D3185:D3187" si="578">HYPERLINK("https://12go.asia/en/travel/Dinh-Nhan-Bus-VP-Binh-Phuoc/109-Ton-Duc-Thang", "12Go Link")</f>
        <v>12Go Link</v>
      </c>
      <c r="E3185" s="8" t="s">
        <v>1901</v>
      </c>
    </row>
    <row r="3186">
      <c r="A3186" s="8" t="s">
        <v>1970</v>
      </c>
      <c r="B3186" s="8" t="s">
        <v>1904</v>
      </c>
      <c r="C3186" s="8" t="s">
        <v>2302</v>
      </c>
      <c r="D3186" s="9" t="str">
        <f t="shared" si="578"/>
        <v>12Go Link</v>
      </c>
      <c r="E3186" s="8" t="s">
        <v>1902</v>
      </c>
    </row>
    <row r="3187">
      <c r="A3187" s="8" t="s">
        <v>1970</v>
      </c>
      <c r="B3187" s="8" t="s">
        <v>1904</v>
      </c>
      <c r="C3187" s="8" t="s">
        <v>2302</v>
      </c>
      <c r="D3187" s="9" t="str">
        <f t="shared" si="578"/>
        <v>12Go Link</v>
      </c>
      <c r="E3187" s="8" t="s">
        <v>1903</v>
      </c>
    </row>
    <row r="3188">
      <c r="A3188" s="8" t="s">
        <v>1970</v>
      </c>
      <c r="B3188" s="8" t="s">
        <v>1906</v>
      </c>
      <c r="C3188" s="8" t="s">
        <v>2303</v>
      </c>
      <c r="D3188" s="9" t="str">
        <f>HYPERLINK("https://12go.asia/en/travel/720-Do-Muoi/55-Vo-Van-Kiet", "12Go Link")</f>
        <v>12Go Link</v>
      </c>
      <c r="E3188" s="8" t="s">
        <v>1943</v>
      </c>
    </row>
    <row r="3189">
      <c r="A3189" s="8" t="s">
        <v>1970</v>
      </c>
      <c r="B3189" s="8" t="s">
        <v>1906</v>
      </c>
      <c r="C3189" s="8" t="s">
        <v>2304</v>
      </c>
      <c r="D3189" s="9" t="str">
        <f>HYPERLINK("https://12go.asia/en/travel/720-Do-Muoi/97-An-Duong-Vuong", "12Go Link")</f>
        <v>12Go Link</v>
      </c>
      <c r="E3189" s="8" t="s">
        <v>1943</v>
      </c>
    </row>
    <row r="3190">
      <c r="A3190" s="8" t="s">
        <v>1970</v>
      </c>
      <c r="B3190" s="8" t="s">
        <v>1906</v>
      </c>
      <c r="C3190" s="8" t="s">
        <v>2305</v>
      </c>
      <c r="D3190" s="9" t="str">
        <f t="shared" ref="D3190:D3191" si="579">HYPERLINK("https://12go.asia/en/travel/Dinh-Nhan-Bus-VP-Binh-Phuoc/54-Le-Duan", "12Go Link")</f>
        <v>12Go Link</v>
      </c>
      <c r="E3190" s="8" t="s">
        <v>1902</v>
      </c>
    </row>
    <row r="3191">
      <c r="A3191" s="8" t="s">
        <v>1970</v>
      </c>
      <c r="B3191" s="8" t="s">
        <v>1906</v>
      </c>
      <c r="C3191" s="8" t="s">
        <v>2305</v>
      </c>
      <c r="D3191" s="9" t="str">
        <f t="shared" si="579"/>
        <v>12Go Link</v>
      </c>
      <c r="E3191" s="8" t="s">
        <v>1903</v>
      </c>
    </row>
    <row r="3192">
      <c r="A3192" s="10"/>
      <c r="B3192" s="10"/>
      <c r="C3192" s="10"/>
      <c r="D3192" s="10"/>
      <c r="E3192" s="10"/>
    </row>
    <row r="3193">
      <c r="A3193" s="10"/>
      <c r="B3193" s="10"/>
      <c r="C3193" s="10"/>
      <c r="D3193" s="10"/>
      <c r="E3193" s="10"/>
    </row>
    <row r="3194">
      <c r="A3194" s="10"/>
      <c r="B3194" s="10"/>
      <c r="C3194" s="10"/>
      <c r="D3194" s="10"/>
      <c r="E3194" s="10"/>
    </row>
    <row r="3195">
      <c r="A3195" s="10"/>
      <c r="B3195" s="10"/>
      <c r="C3195" s="10"/>
      <c r="D3195" s="10"/>
      <c r="E3195" s="10"/>
    </row>
    <row r="3196">
      <c r="A3196" s="10"/>
      <c r="B3196" s="10"/>
      <c r="C3196" s="10"/>
      <c r="D3196" s="10"/>
      <c r="E3196" s="10"/>
    </row>
    <row r="3197">
      <c r="A3197" s="10"/>
      <c r="B3197" s="10"/>
      <c r="C3197" s="10"/>
      <c r="D3197" s="10"/>
      <c r="E3197" s="10"/>
    </row>
    <row r="3198">
      <c r="A3198" s="10"/>
      <c r="B3198" s="10"/>
      <c r="C3198" s="10"/>
      <c r="D3198" s="10"/>
      <c r="E3198" s="10"/>
    </row>
    <row r="3199">
      <c r="A3199" s="10"/>
      <c r="B3199" s="10"/>
      <c r="C3199" s="10"/>
      <c r="D3199" s="10"/>
      <c r="E3199" s="10"/>
    </row>
    <row r="3200">
      <c r="A3200" s="10"/>
      <c r="B3200" s="10"/>
      <c r="C3200" s="10"/>
      <c r="D3200" s="10"/>
      <c r="E3200" s="10"/>
    </row>
    <row r="3201">
      <c r="A3201" s="10"/>
      <c r="B3201" s="10"/>
      <c r="C3201" s="10"/>
      <c r="D3201" s="10"/>
      <c r="E3201" s="10"/>
    </row>
    <row r="3202">
      <c r="A3202" s="10"/>
      <c r="B3202" s="10"/>
      <c r="C3202" s="10"/>
      <c r="D3202" s="10"/>
      <c r="E3202" s="10"/>
    </row>
    <row r="3203">
      <c r="A3203" s="10"/>
      <c r="B3203" s="10"/>
      <c r="C3203" s="10"/>
      <c r="D3203" s="10"/>
      <c r="E3203" s="10"/>
    </row>
    <row r="3204">
      <c r="A3204" s="10"/>
      <c r="B3204" s="10"/>
      <c r="C3204" s="10"/>
      <c r="D3204" s="10"/>
      <c r="E3204" s="10"/>
    </row>
    <row r="3205">
      <c r="A3205" s="10"/>
      <c r="B3205" s="10"/>
      <c r="C3205" s="10"/>
      <c r="D3205" s="10"/>
      <c r="E3205" s="10"/>
    </row>
    <row r="3206">
      <c r="A3206" s="10"/>
      <c r="B3206" s="10"/>
      <c r="C3206" s="10"/>
      <c r="D3206" s="10"/>
      <c r="E3206" s="10"/>
    </row>
    <row r="3207">
      <c r="A3207" s="10"/>
      <c r="B3207" s="10"/>
      <c r="C3207" s="10"/>
      <c r="D3207" s="10"/>
      <c r="E3207" s="10"/>
    </row>
    <row r="3208">
      <c r="A3208" s="10"/>
      <c r="B3208" s="10"/>
      <c r="C3208" s="10"/>
      <c r="D3208" s="10"/>
      <c r="E3208" s="10"/>
    </row>
    <row r="3209">
      <c r="A3209" s="10"/>
      <c r="B3209" s="10"/>
      <c r="C3209" s="10"/>
      <c r="D3209" s="10"/>
      <c r="E3209" s="10"/>
    </row>
    <row r="3210">
      <c r="A3210" s="10"/>
      <c r="B3210" s="10"/>
      <c r="C3210" s="10"/>
      <c r="D3210" s="10"/>
      <c r="E3210" s="10"/>
    </row>
    <row r="3211">
      <c r="A3211" s="10"/>
      <c r="B3211" s="10"/>
      <c r="C3211" s="10"/>
      <c r="D3211" s="10"/>
      <c r="E3211" s="10"/>
    </row>
    <row r="3212">
      <c r="A3212" s="10"/>
      <c r="B3212" s="10"/>
      <c r="C3212" s="10"/>
      <c r="D3212" s="10"/>
      <c r="E3212" s="10"/>
    </row>
    <row r="3213">
      <c r="A3213" s="10"/>
      <c r="B3213" s="10"/>
      <c r="C3213" s="10"/>
      <c r="D3213" s="10"/>
      <c r="E3213" s="10"/>
    </row>
    <row r="3214">
      <c r="A3214" s="10"/>
      <c r="B3214" s="10"/>
      <c r="C3214" s="10"/>
      <c r="D3214" s="10"/>
      <c r="E3214" s="10"/>
    </row>
    <row r="3215">
      <c r="A3215" s="10"/>
      <c r="B3215" s="10"/>
      <c r="C3215" s="10"/>
      <c r="D3215" s="10"/>
      <c r="E3215" s="10"/>
    </row>
    <row r="3216">
      <c r="A3216" s="10"/>
      <c r="B3216" s="10"/>
      <c r="C3216" s="10"/>
      <c r="D3216" s="10"/>
      <c r="E3216" s="10"/>
    </row>
    <row r="3217">
      <c r="A3217" s="10"/>
      <c r="B3217" s="10"/>
      <c r="C3217" s="10"/>
      <c r="D3217" s="10"/>
      <c r="E3217" s="10"/>
    </row>
    <row r="3218">
      <c r="A3218" s="10"/>
      <c r="B3218" s="10"/>
      <c r="C3218" s="10"/>
      <c r="D3218" s="10"/>
      <c r="E3218" s="10"/>
    </row>
    <row r="3219">
      <c r="A3219" s="10"/>
      <c r="B3219" s="10"/>
      <c r="C3219" s="10"/>
      <c r="D3219" s="10"/>
      <c r="E3219" s="10"/>
    </row>
    <row r="3220">
      <c r="A3220" s="10"/>
      <c r="B3220" s="10"/>
      <c r="C3220" s="10"/>
      <c r="D3220" s="10"/>
      <c r="E3220" s="10"/>
    </row>
    <row r="3221">
      <c r="A3221" s="10"/>
      <c r="B3221" s="10"/>
      <c r="C3221" s="10"/>
      <c r="D3221" s="10"/>
      <c r="E3221" s="10"/>
    </row>
    <row r="3222">
      <c r="A3222" s="10"/>
      <c r="B3222" s="10"/>
      <c r="C3222" s="10"/>
      <c r="D3222" s="10"/>
      <c r="E3222" s="10"/>
    </row>
    <row r="3223">
      <c r="A3223" s="10"/>
      <c r="B3223" s="10"/>
      <c r="C3223" s="10"/>
      <c r="D3223" s="10"/>
      <c r="E3223" s="10"/>
    </row>
    <row r="3224">
      <c r="A3224" s="10"/>
      <c r="B3224" s="10"/>
      <c r="C3224" s="10"/>
      <c r="D3224" s="10"/>
      <c r="E3224" s="10"/>
    </row>
    <row r="3225">
      <c r="A3225" s="10"/>
      <c r="B3225" s="10"/>
      <c r="C3225" s="10"/>
      <c r="D3225" s="10"/>
      <c r="E3225" s="10"/>
    </row>
    <row r="3226">
      <c r="A3226" s="10"/>
      <c r="B3226" s="10"/>
      <c r="C3226" s="10"/>
      <c r="D3226" s="10"/>
      <c r="E3226" s="10"/>
    </row>
    <row r="3227">
      <c r="A3227" s="10"/>
      <c r="B3227" s="10"/>
      <c r="C3227" s="10"/>
      <c r="D3227" s="10"/>
      <c r="E3227" s="10"/>
    </row>
    <row r="3228">
      <c r="A3228" s="10"/>
      <c r="B3228" s="10"/>
      <c r="C3228" s="10"/>
      <c r="D3228" s="10"/>
      <c r="E3228" s="10"/>
    </row>
    <row r="3229">
      <c r="A3229" s="10"/>
      <c r="B3229" s="10"/>
      <c r="C3229" s="10"/>
      <c r="D3229" s="10"/>
      <c r="E3229" s="10"/>
    </row>
    <row r="3230">
      <c r="A3230" s="10"/>
      <c r="B3230" s="10"/>
      <c r="C3230" s="10"/>
      <c r="D3230" s="10"/>
      <c r="E3230" s="10"/>
    </row>
    <row r="3231">
      <c r="A3231" s="10"/>
      <c r="B3231" s="10"/>
      <c r="C3231" s="10"/>
      <c r="D3231" s="10"/>
      <c r="E3231" s="10"/>
    </row>
    <row r="3232">
      <c r="A3232" s="10"/>
      <c r="B3232" s="10"/>
      <c r="C3232" s="10"/>
      <c r="D3232" s="10"/>
      <c r="E3232" s="10"/>
    </row>
    <row r="3233">
      <c r="A3233" s="10"/>
      <c r="B3233" s="10"/>
      <c r="C3233" s="10"/>
      <c r="D3233" s="10"/>
      <c r="E3233" s="10"/>
    </row>
    <row r="3234">
      <c r="A3234" s="10"/>
      <c r="B3234" s="10"/>
      <c r="C3234" s="10"/>
      <c r="D3234" s="10"/>
      <c r="E3234" s="10"/>
    </row>
    <row r="3235">
      <c r="A3235" s="10"/>
      <c r="B3235" s="10"/>
      <c r="C3235" s="10"/>
      <c r="D3235" s="10"/>
      <c r="E3235" s="10"/>
    </row>
    <row r="3236">
      <c r="A3236" s="10"/>
      <c r="B3236" s="10"/>
      <c r="C3236" s="10"/>
      <c r="D3236" s="10"/>
      <c r="E3236" s="10"/>
    </row>
    <row r="3237">
      <c r="A3237" s="10"/>
      <c r="B3237" s="10"/>
      <c r="C3237" s="10"/>
      <c r="D3237" s="10"/>
      <c r="E3237" s="10"/>
    </row>
    <row r="3238">
      <c r="A3238" s="10"/>
      <c r="B3238" s="10"/>
      <c r="C3238" s="10"/>
      <c r="D3238" s="10"/>
      <c r="E3238" s="10"/>
    </row>
    <row r="3239">
      <c r="A3239" s="10"/>
      <c r="B3239" s="10"/>
      <c r="C3239" s="10"/>
      <c r="D3239" s="10"/>
      <c r="E3239" s="10"/>
    </row>
    <row r="3240">
      <c r="A3240" s="10"/>
      <c r="B3240" s="10"/>
      <c r="C3240" s="10"/>
      <c r="D3240" s="10"/>
      <c r="E3240" s="10"/>
    </row>
    <row r="3241">
      <c r="A3241" s="10"/>
      <c r="B3241" s="10"/>
      <c r="C3241" s="10"/>
      <c r="D3241" s="10"/>
      <c r="E3241" s="10"/>
    </row>
    <row r="3242">
      <c r="A3242" s="10"/>
      <c r="B3242" s="10"/>
      <c r="C3242" s="10"/>
      <c r="D3242" s="10"/>
      <c r="E3242" s="10"/>
    </row>
    <row r="3243">
      <c r="A3243" s="10"/>
      <c r="B3243" s="10"/>
      <c r="C3243" s="10"/>
      <c r="D3243" s="10"/>
      <c r="E3243" s="10"/>
    </row>
    <row r="3244">
      <c r="A3244" s="10"/>
      <c r="B3244" s="10"/>
      <c r="C3244" s="10"/>
      <c r="D3244" s="10"/>
      <c r="E3244" s="10"/>
    </row>
    <row r="3245">
      <c r="A3245" s="10"/>
      <c r="B3245" s="10"/>
      <c r="C3245" s="10"/>
      <c r="D3245" s="10"/>
      <c r="E3245" s="10"/>
    </row>
    <row r="3246">
      <c r="A3246" s="10"/>
      <c r="B3246" s="10"/>
      <c r="C3246" s="10"/>
      <c r="D3246" s="10"/>
      <c r="E3246" s="10"/>
    </row>
    <row r="3247">
      <c r="A3247" s="10"/>
      <c r="B3247" s="10"/>
      <c r="C3247" s="10"/>
      <c r="D3247" s="10"/>
      <c r="E3247" s="10"/>
    </row>
    <row r="3248">
      <c r="A3248" s="10"/>
      <c r="B3248" s="10"/>
      <c r="C3248" s="10"/>
      <c r="D3248" s="10"/>
      <c r="E3248" s="10"/>
    </row>
    <row r="3249">
      <c r="A3249" s="10"/>
      <c r="B3249" s="10"/>
      <c r="C3249" s="10"/>
      <c r="D3249" s="10"/>
      <c r="E3249" s="10"/>
    </row>
    <row r="3250">
      <c r="A3250" s="10"/>
      <c r="B3250" s="10"/>
      <c r="C3250" s="10"/>
      <c r="D3250" s="10"/>
      <c r="E3250" s="10"/>
    </row>
    <row r="3251">
      <c r="A3251" s="10"/>
      <c r="B3251" s="10"/>
      <c r="C3251" s="10"/>
      <c r="D3251" s="10"/>
      <c r="E3251" s="10"/>
    </row>
    <row r="3252">
      <c r="A3252" s="10"/>
      <c r="B3252" s="10"/>
      <c r="C3252" s="10"/>
      <c r="D3252" s="10"/>
      <c r="E3252" s="10"/>
    </row>
    <row r="3253">
      <c r="A3253" s="10"/>
      <c r="B3253" s="10"/>
      <c r="C3253" s="10"/>
      <c r="D3253" s="10"/>
      <c r="E3253" s="10"/>
    </row>
    <row r="3254">
      <c r="A3254" s="10"/>
      <c r="B3254" s="10"/>
      <c r="C3254" s="10"/>
      <c r="D3254" s="10"/>
      <c r="E3254" s="10"/>
    </row>
    <row r="3255">
      <c r="A3255" s="10"/>
      <c r="B3255" s="10"/>
      <c r="C3255" s="10"/>
      <c r="D3255" s="10"/>
      <c r="E3255" s="10"/>
    </row>
    <row r="3256">
      <c r="A3256" s="10"/>
      <c r="B3256" s="10"/>
      <c r="C3256" s="10"/>
      <c r="D3256" s="10"/>
      <c r="E3256" s="10"/>
    </row>
    <row r="3257">
      <c r="A3257" s="10"/>
      <c r="B3257" s="10"/>
      <c r="C3257" s="10"/>
      <c r="D3257" s="10"/>
      <c r="E3257" s="10"/>
    </row>
    <row r="3258">
      <c r="A3258" s="10"/>
      <c r="B3258" s="10"/>
      <c r="C3258" s="10"/>
      <c r="D3258" s="10"/>
      <c r="E3258" s="10"/>
    </row>
    <row r="3259">
      <c r="A3259" s="10"/>
      <c r="B3259" s="10"/>
      <c r="C3259" s="10"/>
      <c r="D3259" s="10"/>
      <c r="E3259" s="10"/>
    </row>
    <row r="3260">
      <c r="A3260" s="10"/>
      <c r="B3260" s="10"/>
      <c r="C3260" s="10"/>
      <c r="D3260" s="10"/>
      <c r="E3260" s="10"/>
    </row>
    <row r="3261">
      <c r="A3261" s="10"/>
      <c r="B3261" s="10"/>
      <c r="C3261" s="10"/>
      <c r="D3261" s="10"/>
      <c r="E3261" s="10"/>
    </row>
    <row r="3262">
      <c r="A3262" s="10"/>
      <c r="B3262" s="10"/>
      <c r="C3262" s="10"/>
      <c r="D3262" s="10"/>
      <c r="E3262" s="10"/>
    </row>
    <row r="3263">
      <c r="A3263" s="10"/>
      <c r="B3263" s="10"/>
      <c r="C3263" s="10"/>
      <c r="D3263" s="10"/>
      <c r="E3263" s="10"/>
    </row>
    <row r="3264">
      <c r="A3264" s="10"/>
      <c r="B3264" s="10"/>
      <c r="C3264" s="10"/>
      <c r="D3264" s="10"/>
      <c r="E3264" s="10"/>
    </row>
    <row r="3265">
      <c r="A3265" s="10"/>
      <c r="B3265" s="10"/>
      <c r="C3265" s="10"/>
      <c r="D3265" s="10"/>
      <c r="E3265" s="10"/>
    </row>
    <row r="3266">
      <c r="A3266" s="10"/>
      <c r="B3266" s="10"/>
      <c r="C3266" s="10"/>
      <c r="D3266" s="10"/>
      <c r="E3266" s="10"/>
    </row>
    <row r="3267">
      <c r="A3267" s="10"/>
      <c r="B3267" s="10"/>
      <c r="C3267" s="10"/>
      <c r="D3267" s="10"/>
      <c r="E3267" s="10"/>
    </row>
    <row r="3268">
      <c r="A3268" s="10"/>
      <c r="B3268" s="10"/>
      <c r="C3268" s="10"/>
      <c r="D3268" s="10"/>
      <c r="E3268" s="10"/>
    </row>
    <row r="3269">
      <c r="A3269" s="10"/>
      <c r="B3269" s="10"/>
      <c r="C3269" s="10"/>
      <c r="D3269" s="10"/>
      <c r="E3269" s="10"/>
    </row>
    <row r="3270">
      <c r="A3270" s="10"/>
      <c r="B3270" s="10"/>
      <c r="C3270" s="10"/>
      <c r="D3270" s="10"/>
      <c r="E3270" s="10"/>
    </row>
    <row r="3271">
      <c r="A3271" s="10"/>
      <c r="B3271" s="10"/>
      <c r="C3271" s="10"/>
      <c r="D3271" s="10"/>
      <c r="E3271" s="10"/>
    </row>
    <row r="3272">
      <c r="A3272" s="10"/>
      <c r="B3272" s="10"/>
      <c r="C3272" s="10"/>
      <c r="D3272" s="10"/>
      <c r="E3272" s="10"/>
    </row>
    <row r="3273">
      <c r="A3273" s="10"/>
      <c r="B3273" s="10"/>
      <c r="C3273" s="10"/>
      <c r="D3273" s="10"/>
      <c r="E3273" s="10"/>
    </row>
    <row r="3274">
      <c r="A3274" s="10"/>
      <c r="B3274" s="10"/>
      <c r="C3274" s="10"/>
      <c r="D3274" s="10"/>
      <c r="E3274" s="10"/>
    </row>
    <row r="3275">
      <c r="A3275" s="10"/>
      <c r="B3275" s="10"/>
      <c r="C3275" s="10"/>
      <c r="D3275" s="10"/>
      <c r="E3275" s="10"/>
    </row>
    <row r="3276">
      <c r="A3276" s="10"/>
      <c r="B3276" s="10"/>
      <c r="C3276" s="10"/>
      <c r="D3276" s="10"/>
      <c r="E3276" s="10"/>
    </row>
    <row r="3277">
      <c r="A3277" s="10"/>
      <c r="B3277" s="10"/>
      <c r="C3277" s="10"/>
      <c r="D3277" s="10"/>
      <c r="E3277" s="10"/>
    </row>
    <row r="3278">
      <c r="A3278" s="10"/>
      <c r="B3278" s="10"/>
      <c r="C3278" s="10"/>
      <c r="D3278" s="10"/>
      <c r="E3278" s="10"/>
    </row>
    <row r="3279">
      <c r="A3279" s="10"/>
      <c r="B3279" s="10"/>
      <c r="C3279" s="10"/>
      <c r="D3279" s="10"/>
      <c r="E3279" s="10"/>
    </row>
    <row r="3280">
      <c r="A3280" s="10"/>
      <c r="B3280" s="10"/>
      <c r="C3280" s="10"/>
      <c r="D3280" s="10"/>
      <c r="E3280" s="10"/>
    </row>
    <row r="3281">
      <c r="A3281" s="10"/>
      <c r="B3281" s="10"/>
      <c r="C3281" s="10"/>
      <c r="D3281" s="10"/>
      <c r="E3281" s="10"/>
    </row>
    <row r="3282">
      <c r="A3282" s="10"/>
      <c r="B3282" s="10"/>
      <c r="C3282" s="10"/>
      <c r="D3282" s="10"/>
      <c r="E3282" s="10"/>
    </row>
    <row r="3283">
      <c r="A3283" s="10"/>
      <c r="B3283" s="10"/>
      <c r="C3283" s="10"/>
      <c r="D3283" s="10"/>
      <c r="E3283" s="10"/>
    </row>
    <row r="3284">
      <c r="A3284" s="10"/>
      <c r="B3284" s="10"/>
      <c r="C3284" s="10"/>
      <c r="D3284" s="10"/>
      <c r="E3284" s="10"/>
    </row>
    <row r="3285">
      <c r="A3285" s="10"/>
      <c r="B3285" s="10"/>
      <c r="C3285" s="10"/>
      <c r="D3285" s="10"/>
      <c r="E3285" s="10"/>
    </row>
    <row r="3286">
      <c r="A3286" s="10"/>
      <c r="B3286" s="10"/>
      <c r="C3286" s="10"/>
      <c r="D3286" s="10"/>
      <c r="E3286" s="10"/>
    </row>
    <row r="3287">
      <c r="A3287" s="10"/>
      <c r="B3287" s="10"/>
      <c r="C3287" s="10"/>
      <c r="D3287" s="10"/>
      <c r="E3287" s="10"/>
    </row>
    <row r="3288">
      <c r="A3288" s="10"/>
      <c r="B3288" s="10"/>
      <c r="C3288" s="10"/>
      <c r="D3288" s="10"/>
      <c r="E3288" s="10"/>
    </row>
    <row r="3289">
      <c r="A3289" s="10"/>
      <c r="B3289" s="10"/>
      <c r="C3289" s="10"/>
      <c r="D3289" s="10"/>
      <c r="E3289" s="10"/>
    </row>
    <row r="3290">
      <c r="A3290" s="10"/>
      <c r="B3290" s="10"/>
      <c r="C3290" s="10"/>
      <c r="D3290" s="10"/>
      <c r="E3290" s="10"/>
    </row>
    <row r="3291">
      <c r="A3291" s="10"/>
      <c r="B3291" s="10"/>
      <c r="C3291" s="10"/>
      <c r="D3291" s="10"/>
      <c r="E3291" s="10"/>
    </row>
    <row r="3292">
      <c r="A3292" s="10"/>
      <c r="B3292" s="10"/>
      <c r="C3292" s="10"/>
      <c r="D3292" s="10"/>
      <c r="E3292" s="10"/>
    </row>
    <row r="3293">
      <c r="A3293" s="10"/>
      <c r="B3293" s="10"/>
      <c r="C3293" s="10"/>
      <c r="D3293" s="10"/>
      <c r="E3293" s="10"/>
    </row>
    <row r="3294">
      <c r="A3294" s="10"/>
      <c r="B3294" s="10"/>
      <c r="C3294" s="10"/>
      <c r="D3294" s="10"/>
      <c r="E3294" s="10"/>
    </row>
    <row r="3295">
      <c r="A3295" s="10"/>
      <c r="B3295" s="10"/>
      <c r="C3295" s="10"/>
      <c r="D3295" s="10"/>
      <c r="E3295" s="10"/>
    </row>
    <row r="3296">
      <c r="A3296" s="10"/>
      <c r="B3296" s="10"/>
      <c r="C3296" s="10"/>
      <c r="D3296" s="10"/>
      <c r="E3296" s="10"/>
    </row>
    <row r="3297">
      <c r="A3297" s="10"/>
      <c r="B3297" s="10"/>
      <c r="C3297" s="10"/>
      <c r="D3297" s="10"/>
      <c r="E3297" s="10"/>
    </row>
    <row r="3298">
      <c r="A3298" s="10"/>
      <c r="B3298" s="10"/>
      <c r="C3298" s="10"/>
      <c r="D3298" s="10"/>
      <c r="E3298" s="10"/>
    </row>
    <row r="3299">
      <c r="A3299" s="10"/>
      <c r="B3299" s="10"/>
      <c r="C3299" s="10"/>
      <c r="D3299" s="10"/>
      <c r="E3299" s="10"/>
    </row>
    <row r="3300">
      <c r="A3300" s="10"/>
      <c r="B3300" s="10"/>
      <c r="C3300" s="10"/>
      <c r="D3300" s="10"/>
      <c r="E3300" s="10"/>
    </row>
    <row r="3301">
      <c r="A3301" s="10"/>
      <c r="B3301" s="10"/>
      <c r="C3301" s="10"/>
      <c r="D3301" s="10"/>
      <c r="E3301" s="10"/>
    </row>
    <row r="3302">
      <c r="A3302" s="10"/>
      <c r="B3302" s="10"/>
      <c r="C3302" s="10"/>
      <c r="D3302" s="10"/>
      <c r="E3302" s="10"/>
    </row>
    <row r="3303">
      <c r="A3303" s="10"/>
      <c r="B3303" s="10"/>
      <c r="C3303" s="10"/>
      <c r="D3303" s="10"/>
      <c r="E3303" s="10"/>
    </row>
    <row r="3304">
      <c r="A3304" s="10"/>
      <c r="B3304" s="10"/>
      <c r="C3304" s="10"/>
      <c r="D3304" s="10"/>
      <c r="E3304" s="10"/>
    </row>
    <row r="3305">
      <c r="A3305" s="10"/>
      <c r="B3305" s="10"/>
      <c r="C3305" s="10"/>
      <c r="D3305" s="10"/>
      <c r="E3305" s="10"/>
    </row>
    <row r="3306">
      <c r="A3306" s="10"/>
      <c r="B3306" s="10"/>
      <c r="C3306" s="10"/>
      <c r="D3306" s="10"/>
      <c r="E3306" s="10"/>
    </row>
    <row r="3307">
      <c r="A3307" s="10"/>
      <c r="B3307" s="10"/>
      <c r="C3307" s="10"/>
      <c r="D3307" s="10"/>
      <c r="E3307" s="10"/>
    </row>
    <row r="3308">
      <c r="A3308" s="10"/>
      <c r="B3308" s="10"/>
      <c r="C3308" s="10"/>
      <c r="D3308" s="10"/>
      <c r="E3308" s="10"/>
    </row>
    <row r="3309">
      <c r="A3309" s="10"/>
      <c r="B3309" s="10"/>
      <c r="C3309" s="10"/>
      <c r="D3309" s="10"/>
      <c r="E3309" s="10"/>
    </row>
    <row r="3310">
      <c r="A3310" s="10"/>
      <c r="B3310" s="10"/>
      <c r="C3310" s="10"/>
      <c r="D3310" s="10"/>
      <c r="E3310" s="10"/>
    </row>
    <row r="3311">
      <c r="A3311" s="10"/>
      <c r="B3311" s="10"/>
      <c r="C3311" s="10"/>
      <c r="D3311" s="10"/>
      <c r="E3311" s="10"/>
    </row>
    <row r="3312">
      <c r="A3312" s="10"/>
      <c r="B3312" s="10"/>
      <c r="C3312" s="10"/>
      <c r="D3312" s="10"/>
      <c r="E3312" s="10"/>
    </row>
    <row r="3313">
      <c r="A3313" s="10"/>
      <c r="B3313" s="10"/>
      <c r="C3313" s="10"/>
      <c r="D3313" s="10"/>
      <c r="E3313" s="10"/>
    </row>
    <row r="3314">
      <c r="A3314" s="10"/>
      <c r="B3314" s="10"/>
      <c r="C3314" s="10"/>
      <c r="D3314" s="10"/>
      <c r="E3314" s="10"/>
    </row>
    <row r="3315">
      <c r="A3315" s="10"/>
      <c r="B3315" s="10"/>
      <c r="C3315" s="10"/>
      <c r="D3315" s="10"/>
      <c r="E3315" s="10"/>
    </row>
    <row r="3316">
      <c r="A3316" s="10"/>
      <c r="B3316" s="10"/>
      <c r="C3316" s="10"/>
      <c r="D3316" s="10"/>
      <c r="E3316" s="10"/>
    </row>
    <row r="3317">
      <c r="A3317" s="10"/>
      <c r="B3317" s="10"/>
      <c r="C3317" s="10"/>
      <c r="D3317" s="10"/>
      <c r="E3317" s="10"/>
    </row>
    <row r="3318">
      <c r="A3318" s="10"/>
      <c r="B3318" s="10"/>
      <c r="C3318" s="10"/>
      <c r="D3318" s="10"/>
      <c r="E3318" s="10"/>
    </row>
    <row r="3319">
      <c r="A3319" s="10"/>
      <c r="B3319" s="10"/>
      <c r="C3319" s="10"/>
      <c r="D3319" s="10"/>
      <c r="E3319" s="10"/>
    </row>
    <row r="3320">
      <c r="A3320" s="10"/>
      <c r="B3320" s="10"/>
      <c r="C3320" s="10"/>
      <c r="D3320" s="10"/>
      <c r="E3320" s="10"/>
    </row>
    <row r="3321">
      <c r="A3321" s="10"/>
      <c r="B3321" s="10"/>
      <c r="C3321" s="10"/>
      <c r="D3321" s="10"/>
      <c r="E3321" s="10"/>
    </row>
    <row r="3322">
      <c r="A3322" s="10"/>
      <c r="B3322" s="10"/>
      <c r="C3322" s="10"/>
      <c r="D3322" s="10"/>
      <c r="E3322" s="10"/>
    </row>
    <row r="3323">
      <c r="A3323" s="10"/>
      <c r="B3323" s="10"/>
      <c r="C3323" s="10"/>
      <c r="D3323" s="10"/>
      <c r="E3323" s="10"/>
    </row>
    <row r="3324">
      <c r="A3324" s="10"/>
      <c r="B3324" s="10"/>
      <c r="C3324" s="10"/>
      <c r="D3324" s="10"/>
      <c r="E3324" s="10"/>
    </row>
    <row r="3325">
      <c r="A3325" s="10"/>
      <c r="B3325" s="10"/>
      <c r="C3325" s="10"/>
      <c r="D3325" s="10"/>
      <c r="E3325" s="10"/>
    </row>
    <row r="3326">
      <c r="A3326" s="10"/>
      <c r="B3326" s="10"/>
      <c r="C3326" s="10"/>
      <c r="D3326" s="10"/>
      <c r="E3326" s="10"/>
    </row>
    <row r="3327">
      <c r="A3327" s="10"/>
      <c r="B3327" s="10"/>
      <c r="C3327" s="10"/>
      <c r="D3327" s="10"/>
      <c r="E3327" s="10"/>
    </row>
    <row r="3328">
      <c r="A3328" s="10"/>
      <c r="B3328" s="10"/>
      <c r="C3328" s="10"/>
      <c r="D3328" s="10"/>
      <c r="E3328" s="10"/>
    </row>
    <row r="3329">
      <c r="A3329" s="10"/>
      <c r="B3329" s="10"/>
      <c r="C3329" s="10"/>
      <c r="D3329" s="10"/>
      <c r="E3329" s="10"/>
    </row>
    <row r="3330">
      <c r="A3330" s="10"/>
      <c r="B3330" s="10"/>
      <c r="C3330" s="10"/>
      <c r="D3330" s="10"/>
      <c r="E3330" s="10"/>
    </row>
    <row r="3331">
      <c r="A3331" s="10"/>
      <c r="B3331" s="10"/>
      <c r="C3331" s="10"/>
      <c r="D3331" s="10"/>
      <c r="E3331" s="10"/>
    </row>
    <row r="3332">
      <c r="A3332" s="10"/>
      <c r="B3332" s="10"/>
      <c r="C3332" s="10"/>
      <c r="D3332" s="10"/>
      <c r="E3332" s="10"/>
    </row>
    <row r="3333">
      <c r="A3333" s="10"/>
      <c r="B3333" s="10"/>
      <c r="C3333" s="10"/>
      <c r="D3333" s="10"/>
      <c r="E3333" s="10"/>
    </row>
    <row r="3334">
      <c r="A3334" s="10"/>
      <c r="B3334" s="10"/>
      <c r="C3334" s="10"/>
      <c r="D3334" s="10"/>
      <c r="E3334" s="10"/>
    </row>
    <row r="3335">
      <c r="A3335" s="10"/>
      <c r="B3335" s="10"/>
      <c r="C3335" s="10"/>
      <c r="D3335" s="10"/>
      <c r="E3335" s="10"/>
    </row>
    <row r="3336">
      <c r="A3336" s="10"/>
      <c r="B3336" s="10"/>
      <c r="C3336" s="10"/>
      <c r="D3336" s="10"/>
      <c r="E3336" s="10"/>
    </row>
    <row r="3337">
      <c r="A3337" s="10"/>
      <c r="B3337" s="10"/>
      <c r="C3337" s="10"/>
      <c r="D3337" s="10"/>
      <c r="E3337" s="10"/>
    </row>
    <row r="3338">
      <c r="A3338" s="10"/>
      <c r="B3338" s="10"/>
      <c r="C3338" s="10"/>
      <c r="D3338" s="10"/>
      <c r="E3338" s="10"/>
    </row>
    <row r="3339">
      <c r="A3339" s="10"/>
      <c r="B3339" s="10"/>
      <c r="C3339" s="10"/>
      <c r="D3339" s="10"/>
      <c r="E3339" s="10"/>
    </row>
    <row r="3340">
      <c r="A3340" s="10"/>
      <c r="B3340" s="10"/>
      <c r="C3340" s="10"/>
      <c r="D3340" s="10"/>
      <c r="E3340" s="10"/>
    </row>
    <row r="3341">
      <c r="A3341" s="10"/>
      <c r="B3341" s="10"/>
      <c r="C3341" s="10"/>
      <c r="D3341" s="10"/>
      <c r="E3341" s="10"/>
    </row>
    <row r="3342">
      <c r="A3342" s="10"/>
      <c r="B3342" s="10"/>
      <c r="C3342" s="10"/>
      <c r="D3342" s="10"/>
      <c r="E3342" s="10"/>
    </row>
    <row r="3343">
      <c r="A3343" s="10"/>
      <c r="B3343" s="10"/>
      <c r="C3343" s="10"/>
      <c r="D3343" s="10"/>
      <c r="E3343" s="10"/>
    </row>
    <row r="3344">
      <c r="A3344" s="10"/>
      <c r="B3344" s="10"/>
      <c r="C3344" s="10"/>
      <c r="D3344" s="10"/>
      <c r="E3344" s="10"/>
    </row>
    <row r="3345">
      <c r="A3345" s="10"/>
      <c r="B3345" s="10"/>
      <c r="C3345" s="10"/>
      <c r="D3345" s="10"/>
      <c r="E3345" s="10"/>
    </row>
    <row r="3346">
      <c r="A3346" s="10"/>
      <c r="B3346" s="10"/>
      <c r="C3346" s="10"/>
      <c r="D3346" s="10"/>
      <c r="E3346" s="10"/>
    </row>
    <row r="3347">
      <c r="A3347" s="10"/>
      <c r="B3347" s="10"/>
      <c r="C3347" s="10"/>
      <c r="D3347" s="10"/>
      <c r="E3347" s="10"/>
    </row>
    <row r="3348">
      <c r="A3348" s="10"/>
      <c r="B3348" s="10"/>
      <c r="C3348" s="10"/>
      <c r="D3348" s="10"/>
      <c r="E3348" s="10"/>
    </row>
    <row r="3349">
      <c r="A3349" s="10"/>
      <c r="B3349" s="10"/>
      <c r="C3349" s="10"/>
      <c r="D3349" s="10"/>
      <c r="E3349" s="10"/>
    </row>
    <row r="3350">
      <c r="A3350" s="10"/>
      <c r="B3350" s="10"/>
      <c r="C3350" s="10"/>
      <c r="D3350" s="10"/>
      <c r="E3350" s="10"/>
    </row>
    <row r="3351">
      <c r="A3351" s="10"/>
      <c r="B3351" s="10"/>
      <c r="C3351" s="10"/>
      <c r="D3351" s="10"/>
      <c r="E3351" s="10"/>
    </row>
    <row r="3352">
      <c r="A3352" s="10"/>
      <c r="B3352" s="10"/>
      <c r="C3352" s="10"/>
      <c r="D3352" s="10"/>
      <c r="E3352" s="10"/>
    </row>
    <row r="3353">
      <c r="A3353" s="10"/>
      <c r="B3353" s="10"/>
      <c r="C3353" s="10"/>
      <c r="D3353" s="10"/>
      <c r="E3353" s="10"/>
    </row>
    <row r="3354">
      <c r="A3354" s="10"/>
      <c r="B3354" s="10"/>
      <c r="C3354" s="10"/>
      <c r="D3354" s="10"/>
      <c r="E3354" s="10"/>
    </row>
    <row r="3355">
      <c r="A3355" s="10"/>
      <c r="B3355" s="10"/>
      <c r="C3355" s="10"/>
      <c r="D3355" s="10"/>
      <c r="E3355" s="10"/>
    </row>
    <row r="3356">
      <c r="A3356" s="10"/>
      <c r="B3356" s="10"/>
      <c r="C3356" s="10"/>
      <c r="D3356" s="10"/>
      <c r="E3356" s="10"/>
    </row>
    <row r="3357">
      <c r="A3357" s="10"/>
      <c r="B3357" s="10"/>
      <c r="C3357" s="10"/>
      <c r="D3357" s="10"/>
      <c r="E3357" s="10"/>
    </row>
    <row r="3358">
      <c r="A3358" s="10"/>
      <c r="B3358" s="10"/>
      <c r="C3358" s="10"/>
      <c r="D3358" s="10"/>
      <c r="E3358" s="10"/>
    </row>
    <row r="3359">
      <c r="A3359" s="10"/>
      <c r="B3359" s="10"/>
      <c r="C3359" s="10"/>
      <c r="D3359" s="10"/>
      <c r="E3359" s="10"/>
    </row>
    <row r="3360">
      <c r="A3360" s="10"/>
      <c r="B3360" s="10"/>
      <c r="C3360" s="10"/>
      <c r="D3360" s="10"/>
      <c r="E3360" s="10"/>
    </row>
    <row r="3361">
      <c r="A3361" s="10"/>
      <c r="B3361" s="10"/>
      <c r="C3361" s="10"/>
      <c r="D3361" s="10"/>
      <c r="E3361" s="10"/>
    </row>
    <row r="3362">
      <c r="A3362" s="10"/>
      <c r="B3362" s="10"/>
      <c r="C3362" s="10"/>
      <c r="D3362" s="10"/>
      <c r="E3362" s="10"/>
    </row>
    <row r="3363">
      <c r="A3363" s="10"/>
      <c r="B3363" s="10"/>
      <c r="C3363" s="10"/>
      <c r="D3363" s="10"/>
      <c r="E3363" s="10"/>
    </row>
    <row r="3364">
      <c r="A3364" s="10"/>
      <c r="B3364" s="10"/>
      <c r="C3364" s="10"/>
      <c r="D3364" s="10"/>
      <c r="E3364" s="10"/>
    </row>
    <row r="3365">
      <c r="A3365" s="10"/>
      <c r="B3365" s="10"/>
      <c r="C3365" s="10"/>
      <c r="D3365" s="10"/>
      <c r="E3365" s="10"/>
    </row>
    <row r="3366">
      <c r="A3366" s="10"/>
      <c r="B3366" s="10"/>
      <c r="C3366" s="10"/>
      <c r="D3366" s="10"/>
      <c r="E3366" s="10"/>
    </row>
    <row r="3367">
      <c r="A3367" s="10"/>
      <c r="B3367" s="10"/>
      <c r="C3367" s="10"/>
      <c r="D3367" s="10"/>
      <c r="E3367" s="10"/>
    </row>
    <row r="3368">
      <c r="A3368" s="10"/>
      <c r="B3368" s="10"/>
      <c r="C3368" s="10"/>
      <c r="D3368" s="10"/>
      <c r="E3368" s="10"/>
    </row>
    <row r="3369">
      <c r="A3369" s="10"/>
      <c r="B3369" s="10"/>
      <c r="C3369" s="10"/>
      <c r="D3369" s="10"/>
      <c r="E3369" s="10"/>
    </row>
    <row r="3370">
      <c r="A3370" s="10"/>
      <c r="B3370" s="10"/>
      <c r="C3370" s="10"/>
      <c r="D3370" s="10"/>
      <c r="E3370" s="10"/>
    </row>
    <row r="3371">
      <c r="A3371" s="10"/>
      <c r="B3371" s="10"/>
      <c r="C3371" s="10"/>
      <c r="D3371" s="10"/>
      <c r="E3371" s="10"/>
    </row>
    <row r="3372">
      <c r="A3372" s="10"/>
      <c r="B3372" s="10"/>
      <c r="C3372" s="10"/>
      <c r="D3372" s="10"/>
      <c r="E3372" s="10"/>
    </row>
    <row r="3373">
      <c r="A3373" s="10"/>
      <c r="B3373" s="10"/>
      <c r="C3373" s="10"/>
      <c r="D3373" s="10"/>
      <c r="E3373" s="10"/>
    </row>
    <row r="3374">
      <c r="A3374" s="10"/>
      <c r="B3374" s="10"/>
      <c r="C3374" s="10"/>
      <c r="D3374" s="10"/>
      <c r="E3374" s="10"/>
    </row>
    <row r="3375">
      <c r="A3375" s="10"/>
      <c r="B3375" s="10"/>
      <c r="C3375" s="10"/>
      <c r="D3375" s="10"/>
      <c r="E3375" s="10"/>
    </row>
    <row r="3376">
      <c r="A3376" s="10"/>
      <c r="B3376" s="10"/>
      <c r="C3376" s="10"/>
      <c r="D3376" s="10"/>
      <c r="E3376" s="10"/>
    </row>
    <row r="3377">
      <c r="A3377" s="10"/>
      <c r="B3377" s="10"/>
      <c r="C3377" s="10"/>
      <c r="D3377" s="10"/>
      <c r="E3377" s="10"/>
    </row>
    <row r="3378">
      <c r="A3378" s="10"/>
      <c r="B3378" s="10"/>
      <c r="C3378" s="10"/>
      <c r="D3378" s="10"/>
      <c r="E3378" s="10"/>
    </row>
    <row r="3379">
      <c r="A3379" s="10"/>
      <c r="B3379" s="10"/>
      <c r="C3379" s="10"/>
      <c r="D3379" s="10"/>
      <c r="E3379" s="10"/>
    </row>
    <row r="3380">
      <c r="A3380" s="10"/>
      <c r="B3380" s="10"/>
      <c r="C3380" s="10"/>
      <c r="D3380" s="10"/>
      <c r="E3380" s="10"/>
    </row>
    <row r="3381">
      <c r="A3381" s="10"/>
      <c r="B3381" s="10"/>
      <c r="C3381" s="10"/>
      <c r="D3381" s="10"/>
      <c r="E3381" s="10"/>
    </row>
    <row r="3382">
      <c r="A3382" s="10"/>
      <c r="B3382" s="10"/>
      <c r="C3382" s="10"/>
      <c r="D3382" s="10"/>
      <c r="E3382" s="10"/>
    </row>
    <row r="3383">
      <c r="A3383" s="10"/>
      <c r="B3383" s="10"/>
      <c r="C3383" s="10"/>
      <c r="D3383" s="10"/>
      <c r="E3383" s="10"/>
    </row>
    <row r="3384">
      <c r="A3384" s="10"/>
      <c r="B3384" s="10"/>
      <c r="C3384" s="10"/>
      <c r="D3384" s="10"/>
      <c r="E3384" s="10"/>
    </row>
    <row r="3385">
      <c r="A3385" s="10"/>
      <c r="B3385" s="10"/>
      <c r="C3385" s="10"/>
      <c r="D3385" s="10"/>
      <c r="E3385" s="10"/>
    </row>
    <row r="3386">
      <c r="A3386" s="10"/>
      <c r="B3386" s="10"/>
      <c r="C3386" s="10"/>
      <c r="D3386" s="10"/>
      <c r="E3386" s="10"/>
    </row>
    <row r="3387">
      <c r="A3387" s="10"/>
      <c r="B3387" s="10"/>
      <c r="C3387" s="10"/>
      <c r="D3387" s="10"/>
      <c r="E3387" s="10"/>
    </row>
    <row r="3388">
      <c r="A3388" s="10"/>
      <c r="B3388" s="10"/>
      <c r="C3388" s="10"/>
      <c r="D3388" s="10"/>
      <c r="E3388" s="10"/>
    </row>
    <row r="3389">
      <c r="A3389" s="10"/>
      <c r="B3389" s="10"/>
      <c r="C3389" s="10"/>
      <c r="D3389" s="10"/>
      <c r="E3389" s="10"/>
    </row>
    <row r="3390">
      <c r="A3390" s="10"/>
      <c r="B3390" s="10"/>
      <c r="C3390" s="10"/>
      <c r="D3390" s="10"/>
      <c r="E3390" s="10"/>
    </row>
    <row r="3391">
      <c r="A3391" s="10"/>
      <c r="B3391" s="10"/>
      <c r="C3391" s="10"/>
      <c r="D3391" s="10"/>
      <c r="E3391" s="10"/>
    </row>
    <row r="3392">
      <c r="A3392" s="10"/>
      <c r="B3392" s="10"/>
      <c r="C3392" s="10"/>
      <c r="D3392" s="10"/>
      <c r="E3392" s="10"/>
    </row>
    <row r="3393">
      <c r="A3393" s="10"/>
      <c r="B3393" s="10"/>
      <c r="C3393" s="10"/>
      <c r="D3393" s="10"/>
      <c r="E3393" s="10"/>
    </row>
    <row r="3394">
      <c r="A3394" s="10"/>
      <c r="B3394" s="10"/>
      <c r="C3394" s="10"/>
      <c r="D3394" s="10"/>
      <c r="E3394" s="10"/>
    </row>
    <row r="3395">
      <c r="A3395" s="10"/>
      <c r="B3395" s="10"/>
      <c r="C3395" s="10"/>
      <c r="D3395" s="10"/>
      <c r="E3395" s="10"/>
    </row>
    <row r="3396">
      <c r="A3396" s="10"/>
      <c r="B3396" s="10"/>
      <c r="C3396" s="10"/>
      <c r="D3396" s="10"/>
      <c r="E3396" s="10"/>
    </row>
    <row r="3397">
      <c r="A3397" s="10"/>
      <c r="B3397" s="10"/>
      <c r="C3397" s="10"/>
      <c r="D3397" s="10"/>
      <c r="E3397" s="10"/>
    </row>
    <row r="3398">
      <c r="A3398" s="10"/>
      <c r="B3398" s="10"/>
      <c r="C3398" s="10"/>
      <c r="D3398" s="10"/>
      <c r="E3398" s="10"/>
    </row>
    <row r="3399">
      <c r="A3399" s="10"/>
      <c r="B3399" s="10"/>
      <c r="C3399" s="10"/>
      <c r="D3399" s="10"/>
      <c r="E3399" s="10"/>
    </row>
    <row r="3400">
      <c r="A3400" s="10"/>
      <c r="B3400" s="10"/>
      <c r="C3400" s="10"/>
      <c r="D3400" s="10"/>
      <c r="E3400" s="10"/>
    </row>
    <row r="3401">
      <c r="A3401" s="10"/>
      <c r="B3401" s="10"/>
      <c r="C3401" s="10"/>
      <c r="D3401" s="10"/>
      <c r="E3401" s="10"/>
    </row>
    <row r="3402">
      <c r="A3402" s="10"/>
      <c r="B3402" s="10"/>
      <c r="C3402" s="10"/>
      <c r="D3402" s="10"/>
      <c r="E3402" s="10"/>
    </row>
    <row r="3403">
      <c r="A3403" s="10"/>
      <c r="B3403" s="10"/>
      <c r="C3403" s="10"/>
      <c r="D3403" s="10"/>
      <c r="E3403" s="10"/>
    </row>
    <row r="3404">
      <c r="A3404" s="10"/>
      <c r="B3404" s="10"/>
      <c r="C3404" s="10"/>
      <c r="D3404" s="10"/>
      <c r="E3404" s="10"/>
    </row>
    <row r="3405">
      <c r="A3405" s="10"/>
      <c r="B3405" s="10"/>
      <c r="C3405" s="10"/>
      <c r="D3405" s="10"/>
      <c r="E3405" s="10"/>
    </row>
    <row r="3406">
      <c r="A3406" s="10"/>
      <c r="B3406" s="10"/>
      <c r="C3406" s="10"/>
      <c r="D3406" s="10"/>
      <c r="E3406" s="10"/>
    </row>
    <row r="3407">
      <c r="A3407" s="10"/>
      <c r="B3407" s="10"/>
      <c r="C3407" s="10"/>
      <c r="D3407" s="10"/>
      <c r="E3407" s="10"/>
    </row>
    <row r="3408">
      <c r="A3408" s="10"/>
      <c r="B3408" s="10"/>
      <c r="C3408" s="10"/>
      <c r="D3408" s="10"/>
      <c r="E3408" s="10"/>
    </row>
    <row r="3409">
      <c r="A3409" s="10"/>
      <c r="B3409" s="10"/>
      <c r="C3409" s="10"/>
      <c r="D3409" s="10"/>
      <c r="E3409" s="10"/>
    </row>
    <row r="3410">
      <c r="A3410" s="10"/>
      <c r="B3410" s="10"/>
      <c r="C3410" s="10"/>
      <c r="D3410" s="10"/>
      <c r="E3410" s="10"/>
    </row>
    <row r="3411">
      <c r="A3411" s="10"/>
      <c r="B3411" s="10"/>
      <c r="C3411" s="10"/>
      <c r="D3411" s="10"/>
      <c r="E3411" s="10"/>
    </row>
    <row r="3412">
      <c r="A3412" s="10"/>
      <c r="B3412" s="10"/>
      <c r="C3412" s="10"/>
      <c r="D3412" s="10"/>
      <c r="E3412" s="10"/>
    </row>
    <row r="3413">
      <c r="A3413" s="10"/>
      <c r="B3413" s="10"/>
      <c r="C3413" s="10"/>
      <c r="D3413" s="10"/>
      <c r="E3413" s="10"/>
    </row>
    <row r="3414">
      <c r="A3414" s="10"/>
      <c r="B3414" s="10"/>
      <c r="C3414" s="10"/>
      <c r="D3414" s="10"/>
      <c r="E3414" s="10"/>
    </row>
    <row r="3415">
      <c r="A3415" s="10"/>
      <c r="B3415" s="10"/>
      <c r="C3415" s="10"/>
      <c r="D3415" s="10"/>
      <c r="E3415" s="10"/>
    </row>
    <row r="3416">
      <c r="A3416" s="10"/>
      <c r="B3416" s="10"/>
      <c r="C3416" s="10"/>
      <c r="D3416" s="10"/>
      <c r="E3416" s="10"/>
    </row>
    <row r="3417">
      <c r="A3417" s="10"/>
      <c r="B3417" s="10"/>
      <c r="C3417" s="10"/>
      <c r="D3417" s="10"/>
      <c r="E3417" s="10"/>
    </row>
    <row r="3418">
      <c r="A3418" s="10"/>
      <c r="B3418" s="10"/>
      <c r="C3418" s="10"/>
      <c r="D3418" s="10"/>
      <c r="E3418" s="10"/>
    </row>
    <row r="3419">
      <c r="A3419" s="10"/>
      <c r="B3419" s="10"/>
      <c r="C3419" s="10"/>
      <c r="D3419" s="10"/>
      <c r="E3419" s="10"/>
    </row>
    <row r="3420">
      <c r="A3420" s="10"/>
      <c r="B3420" s="10"/>
      <c r="C3420" s="10"/>
      <c r="D3420" s="10"/>
      <c r="E3420" s="10"/>
    </row>
    <row r="3421">
      <c r="A3421" s="10"/>
      <c r="B3421" s="10"/>
      <c r="C3421" s="10"/>
      <c r="D3421" s="10"/>
      <c r="E3421" s="10"/>
    </row>
    <row r="3422">
      <c r="A3422" s="10"/>
      <c r="B3422" s="10"/>
      <c r="C3422" s="10"/>
      <c r="D3422" s="10"/>
      <c r="E3422" s="10"/>
    </row>
    <row r="3423">
      <c r="A3423" s="10"/>
      <c r="B3423" s="10"/>
      <c r="C3423" s="10"/>
      <c r="D3423" s="10"/>
      <c r="E3423" s="10"/>
    </row>
    <row r="3424">
      <c r="A3424" s="10"/>
      <c r="B3424" s="10"/>
      <c r="C3424" s="10"/>
      <c r="D3424" s="10"/>
      <c r="E3424" s="10"/>
    </row>
    <row r="3425">
      <c r="A3425" s="10"/>
      <c r="B3425" s="10"/>
      <c r="C3425" s="10"/>
      <c r="D3425" s="10"/>
      <c r="E3425" s="10"/>
    </row>
    <row r="3426">
      <c r="A3426" s="10"/>
      <c r="B3426" s="10"/>
      <c r="C3426" s="10"/>
      <c r="D3426" s="10"/>
      <c r="E3426" s="10"/>
    </row>
    <row r="3427">
      <c r="A3427" s="10"/>
      <c r="B3427" s="10"/>
      <c r="C3427" s="10"/>
      <c r="D3427" s="10"/>
      <c r="E3427" s="10"/>
    </row>
    <row r="3428">
      <c r="A3428" s="10"/>
      <c r="B3428" s="10"/>
      <c r="C3428" s="10"/>
      <c r="D3428" s="10"/>
      <c r="E3428" s="10"/>
    </row>
    <row r="3429">
      <c r="A3429" s="10"/>
      <c r="B3429" s="10"/>
      <c r="C3429" s="10"/>
      <c r="D3429" s="10"/>
      <c r="E3429" s="10"/>
    </row>
    <row r="3430">
      <c r="A3430" s="10"/>
      <c r="B3430" s="10"/>
      <c r="C3430" s="10"/>
      <c r="D3430" s="10"/>
      <c r="E3430" s="10"/>
    </row>
    <row r="3431">
      <c r="A3431" s="10"/>
      <c r="B3431" s="10"/>
      <c r="C3431" s="10"/>
      <c r="D3431" s="10"/>
      <c r="E3431" s="10"/>
    </row>
    <row r="3432">
      <c r="A3432" s="10"/>
      <c r="B3432" s="10"/>
      <c r="C3432" s="10"/>
      <c r="D3432" s="10"/>
      <c r="E3432" s="10"/>
    </row>
    <row r="3433">
      <c r="A3433" s="10"/>
      <c r="B3433" s="10"/>
      <c r="C3433" s="10"/>
      <c r="D3433" s="10"/>
      <c r="E3433" s="10"/>
    </row>
    <row r="3434">
      <c r="A3434" s="10"/>
      <c r="B3434" s="10"/>
      <c r="C3434" s="10"/>
      <c r="D3434" s="10"/>
      <c r="E3434" s="10"/>
    </row>
    <row r="3435">
      <c r="A3435" s="10"/>
      <c r="B3435" s="10"/>
      <c r="C3435" s="10"/>
      <c r="D3435" s="10"/>
      <c r="E3435" s="10"/>
    </row>
    <row r="3436">
      <c r="A3436" s="10"/>
      <c r="B3436" s="10"/>
      <c r="C3436" s="10"/>
      <c r="D3436" s="10"/>
      <c r="E3436" s="10"/>
    </row>
    <row r="3437">
      <c r="A3437" s="10"/>
      <c r="B3437" s="10"/>
      <c r="C3437" s="10"/>
      <c r="D3437" s="10"/>
      <c r="E3437" s="10"/>
    </row>
    <row r="3438">
      <c r="A3438" s="10"/>
      <c r="B3438" s="10"/>
      <c r="C3438" s="10"/>
      <c r="D3438" s="10"/>
      <c r="E3438" s="10"/>
    </row>
    <row r="3439">
      <c r="A3439" s="10"/>
      <c r="B3439" s="10"/>
      <c r="C3439" s="10"/>
      <c r="D3439" s="10"/>
      <c r="E3439" s="10"/>
    </row>
    <row r="3440">
      <c r="A3440" s="10"/>
      <c r="B3440" s="10"/>
      <c r="C3440" s="10"/>
      <c r="D3440" s="10"/>
      <c r="E3440" s="10"/>
    </row>
    <row r="3441">
      <c r="A3441" s="10"/>
      <c r="B3441" s="10"/>
      <c r="C3441" s="10"/>
      <c r="D3441" s="10"/>
      <c r="E3441" s="10"/>
    </row>
    <row r="3442">
      <c r="A3442" s="10"/>
      <c r="B3442" s="10"/>
      <c r="C3442" s="10"/>
      <c r="D3442" s="10"/>
      <c r="E3442" s="10"/>
    </row>
    <row r="3443">
      <c r="A3443" s="10"/>
      <c r="B3443" s="10"/>
      <c r="C3443" s="10"/>
      <c r="D3443" s="10"/>
      <c r="E3443" s="10"/>
    </row>
    <row r="3444">
      <c r="A3444" s="10"/>
      <c r="B3444" s="10"/>
      <c r="C3444" s="10"/>
      <c r="D3444" s="10"/>
      <c r="E3444" s="10"/>
    </row>
    <row r="3445">
      <c r="A3445" s="10"/>
      <c r="B3445" s="10"/>
      <c r="C3445" s="10"/>
      <c r="D3445" s="10"/>
      <c r="E3445" s="10"/>
    </row>
    <row r="3446">
      <c r="A3446" s="10"/>
      <c r="B3446" s="10"/>
      <c r="C3446" s="10"/>
      <c r="D3446" s="10"/>
      <c r="E3446" s="10"/>
    </row>
    <row r="3447">
      <c r="A3447" s="10"/>
      <c r="B3447" s="10"/>
      <c r="C3447" s="10"/>
      <c r="D3447" s="10"/>
      <c r="E3447" s="10"/>
    </row>
    <row r="3448">
      <c r="A3448" s="10"/>
      <c r="B3448" s="10"/>
      <c r="C3448" s="10"/>
      <c r="D3448" s="10"/>
      <c r="E3448" s="10"/>
    </row>
    <row r="3449">
      <c r="A3449" s="10"/>
      <c r="B3449" s="10"/>
      <c r="C3449" s="10"/>
      <c r="D3449" s="10"/>
      <c r="E3449" s="10"/>
    </row>
    <row r="3450">
      <c r="A3450" s="10"/>
      <c r="B3450" s="10"/>
      <c r="C3450" s="10"/>
      <c r="D3450" s="10"/>
      <c r="E3450" s="10"/>
    </row>
    <row r="3451">
      <c r="A3451" s="10"/>
      <c r="B3451" s="10"/>
      <c r="C3451" s="10"/>
      <c r="D3451" s="10"/>
      <c r="E3451" s="10"/>
    </row>
    <row r="3452">
      <c r="A3452" s="10"/>
      <c r="B3452" s="10"/>
      <c r="C3452" s="10"/>
      <c r="D3452" s="10"/>
      <c r="E3452" s="10"/>
    </row>
    <row r="3453">
      <c r="A3453" s="10"/>
      <c r="B3453" s="10"/>
      <c r="C3453" s="10"/>
      <c r="D3453" s="10"/>
      <c r="E3453" s="10"/>
    </row>
    <row r="3454">
      <c r="A3454" s="10"/>
      <c r="B3454" s="10"/>
      <c r="C3454" s="10"/>
      <c r="D3454" s="10"/>
      <c r="E3454" s="10"/>
    </row>
    <row r="3455">
      <c r="A3455" s="10"/>
      <c r="B3455" s="10"/>
      <c r="C3455" s="10"/>
      <c r="D3455" s="10"/>
      <c r="E3455" s="10"/>
    </row>
    <row r="3456">
      <c r="A3456" s="10"/>
      <c r="B3456" s="10"/>
      <c r="C3456" s="10"/>
      <c r="D3456" s="10"/>
      <c r="E3456" s="10"/>
    </row>
    <row r="3457">
      <c r="A3457" s="10"/>
      <c r="B3457" s="10"/>
      <c r="C3457" s="10"/>
      <c r="D3457" s="10"/>
      <c r="E3457" s="10"/>
    </row>
    <row r="3458">
      <c r="A3458" s="10"/>
      <c r="B3458" s="10"/>
      <c r="C3458" s="10"/>
      <c r="D3458" s="10"/>
      <c r="E3458" s="10"/>
    </row>
    <row r="3459">
      <c r="A3459" s="10"/>
      <c r="B3459" s="10"/>
      <c r="C3459" s="10"/>
      <c r="D3459" s="10"/>
      <c r="E3459" s="10"/>
    </row>
    <row r="3460">
      <c r="A3460" s="10"/>
      <c r="B3460" s="10"/>
      <c r="C3460" s="10"/>
      <c r="D3460" s="10"/>
      <c r="E3460" s="10"/>
    </row>
    <row r="3461">
      <c r="A3461" s="10"/>
      <c r="B3461" s="10"/>
      <c r="C3461" s="10"/>
      <c r="D3461" s="10"/>
      <c r="E3461" s="10"/>
    </row>
    <row r="3462">
      <c r="A3462" s="10"/>
      <c r="B3462" s="10"/>
      <c r="C3462" s="10"/>
      <c r="D3462" s="10"/>
      <c r="E3462" s="10"/>
    </row>
    <row r="3463">
      <c r="A3463" s="10"/>
      <c r="B3463" s="10"/>
      <c r="C3463" s="10"/>
      <c r="D3463" s="10"/>
      <c r="E3463" s="10"/>
    </row>
    <row r="3464">
      <c r="A3464" s="10"/>
      <c r="B3464" s="10"/>
      <c r="C3464" s="10"/>
      <c r="D3464" s="10"/>
      <c r="E3464" s="10"/>
    </row>
    <row r="3465">
      <c r="A3465" s="10"/>
      <c r="B3465" s="10"/>
      <c r="C3465" s="10"/>
      <c r="D3465" s="10"/>
      <c r="E3465" s="10"/>
    </row>
    <row r="3466">
      <c r="A3466" s="10"/>
      <c r="B3466" s="10"/>
      <c r="C3466" s="10"/>
      <c r="D3466" s="10"/>
      <c r="E3466" s="10"/>
    </row>
    <row r="3467">
      <c r="A3467" s="10"/>
      <c r="B3467" s="10"/>
      <c r="C3467" s="10"/>
      <c r="D3467" s="10"/>
      <c r="E3467" s="10"/>
    </row>
    <row r="3468">
      <c r="A3468" s="10"/>
      <c r="B3468" s="10"/>
      <c r="C3468" s="10"/>
      <c r="D3468" s="10"/>
      <c r="E3468" s="10"/>
    </row>
    <row r="3469">
      <c r="A3469" s="10"/>
      <c r="B3469" s="10"/>
      <c r="C3469" s="10"/>
      <c r="D3469" s="10"/>
      <c r="E3469" s="10"/>
    </row>
    <row r="3470">
      <c r="A3470" s="10"/>
      <c r="B3470" s="10"/>
      <c r="C3470" s="10"/>
      <c r="D3470" s="10"/>
      <c r="E3470" s="10"/>
    </row>
    <row r="3471">
      <c r="A3471" s="10"/>
      <c r="B3471" s="10"/>
      <c r="C3471" s="10"/>
      <c r="D3471" s="10"/>
      <c r="E3471" s="10"/>
    </row>
    <row r="3472">
      <c r="A3472" s="10"/>
      <c r="B3472" s="10"/>
      <c r="C3472" s="10"/>
      <c r="D3472" s="10"/>
      <c r="E3472" s="10"/>
    </row>
    <row r="3473">
      <c r="A3473" s="10"/>
      <c r="B3473" s="10"/>
      <c r="C3473" s="10"/>
      <c r="D3473" s="10"/>
      <c r="E3473" s="10"/>
    </row>
    <row r="3474">
      <c r="A3474" s="10"/>
      <c r="B3474" s="10"/>
      <c r="C3474" s="10"/>
      <c r="D3474" s="10"/>
      <c r="E3474" s="10"/>
    </row>
    <row r="3475">
      <c r="A3475" s="10"/>
      <c r="B3475" s="10"/>
      <c r="C3475" s="10"/>
      <c r="D3475" s="10"/>
      <c r="E3475" s="10"/>
    </row>
    <row r="3476">
      <c r="A3476" s="10"/>
      <c r="B3476" s="10"/>
      <c r="C3476" s="10"/>
      <c r="D3476" s="10"/>
      <c r="E3476" s="10"/>
    </row>
    <row r="3477">
      <c r="A3477" s="10"/>
      <c r="B3477" s="10"/>
      <c r="C3477" s="10"/>
      <c r="D3477" s="10"/>
      <c r="E3477" s="10"/>
    </row>
    <row r="3478">
      <c r="A3478" s="10"/>
      <c r="B3478" s="10"/>
      <c r="C3478" s="10"/>
      <c r="D3478" s="10"/>
      <c r="E3478" s="10"/>
    </row>
    <row r="3479">
      <c r="A3479" s="10"/>
      <c r="B3479" s="10"/>
      <c r="C3479" s="10"/>
      <c r="D3479" s="10"/>
      <c r="E3479" s="10"/>
    </row>
    <row r="3480">
      <c r="A3480" s="10"/>
      <c r="B3480" s="10"/>
      <c r="C3480" s="10"/>
      <c r="D3480" s="10"/>
      <c r="E3480" s="10"/>
    </row>
    <row r="3481">
      <c r="A3481" s="10"/>
      <c r="B3481" s="10"/>
      <c r="C3481" s="10"/>
      <c r="D3481" s="10"/>
      <c r="E3481" s="10"/>
    </row>
    <row r="3482">
      <c r="A3482" s="10"/>
      <c r="B3482" s="10"/>
      <c r="C3482" s="10"/>
      <c r="D3482" s="10"/>
      <c r="E3482" s="10"/>
    </row>
    <row r="3483">
      <c r="A3483" s="10"/>
      <c r="B3483" s="10"/>
      <c r="C3483" s="10"/>
      <c r="D3483" s="10"/>
      <c r="E3483" s="10"/>
    </row>
    <row r="3484">
      <c r="A3484" s="10"/>
      <c r="B3484" s="10"/>
      <c r="C3484" s="10"/>
      <c r="D3484" s="10"/>
      <c r="E3484" s="10"/>
    </row>
    <row r="3485">
      <c r="A3485" s="10"/>
      <c r="B3485" s="10"/>
      <c r="C3485" s="10"/>
      <c r="D3485" s="10"/>
      <c r="E3485" s="10"/>
    </row>
    <row r="3486">
      <c r="A3486" s="10"/>
      <c r="B3486" s="10"/>
      <c r="C3486" s="10"/>
      <c r="D3486" s="10"/>
      <c r="E3486" s="10"/>
    </row>
    <row r="3487">
      <c r="A3487" s="10"/>
      <c r="B3487" s="10"/>
      <c r="C3487" s="10"/>
      <c r="D3487" s="10"/>
      <c r="E3487" s="10"/>
    </row>
    <row r="3488">
      <c r="A3488" s="10"/>
      <c r="B3488" s="10"/>
      <c r="C3488" s="10"/>
      <c r="D3488" s="10"/>
      <c r="E3488" s="10"/>
    </row>
    <row r="3489">
      <c r="A3489" s="10"/>
      <c r="B3489" s="10"/>
      <c r="C3489" s="10"/>
      <c r="D3489" s="10"/>
      <c r="E3489" s="10"/>
    </row>
    <row r="3490">
      <c r="A3490" s="10"/>
      <c r="B3490" s="10"/>
      <c r="C3490" s="10"/>
      <c r="D3490" s="10"/>
      <c r="E3490" s="10"/>
    </row>
    <row r="3491">
      <c r="A3491" s="10"/>
      <c r="B3491" s="10"/>
      <c r="C3491" s="10"/>
      <c r="D3491" s="10"/>
      <c r="E3491" s="10"/>
    </row>
    <row r="3492">
      <c r="A3492" s="10"/>
      <c r="B3492" s="10"/>
      <c r="C3492" s="10"/>
      <c r="D3492" s="10"/>
      <c r="E3492" s="10"/>
    </row>
    <row r="3493">
      <c r="A3493" s="10"/>
      <c r="B3493" s="10"/>
      <c r="C3493" s="10"/>
      <c r="D3493" s="10"/>
      <c r="E3493" s="10"/>
    </row>
    <row r="3494">
      <c r="A3494" s="10"/>
      <c r="B3494" s="10"/>
      <c r="C3494" s="10"/>
      <c r="D3494" s="10"/>
      <c r="E3494" s="10"/>
    </row>
    <row r="3495">
      <c r="A3495" s="10"/>
      <c r="B3495" s="10"/>
      <c r="C3495" s="10"/>
      <c r="D3495" s="10"/>
      <c r="E3495" s="10"/>
    </row>
    <row r="3496">
      <c r="A3496" s="10"/>
      <c r="B3496" s="10"/>
      <c r="C3496" s="10"/>
      <c r="D3496" s="10"/>
      <c r="E3496" s="10"/>
    </row>
    <row r="3497">
      <c r="A3497" s="10"/>
      <c r="B3497" s="10"/>
      <c r="C3497" s="10"/>
      <c r="D3497" s="10"/>
      <c r="E3497" s="10"/>
    </row>
    <row r="3498">
      <c r="A3498" s="10"/>
      <c r="B3498" s="10"/>
      <c r="C3498" s="10"/>
      <c r="D3498" s="10"/>
      <c r="E3498" s="10"/>
    </row>
    <row r="3499">
      <c r="A3499" s="10"/>
      <c r="B3499" s="10"/>
      <c r="C3499" s="10"/>
      <c r="D3499" s="10"/>
      <c r="E3499" s="10"/>
    </row>
    <row r="3500">
      <c r="A3500" s="10"/>
      <c r="B3500" s="10"/>
      <c r="C3500" s="10"/>
      <c r="D3500" s="10"/>
      <c r="E3500" s="10"/>
    </row>
    <row r="3501">
      <c r="A3501" s="10"/>
      <c r="B3501" s="10"/>
      <c r="C3501" s="10"/>
      <c r="D3501" s="10"/>
      <c r="E3501" s="10"/>
    </row>
    <row r="3502">
      <c r="A3502" s="10"/>
      <c r="B3502" s="10"/>
      <c r="C3502" s="10"/>
      <c r="D3502" s="10"/>
      <c r="E3502" s="10"/>
    </row>
    <row r="3503">
      <c r="A3503" s="10"/>
      <c r="B3503" s="10"/>
      <c r="C3503" s="10"/>
      <c r="D3503" s="10"/>
      <c r="E3503" s="10"/>
    </row>
    <row r="3504">
      <c r="A3504" s="10"/>
      <c r="B3504" s="10"/>
      <c r="C3504" s="10"/>
      <c r="D3504" s="10"/>
      <c r="E3504" s="10"/>
    </row>
    <row r="3505">
      <c r="A3505" s="10"/>
      <c r="B3505" s="10"/>
      <c r="C3505" s="10"/>
      <c r="D3505" s="10"/>
      <c r="E3505" s="10"/>
    </row>
    <row r="3506">
      <c r="A3506" s="10"/>
      <c r="B3506" s="10"/>
      <c r="C3506" s="10"/>
      <c r="D3506" s="10"/>
      <c r="E3506" s="10"/>
    </row>
    <row r="3507">
      <c r="A3507" s="10"/>
      <c r="B3507" s="10"/>
      <c r="C3507" s="10"/>
      <c r="D3507" s="10"/>
      <c r="E3507" s="10"/>
    </row>
    <row r="3508">
      <c r="A3508" s="10"/>
      <c r="B3508" s="10"/>
      <c r="C3508" s="10"/>
      <c r="D3508" s="10"/>
      <c r="E3508" s="10"/>
    </row>
    <row r="3509">
      <c r="A3509" s="10"/>
      <c r="B3509" s="10"/>
      <c r="C3509" s="10"/>
      <c r="D3509" s="10"/>
      <c r="E3509" s="10"/>
    </row>
    <row r="3510">
      <c r="A3510" s="10"/>
      <c r="B3510" s="10"/>
      <c r="C3510" s="10"/>
      <c r="D3510" s="10"/>
      <c r="E3510" s="10"/>
    </row>
    <row r="3511">
      <c r="A3511" s="10"/>
      <c r="B3511" s="10"/>
      <c r="C3511" s="10"/>
      <c r="D3511" s="10"/>
      <c r="E3511" s="10"/>
    </row>
    <row r="3512">
      <c r="A3512" s="10"/>
      <c r="B3512" s="10"/>
      <c r="C3512" s="10"/>
      <c r="D3512" s="10"/>
      <c r="E3512" s="10"/>
    </row>
    <row r="3513">
      <c r="A3513" s="10"/>
      <c r="B3513" s="10"/>
      <c r="C3513" s="10"/>
      <c r="D3513" s="10"/>
      <c r="E3513" s="10"/>
    </row>
    <row r="3514">
      <c r="A3514" s="10"/>
      <c r="B3514" s="10"/>
      <c r="C3514" s="10"/>
      <c r="D3514" s="10"/>
      <c r="E3514" s="10"/>
    </row>
    <row r="3515">
      <c r="A3515" s="10"/>
      <c r="B3515" s="10"/>
      <c r="C3515" s="10"/>
      <c r="D3515" s="10"/>
      <c r="E3515" s="10"/>
    </row>
    <row r="3516">
      <c r="A3516" s="10"/>
      <c r="B3516" s="10"/>
      <c r="C3516" s="10"/>
      <c r="D3516" s="10"/>
      <c r="E3516" s="10"/>
    </row>
    <row r="3517">
      <c r="A3517" s="10"/>
      <c r="B3517" s="10"/>
      <c r="C3517" s="10"/>
      <c r="D3517" s="10"/>
      <c r="E3517" s="10"/>
    </row>
    <row r="3518">
      <c r="A3518" s="10"/>
      <c r="B3518" s="10"/>
      <c r="C3518" s="10"/>
      <c r="D3518" s="10"/>
      <c r="E3518" s="10"/>
    </row>
    <row r="3519">
      <c r="A3519" s="10"/>
      <c r="B3519" s="10"/>
      <c r="C3519" s="10"/>
      <c r="D3519" s="10"/>
      <c r="E3519" s="10"/>
    </row>
    <row r="3520">
      <c r="A3520" s="10"/>
      <c r="B3520" s="10"/>
      <c r="C3520" s="10"/>
      <c r="D3520" s="10"/>
      <c r="E3520" s="10"/>
    </row>
    <row r="3521">
      <c r="A3521" s="10"/>
      <c r="B3521" s="10"/>
      <c r="C3521" s="10"/>
      <c r="D3521" s="10"/>
      <c r="E3521" s="10"/>
    </row>
    <row r="3522">
      <c r="A3522" s="10"/>
      <c r="B3522" s="10"/>
      <c r="C3522" s="10"/>
      <c r="D3522" s="10"/>
      <c r="E3522" s="10"/>
    </row>
    <row r="3523">
      <c r="A3523" s="10"/>
      <c r="B3523" s="10"/>
      <c r="C3523" s="10"/>
      <c r="D3523" s="10"/>
      <c r="E3523" s="10"/>
    </row>
    <row r="3524">
      <c r="A3524" s="10"/>
      <c r="B3524" s="10"/>
      <c r="C3524" s="10"/>
      <c r="D3524" s="10"/>
      <c r="E3524" s="10"/>
    </row>
    <row r="3525">
      <c r="A3525" s="10"/>
      <c r="B3525" s="10"/>
      <c r="C3525" s="10"/>
      <c r="D3525" s="10"/>
      <c r="E3525" s="10"/>
    </row>
    <row r="3526">
      <c r="A3526" s="10"/>
      <c r="B3526" s="10"/>
      <c r="C3526" s="10"/>
      <c r="D3526" s="10"/>
      <c r="E3526" s="10"/>
    </row>
    <row r="3527">
      <c r="A3527" s="10"/>
      <c r="B3527" s="10"/>
      <c r="C3527" s="10"/>
      <c r="D3527" s="10"/>
      <c r="E3527" s="10"/>
    </row>
    <row r="3528">
      <c r="A3528" s="10"/>
      <c r="B3528" s="10"/>
      <c r="C3528" s="10"/>
      <c r="D3528" s="10"/>
      <c r="E3528" s="10"/>
    </row>
    <row r="3529">
      <c r="A3529" s="10"/>
      <c r="B3529" s="10"/>
      <c r="C3529" s="10"/>
      <c r="D3529" s="10"/>
      <c r="E3529" s="10"/>
    </row>
    <row r="3530">
      <c r="A3530" s="10"/>
      <c r="B3530" s="10"/>
      <c r="C3530" s="10"/>
      <c r="D3530" s="10"/>
      <c r="E3530" s="10"/>
    </row>
    <row r="3531">
      <c r="A3531" s="10"/>
      <c r="B3531" s="10"/>
      <c r="C3531" s="10"/>
      <c r="D3531" s="10"/>
      <c r="E3531" s="10"/>
    </row>
    <row r="3532">
      <c r="A3532" s="10"/>
      <c r="B3532" s="10"/>
      <c r="C3532" s="10"/>
      <c r="D3532" s="10"/>
      <c r="E3532" s="10"/>
    </row>
    <row r="3533">
      <c r="A3533" s="10"/>
      <c r="B3533" s="10"/>
      <c r="C3533" s="10"/>
      <c r="D3533" s="10"/>
      <c r="E3533" s="10"/>
    </row>
    <row r="3534">
      <c r="A3534" s="10"/>
      <c r="B3534" s="10"/>
      <c r="C3534" s="10"/>
      <c r="D3534" s="10"/>
      <c r="E3534" s="10"/>
    </row>
    <row r="3535">
      <c r="A3535" s="10"/>
      <c r="B3535" s="10"/>
      <c r="C3535" s="10"/>
      <c r="D3535" s="10"/>
      <c r="E3535" s="10"/>
    </row>
    <row r="3536">
      <c r="A3536" s="10"/>
      <c r="B3536" s="10"/>
      <c r="C3536" s="10"/>
      <c r="D3536" s="10"/>
      <c r="E3536" s="10"/>
    </row>
    <row r="3537">
      <c r="A3537" s="10"/>
      <c r="B3537" s="10"/>
      <c r="C3537" s="10"/>
      <c r="D3537" s="10"/>
      <c r="E3537" s="10"/>
    </row>
    <row r="3538">
      <c r="A3538" s="10"/>
      <c r="B3538" s="10"/>
      <c r="C3538" s="10"/>
      <c r="D3538" s="10"/>
      <c r="E3538" s="10"/>
    </row>
    <row r="3539">
      <c r="A3539" s="10"/>
      <c r="B3539" s="10"/>
      <c r="C3539" s="10"/>
      <c r="D3539" s="10"/>
      <c r="E3539" s="10"/>
    </row>
    <row r="3540">
      <c r="A3540" s="10"/>
      <c r="B3540" s="10"/>
      <c r="C3540" s="10"/>
      <c r="D3540" s="10"/>
      <c r="E3540" s="10"/>
    </row>
    <row r="3541">
      <c r="A3541" s="10"/>
      <c r="B3541" s="10"/>
      <c r="C3541" s="10"/>
      <c r="D3541" s="10"/>
      <c r="E3541" s="10"/>
    </row>
    <row r="3542">
      <c r="A3542" s="10"/>
      <c r="B3542" s="10"/>
      <c r="C3542" s="10"/>
      <c r="D3542" s="10"/>
      <c r="E3542" s="10"/>
    </row>
    <row r="3543">
      <c r="A3543" s="10"/>
      <c r="B3543" s="10"/>
      <c r="C3543" s="10"/>
      <c r="D3543" s="10"/>
      <c r="E3543" s="10"/>
    </row>
    <row r="3544">
      <c r="A3544" s="10"/>
      <c r="B3544" s="10"/>
      <c r="C3544" s="10"/>
      <c r="D3544" s="10"/>
      <c r="E3544" s="10"/>
    </row>
    <row r="3545">
      <c r="A3545" s="10"/>
      <c r="B3545" s="10"/>
      <c r="C3545" s="10"/>
      <c r="D3545" s="10"/>
      <c r="E3545" s="10"/>
    </row>
    <row r="3546">
      <c r="A3546" s="10"/>
      <c r="B3546" s="10"/>
      <c r="C3546" s="10"/>
      <c r="D3546" s="10"/>
      <c r="E3546" s="10"/>
    </row>
    <row r="3547">
      <c r="A3547" s="10"/>
      <c r="B3547" s="10"/>
      <c r="C3547" s="10"/>
      <c r="D3547" s="10"/>
      <c r="E3547" s="10"/>
    </row>
    <row r="3548">
      <c r="A3548" s="10"/>
      <c r="B3548" s="10"/>
      <c r="C3548" s="10"/>
      <c r="D3548" s="10"/>
      <c r="E3548" s="10"/>
    </row>
    <row r="3549">
      <c r="A3549" s="10"/>
      <c r="B3549" s="10"/>
      <c r="C3549" s="10"/>
      <c r="D3549" s="10"/>
      <c r="E3549" s="10"/>
    </row>
    <row r="3550">
      <c r="A3550" s="10"/>
      <c r="B3550" s="10"/>
      <c r="C3550" s="10"/>
      <c r="D3550" s="10"/>
      <c r="E3550" s="10"/>
    </row>
    <row r="3551">
      <c r="A3551" s="10"/>
      <c r="B3551" s="10"/>
      <c r="C3551" s="10"/>
      <c r="D3551" s="10"/>
      <c r="E3551" s="10"/>
    </row>
    <row r="3552">
      <c r="A3552" s="10"/>
      <c r="B3552" s="10"/>
      <c r="C3552" s="10"/>
      <c r="D3552" s="10"/>
      <c r="E3552" s="10"/>
    </row>
    <row r="3553">
      <c r="A3553" s="10"/>
      <c r="B3553" s="10"/>
      <c r="C3553" s="10"/>
      <c r="D3553" s="10"/>
      <c r="E3553" s="10"/>
    </row>
    <row r="3554">
      <c r="A3554" s="10"/>
      <c r="B3554" s="10"/>
      <c r="C3554" s="10"/>
      <c r="D3554" s="10"/>
      <c r="E3554" s="10"/>
    </row>
    <row r="3555">
      <c r="A3555" s="10"/>
      <c r="B3555" s="10"/>
      <c r="C3555" s="10"/>
      <c r="D3555" s="10"/>
      <c r="E3555" s="10"/>
    </row>
    <row r="3556">
      <c r="A3556" s="10"/>
      <c r="B3556" s="10"/>
      <c r="C3556" s="10"/>
      <c r="D3556" s="10"/>
      <c r="E3556" s="10"/>
    </row>
    <row r="3557">
      <c r="A3557" s="10"/>
      <c r="B3557" s="10"/>
      <c r="C3557" s="10"/>
      <c r="D3557" s="10"/>
      <c r="E3557" s="10"/>
    </row>
    <row r="3558">
      <c r="A3558" s="10"/>
      <c r="B3558" s="10"/>
      <c r="C3558" s="10"/>
      <c r="D3558" s="10"/>
      <c r="E3558" s="10"/>
    </row>
    <row r="3559">
      <c r="A3559" s="10"/>
      <c r="B3559" s="10"/>
      <c r="C3559" s="10"/>
      <c r="D3559" s="10"/>
      <c r="E3559" s="10"/>
    </row>
    <row r="3560">
      <c r="A3560" s="10"/>
      <c r="B3560" s="10"/>
      <c r="C3560" s="10"/>
      <c r="D3560" s="10"/>
      <c r="E3560" s="10"/>
    </row>
    <row r="3561">
      <c r="A3561" s="10"/>
      <c r="B3561" s="10"/>
      <c r="C3561" s="10"/>
      <c r="D3561" s="10"/>
      <c r="E3561" s="10"/>
    </row>
    <row r="3562">
      <c r="A3562" s="10"/>
      <c r="B3562" s="10"/>
      <c r="C3562" s="10"/>
      <c r="D3562" s="10"/>
      <c r="E3562" s="10"/>
    </row>
    <row r="3563">
      <c r="A3563" s="10"/>
      <c r="B3563" s="10"/>
      <c r="C3563" s="10"/>
      <c r="D3563" s="10"/>
      <c r="E3563" s="10"/>
    </row>
    <row r="3564">
      <c r="A3564" s="10"/>
      <c r="B3564" s="10"/>
      <c r="C3564" s="10"/>
      <c r="D3564" s="10"/>
      <c r="E3564" s="10"/>
    </row>
    <row r="3565">
      <c r="A3565" s="10"/>
      <c r="B3565" s="10"/>
      <c r="C3565" s="10"/>
      <c r="D3565" s="10"/>
      <c r="E3565" s="10"/>
    </row>
    <row r="3566">
      <c r="A3566" s="10"/>
      <c r="B3566" s="10"/>
      <c r="C3566" s="10"/>
      <c r="D3566" s="10"/>
      <c r="E3566" s="10"/>
    </row>
    <row r="3567">
      <c r="A3567" s="10"/>
      <c r="B3567" s="10"/>
      <c r="C3567" s="10"/>
      <c r="D3567" s="10"/>
      <c r="E3567" s="10"/>
    </row>
    <row r="3568">
      <c r="A3568" s="10"/>
      <c r="B3568" s="10"/>
      <c r="C3568" s="10"/>
      <c r="D3568" s="10"/>
      <c r="E3568" s="10"/>
    </row>
    <row r="3569">
      <c r="A3569" s="10"/>
      <c r="B3569" s="10"/>
      <c r="C3569" s="10"/>
      <c r="D3569" s="10"/>
      <c r="E3569" s="10"/>
    </row>
    <row r="3570">
      <c r="A3570" s="10"/>
      <c r="B3570" s="10"/>
      <c r="C3570" s="10"/>
      <c r="D3570" s="10"/>
      <c r="E3570" s="10"/>
    </row>
    <row r="3571">
      <c r="A3571" s="10"/>
      <c r="B3571" s="10"/>
      <c r="C3571" s="10"/>
      <c r="D3571" s="10"/>
      <c r="E3571" s="10"/>
    </row>
    <row r="3572">
      <c r="A3572" s="10"/>
      <c r="B3572" s="10"/>
      <c r="C3572" s="10"/>
      <c r="D3572" s="10"/>
      <c r="E3572" s="10"/>
    </row>
    <row r="3573">
      <c r="A3573" s="10"/>
      <c r="B3573" s="10"/>
      <c r="C3573" s="10"/>
      <c r="D3573" s="10"/>
      <c r="E3573" s="10"/>
    </row>
    <row r="3574">
      <c r="A3574" s="10"/>
      <c r="B3574" s="10"/>
      <c r="C3574" s="10"/>
      <c r="D3574" s="10"/>
      <c r="E3574" s="10"/>
    </row>
    <row r="3575">
      <c r="A3575" s="10"/>
      <c r="B3575" s="10"/>
      <c r="C3575" s="10"/>
      <c r="D3575" s="10"/>
      <c r="E3575" s="10"/>
    </row>
    <row r="3576">
      <c r="A3576" s="10"/>
      <c r="B3576" s="10"/>
      <c r="C3576" s="10"/>
      <c r="D3576" s="10"/>
      <c r="E3576" s="10"/>
    </row>
    <row r="3577">
      <c r="A3577" s="10"/>
      <c r="B3577" s="10"/>
      <c r="C3577" s="10"/>
      <c r="D3577" s="10"/>
      <c r="E3577" s="10"/>
    </row>
    <row r="3578">
      <c r="A3578" s="10"/>
      <c r="B3578" s="10"/>
      <c r="C3578" s="10"/>
      <c r="D3578" s="10"/>
      <c r="E3578" s="10"/>
    </row>
    <row r="3579">
      <c r="A3579" s="10"/>
      <c r="B3579" s="10"/>
      <c r="C3579" s="10"/>
      <c r="D3579" s="10"/>
      <c r="E3579" s="10"/>
    </row>
    <row r="3580">
      <c r="A3580" s="10"/>
      <c r="B3580" s="10"/>
      <c r="C3580" s="10"/>
      <c r="D3580" s="10"/>
      <c r="E3580" s="10"/>
    </row>
    <row r="3581">
      <c r="A3581" s="10"/>
      <c r="B3581" s="10"/>
      <c r="C3581" s="10"/>
      <c r="D3581" s="10"/>
      <c r="E3581" s="10"/>
    </row>
    <row r="3582">
      <c r="A3582" s="10"/>
      <c r="B3582" s="10"/>
      <c r="C3582" s="10"/>
      <c r="D3582" s="10"/>
      <c r="E3582" s="10"/>
    </row>
    <row r="3583">
      <c r="A3583" s="10"/>
      <c r="B3583" s="10"/>
      <c r="C3583" s="10"/>
      <c r="D3583" s="10"/>
      <c r="E3583" s="10"/>
    </row>
    <row r="3584">
      <c r="A3584" s="10"/>
      <c r="B3584" s="10"/>
      <c r="C3584" s="10"/>
      <c r="D3584" s="10"/>
      <c r="E3584" s="10"/>
    </row>
    <row r="3585">
      <c r="A3585" s="10"/>
      <c r="B3585" s="10"/>
      <c r="C3585" s="10"/>
      <c r="D3585" s="10"/>
      <c r="E3585" s="10"/>
    </row>
    <row r="3586">
      <c r="A3586" s="10"/>
      <c r="B3586" s="10"/>
      <c r="C3586" s="10"/>
      <c r="D3586" s="10"/>
      <c r="E3586" s="10"/>
    </row>
    <row r="3587">
      <c r="A3587" s="10"/>
      <c r="B3587" s="10"/>
      <c r="C3587" s="10"/>
      <c r="D3587" s="10"/>
      <c r="E3587" s="10"/>
    </row>
    <row r="3588">
      <c r="A3588" s="10"/>
      <c r="B3588" s="10"/>
      <c r="C3588" s="10"/>
      <c r="D3588" s="10"/>
      <c r="E3588" s="10"/>
    </row>
    <row r="3589">
      <c r="A3589" s="10"/>
      <c r="B3589" s="10"/>
      <c r="C3589" s="10"/>
      <c r="D3589" s="10"/>
      <c r="E3589" s="10"/>
    </row>
    <row r="3590">
      <c r="A3590" s="10"/>
      <c r="B3590" s="10"/>
      <c r="C3590" s="10"/>
      <c r="D3590" s="10"/>
      <c r="E3590" s="10"/>
    </row>
    <row r="3591">
      <c r="A3591" s="10"/>
      <c r="B3591" s="10"/>
      <c r="C3591" s="10"/>
      <c r="D3591" s="10"/>
      <c r="E3591" s="10"/>
    </row>
    <row r="3592">
      <c r="A3592" s="10"/>
      <c r="B3592" s="10"/>
      <c r="C3592" s="10"/>
      <c r="D3592" s="10"/>
      <c r="E3592" s="10"/>
    </row>
    <row r="3593">
      <c r="A3593" s="10"/>
      <c r="B3593" s="10"/>
      <c r="C3593" s="10"/>
      <c r="D3593" s="10"/>
      <c r="E3593" s="10"/>
    </row>
    <row r="3594">
      <c r="A3594" s="10"/>
      <c r="B3594" s="10"/>
      <c r="C3594" s="10"/>
      <c r="D3594" s="10"/>
      <c r="E3594" s="10"/>
    </row>
    <row r="3595">
      <c r="A3595" s="10"/>
      <c r="B3595" s="10"/>
      <c r="C3595" s="10"/>
      <c r="D3595" s="10"/>
      <c r="E3595" s="10"/>
    </row>
    <row r="3596">
      <c r="A3596" s="10"/>
      <c r="B3596" s="10"/>
      <c r="C3596" s="10"/>
      <c r="D3596" s="10"/>
      <c r="E3596" s="10"/>
    </row>
    <row r="3597">
      <c r="A3597" s="10"/>
      <c r="B3597" s="10"/>
      <c r="C3597" s="10"/>
      <c r="D3597" s="10"/>
      <c r="E3597" s="10"/>
    </row>
    <row r="3598">
      <c r="A3598" s="10"/>
      <c r="B3598" s="10"/>
      <c r="C3598" s="10"/>
      <c r="D3598" s="10"/>
      <c r="E3598" s="10"/>
    </row>
    <row r="3599">
      <c r="A3599" s="10"/>
      <c r="B3599" s="10"/>
      <c r="C3599" s="10"/>
      <c r="D3599" s="10"/>
      <c r="E3599" s="10"/>
    </row>
    <row r="3600">
      <c r="A3600" s="10"/>
      <c r="B3600" s="10"/>
      <c r="C3600" s="10"/>
      <c r="D3600" s="10"/>
      <c r="E3600" s="10"/>
    </row>
    <row r="3601">
      <c r="A3601" s="10"/>
      <c r="B3601" s="10"/>
      <c r="C3601" s="10"/>
      <c r="D3601" s="10"/>
      <c r="E3601" s="10"/>
    </row>
    <row r="3602">
      <c r="A3602" s="10"/>
      <c r="B3602" s="10"/>
      <c r="C3602" s="10"/>
      <c r="D3602" s="10"/>
      <c r="E3602" s="10"/>
    </row>
    <row r="3603">
      <c r="A3603" s="10"/>
      <c r="B3603" s="10"/>
      <c r="C3603" s="10"/>
      <c r="D3603" s="10"/>
      <c r="E3603" s="10"/>
    </row>
    <row r="3604">
      <c r="A3604" s="10"/>
      <c r="B3604" s="10"/>
      <c r="C3604" s="10"/>
      <c r="D3604" s="10"/>
      <c r="E3604" s="10"/>
    </row>
    <row r="3605">
      <c r="A3605" s="10"/>
      <c r="B3605" s="10"/>
      <c r="C3605" s="10"/>
      <c r="D3605" s="10"/>
      <c r="E3605" s="10"/>
    </row>
    <row r="3606">
      <c r="A3606" s="10"/>
      <c r="B3606" s="10"/>
      <c r="C3606" s="10"/>
      <c r="D3606" s="10"/>
      <c r="E3606" s="10"/>
    </row>
    <row r="3607">
      <c r="A3607" s="10"/>
      <c r="B3607" s="10"/>
      <c r="C3607" s="10"/>
      <c r="D3607" s="10"/>
      <c r="E3607" s="10"/>
    </row>
    <row r="3608">
      <c r="A3608" s="10"/>
      <c r="B3608" s="10"/>
      <c r="C3608" s="10"/>
      <c r="D3608" s="10"/>
      <c r="E3608" s="10"/>
    </row>
    <row r="3609">
      <c r="A3609" s="10"/>
      <c r="B3609" s="10"/>
      <c r="C3609" s="10"/>
      <c r="D3609" s="10"/>
      <c r="E3609" s="10"/>
    </row>
    <row r="3610">
      <c r="A3610" s="10"/>
      <c r="B3610" s="10"/>
      <c r="C3610" s="10"/>
      <c r="D3610" s="10"/>
      <c r="E3610" s="10"/>
    </row>
    <row r="3611">
      <c r="A3611" s="10"/>
      <c r="B3611" s="10"/>
      <c r="C3611" s="10"/>
      <c r="D3611" s="10"/>
      <c r="E3611" s="10"/>
    </row>
    <row r="3612">
      <c r="A3612" s="10"/>
      <c r="B3612" s="10"/>
      <c r="C3612" s="10"/>
      <c r="D3612" s="10"/>
      <c r="E3612" s="10"/>
    </row>
    <row r="3613">
      <c r="A3613" s="10"/>
      <c r="B3613" s="10"/>
      <c r="C3613" s="10"/>
      <c r="D3613" s="10"/>
      <c r="E3613" s="10"/>
    </row>
    <row r="3614">
      <c r="A3614" s="10"/>
      <c r="B3614" s="10"/>
      <c r="C3614" s="10"/>
      <c r="D3614" s="10"/>
      <c r="E3614" s="10"/>
    </row>
    <row r="3615">
      <c r="A3615" s="10"/>
      <c r="B3615" s="10"/>
      <c r="C3615" s="10"/>
      <c r="D3615" s="10"/>
      <c r="E3615" s="10"/>
    </row>
    <row r="3616">
      <c r="A3616" s="10"/>
      <c r="B3616" s="10"/>
      <c r="C3616" s="10"/>
      <c r="D3616" s="10"/>
      <c r="E3616" s="10"/>
    </row>
    <row r="3617">
      <c r="A3617" s="10"/>
      <c r="B3617" s="10"/>
      <c r="C3617" s="10"/>
      <c r="D3617" s="10"/>
      <c r="E3617" s="10"/>
    </row>
    <row r="3618">
      <c r="A3618" s="10"/>
      <c r="B3618" s="10"/>
      <c r="C3618" s="10"/>
      <c r="D3618" s="10"/>
      <c r="E3618" s="10"/>
    </row>
    <row r="3619">
      <c r="A3619" s="10"/>
      <c r="B3619" s="10"/>
      <c r="C3619" s="10"/>
      <c r="D3619" s="10"/>
      <c r="E3619" s="10"/>
    </row>
    <row r="3620">
      <c r="A3620" s="10"/>
      <c r="B3620" s="10"/>
      <c r="C3620" s="10"/>
      <c r="D3620" s="10"/>
      <c r="E3620" s="10"/>
    </row>
    <row r="3621">
      <c r="A3621" s="10"/>
      <c r="B3621" s="10"/>
      <c r="C3621" s="10"/>
      <c r="D3621" s="10"/>
      <c r="E3621" s="10"/>
    </row>
    <row r="3622">
      <c r="A3622" s="10"/>
      <c r="B3622" s="10"/>
      <c r="C3622" s="10"/>
      <c r="D3622" s="10"/>
      <c r="E3622" s="10"/>
    </row>
    <row r="3623">
      <c r="A3623" s="10"/>
      <c r="B3623" s="10"/>
      <c r="C3623" s="10"/>
      <c r="D3623" s="10"/>
      <c r="E3623" s="10"/>
    </row>
    <row r="3624">
      <c r="A3624" s="10"/>
      <c r="B3624" s="10"/>
      <c r="C3624" s="10"/>
      <c r="D3624" s="10"/>
      <c r="E3624" s="10"/>
    </row>
    <row r="3625">
      <c r="A3625" s="10"/>
      <c r="B3625" s="10"/>
      <c r="C3625" s="10"/>
      <c r="D3625" s="10"/>
      <c r="E3625" s="10"/>
    </row>
    <row r="3626">
      <c r="A3626" s="10"/>
      <c r="B3626" s="10"/>
      <c r="C3626" s="10"/>
      <c r="D3626" s="10"/>
      <c r="E3626" s="10"/>
    </row>
    <row r="3627">
      <c r="A3627" s="10"/>
      <c r="B3627" s="10"/>
      <c r="C3627" s="10"/>
      <c r="D3627" s="10"/>
      <c r="E3627" s="10"/>
    </row>
    <row r="3628">
      <c r="A3628" s="10"/>
      <c r="B3628" s="10"/>
      <c r="C3628" s="10"/>
      <c r="D3628" s="10"/>
      <c r="E3628" s="10"/>
    </row>
    <row r="3629">
      <c r="A3629" s="10"/>
      <c r="B3629" s="10"/>
      <c r="C3629" s="10"/>
      <c r="D3629" s="10"/>
      <c r="E3629" s="10"/>
    </row>
    <row r="3630">
      <c r="A3630" s="10"/>
      <c r="B3630" s="10"/>
      <c r="C3630" s="10"/>
      <c r="D3630" s="10"/>
      <c r="E3630" s="10"/>
    </row>
    <row r="3631">
      <c r="A3631" s="10"/>
      <c r="B3631" s="10"/>
      <c r="C3631" s="10"/>
      <c r="D3631" s="10"/>
      <c r="E3631" s="10"/>
    </row>
    <row r="3632">
      <c r="A3632" s="10"/>
      <c r="B3632" s="10"/>
      <c r="C3632" s="10"/>
      <c r="D3632" s="10"/>
      <c r="E3632" s="10"/>
    </row>
    <row r="3633">
      <c r="A3633" s="10"/>
      <c r="B3633" s="10"/>
      <c r="C3633" s="10"/>
      <c r="D3633" s="10"/>
      <c r="E3633" s="10"/>
    </row>
    <row r="3634">
      <c r="A3634" s="10"/>
      <c r="B3634" s="10"/>
      <c r="C3634" s="10"/>
      <c r="D3634" s="10"/>
      <c r="E3634" s="10"/>
    </row>
    <row r="3635">
      <c r="A3635" s="10"/>
      <c r="B3635" s="10"/>
      <c r="C3635" s="10"/>
      <c r="D3635" s="10"/>
      <c r="E3635" s="10"/>
    </row>
    <row r="3636">
      <c r="A3636" s="10"/>
      <c r="B3636" s="10"/>
      <c r="C3636" s="10"/>
      <c r="D3636" s="10"/>
      <c r="E3636" s="10"/>
    </row>
    <row r="3637">
      <c r="A3637" s="10"/>
      <c r="B3637" s="10"/>
      <c r="C3637" s="10"/>
      <c r="D3637" s="10"/>
      <c r="E3637" s="10"/>
    </row>
    <row r="3638">
      <c r="A3638" s="10"/>
      <c r="B3638" s="10"/>
      <c r="C3638" s="10"/>
      <c r="D3638" s="10"/>
      <c r="E3638" s="10"/>
    </row>
    <row r="3639">
      <c r="A3639" s="10"/>
      <c r="B3639" s="10"/>
      <c r="C3639" s="10"/>
      <c r="D3639" s="10"/>
      <c r="E3639" s="10"/>
    </row>
    <row r="3640">
      <c r="A3640" s="10"/>
      <c r="B3640" s="10"/>
      <c r="C3640" s="10"/>
      <c r="D3640" s="10"/>
      <c r="E3640" s="10"/>
    </row>
    <row r="3641">
      <c r="A3641" s="10"/>
      <c r="B3641" s="10"/>
      <c r="C3641" s="10"/>
      <c r="D3641" s="10"/>
      <c r="E3641" s="10"/>
    </row>
    <row r="3642">
      <c r="A3642" s="10"/>
      <c r="B3642" s="10"/>
      <c r="C3642" s="10"/>
      <c r="D3642" s="10"/>
      <c r="E3642" s="10"/>
    </row>
    <row r="3643">
      <c r="A3643" s="10"/>
      <c r="B3643" s="10"/>
      <c r="C3643" s="10"/>
      <c r="D3643" s="10"/>
      <c r="E3643" s="10"/>
    </row>
    <row r="3644">
      <c r="A3644" s="10"/>
      <c r="B3644" s="10"/>
      <c r="C3644" s="10"/>
      <c r="D3644" s="10"/>
      <c r="E3644" s="10"/>
    </row>
    <row r="3645">
      <c r="A3645" s="10"/>
      <c r="B3645" s="10"/>
      <c r="C3645" s="10"/>
      <c r="D3645" s="10"/>
      <c r="E3645" s="10"/>
    </row>
    <row r="3646">
      <c r="A3646" s="10"/>
      <c r="B3646" s="10"/>
      <c r="C3646" s="10"/>
      <c r="D3646" s="10"/>
      <c r="E3646" s="10"/>
    </row>
    <row r="3647">
      <c r="A3647" s="10"/>
      <c r="B3647" s="10"/>
      <c r="C3647" s="10"/>
      <c r="D3647" s="10"/>
      <c r="E3647" s="10"/>
    </row>
    <row r="3648">
      <c r="A3648" s="10"/>
      <c r="B3648" s="10"/>
      <c r="C3648" s="10"/>
      <c r="D3648" s="10"/>
      <c r="E3648" s="10"/>
    </row>
    <row r="3649">
      <c r="A3649" s="10"/>
      <c r="B3649" s="10"/>
      <c r="C3649" s="10"/>
      <c r="D3649" s="10"/>
      <c r="E3649" s="10"/>
    </row>
    <row r="3650">
      <c r="A3650" s="10"/>
      <c r="B3650" s="10"/>
      <c r="C3650" s="10"/>
      <c r="D3650" s="10"/>
      <c r="E3650" s="10"/>
    </row>
    <row r="3651">
      <c r="A3651" s="10"/>
      <c r="B3651" s="10"/>
      <c r="C3651" s="10"/>
      <c r="D3651" s="10"/>
      <c r="E3651" s="10"/>
    </row>
    <row r="3652">
      <c r="A3652" s="10"/>
      <c r="B3652" s="10"/>
      <c r="C3652" s="10"/>
      <c r="D3652" s="10"/>
      <c r="E3652" s="10"/>
    </row>
    <row r="3653">
      <c r="A3653" s="10"/>
      <c r="B3653" s="10"/>
      <c r="C3653" s="10"/>
      <c r="D3653" s="10"/>
      <c r="E3653" s="10"/>
    </row>
    <row r="3654">
      <c r="A3654" s="10"/>
      <c r="B3654" s="10"/>
      <c r="C3654" s="10"/>
      <c r="D3654" s="10"/>
      <c r="E3654" s="10"/>
    </row>
    <row r="3655">
      <c r="A3655" s="10"/>
      <c r="B3655" s="10"/>
      <c r="C3655" s="10"/>
      <c r="D3655" s="10"/>
      <c r="E3655" s="10"/>
    </row>
    <row r="3656">
      <c r="A3656" s="10"/>
      <c r="B3656" s="10"/>
      <c r="C3656" s="10"/>
      <c r="D3656" s="10"/>
      <c r="E3656" s="10"/>
    </row>
  </sheetData>
  <drawing r:id="rId1"/>
</worksheet>
</file>