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<sst xmlns="http://schemas.openxmlformats.org/spreadsheetml/2006/main" count="72869" uniqueCount="8988">
  <si>
    <t>Country, province from</t>
  </si>
  <si>
    <t>Country, province to</t>
  </si>
  <si>
    <t>Route</t>
  </si>
  <si>
    <t>Link</t>
  </si>
  <si>
    <t>Class</t>
  </si>
  <si>
    <t>Albania, Shkoder</t>
  </si>
  <si>
    <t>Albania, Theth</t>
  </si>
  <si>
    <t>Travel North Albania Office - Theth National Park</t>
  </si>
  <si>
    <t>van | Minivan</t>
  </si>
  <si>
    <t>Albania, Valbone</t>
  </si>
  <si>
    <t>Travel North Albania Office - Camping Demushi Valbone</t>
  </si>
  <si>
    <t>van | Minivan + Ferry</t>
  </si>
  <si>
    <t>Theth National Park - Travel North Albania Office</t>
  </si>
  <si>
    <t>Camping Demushi Valbone - Travel North Albania Office</t>
  </si>
  <si>
    <t>Armenia, Abovyan</t>
  </si>
  <si>
    <t>Armenia, Tavush</t>
  </si>
  <si>
    <t>Abovyan Shangri La Casino - Bagratashen Sadakhlo Border</t>
  </si>
  <si>
    <t>bus | Minivan</t>
  </si>
  <si>
    <t>Georgia, Marneuli</t>
  </si>
  <si>
    <t>Abovyan Shangri La Casino - Marneuli</t>
  </si>
  <si>
    <t>Georgia, Tbilisi</t>
  </si>
  <si>
    <t>Abovyan Shangri La Casino - Avlabari Metro Station</t>
  </si>
  <si>
    <t>Abovyan Shangri La Casino - Ortachala Bus Station</t>
  </si>
  <si>
    <t>Armenia, Dilijan</t>
  </si>
  <si>
    <t>Dilijan - Bagratashen Sadakhlo Border</t>
  </si>
  <si>
    <t>Dilijan - Marneuli</t>
  </si>
  <si>
    <t>Dilijan - Avlabari Metro Station</t>
  </si>
  <si>
    <t>Dilijan - Ortachala Bus Station</t>
  </si>
  <si>
    <t>Armenia, Ijevan</t>
  </si>
  <si>
    <t>Ijevan - Bagratashen Sadakhlo Border</t>
  </si>
  <si>
    <t>Ijevan - Marneuli</t>
  </si>
  <si>
    <t>Ijevan - Avlabari Metro Station</t>
  </si>
  <si>
    <t>Ijevan - Ortachala Bus Station</t>
  </si>
  <si>
    <t>Armenia, Sevan</t>
  </si>
  <si>
    <t>Sevan - Bagratashen Sadakhlo Border</t>
  </si>
  <si>
    <t>Sevan - Marneuli</t>
  </si>
  <si>
    <t>Sevan - Avlabari Metro Station</t>
  </si>
  <si>
    <t>Sevan - Ortachala Bus Station</t>
  </si>
  <si>
    <t>Noyemberyan - Bagratashen Sadakhlo Border</t>
  </si>
  <si>
    <t>Noyemberyan - Marneuli</t>
  </si>
  <si>
    <t>Noyemberyan - Avlabari Metro Station</t>
  </si>
  <si>
    <t>Noyemberyan - Ortachala Bus Station</t>
  </si>
  <si>
    <t>Armenia, Yerevan</t>
  </si>
  <si>
    <t>Yerevan Hayreniq Tour Office - Bagratashen Sadakhlo Border</t>
  </si>
  <si>
    <t>Yerevan Hayreniq Tour Office - Marneuli</t>
  </si>
  <si>
    <t>Yerevan Hayreniq Tour Office - Avlabari Metro Station</t>
  </si>
  <si>
    <t>Yerevan Hayreniq Tour Office - Ortachala Bus Station</t>
  </si>
  <si>
    <t>Australia, Adelaide</t>
  </si>
  <si>
    <t>Australia, Perth</t>
  </si>
  <si>
    <t>Adelaide Parklands Terminal - East Perth Terminal</t>
  </si>
  <si>
    <t>train | Gold Premium Twin</t>
  </si>
  <si>
    <t>train | Gold Single</t>
  </si>
  <si>
    <t>train | Gold Twin</t>
  </si>
  <si>
    <t>train | Platinum</t>
  </si>
  <si>
    <t>Australia, Sydney</t>
  </si>
  <si>
    <t>Adelaide Parklands Terminal - Sydney Central Station</t>
  </si>
  <si>
    <t>Australia, Agnes Water</t>
  </si>
  <si>
    <t>Australia, Mackay Queensland</t>
  </si>
  <si>
    <t>Agnes Water - Mackay</t>
  </si>
  <si>
    <t>bus</t>
  </si>
  <si>
    <t>Agnes Water - Mackay Queensland</t>
  </si>
  <si>
    <t>Australia, Airlie Beach</t>
  </si>
  <si>
    <t>Australia, Daydream Island</t>
  </si>
  <si>
    <t>Port of Airlie - Daydream Island</t>
  </si>
  <si>
    <t>ferry | Standard Seat</t>
  </si>
  <si>
    <t>Australia, Hamilton Island</t>
  </si>
  <si>
    <t>Port of Airlie - Hamilton Island Airport</t>
  </si>
  <si>
    <t>Port of Airlie - Hamilton Island Marina</t>
  </si>
  <si>
    <t>Australia, Albury</t>
  </si>
  <si>
    <t>Australia, Mascot</t>
  </si>
  <si>
    <t>Albury - Mascot</t>
  </si>
  <si>
    <t>Australia, Tempe</t>
  </si>
  <si>
    <t>Albury - Tempe</t>
  </si>
  <si>
    <t>Australia, Wolli Creek</t>
  </si>
  <si>
    <t>Albury - Wolli Creek</t>
  </si>
  <si>
    <t>Australia, Alice Springs</t>
  </si>
  <si>
    <t>Australia, Ghan</t>
  </si>
  <si>
    <t>Alice Springs - Erldunda</t>
  </si>
  <si>
    <t>Alice Springs - Ghan</t>
  </si>
  <si>
    <t>Australia, Macdonnell Shire</t>
  </si>
  <si>
    <t>Alice Springs - Macdonnell Shire</t>
  </si>
  <si>
    <t>Australia, Ballina</t>
  </si>
  <si>
    <t>Australia, Byron Bay</t>
  </si>
  <si>
    <t>Ballina Airport - Byron Bay</t>
  </si>
  <si>
    <t>bus | Shuttle</t>
  </si>
  <si>
    <t>Australia, Brisbane</t>
  </si>
  <si>
    <t>Australia, Brisbane Airport</t>
  </si>
  <si>
    <t>Brisbane Roma Street - Brisbane Domestic Airport</t>
  </si>
  <si>
    <t>train | Airtrain</t>
  </si>
  <si>
    <t>Brisbane Roma Street - Brisbane International Airport</t>
  </si>
  <si>
    <t>Brisbane Domestic Airport - Brisbane Bowen Hills</t>
  </si>
  <si>
    <t>Brisbane Domestic Airport - Brisbane Roma Street</t>
  </si>
  <si>
    <t>Brisbane International Airport - Brisbane Bowen Hills</t>
  </si>
  <si>
    <t>Brisbane International Airport - Brisbane Roma Street</t>
  </si>
  <si>
    <t>Brisbane Airport - Byron Bay</t>
  </si>
  <si>
    <t>Byron Bay - Ballina Airport</t>
  </si>
  <si>
    <t>Byron Bay - Brisbane Airport</t>
  </si>
  <si>
    <t>Australia, Canterbury NSW</t>
  </si>
  <si>
    <t>Byron Bay - Canterbury Nsw</t>
  </si>
  <si>
    <t>Australia, Clarence Valley</t>
  </si>
  <si>
    <t>Byron Bay - Clarence Valley</t>
  </si>
  <si>
    <t>Australia, Coolangatta</t>
  </si>
  <si>
    <t>Byron Bay - Coolangatta</t>
  </si>
  <si>
    <t>Australia, Erskineville</t>
  </si>
  <si>
    <t>Byron Bay - Erskineville</t>
  </si>
  <si>
    <t>Australia, Hastings Shire</t>
  </si>
  <si>
    <t>Byron Bay - Hastings Shire</t>
  </si>
  <si>
    <t>Australia, Iluka</t>
  </si>
  <si>
    <t>Byron Bay - Iluka</t>
  </si>
  <si>
    <t>Australia, Maclean</t>
  </si>
  <si>
    <t>Byron Bay - Maclean</t>
  </si>
  <si>
    <t>Australia, Mid Coast</t>
  </si>
  <si>
    <t>Byron Bay - Mid Coast</t>
  </si>
  <si>
    <t>Australia, Newcastle NSW</t>
  </si>
  <si>
    <t>Byron Bay - Newcastle Nsw</t>
  </si>
  <si>
    <t>Australia, Potts Point NSW</t>
  </si>
  <si>
    <t>Byron Bay - Potts Point Nsw</t>
  </si>
  <si>
    <t>Australia, Southport Gold Coast</t>
  </si>
  <si>
    <t>Byron Bay - Southport Gold Coast</t>
  </si>
  <si>
    <t>Australia, Surfers Paradise</t>
  </si>
  <si>
    <t>Byron Bay - Surfers Paradise</t>
  </si>
  <si>
    <t>Australia, West Ballina</t>
  </si>
  <si>
    <t>Byron Bay - West Ballina</t>
  </si>
  <si>
    <t>Australia, Canberra</t>
  </si>
  <si>
    <t>Canberra - Erskineville</t>
  </si>
  <si>
    <t>Canberra - Mascot</t>
  </si>
  <si>
    <t>Canberra - Potts Point Nsw</t>
  </si>
  <si>
    <t>Canberra - Tempe</t>
  </si>
  <si>
    <t>Canberra - Wolli Creek</t>
  </si>
  <si>
    <t>Canterbury Nsw - Albury</t>
  </si>
  <si>
    <t>Canterbury Nsw - Ballina</t>
  </si>
  <si>
    <t>Canterbury Nsw - Byron Bay</t>
  </si>
  <si>
    <t>Canterbury Nsw - Clarence Valley</t>
  </si>
  <si>
    <t>Australia, Grafton</t>
  </si>
  <si>
    <t>Canterbury Nsw - Grafton</t>
  </si>
  <si>
    <t>Canterbury Nsw - Iluka</t>
  </si>
  <si>
    <t>Australia, Kempsey</t>
  </si>
  <si>
    <t>Canterbury Nsw - Kempsey</t>
  </si>
  <si>
    <t>Canterbury Nsw - Maclean</t>
  </si>
  <si>
    <t>Canterbury Nsw - Mid Coast</t>
  </si>
  <si>
    <t>Australia, Nambucca Heads</t>
  </si>
  <si>
    <t>Canterbury Nsw - Nambucca Heads</t>
  </si>
  <si>
    <t>Australia, Port Macquarie</t>
  </si>
  <si>
    <t>Canterbury Nsw - Port Macquarie</t>
  </si>
  <si>
    <t>Australia, Southern Cross</t>
  </si>
  <si>
    <t>Canterbury Nsw - Southern Cross</t>
  </si>
  <si>
    <t>Australia, Taree</t>
  </si>
  <si>
    <t>Canterbury Nsw - Taree</t>
  </si>
  <si>
    <t>Canterbury Nsw - West Ballina</t>
  </si>
  <si>
    <t>Australia, Woolgoolga</t>
  </si>
  <si>
    <t>Canterbury Nsw - Woolgoolga</t>
  </si>
  <si>
    <t>Australia, Yamba</t>
  </si>
  <si>
    <t>Canterbury Nsw - Yamba</t>
  </si>
  <si>
    <t>Indonesia, Bali</t>
  </si>
  <si>
    <t>Canterbury Nsw - Bali</t>
  </si>
  <si>
    <t>avia</t>
  </si>
  <si>
    <t>Indonesia, Canggu</t>
  </si>
  <si>
    <t>Canterbury Nsw - Canggu</t>
  </si>
  <si>
    <t>Indonesia, Denpasar</t>
  </si>
  <si>
    <t>Canterbury Nsw - Denpasar</t>
  </si>
  <si>
    <t>Indonesia, East Bali</t>
  </si>
  <si>
    <t>Canterbury Nsw - East Bali</t>
  </si>
  <si>
    <t>Indonesia, Kintamani</t>
  </si>
  <si>
    <t>Canterbury Nsw - Kintamani</t>
  </si>
  <si>
    <t>Indonesia, Kuta</t>
  </si>
  <si>
    <t>Canterbury Nsw - Kuta</t>
  </si>
  <si>
    <t>Indonesia, Nusa Ceningan</t>
  </si>
  <si>
    <t>Canterbury Nsw - Nusa Ceningan</t>
  </si>
  <si>
    <t>Indonesia, Nusa Penida</t>
  </si>
  <si>
    <t>Canterbury Nsw - Nusa Penida</t>
  </si>
  <si>
    <t>Indonesia, Padang Bai</t>
  </si>
  <si>
    <t>Canterbury Nsw - Padang Bai</t>
  </si>
  <si>
    <t>Indonesia, Sanur</t>
  </si>
  <si>
    <t>Canterbury Nsw - Sanur</t>
  </si>
  <si>
    <t>Indonesia, Singaraja</t>
  </si>
  <si>
    <t>Canterbury Nsw - Singaraja</t>
  </si>
  <si>
    <t>Australia, Carmila</t>
  </si>
  <si>
    <t>Australia, Gladstone</t>
  </si>
  <si>
    <t>Carmila - Gladstone</t>
  </si>
  <si>
    <t>Australia, Rockhampton</t>
  </si>
  <si>
    <t>Carmila - Rockhampton</t>
  </si>
  <si>
    <t>Daydream Island - Port of Airlie</t>
  </si>
  <si>
    <t>Daydream Island - Hamilton Island Airport</t>
  </si>
  <si>
    <t>Daydream Island - Hamilton Island Marina</t>
  </si>
  <si>
    <t>Australia, Proserpine</t>
  </si>
  <si>
    <t>Daydream Island - Shute Harbour</t>
  </si>
  <si>
    <t>Australia, Halls Creek</t>
  </si>
  <si>
    <t>Australia, Top End</t>
  </si>
  <si>
    <t>Halls Creek - Top End</t>
  </si>
  <si>
    <t>Hamilton Island Airport - Port of Airlie</t>
  </si>
  <si>
    <t>Hamilton Island Marina - Port of Airlie</t>
  </si>
  <si>
    <t>Hamilton Island Airport - Daydream Island</t>
  </si>
  <si>
    <t>Hamilton Island Marina - Daydream Island</t>
  </si>
  <si>
    <t>Hamilton Island Marina - Shute Harbour</t>
  </si>
  <si>
    <t>Hastings Shire - Byron Bay</t>
  </si>
  <si>
    <t>Hastings Shire - Newcastle Nsw</t>
  </si>
  <si>
    <t>Mid Coast - Newcastle Nsw</t>
  </si>
  <si>
    <t>Mid Coast - Surfers Paradise</t>
  </si>
  <si>
    <t>Australia, Miles Queensland</t>
  </si>
  <si>
    <t>Australia, Toowoomba</t>
  </si>
  <si>
    <t>Miles Queensland - Toowoomba</t>
  </si>
  <si>
    <t>Miles - Toowoomba</t>
  </si>
  <si>
    <t>Australia, Mooloolaba</t>
  </si>
  <si>
    <t>Mooloolaba - Airlie Beach</t>
  </si>
  <si>
    <t>Mooloolaba - Brisbane Airport</t>
  </si>
  <si>
    <t>Australia, Fraser Coast</t>
  </si>
  <si>
    <t>Mooloolaba - Fraser Coast</t>
  </si>
  <si>
    <t>Australia, Morven Queensland</t>
  </si>
  <si>
    <t>Morven Queensland - Brisbane</t>
  </si>
  <si>
    <t>Nambucca Heads - Byron Bay</t>
  </si>
  <si>
    <t>Nambucca Heads - Surfers Paradise</t>
  </si>
  <si>
    <t>Newcastle Nsw - Ballina</t>
  </si>
  <si>
    <t>Newcastle Nsw - Clarence Valley</t>
  </si>
  <si>
    <t>Australia, Coffs Harbour</t>
  </si>
  <si>
    <t>Newcastle Nsw - Coffs Harbour</t>
  </si>
  <si>
    <t>Newcastle Nsw - Erskineville</t>
  </si>
  <si>
    <t>Newcastle Nsw - Grafton</t>
  </si>
  <si>
    <t>Newcastle Nsw - Hastings Shire</t>
  </si>
  <si>
    <t>Newcastle Nsw - Mid Coast</t>
  </si>
  <si>
    <t>Newcastle Nsw - Port Macquarie</t>
  </si>
  <si>
    <t>Newcastle Nsw - Potts Point Nsw</t>
  </si>
  <si>
    <t>Newcastle Nsw - Sydney</t>
  </si>
  <si>
    <t>Newcastle Nsw - Taree</t>
  </si>
  <si>
    <t>Newcastle Nsw - West Ballina</t>
  </si>
  <si>
    <t>India, Anantapur</t>
  </si>
  <si>
    <t>Newcastle Nsw - Anantapur</t>
  </si>
  <si>
    <t>train</t>
  </si>
  <si>
    <t>India, Bangalore</t>
  </si>
  <si>
    <t>Newcastle Nsw - Bangalore</t>
  </si>
  <si>
    <t>India, Belagavi</t>
  </si>
  <si>
    <t>Newcastle Nsw - Belagavi</t>
  </si>
  <si>
    <t>India, Dharwad</t>
  </si>
  <si>
    <t>Newcastle Nsw - Dharwad</t>
  </si>
  <si>
    <t>India, Harihar</t>
  </si>
  <si>
    <t>Broadmeadow - Harihar</t>
  </si>
  <si>
    <t>Newcastle Nsw - Harihar</t>
  </si>
  <si>
    <t>India, Hindupur</t>
  </si>
  <si>
    <t>Newcastle Nsw - Hindupur</t>
  </si>
  <si>
    <t>India, Hubballi Dharwad</t>
  </si>
  <si>
    <t>Newcastle Nsw - Hubballi Dharwad</t>
  </si>
  <si>
    <t>India, Kalaburagi</t>
  </si>
  <si>
    <t>Newcastle Nsw - Kalaburagi</t>
  </si>
  <si>
    <t>India, Kalyan</t>
  </si>
  <si>
    <t>Newcastle Nsw - Kalyan</t>
  </si>
  <si>
    <t>India, Karnataka</t>
  </si>
  <si>
    <t>Newcastle Nsw - Karnataka</t>
  </si>
  <si>
    <t>India, Puttaparthi</t>
  </si>
  <si>
    <t>Newcastle Nsw - Puttaparthi</t>
  </si>
  <si>
    <t>India, Raichur</t>
  </si>
  <si>
    <t>Newcastle Nsw - Raichur</t>
  </si>
  <si>
    <t>India, Satya Sai P Nilayam</t>
  </si>
  <si>
    <t>Newcastle Nsw - Satya Sai P Nilayam</t>
  </si>
  <si>
    <t>India, Solapur</t>
  </si>
  <si>
    <t>Newcastle Nsw - Solapur</t>
  </si>
  <si>
    <t>India, Tiptur</t>
  </si>
  <si>
    <t>Newcastle Nsw - Tiptur</t>
  </si>
  <si>
    <t>India, Tumakuru</t>
  </si>
  <si>
    <t>Newcastle Nsw - Tumakuru</t>
  </si>
  <si>
    <t>East Perth Terminal - Adelaide Parklands Terminal</t>
  </si>
  <si>
    <t>Australia, Rottnest Island</t>
  </si>
  <si>
    <t>Fremantle B Shed Terminal - Rottnest Island</t>
  </si>
  <si>
    <t>ferry | Ferry</t>
  </si>
  <si>
    <t>North Fremantle Terminal - Rottnest Island</t>
  </si>
  <si>
    <t>Perth Barrack Street - Rottnest Island</t>
  </si>
  <si>
    <t>East Perth Terminal - Sydney Central Station</t>
  </si>
  <si>
    <t>Shute Harbour - Daydream Island</t>
  </si>
  <si>
    <t>Shute Harbour - Hamilton Island Airport</t>
  </si>
  <si>
    <t>Shute Harbour - Hamilton Island Marina</t>
  </si>
  <si>
    <t>Rottnest Island - Fremantle B Shed Terminal</t>
  </si>
  <si>
    <t>Rottnest Island - North Fremantle Terminal</t>
  </si>
  <si>
    <t>Rottnest Island - Perth Barrack Street</t>
  </si>
  <si>
    <t>Southport Gold Coast - Byron Bay</t>
  </si>
  <si>
    <t>Southport Gold Coast - Newcastle Nsw</t>
  </si>
  <si>
    <t>Sydney Central Station - Adelaide Parklands Terminal</t>
  </si>
  <si>
    <t>Sydney - Newcastle Nsw</t>
  </si>
  <si>
    <t>Sydney Central Station - East Perth Terminal</t>
  </si>
  <si>
    <t>Yamba - Newcastle Interchange</t>
  </si>
  <si>
    <t>Yamba - Newcastle Nsw</t>
  </si>
  <si>
    <t>Cambodia, Angkor Wat</t>
  </si>
  <si>
    <t>Cambodia, Oudong</t>
  </si>
  <si>
    <t>Angkor Wat - Oudong</t>
  </si>
  <si>
    <t>Cambodia, Battambang</t>
  </si>
  <si>
    <t>Cambodia, Phnom Penh</t>
  </si>
  <si>
    <t>Battambang Giant Ibis - Phnom Penh Giant Ibis</t>
  </si>
  <si>
    <t>Thailand, Prachuap Khiri Khan</t>
  </si>
  <si>
    <t>Battambang Transfer - Ban Krut</t>
  </si>
  <si>
    <t>charter | Comfort 3pax</t>
  </si>
  <si>
    <t>charter | Luxury SUV 4pax</t>
  </si>
  <si>
    <t>charter | Luxury VIP Van 9pax</t>
  </si>
  <si>
    <t>Cambodia, Kampot</t>
  </si>
  <si>
    <t>Cambodia, Khum Kaoh Sdach</t>
  </si>
  <si>
    <t>Kampot International Tourism Port - Koh Sdach Dara Sakor</t>
  </si>
  <si>
    <t>ferry</t>
  </si>
  <si>
    <t>Cambodia, Koh Rong</t>
  </si>
  <si>
    <t>Kampot International Tourism Port - Koh Rong Island Port</t>
  </si>
  <si>
    <t>Cambodia, Koh Rong Samloem</t>
  </si>
  <si>
    <t>Kampot International Tourism Port - Koh Rong Samloem</t>
  </si>
  <si>
    <t>Cambodia, Takeo</t>
  </si>
  <si>
    <t>Kampot - Tramkhnar</t>
  </si>
  <si>
    <t>Khum Kaoh Sdach - Kampot</t>
  </si>
  <si>
    <t>Koh Sdach Dara Sakor - Kampot International Tourism Port</t>
  </si>
  <si>
    <t>Koh Sdach Dara Sakor - Koh Rong Island Port</t>
  </si>
  <si>
    <t>Cambodia, Koh Kong</t>
  </si>
  <si>
    <t>Cambodia, Srae Ambel</t>
  </si>
  <si>
    <t>Koh Kong - Srae Ambel</t>
  </si>
  <si>
    <t>Koh Rong Island Port - Kampot International Tourism Port</t>
  </si>
  <si>
    <t>Cambodia, Kep</t>
  </si>
  <si>
    <t>Koh Rong Island Port - Kep</t>
  </si>
  <si>
    <t>Koh Toch Beach - MPai Bay</t>
  </si>
  <si>
    <t>ferry | Speedboat</t>
  </si>
  <si>
    <t>Koh Toch Beach - Soon Noeng Port</t>
  </si>
  <si>
    <t>Long Set Beach - MPai Bay</t>
  </si>
  <si>
    <t>Long Set Beach - Soon Noeng Port</t>
  </si>
  <si>
    <t>Koh Rong Samloem - Kampot International Tourism Port</t>
  </si>
  <si>
    <t>Koh Rong Samloem - Khum Kaoh Sdach</t>
  </si>
  <si>
    <t>Koh Rong Samloem - Koh Sdach Dara Sakor</t>
  </si>
  <si>
    <t>Soon Noeng Port - Koh Toch Beach</t>
  </si>
  <si>
    <t>Soon Noeng Port - Long Set Beach</t>
  </si>
  <si>
    <t>Soon Noeng Port - MPai Bay</t>
  </si>
  <si>
    <t>Cambodia, Krong Poi Pet</t>
  </si>
  <si>
    <t>Sampov Lun - Phnom Penh</t>
  </si>
  <si>
    <t>Cambodia, Mondulkiri</t>
  </si>
  <si>
    <t>Cambodia, Kien Svay</t>
  </si>
  <si>
    <t>Mondulkiri - Kien Svay</t>
  </si>
  <si>
    <t>Cambodia, Angk Ta Saom</t>
  </si>
  <si>
    <t>Phnom Penh - Ang Ta Soam</t>
  </si>
  <si>
    <t>Phnom Penh - Angk Ta Saom</t>
  </si>
  <si>
    <t>Phnom Penh Transfer - Ban Krut</t>
  </si>
  <si>
    <t>Cambodia, Poipet</t>
  </si>
  <si>
    <t>Cambodia, Siem Reap</t>
  </si>
  <si>
    <t>Starbucks Holiday Palace Poi Pet - Siem Reap Namo Angkor Travel</t>
  </si>
  <si>
    <t>bus | Bus</t>
  </si>
  <si>
    <t>E Booking Siem Reap Office - Koh Rong</t>
  </si>
  <si>
    <t>bus | Sleeping bus + Limousine</t>
  </si>
  <si>
    <t>E Booking Siem Reap Office - Long Set Beach</t>
  </si>
  <si>
    <t>van | Limousine + Sleeping bus</t>
  </si>
  <si>
    <t>E Booking Siem Reap Office - Koh Rong Samloem</t>
  </si>
  <si>
    <t>Siem Reap Namo Angkor Travel - Starbucks Holiday Palace Poi Pet</t>
  </si>
  <si>
    <t>Cambodia, Sihanoukville</t>
  </si>
  <si>
    <t>E Booking Siem Reap Office - Sihanoukville</t>
  </si>
  <si>
    <t>Thailand, Bangkok</t>
  </si>
  <si>
    <t>Siem Reap Namo Angkor Travel - Emsamang Express Travel</t>
  </si>
  <si>
    <t>bus | Bus + Minivan</t>
  </si>
  <si>
    <t>Thailand, Chonburi</t>
  </si>
  <si>
    <t>Siem Reap Namo Angkor Travel - Pattaya Minivan Station</t>
  </si>
  <si>
    <t>Siem Reap - Ban Krut</t>
  </si>
  <si>
    <t>Vietnam, Phu Quoc</t>
  </si>
  <si>
    <t>Siem Reap - Phu Quoc</t>
  </si>
  <si>
    <t>van | Sleeping Bus + Van + Ferry</t>
  </si>
  <si>
    <t>Sihanoukville - Ban Krut</t>
  </si>
  <si>
    <t>Canada, Alexandria CA</t>
  </si>
  <si>
    <t>Canada, Saint Hyacinthe</t>
  </si>
  <si>
    <t>Alexandria Ca - Saint Hyacinthe</t>
  </si>
  <si>
    <t>Alexandria Ontario - Saint Hyacinthe</t>
  </si>
  <si>
    <t>Canada, Hamilton CA</t>
  </si>
  <si>
    <t>Canada, Niagara Falls</t>
  </si>
  <si>
    <t>Grimsby On - Niagara Falls</t>
  </si>
  <si>
    <t>USA, Niagara Falls New York</t>
  </si>
  <si>
    <t>Hamilton Ca - Niagara Falls New York</t>
  </si>
  <si>
    <t>Canada, Hornepayne</t>
  </si>
  <si>
    <t>Canada, Longlac</t>
  </si>
  <si>
    <t>Hornepayne - Longlac</t>
  </si>
  <si>
    <t>Canada, Houston CA</t>
  </si>
  <si>
    <t>Canada, Burns Lake</t>
  </si>
  <si>
    <t>Houston Ca - Burns Lake</t>
  </si>
  <si>
    <t>Canada, Vanderhoof</t>
  </si>
  <si>
    <t>Houston Ca - Vanderhoof</t>
  </si>
  <si>
    <t>Canada, Moncton</t>
  </si>
  <si>
    <t>Canada, Matapedia</t>
  </si>
  <si>
    <t>Moncton - Matapedia</t>
  </si>
  <si>
    <t>Canada, Mont Joli</t>
  </si>
  <si>
    <t>Moncton - Mont Joli</t>
  </si>
  <si>
    <t>Canada, Montmagny</t>
  </si>
  <si>
    <t>Canada, Rimouski</t>
  </si>
  <si>
    <t>Montmagny - Rimouski</t>
  </si>
  <si>
    <t>Canada, Trois Pistoles</t>
  </si>
  <si>
    <t>Montmagny - Trois Pistoles</t>
  </si>
  <si>
    <t>Canada, Montreal</t>
  </si>
  <si>
    <t>Canada, Rogersville</t>
  </si>
  <si>
    <t>Montreal Central - Rogersville</t>
  </si>
  <si>
    <t>Montreal - Rogersville</t>
  </si>
  <si>
    <t>Canada, Portage la Prairie</t>
  </si>
  <si>
    <t>Canada, Dauphin</t>
  </si>
  <si>
    <t>Portage La Prairie - Dauphin</t>
  </si>
  <si>
    <t>Canada, Rivers</t>
  </si>
  <si>
    <t>Portage La Prairie - Rivers</t>
  </si>
  <si>
    <t>Canada, Southport Airport</t>
  </si>
  <si>
    <t>Southport Airport - Dauphin</t>
  </si>
  <si>
    <t>Southport Airport - Rivers</t>
  </si>
  <si>
    <t>Canada, Thompson</t>
  </si>
  <si>
    <t>Southport Airport - Thompson</t>
  </si>
  <si>
    <t>Canada, Sudbury</t>
  </si>
  <si>
    <t>Canada, Windy Lake</t>
  </si>
  <si>
    <t>Sudbury - Levack</t>
  </si>
  <si>
    <t>Sudbury - Windy Lake</t>
  </si>
  <si>
    <t>China, Anji</t>
  </si>
  <si>
    <t>China, Beijing</t>
  </si>
  <si>
    <t>Anji - Beijing</t>
  </si>
  <si>
    <t>Anji - Beijing South</t>
  </si>
  <si>
    <t>China, Ankang</t>
  </si>
  <si>
    <t>China, Changsha</t>
  </si>
  <si>
    <t>Ankang - Changsha</t>
  </si>
  <si>
    <t>China, Hunan</t>
  </si>
  <si>
    <t>Ankang - Hunan</t>
  </si>
  <si>
    <t>China, Shijiazhuang</t>
  </si>
  <si>
    <t>Ankang - Shijiazhuang</t>
  </si>
  <si>
    <t>China, Anshun</t>
  </si>
  <si>
    <t>China, Xiamen</t>
  </si>
  <si>
    <t>Anshun West - Xiamen North</t>
  </si>
  <si>
    <t>Anshun - Xiamen</t>
  </si>
  <si>
    <t>China, Anyang</t>
  </si>
  <si>
    <t>China, Jiangning</t>
  </si>
  <si>
    <t>Anyang - Jiangning</t>
  </si>
  <si>
    <t>China, Shiyan</t>
  </si>
  <si>
    <t>Anyang East - Shiyan East</t>
  </si>
  <si>
    <t>Anyang - Shiyan</t>
  </si>
  <si>
    <t>China, Baotou</t>
  </si>
  <si>
    <t>China, Qingdao</t>
  </si>
  <si>
    <t>Baotou - Qingdao North</t>
  </si>
  <si>
    <t>China, Shenzhen</t>
  </si>
  <si>
    <t>Baotou - Shenzhen East</t>
  </si>
  <si>
    <t>China, Bayannur</t>
  </si>
  <si>
    <t>Bayannur - Baotou East</t>
  </si>
  <si>
    <t>Bayannur - Beijing</t>
  </si>
  <si>
    <t>Bayannur - Beijing Fengtai</t>
  </si>
  <si>
    <t>Bayannur - Beijing West</t>
  </si>
  <si>
    <t>China, Inner Mongolia</t>
  </si>
  <si>
    <t>Bayannur - Inner Mongolia</t>
  </si>
  <si>
    <t>China, Wenjiang</t>
  </si>
  <si>
    <t>Bayannur - Wenjiang</t>
  </si>
  <si>
    <t>China, Beidaihe</t>
  </si>
  <si>
    <t>China, Daqing</t>
  </si>
  <si>
    <t>Beidaihe - Daqing</t>
  </si>
  <si>
    <t>Beidaihe - Daqing East</t>
  </si>
  <si>
    <t>China, Fengrun</t>
  </si>
  <si>
    <t>Beidaihe - Fengrun</t>
  </si>
  <si>
    <t>Beidaihe - Tangshan West</t>
  </si>
  <si>
    <t>China, Zhangjiakou</t>
  </si>
  <si>
    <t>Beidaihe - Zhangjiakou</t>
  </si>
  <si>
    <t>China, Beihai</t>
  </si>
  <si>
    <t>China, Wuzhou</t>
  </si>
  <si>
    <t>Beihai - Wuzhou</t>
  </si>
  <si>
    <t>Beihai - Wuzhou South</t>
  </si>
  <si>
    <t>China, Leshan</t>
  </si>
  <si>
    <t>Beijing West - Leshan</t>
  </si>
  <si>
    <t>Beijing - Leshan</t>
  </si>
  <si>
    <t>China, Beijing Daxing Airport</t>
  </si>
  <si>
    <t>China, Baoding</t>
  </si>
  <si>
    <t>Beijing Daxing Airport - Baoding</t>
  </si>
  <si>
    <t>Daxing Airport Station - Baoding East</t>
  </si>
  <si>
    <t>Guan East - Baoding East</t>
  </si>
  <si>
    <t>Guan - Baoding</t>
  </si>
  <si>
    <t>China, Binhai</t>
  </si>
  <si>
    <t>China, Cangzhou</t>
  </si>
  <si>
    <t>Binhai - Cangzhou</t>
  </si>
  <si>
    <t>Tanggu - Cangzhou</t>
  </si>
  <si>
    <t>China, Jiangzhou</t>
  </si>
  <si>
    <t>Binhai - Jiangzhou</t>
  </si>
  <si>
    <t>China, Kaifeng</t>
  </si>
  <si>
    <t>Binhai - Kaifeng</t>
  </si>
  <si>
    <t>Tanggu - Kaifeng</t>
  </si>
  <si>
    <t>China, Nanyang</t>
  </si>
  <si>
    <t>Binhai - Nanyang</t>
  </si>
  <si>
    <t>Tanggu - Nanyang</t>
  </si>
  <si>
    <t>China, Panjin</t>
  </si>
  <si>
    <t>Binhai West - Panjin</t>
  </si>
  <si>
    <t>Binhai - Panjin</t>
  </si>
  <si>
    <t>China, Shangqiu</t>
  </si>
  <si>
    <t>Binhai - Shangqiu</t>
  </si>
  <si>
    <t>Tanggu - Shangqiu</t>
  </si>
  <si>
    <t>China, Zhengzhou</t>
  </si>
  <si>
    <t>Tanggu - Zhengzhou</t>
  </si>
  <si>
    <t>China, Changchun</t>
  </si>
  <si>
    <t>Cangzhou - Changchun</t>
  </si>
  <si>
    <t>China, Handan</t>
  </si>
  <si>
    <t>Cangzhou - Handan</t>
  </si>
  <si>
    <t>China, Hefei</t>
  </si>
  <si>
    <t>Cangzhou - Hefei</t>
  </si>
  <si>
    <t>China, Henan</t>
  </si>
  <si>
    <t>Cangzhou - Henan</t>
  </si>
  <si>
    <t>China, Hengshui</t>
  </si>
  <si>
    <t>Cangzhou - Hengshui</t>
  </si>
  <si>
    <t>China, Huludao</t>
  </si>
  <si>
    <t>Cangzhou - Huludao</t>
  </si>
  <si>
    <t>Cangzhou - Huludao North</t>
  </si>
  <si>
    <t>Cangzhou - Jiangzhou</t>
  </si>
  <si>
    <t>China, Jinan</t>
  </si>
  <si>
    <t>Cangzhou - Daminghu</t>
  </si>
  <si>
    <t>Cangzhou - Jinan</t>
  </si>
  <si>
    <t>China, Jining</t>
  </si>
  <si>
    <t>Cangzhou - Jining</t>
  </si>
  <si>
    <t>Cangzhou - Qingdao</t>
  </si>
  <si>
    <t>Cangzhou - Qingdao North</t>
  </si>
  <si>
    <t>China, Shanghai</t>
  </si>
  <si>
    <t>Cangzhou - Shanghai</t>
  </si>
  <si>
    <t>China, Sihui</t>
  </si>
  <si>
    <t>Cangzhou - Sihui</t>
  </si>
  <si>
    <t>China, Songjiang Shanghai</t>
  </si>
  <si>
    <t>Cangzhou - Shanghai Songjiang</t>
  </si>
  <si>
    <t>Cangzhou - Songjiang Shanghai</t>
  </si>
  <si>
    <t>China, Taiyuan</t>
  </si>
  <si>
    <t>Cangzhou - Taiyuan</t>
  </si>
  <si>
    <t>Cangzhou - Taiyuan Shanxi</t>
  </si>
  <si>
    <t>China, Xian</t>
  </si>
  <si>
    <t>Cangzhou - Xian</t>
  </si>
  <si>
    <t>China, Yijiang</t>
  </si>
  <si>
    <t>Cangzhou - Yijiang</t>
  </si>
  <si>
    <t>China, Zhejiang</t>
  </si>
  <si>
    <t>Cangzhou - Zhejiang</t>
  </si>
  <si>
    <t>Cangzhou - Zhengzhou</t>
  </si>
  <si>
    <t>China, Guzhang</t>
  </si>
  <si>
    <t>Changchun - Guzhang</t>
  </si>
  <si>
    <t>Changchun West - Panjin</t>
  </si>
  <si>
    <t>Changchun - Panjin</t>
  </si>
  <si>
    <t>Changchun - Shanghai Songjiang</t>
  </si>
  <si>
    <t>Changchun - Songjiang Shanghai</t>
  </si>
  <si>
    <t>China, Tacheng</t>
  </si>
  <si>
    <t>Changchun West - Beijing Chaoyang</t>
  </si>
  <si>
    <t>Changchun - Beijing Chaoyang</t>
  </si>
  <si>
    <t>Changchun - Tacheng</t>
  </si>
  <si>
    <t>China, Xinyang</t>
  </si>
  <si>
    <t>Changchun West - Xinyang East</t>
  </si>
  <si>
    <t>Changchun - Xinyang</t>
  </si>
  <si>
    <t>China, Xishui</t>
  </si>
  <si>
    <t>Changchun - Xishui</t>
  </si>
  <si>
    <t>China, Changde</t>
  </si>
  <si>
    <t>China, Jiaxiang</t>
  </si>
  <si>
    <t>Changde - Jiaxiang</t>
  </si>
  <si>
    <t>China, Datong</t>
  </si>
  <si>
    <t>Changsha - Datong</t>
  </si>
  <si>
    <t>China, Heshan</t>
  </si>
  <si>
    <t>Changsha - Heshan</t>
  </si>
  <si>
    <t>Changsha - Linyi East</t>
  </si>
  <si>
    <t>China, Huade</t>
  </si>
  <si>
    <t>Changsha - Huade</t>
  </si>
  <si>
    <t>Changsha - Inner Mongolia</t>
  </si>
  <si>
    <t>Changsha South - Qianwei</t>
  </si>
  <si>
    <t>China, Yuncheng</t>
  </si>
  <si>
    <t>Changsha - Yuncheng</t>
  </si>
  <si>
    <t>China, Changzhi</t>
  </si>
  <si>
    <t>Changzhi North - Anyang</t>
  </si>
  <si>
    <t>Changzhi - Anyang</t>
  </si>
  <si>
    <t>China, Changzhou</t>
  </si>
  <si>
    <t>China, Xigu</t>
  </si>
  <si>
    <t>Changzhou - Xigu</t>
  </si>
  <si>
    <t>China, Xinjiang</t>
  </si>
  <si>
    <t>Changzhou - Xinjiang</t>
  </si>
  <si>
    <t>China, Yucheng Henan</t>
  </si>
  <si>
    <t>Changzhou North - Shangqiu East</t>
  </si>
  <si>
    <t>Changzhou - Yucheng Henan</t>
  </si>
  <si>
    <t>China, Zhangjiagang</t>
  </si>
  <si>
    <t>Changzhou - Zhangjiagang</t>
  </si>
  <si>
    <t>Jintan - Zhangjiagang</t>
  </si>
  <si>
    <t>China, Chaoyang Liaoning</t>
  </si>
  <si>
    <t>Chaoyang Liaoning - Tacheng</t>
  </si>
  <si>
    <t>Liaoning Chaoyang - Beijing Chaoyang</t>
  </si>
  <si>
    <t>China, Chengdu</t>
  </si>
  <si>
    <t>China, Hohhot</t>
  </si>
  <si>
    <t>Chengdu East - Hohhot East</t>
  </si>
  <si>
    <t>China, Chengdu Airport</t>
  </si>
  <si>
    <t>China, Dujiangyan</t>
  </si>
  <si>
    <t>Chengdu Airport - Dujiangyan</t>
  </si>
  <si>
    <t>Shuangliu Airport - Maoxian</t>
  </si>
  <si>
    <t>China, Jinchengjiang</t>
  </si>
  <si>
    <t>Chengdu Airport - Jinchengjiang</t>
  </si>
  <si>
    <t>Shuangliu Airport - Luohuang South</t>
  </si>
  <si>
    <t>China, Meishan</t>
  </si>
  <si>
    <t>Chengdu Airport - Meishan</t>
  </si>
  <si>
    <t>Shuangliu Airport - Meishan East</t>
  </si>
  <si>
    <t>Shuangliu Airport - Pengshan</t>
  </si>
  <si>
    <t>Chengdu Airport - Shijiazhuang</t>
  </si>
  <si>
    <t>Shuangliu Airport - Shijiazhuang</t>
  </si>
  <si>
    <t>China, Chengdu Tianfu Airport</t>
  </si>
  <si>
    <t>China, Shuangliu</t>
  </si>
  <si>
    <t>Chengdu Tianfu Airport - Shuangliu</t>
  </si>
  <si>
    <t>China, Chongqing</t>
  </si>
  <si>
    <t>China, Deyang</t>
  </si>
  <si>
    <t>Chongqing North - Deyang</t>
  </si>
  <si>
    <t>Chongqing North - Luojiang East</t>
  </si>
  <si>
    <t>Chongqing West - Deyang</t>
  </si>
  <si>
    <t>Chongqing - Deyang</t>
  </si>
  <si>
    <t>China, Dezhou</t>
  </si>
  <si>
    <t>China, Jiamusi</t>
  </si>
  <si>
    <t>Dezhou - Jiamusi</t>
  </si>
  <si>
    <t>China, Yiwu</t>
  </si>
  <si>
    <t>Dezhou East - Hengdian</t>
  </si>
  <si>
    <t>Dezhou East - Yiwu</t>
  </si>
  <si>
    <t>Dezhou - Yiwu</t>
  </si>
  <si>
    <t>China, Dongcheng South</t>
  </si>
  <si>
    <t>Dongcheng South - Beijing</t>
  </si>
  <si>
    <t>China, Panyu</t>
  </si>
  <si>
    <t>Dongcheng South - Panyu</t>
  </si>
  <si>
    <t>Xipingxi - Panyu</t>
  </si>
  <si>
    <t>China, Saihan</t>
  </si>
  <si>
    <t>Dongcheng South - Saihan</t>
  </si>
  <si>
    <t>China, Taizhou Zhejiang</t>
  </si>
  <si>
    <t>Dongcheng South - Taizhou Zhejiang</t>
  </si>
  <si>
    <t>Dongcheng South - Xinyang</t>
  </si>
  <si>
    <t>China, Yueyang</t>
  </si>
  <si>
    <t>Dongcheng South - Yueyang</t>
  </si>
  <si>
    <t>China, Zhaoqing</t>
  </si>
  <si>
    <t>Dongcheng South - Zhaoqing</t>
  </si>
  <si>
    <t>China, Zhuzhou</t>
  </si>
  <si>
    <t>Dongcheng South - Zhuzhou</t>
  </si>
  <si>
    <t>China, Dongguan</t>
  </si>
  <si>
    <t>China, Duanzhou</t>
  </si>
  <si>
    <t>Dongguan - Duanzhou</t>
  </si>
  <si>
    <t>China, Guangyuan</t>
  </si>
  <si>
    <t>Dongguan East - Guangyuan</t>
  </si>
  <si>
    <t>Dongguan - Guangyuan</t>
  </si>
  <si>
    <t>China, Longchuan Guangdong</t>
  </si>
  <si>
    <t>Dongguan East - Longchuan</t>
  </si>
  <si>
    <t>Dongguan - Longchuan Guangdong</t>
  </si>
  <si>
    <t>China, Mingxi</t>
  </si>
  <si>
    <t>Dongguan - Mingxi</t>
  </si>
  <si>
    <t>China, Nanning</t>
  </si>
  <si>
    <t>Dongguan East - Nanning</t>
  </si>
  <si>
    <t>Dongguan - Nanning</t>
  </si>
  <si>
    <t>Dongguan - Panyu</t>
  </si>
  <si>
    <t>Dongguan East - Shangqiu</t>
  </si>
  <si>
    <t>Dongguan East - Shangqiu South</t>
  </si>
  <si>
    <t>Dongguan - Shangqiu</t>
  </si>
  <si>
    <t>China, Shenyang</t>
  </si>
  <si>
    <t>Dongguan East - Shenyang North</t>
  </si>
  <si>
    <t>Dongguan - Shenyang</t>
  </si>
  <si>
    <t>Dongguan East - Shanghai Songjiang</t>
  </si>
  <si>
    <t>Dongguan - Songjiang Shanghai</t>
  </si>
  <si>
    <t>Dongguan East - Yiwu</t>
  </si>
  <si>
    <t>Dongguan - Yiwu</t>
  </si>
  <si>
    <t>China, Dongsheng</t>
  </si>
  <si>
    <t>Dongsheng West - Shanghai</t>
  </si>
  <si>
    <t>Dongsheng - Shanghai</t>
  </si>
  <si>
    <t>Duanzhou - Changchun</t>
  </si>
  <si>
    <t>Duanzhou - Dongguan</t>
  </si>
  <si>
    <t>China, Haikou</t>
  </si>
  <si>
    <t>Duanzhou - Haikou</t>
  </si>
  <si>
    <t>China, Hainan</t>
  </si>
  <si>
    <t>Duanzhou - Hainan</t>
  </si>
  <si>
    <t>China, Huizhou</t>
  </si>
  <si>
    <t>Duanzhou - Huizhou</t>
  </si>
  <si>
    <t>China, Jiangbei</t>
  </si>
  <si>
    <t>Duanzhou - Jiangbei</t>
  </si>
  <si>
    <t>China, Jiangjin</t>
  </si>
  <si>
    <t>Duanzhou - Jiangjin</t>
  </si>
  <si>
    <t>China, Jiangyuan</t>
  </si>
  <si>
    <t>Duanzhou - Jiangyuan</t>
  </si>
  <si>
    <t>China, Jinhua</t>
  </si>
  <si>
    <t>Duanzhou - Jinhua</t>
  </si>
  <si>
    <t>China, Dunhua</t>
  </si>
  <si>
    <t>Dunhua - Shanghai</t>
  </si>
  <si>
    <t>Huaibei North - Shanghai</t>
  </si>
  <si>
    <t>Huaibei North - Shanghai West</t>
  </si>
  <si>
    <t>China, Emeishan</t>
  </si>
  <si>
    <t>Emei - Shapingba</t>
  </si>
  <si>
    <t>Emeishan - Shapingba</t>
  </si>
  <si>
    <t>Emei - Lidui Park</t>
  </si>
  <si>
    <t>Emeishan - Dujiangyan</t>
  </si>
  <si>
    <t>Emeishan - Lidui Park</t>
  </si>
  <si>
    <t>Emeishan - Maoxian</t>
  </si>
  <si>
    <t>China, Panzhihua</t>
  </si>
  <si>
    <t>Emei - Yongren</t>
  </si>
  <si>
    <t>Emeishan - Panzhihua</t>
  </si>
  <si>
    <t>China, Fenghuang</t>
  </si>
  <si>
    <t>China, Hong Kong West Kowloon</t>
  </si>
  <si>
    <t>Fenghuang - Hong Kong West Kowloon</t>
  </si>
  <si>
    <t>Fenghuanggucheng - Hong Kong West Kowloon</t>
  </si>
  <si>
    <t>China, Wuhan</t>
  </si>
  <si>
    <t>Fenghuang - Wuhan</t>
  </si>
  <si>
    <t>Fenghuanggucheng - Wuhan</t>
  </si>
  <si>
    <t>Hong Kong, Kowloon</t>
  </si>
  <si>
    <t>Fenghuang - Kowloon</t>
  </si>
  <si>
    <t>Fengrun - Huludao</t>
  </si>
  <si>
    <t>Tangshan West - Huludao North</t>
  </si>
  <si>
    <t>China, Gaocheng</t>
  </si>
  <si>
    <t>Gaocheng South - Hohhot East</t>
  </si>
  <si>
    <t>Gaocheng - Hohhot</t>
  </si>
  <si>
    <t>China, Taian</t>
  </si>
  <si>
    <t>Gaocheng - Taian</t>
  </si>
  <si>
    <t>China, Guangdong</t>
  </si>
  <si>
    <t>China, Jinkouhe</t>
  </si>
  <si>
    <t>Guangdong - Jinkouhe</t>
  </si>
  <si>
    <t>China, Guangxi</t>
  </si>
  <si>
    <t>China, Litang Guangxi</t>
  </si>
  <si>
    <t>Guangxi - Litang Guangxi</t>
  </si>
  <si>
    <t>China, Qujing</t>
  </si>
  <si>
    <t>Guangxi - Qujing</t>
  </si>
  <si>
    <t>China, Jiangsu</t>
  </si>
  <si>
    <t>Guangyuan - Jiangsu</t>
  </si>
  <si>
    <t>China, Nanjing</t>
  </si>
  <si>
    <t>Guangyuan - Nanjing</t>
  </si>
  <si>
    <t>Guangyuan - Nanjing South</t>
  </si>
  <si>
    <t>China, Wulong</t>
  </si>
  <si>
    <t>Guangyuan - Wulong</t>
  </si>
  <si>
    <t>China, Guangzhou</t>
  </si>
  <si>
    <t>Guangzhou North - Guangyuan</t>
  </si>
  <si>
    <t>China, Shanwei</t>
  </si>
  <si>
    <t>Guangzhou North - Shanwei</t>
  </si>
  <si>
    <t>China, Guilin</t>
  </si>
  <si>
    <t>China, Jian Jiangxi</t>
  </si>
  <si>
    <t>Guilin North - Jian Jiangxi</t>
  </si>
  <si>
    <t>Guilin - Jian Jiangxi</t>
  </si>
  <si>
    <t>China, Gulang</t>
  </si>
  <si>
    <t>China, Tianshui</t>
  </si>
  <si>
    <t>Gulang North - Tianshui South</t>
  </si>
  <si>
    <t>Gulang - Tianshui</t>
  </si>
  <si>
    <t>China, Baise</t>
  </si>
  <si>
    <t>Guzhang - Baise</t>
  </si>
  <si>
    <t>China, Shizhong</t>
  </si>
  <si>
    <t>Guzhang - Shizhong</t>
  </si>
  <si>
    <t>China, Sichuan</t>
  </si>
  <si>
    <t>Jinyangnan - Longdongbao</t>
  </si>
  <si>
    <t>China, Yulin Guangxi</t>
  </si>
  <si>
    <t>Guzhang - Yulin Guangxi</t>
  </si>
  <si>
    <t>China, Hengyang</t>
  </si>
  <si>
    <t>Haikou - Hengyang</t>
  </si>
  <si>
    <t>Hainan - Hengyang</t>
  </si>
  <si>
    <t>China, Haining</t>
  </si>
  <si>
    <t>Haining - Changzhou</t>
  </si>
  <si>
    <t>China, Guizhou</t>
  </si>
  <si>
    <t>Haining - Guizhou</t>
  </si>
  <si>
    <t>Haining - Guzhang</t>
  </si>
  <si>
    <t>Haining - Haikou</t>
  </si>
  <si>
    <t>Haining - Henan</t>
  </si>
  <si>
    <t>China, Huaxi</t>
  </si>
  <si>
    <t>Haining - Guangzhoubaiyun</t>
  </si>
  <si>
    <t>Haining - Huaxi</t>
  </si>
  <si>
    <t>Haining - Jiangsu</t>
  </si>
  <si>
    <t>Haining - Jiangzhou</t>
  </si>
  <si>
    <t>China, Shaanxi</t>
  </si>
  <si>
    <t>Haining - Shaanxi</t>
  </si>
  <si>
    <t>Haining - Xian</t>
  </si>
  <si>
    <t>Haining - Xishui</t>
  </si>
  <si>
    <t>Haining - Zhengzhou</t>
  </si>
  <si>
    <t>China, Hami</t>
  </si>
  <si>
    <t>Hami - Chengdu West</t>
  </si>
  <si>
    <t>Hami - Taiyuan</t>
  </si>
  <si>
    <t>Hami - Taiyuan Shanxi</t>
  </si>
  <si>
    <t>Hami - Taiyuan South</t>
  </si>
  <si>
    <t>Hami - Wenjiang</t>
  </si>
  <si>
    <t>Handan - Cangzhou</t>
  </si>
  <si>
    <t>Handan - Datong</t>
  </si>
  <si>
    <t>Handan - Hohhot East</t>
  </si>
  <si>
    <t>China, Jieshou</t>
  </si>
  <si>
    <t>Handan East - Jieshou South</t>
  </si>
  <si>
    <t>Handan - Jieshou</t>
  </si>
  <si>
    <t>Handan East - Beijing Chaoyang</t>
  </si>
  <si>
    <t>Handan - Tacheng</t>
  </si>
  <si>
    <t>Handan - Taian</t>
  </si>
  <si>
    <t>China, Yangchun</t>
  </si>
  <si>
    <t>Handan - Yangchun</t>
  </si>
  <si>
    <t>China, Hangzhou</t>
  </si>
  <si>
    <t>Hangzhou - Inner Mongolia</t>
  </si>
  <si>
    <t>Hangzhou East - Zhangjiagang</t>
  </si>
  <si>
    <t>Hangzhou South - Zhangjiagang</t>
  </si>
  <si>
    <t>Hangzhou - Zhangjiagang</t>
  </si>
  <si>
    <t>China, Hanzhong</t>
  </si>
  <si>
    <t>China, Fuzhou</t>
  </si>
  <si>
    <t>Hanzhong - Fuzhou</t>
  </si>
  <si>
    <t>China, Harbin</t>
  </si>
  <si>
    <t>Harbin West - Hengshui</t>
  </si>
  <si>
    <t>Harbin - Hengshui</t>
  </si>
  <si>
    <t>Harbin West - Shanghai Songjiang</t>
  </si>
  <si>
    <t>Harbin - Songjiang Shanghai</t>
  </si>
  <si>
    <t>China, Hebei</t>
  </si>
  <si>
    <t>Hebei - Cangzhou</t>
  </si>
  <si>
    <t>Hebei - Haikou</t>
  </si>
  <si>
    <t>China, Langfang</t>
  </si>
  <si>
    <t>Hebei - Langfang</t>
  </si>
  <si>
    <t>China, Liupanshui</t>
  </si>
  <si>
    <t>Hebei - Liupanshui</t>
  </si>
  <si>
    <t>China, Siping</t>
  </si>
  <si>
    <t>Hebei - Siping</t>
  </si>
  <si>
    <t>China, Hechi</t>
  </si>
  <si>
    <t>China, Duyun</t>
  </si>
  <si>
    <t>Hechi - Duyun</t>
  </si>
  <si>
    <t>China, Jincheng</t>
  </si>
  <si>
    <t>Hefei South - Jiaozuo West</t>
  </si>
  <si>
    <t>Hefei - Jincheng</t>
  </si>
  <si>
    <t>China, Mudanjiang</t>
  </si>
  <si>
    <t>Hefei - Mudanjiang</t>
  </si>
  <si>
    <t>China, Pujiangzhen</t>
  </si>
  <si>
    <t>Hefei - Pujiangzhen</t>
  </si>
  <si>
    <t>China, Heilongjiang</t>
  </si>
  <si>
    <t>Heilongjiang - Hengshui</t>
  </si>
  <si>
    <t>China, Huaian</t>
  </si>
  <si>
    <t>Heilongjiang - Huaian</t>
  </si>
  <si>
    <t>Heilongjiang - Panjin</t>
  </si>
  <si>
    <t>Heilongjiang - Songjiang Shanghai</t>
  </si>
  <si>
    <t>Heilongjiang - Tacheng</t>
  </si>
  <si>
    <t>Heilongjiang - Yiwu</t>
  </si>
  <si>
    <t>Henan - Cangzhou</t>
  </si>
  <si>
    <t>China, Gaomi</t>
  </si>
  <si>
    <t>Henan - Gaomi</t>
  </si>
  <si>
    <t>Henan - Huludao</t>
  </si>
  <si>
    <t>China, Mangshi</t>
  </si>
  <si>
    <t>Henan - Mangshi</t>
  </si>
  <si>
    <t>China, Neijiang</t>
  </si>
  <si>
    <t>Henan - Neijiang</t>
  </si>
  <si>
    <t>China, Pingyao</t>
  </si>
  <si>
    <t>Henan - Pingyao</t>
  </si>
  <si>
    <t>Henan - Pujiangzhen</t>
  </si>
  <si>
    <t>China, Sanming</t>
  </si>
  <si>
    <t>Henan - Sanming</t>
  </si>
  <si>
    <t>Henan - Songjiang Shanghai</t>
  </si>
  <si>
    <t>China, Xinmin</t>
  </si>
  <si>
    <t>Henan - Xinmin</t>
  </si>
  <si>
    <t>China, Yichun Jiangxi</t>
  </si>
  <si>
    <t>Henan - Yichun Jiangxi</t>
  </si>
  <si>
    <t>Henan - Yijiang</t>
  </si>
  <si>
    <t>China, Loudi</t>
  </si>
  <si>
    <t>Hengyang East - Loudi South</t>
  </si>
  <si>
    <t>Hengyang - Loudi</t>
  </si>
  <si>
    <t>Hengyang - Shenyang</t>
  </si>
  <si>
    <t>Hengyang - Shenyang North</t>
  </si>
  <si>
    <t>Hengyang - Yulin Guangxi</t>
  </si>
  <si>
    <t>Hengyang East - Zhangjiagang</t>
  </si>
  <si>
    <t>Hengyang - Zhangjiagang</t>
  </si>
  <si>
    <t>China, Heze</t>
  </si>
  <si>
    <t>China, Mianyang</t>
  </si>
  <si>
    <t>Heze - Mianyang</t>
  </si>
  <si>
    <t>Heze - Youxian South</t>
  </si>
  <si>
    <t>China, Hezhou</t>
  </si>
  <si>
    <t>Hezhou - Chengdu South</t>
  </si>
  <si>
    <t>Hezhou - Sichuan</t>
  </si>
  <si>
    <t>China, Hong Kong Island</t>
  </si>
  <si>
    <t>Hong Kong Island - Fenghuang</t>
  </si>
  <si>
    <t>China, Heyuan</t>
  </si>
  <si>
    <t>Hong Kong Island - Heyuan</t>
  </si>
  <si>
    <t>China, Huangshan</t>
  </si>
  <si>
    <t>Hong Kong Island - Huangshan</t>
  </si>
  <si>
    <t>Hong Kong Island - Jiangzhou</t>
  </si>
  <si>
    <t>China, Meizhou</t>
  </si>
  <si>
    <t>Hong Kong Island - Meizhou</t>
  </si>
  <si>
    <t>Hong Kong Island - Shaanxi</t>
  </si>
  <si>
    <t>Hong Kong Island - Xian</t>
  </si>
  <si>
    <t>China, Zengcheng</t>
  </si>
  <si>
    <t>Hong Kong Island - Zengcheng</t>
  </si>
  <si>
    <t>Hong Kong West Kowloon - Heyuan</t>
  </si>
  <si>
    <t>Hong Kong West Kowloon - Huangshan</t>
  </si>
  <si>
    <t>Hong Kong West Kowloon - Huangshan North</t>
  </si>
  <si>
    <t>Hong Kong West Kowloon - Jiangzhou</t>
  </si>
  <si>
    <t>China, Luoyang</t>
  </si>
  <si>
    <t>Hong Kong West Kowloon - Luoyang</t>
  </si>
  <si>
    <t>Hong Kong West Kowloon - Luoyang Longmen</t>
  </si>
  <si>
    <t>Hong Kong West Kowloon - Xian</t>
  </si>
  <si>
    <t>Hong Kong West Kowloon - Xian North</t>
  </si>
  <si>
    <t>Hong Kong West Kowloon - Xintang</t>
  </si>
  <si>
    <t>Hong Kong West Kowloon - Zengcheng</t>
  </si>
  <si>
    <t>China, Hotan</t>
  </si>
  <si>
    <t>China, Korla</t>
  </si>
  <si>
    <t>Hetian - Korla</t>
  </si>
  <si>
    <t>Hetian - Tiemenguan</t>
  </si>
  <si>
    <t>Hotan - Korla</t>
  </si>
  <si>
    <t>Huade - Bayannur</t>
  </si>
  <si>
    <t>Huade - Changchun</t>
  </si>
  <si>
    <t>Huade - Changsha</t>
  </si>
  <si>
    <t>Huade - Chengdu</t>
  </si>
  <si>
    <t>China, Erenhot</t>
  </si>
  <si>
    <t>Huade - Erenhot</t>
  </si>
  <si>
    <t>Huade - Gaocheng</t>
  </si>
  <si>
    <t>Huade - Hunan</t>
  </si>
  <si>
    <t>Huade - Jiangzhou</t>
  </si>
  <si>
    <t>Huade - Qingdao</t>
  </si>
  <si>
    <t>Huade - Shenzhen</t>
  </si>
  <si>
    <t>Huade - Songjiang Shanghai</t>
  </si>
  <si>
    <t>China, Tianxin</t>
  </si>
  <si>
    <t>Huade - Tianxin</t>
  </si>
  <si>
    <t>Huade - Xigu</t>
  </si>
  <si>
    <t>Huade - Zhengzhou</t>
  </si>
  <si>
    <t>China, Huadu</t>
  </si>
  <si>
    <t>China, Yitulihe</t>
  </si>
  <si>
    <t>Huadu - Yitulihe</t>
  </si>
  <si>
    <t>China, Chengyang</t>
  </si>
  <si>
    <t>Huaian East - Chengyang</t>
  </si>
  <si>
    <t>Huaian - Chengyang</t>
  </si>
  <si>
    <t>China, Kunshan</t>
  </si>
  <si>
    <t>Huaian East - Kunshan South</t>
  </si>
  <si>
    <t>Huaian East - Taizhou</t>
  </si>
  <si>
    <t>Huaian - Taizhou Zhejiang</t>
  </si>
  <si>
    <t>China, Tangshan</t>
  </si>
  <si>
    <t>Huaian East - Tangshan</t>
  </si>
  <si>
    <t>Huaian - Tangshan</t>
  </si>
  <si>
    <t>China, Weifang</t>
  </si>
  <si>
    <t>Huaian East - Weifang</t>
  </si>
  <si>
    <t>Huaian East - Weifang North</t>
  </si>
  <si>
    <t>Huaian - Weifang</t>
  </si>
  <si>
    <t>China, Huaihua</t>
  </si>
  <si>
    <t>China, Fujian</t>
  </si>
  <si>
    <t>Huaihua - Fujian</t>
  </si>
  <si>
    <t>Huaihua South - Fuzhou</t>
  </si>
  <si>
    <t>Huaihua - Fuzhou</t>
  </si>
  <si>
    <t>China, Hengqin Island</t>
  </si>
  <si>
    <t>Huaihua - Hengqin Island</t>
  </si>
  <si>
    <t>Huaihua - Liupanshui</t>
  </si>
  <si>
    <t>China, Putian</t>
  </si>
  <si>
    <t>Huaihua South - Putian</t>
  </si>
  <si>
    <t>Huaihua - Putian</t>
  </si>
  <si>
    <t>China, Shanghai Hongqiao Airport</t>
  </si>
  <si>
    <t>Huaihua - Shanghai Hongqiao Airport</t>
  </si>
  <si>
    <t>Huaihua - Yangchun</t>
  </si>
  <si>
    <t>China, Huainan</t>
  </si>
  <si>
    <t>Huainan South - Shanghai Songjiang</t>
  </si>
  <si>
    <t>Huainan - Songjiang Shanghai</t>
  </si>
  <si>
    <t>China, Yutian</t>
  </si>
  <si>
    <t>Huainan South - Wuhu South</t>
  </si>
  <si>
    <t>Huainan - Yutian</t>
  </si>
  <si>
    <t>China, Huairen County</t>
  </si>
  <si>
    <t>Huairen County - Guangdong</t>
  </si>
  <si>
    <t>Datong South - Guangzhou South</t>
  </si>
  <si>
    <t>Huairen County - Guangzhou</t>
  </si>
  <si>
    <t>Datong South - Hangzhou West</t>
  </si>
  <si>
    <t>Huairen County - Hangzhou</t>
  </si>
  <si>
    <t>Huairen County - Hebei</t>
  </si>
  <si>
    <t>Datong South - Hengshui North</t>
  </si>
  <si>
    <t>Huairen County - Hengshui</t>
  </si>
  <si>
    <t>Huairen County - Saihan</t>
  </si>
  <si>
    <t>Datong South - Shanghai Hongqiao</t>
  </si>
  <si>
    <t>Huairen County - Shanghai</t>
  </si>
  <si>
    <t>Huairen County - Shanghai Hongqiao Airport</t>
  </si>
  <si>
    <t>Datong South - Shijiazhuang</t>
  </si>
  <si>
    <t>Huairen County - Shijiazhuang</t>
  </si>
  <si>
    <t>Huairen County - Zhejiang</t>
  </si>
  <si>
    <t>China, Hualong</t>
  </si>
  <si>
    <t>Hualong - Shanghai</t>
  </si>
  <si>
    <t>Puyang East - Shanghai Hongqiao</t>
  </si>
  <si>
    <t>Hualong - Shanghai Hongqiao Airport</t>
  </si>
  <si>
    <t>China, Huanggang</t>
  </si>
  <si>
    <t>Huanggang West - Jintan</t>
  </si>
  <si>
    <t>Huanggang West - Wujin</t>
  </si>
  <si>
    <t>Huanggang - Changzhou</t>
  </si>
  <si>
    <t>Huanggang West - Huizhou North</t>
  </si>
  <si>
    <t>Huanggang - Huizhou</t>
  </si>
  <si>
    <t>Huanggang - Jiangyuan</t>
  </si>
  <si>
    <t>Huanggang West - Shenzhen</t>
  </si>
  <si>
    <t>Huanggang - Shenzhen</t>
  </si>
  <si>
    <t>Huanggang West - Shanghai Songjiang</t>
  </si>
  <si>
    <t>Huanggang - Songjiang Shanghai</t>
  </si>
  <si>
    <t>China, Tongling</t>
  </si>
  <si>
    <t>Huanggang West - Tongling</t>
  </si>
  <si>
    <t>Huanggang - Tongling</t>
  </si>
  <si>
    <t>Huanggang West - Zhangjiagang</t>
  </si>
  <si>
    <t>Huanggang - Zhangjiagang</t>
  </si>
  <si>
    <t>Huangshan North - Guangzhou South</t>
  </si>
  <si>
    <t>Huangshan - Henan</t>
  </si>
  <si>
    <t>Huangshan - Pujiangzhen</t>
  </si>
  <si>
    <t>Huangshan - Saihan</t>
  </si>
  <si>
    <t>Huangshan North - Shanghai South</t>
  </si>
  <si>
    <t>China, Taizhou Jiangsu</t>
  </si>
  <si>
    <t>Huangshan North - Taizhou Jiangsu</t>
  </si>
  <si>
    <t>Huangshan - Taizhou Jiangsu</t>
  </si>
  <si>
    <t>China, Tianjin</t>
  </si>
  <si>
    <t>Huangshan North - Tianjin West</t>
  </si>
  <si>
    <t>Huangshan - Tianjin</t>
  </si>
  <si>
    <t>Huangshan North - Zhengzhou Hangkonggang</t>
  </si>
  <si>
    <t>China, Huangshi</t>
  </si>
  <si>
    <t>Huangshi - Fujian</t>
  </si>
  <si>
    <t>Huangshi North - Fuzhou</t>
  </si>
  <si>
    <t>Huangshi - Henan</t>
  </si>
  <si>
    <t>Huangshi North - Huizhou North</t>
  </si>
  <si>
    <t>Huangshi - Huizhou</t>
  </si>
  <si>
    <t>Huangshi North - Zhongkai</t>
  </si>
  <si>
    <t>Huangshi - Jiangbei</t>
  </si>
  <si>
    <t>Huangshi - Jiangjin</t>
  </si>
  <si>
    <t>Huangshi - Jiangyuan</t>
  </si>
  <si>
    <t>China, Huashan</t>
  </si>
  <si>
    <t>Huashan North - Zhangjiagang</t>
  </si>
  <si>
    <t>Huashan - Zhangjiagang</t>
  </si>
  <si>
    <t>Huaxi - Guangyuan</t>
  </si>
  <si>
    <t>China, Guangzhou Airport</t>
  </si>
  <si>
    <t>Huaxi - Guangzhou Airport</t>
  </si>
  <si>
    <t>China, Hedong</t>
  </si>
  <si>
    <t>Huaxi - Hedong</t>
  </si>
  <si>
    <t>China, Pingshan Shenzhen</t>
  </si>
  <si>
    <t>Huaxi - Pingshan Shenzhen</t>
  </si>
  <si>
    <t>Huaxi - Shanwei</t>
  </si>
  <si>
    <t>Huaxi - Wulong</t>
  </si>
  <si>
    <t>China, Hubei</t>
  </si>
  <si>
    <t>China, Fusui</t>
  </si>
  <si>
    <t>Hubei - Fusui</t>
  </si>
  <si>
    <t>Hubei - Huashan</t>
  </si>
  <si>
    <t>China, Qichun</t>
  </si>
  <si>
    <t>Hubei - Qichun</t>
  </si>
  <si>
    <t>China, Shaoyang</t>
  </si>
  <si>
    <t>Hubei - Shaoyang</t>
  </si>
  <si>
    <t>Hubei - Yulin Guangxi</t>
  </si>
  <si>
    <t>Hubei - Zhangjiagang</t>
  </si>
  <si>
    <t>China, Huidong</t>
  </si>
  <si>
    <t>China, Chaonan</t>
  </si>
  <si>
    <t>Huidong - Chaonan</t>
  </si>
  <si>
    <t>Huidong - Huaihua</t>
  </si>
  <si>
    <t>Huidong - Huaihua South</t>
  </si>
  <si>
    <t>China, Zhangjiajie</t>
  </si>
  <si>
    <t>Huidong - Zhangjiajie</t>
  </si>
  <si>
    <t>Huidong - Zhangjiajie West</t>
  </si>
  <si>
    <t>China, Huiyang District</t>
  </si>
  <si>
    <t>Huiyang District - Hengyang</t>
  </si>
  <si>
    <t>Huizhounan - Hengyang East</t>
  </si>
  <si>
    <t>Huiyang District - Huaihua</t>
  </si>
  <si>
    <t>Huizhounan - Huaihua South</t>
  </si>
  <si>
    <t>Huiyang District - Shanghai Hongqiao Airport</t>
  </si>
  <si>
    <t>Huiyang District - Sichuan</t>
  </si>
  <si>
    <t>China, Wuxi Jiangsu</t>
  </si>
  <si>
    <t>Huiyang District - Wuxi Jiangsu</t>
  </si>
  <si>
    <t>Huiyang - Wuxi</t>
  </si>
  <si>
    <t>Huiyang District - Zhangjiajie</t>
  </si>
  <si>
    <t>Huizhounan - Zhangjiajie West</t>
  </si>
  <si>
    <t>Huizhou North - Changzhou</t>
  </si>
  <si>
    <t>Huizhou - Changzhou</t>
  </si>
  <si>
    <t>Huizhou - Fujian</t>
  </si>
  <si>
    <t>Huizhou North - Fuzhou South</t>
  </si>
  <si>
    <t>Huizhou - Huaihua</t>
  </si>
  <si>
    <t>Huizhou - Huaihua South</t>
  </si>
  <si>
    <t>Huizhou - Shanghai Songjiang</t>
  </si>
  <si>
    <t>Huizhou - Songjiang Shanghai</t>
  </si>
  <si>
    <t>China, Xunxian</t>
  </si>
  <si>
    <t>Huizhou - Xunxian</t>
  </si>
  <si>
    <t>Huizhou - Zhangjiajie West</t>
  </si>
  <si>
    <t>Huizhou - Zhangjiajie</t>
  </si>
  <si>
    <t>China, Zhenjiang</t>
  </si>
  <si>
    <t>Huizhou North - Zhenjiang</t>
  </si>
  <si>
    <t>Huizhou - Zhenjiang</t>
  </si>
  <si>
    <t>Huludao North - Baoding East</t>
  </si>
  <si>
    <t>Huludao - Baoding</t>
  </si>
  <si>
    <t>Huludao North - Changchun</t>
  </si>
  <si>
    <t>Huludao North - Changchun West</t>
  </si>
  <si>
    <t>Huludao - Changchun</t>
  </si>
  <si>
    <t>Huludao North - Harbin West</t>
  </si>
  <si>
    <t>Huludao - Harbin</t>
  </si>
  <si>
    <t>Huludao - Harbin East</t>
  </si>
  <si>
    <t>Huludao - Harbin West</t>
  </si>
  <si>
    <t>Huludao - Heilongjiang</t>
  </si>
  <si>
    <t>Huludao North - Heze</t>
  </si>
  <si>
    <t>Huludao - Heze</t>
  </si>
  <si>
    <t>Huludao North - Taiyuan Shanxi</t>
  </si>
  <si>
    <t>Huludao - Taiyuan</t>
  </si>
  <si>
    <t>Huludao - Taiyuan Shanxi</t>
  </si>
  <si>
    <t>Huludao - Xunxian</t>
  </si>
  <si>
    <t>China, Humen Town</t>
  </si>
  <si>
    <t>Humen Town - Chengdu</t>
  </si>
  <si>
    <t>Humen - Chengdu East</t>
  </si>
  <si>
    <t>Humen Town - Guilin</t>
  </si>
  <si>
    <t>Humen - Guilin</t>
  </si>
  <si>
    <t>Humen - Guilin North</t>
  </si>
  <si>
    <t>Humen - Guilin West</t>
  </si>
  <si>
    <t>Humen Town - Henan</t>
  </si>
  <si>
    <t>Humen Town - Jiangzhou</t>
  </si>
  <si>
    <t>Humen Town - Neijiang</t>
  </si>
  <si>
    <t>Humen - Neijiang North</t>
  </si>
  <si>
    <t>Humen Town - Sichuan</t>
  </si>
  <si>
    <t>China, Xiangyang</t>
  </si>
  <si>
    <t>Humen Town - Xiangyang</t>
  </si>
  <si>
    <t>Humen - Xiangyang East</t>
  </si>
  <si>
    <t>China, Zhanjiang</t>
  </si>
  <si>
    <t>Humen Town - Zhanjiang</t>
  </si>
  <si>
    <t>Humen - Zhanjiang West</t>
  </si>
  <si>
    <t>Humen Town - Zhengzhou</t>
  </si>
  <si>
    <t>Humen - Zhengzhou</t>
  </si>
  <si>
    <t>Humen - Zhengzhou East</t>
  </si>
  <si>
    <t>Hunan - Datong</t>
  </si>
  <si>
    <t>Hunan - Huairen County</t>
  </si>
  <si>
    <t>China, Jiuquan</t>
  </si>
  <si>
    <t>Hunan - Jiuquan</t>
  </si>
  <si>
    <t>Hunan - Leshan</t>
  </si>
  <si>
    <t>China, Linyi</t>
  </si>
  <si>
    <t>Hunan - Linyi</t>
  </si>
  <si>
    <t>China, Sanmenxia</t>
  </si>
  <si>
    <t>Hunan - Sanmenxia</t>
  </si>
  <si>
    <t>China, Weinan</t>
  </si>
  <si>
    <t>Hunan - Weinan</t>
  </si>
  <si>
    <t>China, Xuanzhou</t>
  </si>
  <si>
    <t>Hunan - Xuanzhou</t>
  </si>
  <si>
    <t>China, Yantai</t>
  </si>
  <si>
    <t>Hunan - Yantai</t>
  </si>
  <si>
    <t>China, Yibin</t>
  </si>
  <si>
    <t>Hunan - Yibin</t>
  </si>
  <si>
    <t>Hunan - Yuncheng</t>
  </si>
  <si>
    <t>Hunan - Zhangjiagang</t>
  </si>
  <si>
    <t>China, Zhongwei</t>
  </si>
  <si>
    <t>Hunan - Zhongwei</t>
  </si>
  <si>
    <t>China, Huzhou</t>
  </si>
  <si>
    <t>Huzhou - Shanghai Songjiang</t>
  </si>
  <si>
    <t>Huzhou - Songjiang Shanghai</t>
  </si>
  <si>
    <t>Jiamusi - Chengdexian North</t>
  </si>
  <si>
    <t>Jiamusi - Sichuan</t>
  </si>
  <si>
    <t>China, Jiaxing</t>
  </si>
  <si>
    <t>Jian Jiangxi - Jiaxing</t>
  </si>
  <si>
    <t>Jian Jiangxi - Shaanxi</t>
  </si>
  <si>
    <t>Jiangbei - Changzhou</t>
  </si>
  <si>
    <t>Zhongkai - Changzhou</t>
  </si>
  <si>
    <t>Jiangbei - Zhangjiajie</t>
  </si>
  <si>
    <t>Jiangjin - Jinhua</t>
  </si>
  <si>
    <t>Jiangjin - Zhangjiajie</t>
  </si>
  <si>
    <t>Jiangning - Huludao</t>
  </si>
  <si>
    <t>China, Qiqihar</t>
  </si>
  <si>
    <t>Jiangsu - Qiqihar</t>
  </si>
  <si>
    <t>China, Jiangxia</t>
  </si>
  <si>
    <t>Jiangxia - Panyu</t>
  </si>
  <si>
    <t>Jiangyuan - Panyu</t>
  </si>
  <si>
    <t>China, Enshi</t>
  </si>
  <si>
    <t>Jiangzhou - Enshi</t>
  </si>
  <si>
    <t>Jiangzhou - Siping</t>
  </si>
  <si>
    <t>China, Jiaocheng</t>
  </si>
  <si>
    <t>Jiaocheng - Chengyang</t>
  </si>
  <si>
    <t>Jiaxing - Jiangning</t>
  </si>
  <si>
    <t>China, Jinzhou</t>
  </si>
  <si>
    <t>Jinzhou - Baotou</t>
  </si>
  <si>
    <t>Jinzhou - Huade</t>
  </si>
  <si>
    <t>Jinzhou - Jiamusi</t>
  </si>
  <si>
    <t>China, Jiujiang</t>
  </si>
  <si>
    <t>Jiujiang - Luoyang</t>
  </si>
  <si>
    <t>China, Kaili City</t>
  </si>
  <si>
    <t>Kaili City - Hangzhou</t>
  </si>
  <si>
    <t>Kaili South - Hangzhou East</t>
  </si>
  <si>
    <t>Kaili City - Zhejiang</t>
  </si>
  <si>
    <t>China, Kunming</t>
  </si>
  <si>
    <t>Kunming South - Anyang East</t>
  </si>
  <si>
    <t>Kunming - Anyang</t>
  </si>
  <si>
    <t>China, Duan Yao</t>
  </si>
  <si>
    <t>Kunming - Duan Yao</t>
  </si>
  <si>
    <t>Kunming - Duanzhou</t>
  </si>
  <si>
    <t>Kunming South - Neijiang North</t>
  </si>
  <si>
    <t>Kunming - Neijiang</t>
  </si>
  <si>
    <t>Kunming - Zhaoqing</t>
  </si>
  <si>
    <t>China, Liancheng</t>
  </si>
  <si>
    <t>Hechi West - Dushandong</t>
  </si>
  <si>
    <t>Hechi West - Duyun East</t>
  </si>
  <si>
    <t>Liancheng - Duyun</t>
  </si>
  <si>
    <t>China, Lianyungang</t>
  </si>
  <si>
    <t>Lianyungang - Yiwu</t>
  </si>
  <si>
    <t>China, Linfen</t>
  </si>
  <si>
    <t>Linfen West - Hanzhong</t>
  </si>
  <si>
    <t>Linfen - Hanzhong</t>
  </si>
  <si>
    <t>China, Linkou</t>
  </si>
  <si>
    <t>Linkou - Harbin</t>
  </si>
  <si>
    <t>China, Liuzhou</t>
  </si>
  <si>
    <t>Liuzhou - Duyun</t>
  </si>
  <si>
    <t>Liuzhou - Duyun East</t>
  </si>
  <si>
    <t>Liuzhou - Shaoyang</t>
  </si>
  <si>
    <t>China, Longyan</t>
  </si>
  <si>
    <t>Gutian Huizhi - Shanghai Hongqiao</t>
  </si>
  <si>
    <t>Longyan - Shanghai Hongqiao Airport</t>
  </si>
  <si>
    <t>Loudi South - Changsha</t>
  </si>
  <si>
    <t>Loudi South - Changsha South</t>
  </si>
  <si>
    <t>Loudi - Changsha</t>
  </si>
  <si>
    <t>Loudi - Hunan</t>
  </si>
  <si>
    <t>China, Chenzhou</t>
  </si>
  <si>
    <t>Luoyang Longmen - Chenzhou West</t>
  </si>
  <si>
    <t>Luoyang - Chenzhou</t>
  </si>
  <si>
    <t>Luoyang Longmen - Huaian East</t>
  </si>
  <si>
    <t>Luoyang - Huaian</t>
  </si>
  <si>
    <t>Luoyang - Pujiangzhen</t>
  </si>
  <si>
    <t>Luoyang Longmen - Shanghai South</t>
  </si>
  <si>
    <t>Mianyang - Shanghai Songjiang</t>
  </si>
  <si>
    <t>Mianyang - Songjiang Shanghai</t>
  </si>
  <si>
    <t>China, Wuming</t>
  </si>
  <si>
    <t>Mianyang - Nanning North</t>
  </si>
  <si>
    <t>Mianyang - Wuming</t>
  </si>
  <si>
    <t>Mingxi - Baise</t>
  </si>
  <si>
    <t>Mingxi - Beijing</t>
  </si>
  <si>
    <t>Mingxi - Changsha</t>
  </si>
  <si>
    <t>Mingxi - Chengdu</t>
  </si>
  <si>
    <t>Mingxi - Chongqing</t>
  </si>
  <si>
    <t>China, Chuxiong</t>
  </si>
  <si>
    <t>Mingxi - Chuxiong</t>
  </si>
  <si>
    <t>Mingxi - Duan Yao</t>
  </si>
  <si>
    <t>Mingxi - Duyun</t>
  </si>
  <si>
    <t>Mingxi - Fujian</t>
  </si>
  <si>
    <t>Mingxi - Fuzhou</t>
  </si>
  <si>
    <t>Mingxi - Guangdong</t>
  </si>
  <si>
    <t>Mingxi - Guangzhou</t>
  </si>
  <si>
    <t>Mingxi - Guzhang</t>
  </si>
  <si>
    <t>Mingxi - Hangzhou</t>
  </si>
  <si>
    <t>Mingxi - Hebei</t>
  </si>
  <si>
    <t>Mingxi - Hengqin Island</t>
  </si>
  <si>
    <t>Mingxi - Hengyang</t>
  </si>
  <si>
    <t>Mingxi - Hohhot</t>
  </si>
  <si>
    <t>Mingxi - Huaihua</t>
  </si>
  <si>
    <t>Mingxi - Huaxi</t>
  </si>
  <si>
    <t>Mingxi - Huiyang District</t>
  </si>
  <si>
    <t>Mingxi - Hunan</t>
  </si>
  <si>
    <t>Mingxi - Jiangsu</t>
  </si>
  <si>
    <t>China, Jiangxi</t>
  </si>
  <si>
    <t>Mingxi - Jiangxi</t>
  </si>
  <si>
    <t>Mingxi - Jiangzhou</t>
  </si>
  <si>
    <t>Mingxi - Jiaocheng</t>
  </si>
  <si>
    <t>Mingxi - Jiaxiang</t>
  </si>
  <si>
    <t>Mingxi - Jinhua</t>
  </si>
  <si>
    <t>China, Jishou</t>
  </si>
  <si>
    <t>Mingxi - Jishou</t>
  </si>
  <si>
    <t>Mingxi - Kunming</t>
  </si>
  <si>
    <t>Mingxi - Leshan</t>
  </si>
  <si>
    <t>Mingxi - Liancheng</t>
  </si>
  <si>
    <t>Mingxi - Liuzhou</t>
  </si>
  <si>
    <t>China, Maoming</t>
  </si>
  <si>
    <t>Mingxi - Maoming</t>
  </si>
  <si>
    <t>Mingxi - Mianyang</t>
  </si>
  <si>
    <t>China, Nanchang</t>
  </si>
  <si>
    <t>Mingxi - Nanchang</t>
  </si>
  <si>
    <t>Mingxi - Nanjing</t>
  </si>
  <si>
    <t>Mingxi - Neijiang</t>
  </si>
  <si>
    <t>China, Ningbo</t>
  </si>
  <si>
    <t>Mingxi - Ningbo</t>
  </si>
  <si>
    <t>Mingxi - Qingdao</t>
  </si>
  <si>
    <t>China, Qingzhen</t>
  </si>
  <si>
    <t>Mingxi - Qingzhen</t>
  </si>
  <si>
    <t>China, Quanzhou</t>
  </si>
  <si>
    <t>Mingxi - Quanzhou</t>
  </si>
  <si>
    <t>Mingxi - Saihan</t>
  </si>
  <si>
    <t>Mingxi - Shaanxi</t>
  </si>
  <si>
    <t>China, Shandong</t>
  </si>
  <si>
    <t>Mingxi - Shandong</t>
  </si>
  <si>
    <t>Mingxi - Shanghai</t>
  </si>
  <si>
    <t>Mingxi - Shanghai Hongqiao Airport</t>
  </si>
  <si>
    <t>Mingxi - Shaoyang</t>
  </si>
  <si>
    <t>Mingxi - Shenyang</t>
  </si>
  <si>
    <t>Mingxi - Shenzhen</t>
  </si>
  <si>
    <t>Mingxi - Shijiazhuang</t>
  </si>
  <si>
    <t>Mingxi - Shuangliu</t>
  </si>
  <si>
    <t>Mingxi - Sichuan</t>
  </si>
  <si>
    <t>China, Suzhou</t>
  </si>
  <si>
    <t>Mingxi - Suzhou</t>
  </si>
  <si>
    <t>Mingxi - Tianxin</t>
  </si>
  <si>
    <t>China, Wenshan City</t>
  </si>
  <si>
    <t>Mingxi - Wenshan City</t>
  </si>
  <si>
    <t>Mingxi - Wuzhou</t>
  </si>
  <si>
    <t>Mingxi - Xiamen</t>
  </si>
  <si>
    <t>Mingxi - Xian</t>
  </si>
  <si>
    <t>China, Xihu</t>
  </si>
  <si>
    <t>Mingxi - Xihu</t>
  </si>
  <si>
    <t>Mingxi - Xishui</t>
  </si>
  <si>
    <t>China, Xuchang</t>
  </si>
  <si>
    <t>Mingxi - Xuchang</t>
  </si>
  <si>
    <t>Mingxi - Yangchun</t>
  </si>
  <si>
    <t>Mingxi - Yiwu</t>
  </si>
  <si>
    <t>Mingxi - Yulin Guangxi</t>
  </si>
  <si>
    <t>China, Yunnan</t>
  </si>
  <si>
    <t>Mingxi - Yunnan</t>
  </si>
  <si>
    <t>Mingxi - Zhangjiajie</t>
  </si>
  <si>
    <t>Mingxi - Zhejiang</t>
  </si>
  <si>
    <t>Mingxi - Zhengzhou</t>
  </si>
  <si>
    <t>China, Zhuhai</t>
  </si>
  <si>
    <t>Mingxi - Zhuhai</t>
  </si>
  <si>
    <t>China, Mohe City</t>
  </si>
  <si>
    <t>Mohe City - Daqing</t>
  </si>
  <si>
    <t>Mohe - Daqing</t>
  </si>
  <si>
    <t>Mohe - Harbin East</t>
  </si>
  <si>
    <t>Mohe City - Xunxian</t>
  </si>
  <si>
    <t>Mudanjiang - Hebei</t>
  </si>
  <si>
    <t>Mudanjiang - Shijiazhuang</t>
  </si>
  <si>
    <t>Mudanjiang - Beijing Chaoyang</t>
  </si>
  <si>
    <t>Mudanjiang - Tacheng</t>
  </si>
  <si>
    <t>China, Anhui</t>
  </si>
  <si>
    <t>Nanchang West - Xuancheng</t>
  </si>
  <si>
    <t>Nanchang - Binhai</t>
  </si>
  <si>
    <t>Nanchang - Tanggu</t>
  </si>
  <si>
    <t>Nanchang - Xuanzhou</t>
  </si>
  <si>
    <t>Nanchang West - Zhangjiagang</t>
  </si>
  <si>
    <t>Nanchang - Zhangjiagang</t>
  </si>
  <si>
    <t>China, Nanchong</t>
  </si>
  <si>
    <t>China, Boluo</t>
  </si>
  <si>
    <t>Nanchong - Boluo</t>
  </si>
  <si>
    <t>Nanchong - Dongcheng South</t>
  </si>
  <si>
    <t>Nanchong North - Guangzhou North</t>
  </si>
  <si>
    <t>Nanchong - Guangzhou North</t>
  </si>
  <si>
    <t>Nanchong - Huaxi</t>
  </si>
  <si>
    <t>Nanchong - Nanjing</t>
  </si>
  <si>
    <t>Nanchong - Suzhou</t>
  </si>
  <si>
    <t>China, Nanhai</t>
  </si>
  <si>
    <t>Linkou South - Harbin</t>
  </si>
  <si>
    <t>Linkou South - Harbin West</t>
  </si>
  <si>
    <t>Nanhai - Harbin</t>
  </si>
  <si>
    <t>Nanhai - Heilongjiang</t>
  </si>
  <si>
    <t>Nanjing South - Huludao North</t>
  </si>
  <si>
    <t>Nanjing - Huludao</t>
  </si>
  <si>
    <t>Nanjing - Pujiangzhen</t>
  </si>
  <si>
    <t>Nanjing - Qiqihar</t>
  </si>
  <si>
    <t>Nanjing - Yijiang</t>
  </si>
  <si>
    <t>North Korea, Sinuiju</t>
  </si>
  <si>
    <t>Nanjing - Sinuiju</t>
  </si>
  <si>
    <t>China, Nanming</t>
  </si>
  <si>
    <t>Nanming - Sichuan</t>
  </si>
  <si>
    <t>China, Binyang</t>
  </si>
  <si>
    <t>Nanning East - Binyang</t>
  </si>
  <si>
    <t>Nanning - Binyang</t>
  </si>
  <si>
    <t>Nanning East - Dushandong</t>
  </si>
  <si>
    <t>Nanning East - Huiyang</t>
  </si>
  <si>
    <t>Nanning - Huiyang District</t>
  </si>
  <si>
    <t>Nanning - Qianwei</t>
  </si>
  <si>
    <t>Nanning East - Litang</t>
  </si>
  <si>
    <t>Nanning - Litang Guangxi</t>
  </si>
  <si>
    <t>Nanning - Liupanshui</t>
  </si>
  <si>
    <t>Nanning East - Qingdao North</t>
  </si>
  <si>
    <t>Nanning East - Guian</t>
  </si>
  <si>
    <t>Nanning - Qingzhen</t>
  </si>
  <si>
    <t>Nanning East - Quanzhou East</t>
  </si>
  <si>
    <t>Nanning - Sihui</t>
  </si>
  <si>
    <t>China, Nantong</t>
  </si>
  <si>
    <t>Nantong - Cangzhou</t>
  </si>
  <si>
    <t>Nanyang - Chongqing North</t>
  </si>
  <si>
    <t>Nanyang - Jiaxiang</t>
  </si>
  <si>
    <t>Nanyang - Zhangjiajie</t>
  </si>
  <si>
    <t>China, Ordos</t>
  </si>
  <si>
    <t>Ordos City - Baotou East</t>
  </si>
  <si>
    <t>Ordos - Inner Mongolia</t>
  </si>
  <si>
    <t>Ordos - Shaanxi</t>
  </si>
  <si>
    <t>Ordos - Taian</t>
  </si>
  <si>
    <t>China, Orongen Zizhiqi</t>
  </si>
  <si>
    <t>Orongen Zizhiqi - Heilongjiang</t>
  </si>
  <si>
    <t>Orongen Zizhiqi - Xunxian</t>
  </si>
  <si>
    <t>Guangzhou Changlong - Panyu</t>
  </si>
  <si>
    <t>Guangzhou Changlong - Shishan North</t>
  </si>
  <si>
    <t>Panyu - Guangzhou Changlong</t>
  </si>
  <si>
    <t>Panyu - Shishan North</t>
  </si>
  <si>
    <t>Shishan North - Guangzhou Changlong</t>
  </si>
  <si>
    <t>Shishan North - Panyu</t>
  </si>
  <si>
    <t>Pingshan Shenzhen - Pujiangzhen</t>
  </si>
  <si>
    <t>Shenzhen Pingshan - Shanghai South</t>
  </si>
  <si>
    <t>Pingshan Shenzhen - Shanghai Hongqiao Airport</t>
  </si>
  <si>
    <t>China, Pingxiang</t>
  </si>
  <si>
    <t>Pingxiang - Shanghai Hongqiao Airport</t>
  </si>
  <si>
    <t>Pingyao - Shanghai Hongqiao Airport</t>
  </si>
  <si>
    <t>Shanghai Hongqiao - Neijiang North</t>
  </si>
  <si>
    <t>Shanghai - Neijiang</t>
  </si>
  <si>
    <t>China, Pingliang</t>
  </si>
  <si>
    <t>Shanghai - Pingliang</t>
  </si>
  <si>
    <t>China, Ruijin</t>
  </si>
  <si>
    <t>Shanghai Hongqiao - Changting South</t>
  </si>
  <si>
    <t>Shanghai Hongqiao - Ruijin</t>
  </si>
  <si>
    <t>Shanghai - Ruijin</t>
  </si>
  <si>
    <t>Shanghai South - Wuhu North</t>
  </si>
  <si>
    <t>Shanghai - Xinmin</t>
  </si>
  <si>
    <t>Shanghai Hongqiao - Xintang</t>
  </si>
  <si>
    <t>Shanghai South - Xintang</t>
  </si>
  <si>
    <t>Shanghai - Zengcheng</t>
  </si>
  <si>
    <t>Shanghai - Zhongwei</t>
  </si>
  <si>
    <t>China, Shangrao</t>
  </si>
  <si>
    <t>Shangrao - Sanming</t>
  </si>
  <si>
    <t>Shangrao - Sanming North</t>
  </si>
  <si>
    <t>China, Shantou</t>
  </si>
  <si>
    <t>Shantou - Shaoyang</t>
  </si>
  <si>
    <t>China, Shaoguan</t>
  </si>
  <si>
    <t>Shaoguan - Hong Kong Island</t>
  </si>
  <si>
    <t>Shaoguan - Jiangzhou</t>
  </si>
  <si>
    <t>Shaoguan East - Wulong</t>
  </si>
  <si>
    <t>Shaoguan - Wulong</t>
  </si>
  <si>
    <t>Shaoguan East - Zhengzhou</t>
  </si>
  <si>
    <t>Shaoguan - Zhengzhou</t>
  </si>
  <si>
    <t>Shaoguan - Zhengzhou East</t>
  </si>
  <si>
    <t>Shaoguan - Kowloon</t>
  </si>
  <si>
    <t>China, Shaoshan</t>
  </si>
  <si>
    <t>China, Guiyang</t>
  </si>
  <si>
    <t>Shaoshan South - Guiyang East</t>
  </si>
  <si>
    <t>Shaoshan South - Guiyang North</t>
  </si>
  <si>
    <t>Shaoshan - Guiyang</t>
  </si>
  <si>
    <t>Shaoshan - Guzhang</t>
  </si>
  <si>
    <t>Shaoshan South - Jishou East</t>
  </si>
  <si>
    <t>Shaoshan - Jishou</t>
  </si>
  <si>
    <t>Shaoshan - Xishui</t>
  </si>
  <si>
    <t>Shaoyang - Shanghai Hongqiao Airport</t>
  </si>
  <si>
    <t>Shenyang North - Kaifeng</t>
  </si>
  <si>
    <t>Shenyang - Kaifeng</t>
  </si>
  <si>
    <t>Shenyang North - Zhangjiagang</t>
  </si>
  <si>
    <t>Shenyang - Zhangjiagang</t>
  </si>
  <si>
    <t>Shenzhen North - Fenghuanggucheng</t>
  </si>
  <si>
    <t>Shenzhen - Fenghuang</t>
  </si>
  <si>
    <t>Shenzhen East - Hohhot East</t>
  </si>
  <si>
    <t>Shenzhen North - Neijiang North</t>
  </si>
  <si>
    <t>Shenzhen - Neijiang</t>
  </si>
  <si>
    <t>Shenzhen East - Shanghai Songjiang</t>
  </si>
  <si>
    <t>Shenzhen - Songjiang Shanghai</t>
  </si>
  <si>
    <t>Shenzhen - Taian</t>
  </si>
  <si>
    <t>Shenzhen North - Zhangjiagang</t>
  </si>
  <si>
    <t>Shenzhen - Zhangjiagang</t>
  </si>
  <si>
    <t>China, Shexian</t>
  </si>
  <si>
    <t>China, Bengbu</t>
  </si>
  <si>
    <t>Sanyang - Bengbu South</t>
  </si>
  <si>
    <t>Shexian - Bengbu</t>
  </si>
  <si>
    <t>Shijiazhuang - Boluo</t>
  </si>
  <si>
    <t>Shijiazhuang - Chengdu Airport</t>
  </si>
  <si>
    <t>Shijiazhuang - Shuangliu Airport</t>
  </si>
  <si>
    <t>Shijiazhuang - Haikou</t>
  </si>
  <si>
    <t>Shijiazhuang - Liupanshui</t>
  </si>
  <si>
    <t>Shijiazhuang - Siping</t>
  </si>
  <si>
    <t>Shijiazhuang - Siping East</t>
  </si>
  <si>
    <t>Shiyan - Dongguan</t>
  </si>
  <si>
    <t>Shiyan - Dongguan East</t>
  </si>
  <si>
    <t>Shiyan - Harbin</t>
  </si>
  <si>
    <t>Shiyan - Harbin West</t>
  </si>
  <si>
    <t>Shiyan East - Huanggang West</t>
  </si>
  <si>
    <t>Shiyan - Huanggang</t>
  </si>
  <si>
    <t>Shiyan East - Humen</t>
  </si>
  <si>
    <t>Shiyan - Humen Town</t>
  </si>
  <si>
    <t>Shiyan - Jiangbei</t>
  </si>
  <si>
    <t>China, Dayi</t>
  </si>
  <si>
    <t>Shuangliu - Dayi</t>
  </si>
  <si>
    <t>Shuangliu - Dongsheng</t>
  </si>
  <si>
    <t>Shuangliu - Huashan</t>
  </si>
  <si>
    <t>China, Luliang</t>
  </si>
  <si>
    <t>Shuangliu - Luliang</t>
  </si>
  <si>
    <t>China, Songpan</t>
  </si>
  <si>
    <t>Shuangliu - Songpan</t>
  </si>
  <si>
    <t>China, Wanzhi</t>
  </si>
  <si>
    <t>Shuangliu - Wanzhi</t>
  </si>
  <si>
    <t>Shuangliu - Wulong</t>
  </si>
  <si>
    <t>China, Shunde</t>
  </si>
  <si>
    <t>Beijiao West - Guangzhou Changlong</t>
  </si>
  <si>
    <t>Beijiao West - Panyu</t>
  </si>
  <si>
    <t>Beijiao West - Shishan North</t>
  </si>
  <si>
    <t>Chencun - Guangzhou Changlong</t>
  </si>
  <si>
    <t>Chencun - Panyu</t>
  </si>
  <si>
    <t>Chencun - Shishan North</t>
  </si>
  <si>
    <t>Shunde - Panyu</t>
  </si>
  <si>
    <t>Sichuan - Bengbu</t>
  </si>
  <si>
    <t>Sichuan - Chenzhou</t>
  </si>
  <si>
    <t>Sichuan - Dayi</t>
  </si>
  <si>
    <t>Sichuan - Deyang</t>
  </si>
  <si>
    <t>China, Guanghan</t>
  </si>
  <si>
    <t>Sichuan - Guanghan</t>
  </si>
  <si>
    <t>Sichuan - Hezhou</t>
  </si>
  <si>
    <t>Sichuan - Hohhot</t>
  </si>
  <si>
    <t>Sichuan - Jiaxing</t>
  </si>
  <si>
    <t>China, Puer City</t>
  </si>
  <si>
    <t>Sichuan - Puer City</t>
  </si>
  <si>
    <t>China, Qingbaijiang</t>
  </si>
  <si>
    <t>Sichuan - Qingbaijiang</t>
  </si>
  <si>
    <t>Sichuan - Taian</t>
  </si>
  <si>
    <t>Sichuan - Zhangjiakou</t>
  </si>
  <si>
    <t>Sihui - Henan</t>
  </si>
  <si>
    <t>Jining North - Kaifeng North</t>
  </si>
  <si>
    <t>Sihui - Kaifeng</t>
  </si>
  <si>
    <t>Sihui - Shaanxi</t>
  </si>
  <si>
    <t>Sihui - Songjiang Shanghai</t>
  </si>
  <si>
    <t>Sihui - Yiwu</t>
  </si>
  <si>
    <t>Jining North - Zhengzhou East</t>
  </si>
  <si>
    <t>Sihui - Zhengzhou</t>
  </si>
  <si>
    <t>Shanghai Songjiang - Anji</t>
  </si>
  <si>
    <t>Songjiang Shanghai - Anji</t>
  </si>
  <si>
    <t>Shanghai Songjiang - Ankang</t>
  </si>
  <si>
    <t>Songjiang Shanghai - Ankang</t>
  </si>
  <si>
    <t>Shanghai Songjiang - Baotou</t>
  </si>
  <si>
    <t>Shanghai Songjiang - Baotou East</t>
  </si>
  <si>
    <t>Songjiang Shanghai - Baotou</t>
  </si>
  <si>
    <t>Songjiang Shanghai - Changzhi</t>
  </si>
  <si>
    <t>Shanghai Songjiang - Chenzhou</t>
  </si>
  <si>
    <t>Songjiang Shanghai - Chenzhou</t>
  </si>
  <si>
    <t>Shanghai Songjiang - Datong</t>
  </si>
  <si>
    <t>Songjiang Shanghai - Datong</t>
  </si>
  <si>
    <t>Shanghai Songjiang - Fenghuanggucheng</t>
  </si>
  <si>
    <t>Songjiang Shanghai - Fenghuang</t>
  </si>
  <si>
    <t>China, Ganzhou</t>
  </si>
  <si>
    <t>Shanghai Songjiang - Ganzhou</t>
  </si>
  <si>
    <t>Songjiang Shanghai - Ganzhou</t>
  </si>
  <si>
    <t>Shanghai Songjiang - Guangyuan</t>
  </si>
  <si>
    <t>Songjiang Shanghai - Guangyuan</t>
  </si>
  <si>
    <t>Shanghai Songjiang - Haikou</t>
  </si>
  <si>
    <t>Songjiang Shanghai - Haikou</t>
  </si>
  <si>
    <t>Shanghai Songjiang - Hanzhong</t>
  </si>
  <si>
    <t>Songjiang Shanghai - Hanzhong</t>
  </si>
  <si>
    <t>Shanghai Songjiang - Hengshui</t>
  </si>
  <si>
    <t>Songjiang Shanghai - Hengshui</t>
  </si>
  <si>
    <t>Shanghai Songjiang - Heze</t>
  </si>
  <si>
    <t>Songjiang Shanghai - Heze</t>
  </si>
  <si>
    <t>Shanghai Songjiang - Hohhot</t>
  </si>
  <si>
    <t>Shanghai Songjiang - Hohhot East</t>
  </si>
  <si>
    <t>Songjiang Shanghai - Hohhot</t>
  </si>
  <si>
    <t>Songjiang Shanghai - Huade</t>
  </si>
  <si>
    <t>Shanghai Songjiang - Huanggang West</t>
  </si>
  <si>
    <t>Songjiang Shanghai - Huanggang</t>
  </si>
  <si>
    <t>Shanghai Songjiang - Huizhou North</t>
  </si>
  <si>
    <t>Songjiang Shanghai - Inner Mongolia</t>
  </si>
  <si>
    <t>Shanghai Songjiang - Jian Jiangxi</t>
  </si>
  <si>
    <t>Songjiang Shanghai - Jian Jiangxi</t>
  </si>
  <si>
    <t>Songjiang Shanghai - Jiangbei</t>
  </si>
  <si>
    <t>Songjiang Shanghai - Jiangjin</t>
  </si>
  <si>
    <t>China, Jingdezhen</t>
  </si>
  <si>
    <t>Shanghai Songjiang - Jingdezhen North</t>
  </si>
  <si>
    <t>Songjiang Shanghai - Jingdezhen</t>
  </si>
  <si>
    <t>Shanghai Songjiang - Kaifeng</t>
  </si>
  <si>
    <t>Songjiang Shanghai - Kaifeng</t>
  </si>
  <si>
    <t>China, Luzhou</t>
  </si>
  <si>
    <t>Shanghai Songjiang - Changzhi East</t>
  </si>
  <si>
    <t>Songjiang Shanghai - Luzhou</t>
  </si>
  <si>
    <t>Shanghai Songjiang - Maoming</t>
  </si>
  <si>
    <t>Songjiang Shanghai - Maoming</t>
  </si>
  <si>
    <t>Shanghai Songjiang - Nanyang</t>
  </si>
  <si>
    <t>Songjiang Shanghai - Nanyang</t>
  </si>
  <si>
    <t>Songjiang Shanghai - Shaanxi</t>
  </si>
  <si>
    <t>Shanghai Songjiang - Shaoguan East</t>
  </si>
  <si>
    <t>Songjiang Shanghai - Shaoguan</t>
  </si>
  <si>
    <t>Songjiang Shanghai - Shuangliu</t>
  </si>
  <si>
    <t>Songjiang Shanghai - Sihui</t>
  </si>
  <si>
    <t>China, Suqian</t>
  </si>
  <si>
    <t>Shanghai Songjiang - Suqian</t>
  </si>
  <si>
    <t>Songjiang Shanghai - Suqian</t>
  </si>
  <si>
    <t>Songjiang Shanghai - Taian</t>
  </si>
  <si>
    <t>Shanghai Songjiang - Taizhou Jiangsu</t>
  </si>
  <si>
    <t>Songjiang Shanghai - Taizhou Jiangsu</t>
  </si>
  <si>
    <t>China, Tiantai</t>
  </si>
  <si>
    <t>Shanghai Songjiang - Tiantaishan</t>
  </si>
  <si>
    <t>Songjiang Shanghai - Tiantai</t>
  </si>
  <si>
    <t>Shanghai Songjiang - Tongling</t>
  </si>
  <si>
    <t>Songjiang Shanghai - Tongling</t>
  </si>
  <si>
    <t>Shanghai Songjiang - Dayu</t>
  </si>
  <si>
    <t>Songjiang Shanghai - Weifang</t>
  </si>
  <si>
    <t>China, Weihai</t>
  </si>
  <si>
    <t>Shanghai Songjiang - Weihai</t>
  </si>
  <si>
    <t>Shanghai Songjiang - Weihai North</t>
  </si>
  <si>
    <t>Songjiang Shanghai - Weihai</t>
  </si>
  <si>
    <t>Songjiang Shanghai - Wenjiang</t>
  </si>
  <si>
    <t>Shanghai Songjiang - Wuhu North</t>
  </si>
  <si>
    <t>Songjiang Shanghai - Xinmin</t>
  </si>
  <si>
    <t>Shanghai Songjiang - Xinyang</t>
  </si>
  <si>
    <t>Songjiang Shanghai - Xinyang</t>
  </si>
  <si>
    <t>Shanghai Songjiang - Xuchang North</t>
  </si>
  <si>
    <t>Songjiang Shanghai - Xuchang</t>
  </si>
  <si>
    <t>China, Yiyang</t>
  </si>
  <si>
    <t>Shanghai Songjiang - Yiyang</t>
  </si>
  <si>
    <t>Songjiang Shanghai - Yiyang</t>
  </si>
  <si>
    <t>China, Yueqing</t>
  </si>
  <si>
    <t>Shanghai Songjiang - Xishui South</t>
  </si>
  <si>
    <t>Songjiang Shanghai - Yueqing</t>
  </si>
  <si>
    <t>Shanghai Songjiang - Wuhu South</t>
  </si>
  <si>
    <t>Songjiang Shanghai - Yutian</t>
  </si>
  <si>
    <t>Shanghai Songjiang - Xintang</t>
  </si>
  <si>
    <t>Songjiang Shanghai - Zengcheng</t>
  </si>
  <si>
    <t>Shanghai Songjiang - Zhanjiang West</t>
  </si>
  <si>
    <t>Songjiang Shanghai - Zhanjiang</t>
  </si>
  <si>
    <t>Huanglong Jiuzhai - Chengdu South</t>
  </si>
  <si>
    <t>Songpan - Chengdu Airport</t>
  </si>
  <si>
    <t>Songpan - Shuangliu Airport</t>
  </si>
  <si>
    <t>Songpan - Shuangliu</t>
  </si>
  <si>
    <t>Songpan - Sichuan</t>
  </si>
  <si>
    <t>Huangshengguan - Songpan</t>
  </si>
  <si>
    <t>China, Songyuan</t>
  </si>
  <si>
    <t>China, Jilin</t>
  </si>
  <si>
    <t>Songyuan - Jilin</t>
  </si>
  <si>
    <t>China, Tieling</t>
  </si>
  <si>
    <t>Songyuan - Tieling</t>
  </si>
  <si>
    <t>China, Suifenhe</t>
  </si>
  <si>
    <t>Suifenhe - Mudanjiang</t>
  </si>
  <si>
    <t>China, Suihua</t>
  </si>
  <si>
    <t>Suihua - Jiamusi</t>
  </si>
  <si>
    <t>China, Yichun Heilongjiang</t>
  </si>
  <si>
    <t>Suihua - Yichun Heilongjiang</t>
  </si>
  <si>
    <t>China, Urumqi</t>
  </si>
  <si>
    <t>Urumqi - Hubei</t>
  </si>
  <si>
    <t>Wuhan - Chengyang</t>
  </si>
  <si>
    <t>Wuchang - Shaoyang</t>
  </si>
  <si>
    <t>China, Rugao</t>
  </si>
  <si>
    <t>Xiamen North - Nanan North</t>
  </si>
  <si>
    <t>Xiamen - Rugao</t>
  </si>
  <si>
    <t>China, Xichang</t>
  </si>
  <si>
    <t>China, Lijiang</t>
  </si>
  <si>
    <t>Xichang West - Lijiang</t>
  </si>
  <si>
    <t>Xichang - Lijiang</t>
  </si>
  <si>
    <t>China, Yangjiang</t>
  </si>
  <si>
    <t>Yangjiang - Shenzhen</t>
  </si>
  <si>
    <t>Yangjiang - Shenzhen North</t>
  </si>
  <si>
    <t>Zhangjiakou - Shijiazhuang</t>
  </si>
  <si>
    <t>Zhaoqing - Changchun</t>
  </si>
  <si>
    <t>Zhaoqing - Haikou</t>
  </si>
  <si>
    <t>Zhaoqing - Jinhua</t>
  </si>
  <si>
    <t>Zhengzhou - Cangzhou</t>
  </si>
  <si>
    <t>Zhengzhou East - Shanghai South</t>
  </si>
  <si>
    <t>France, Briancon</t>
  </si>
  <si>
    <t>Italy, Turin</t>
  </si>
  <si>
    <t>Briancon Transfer - Turin Hotel Transfer</t>
  </si>
  <si>
    <t>charter | Minivan 7pax</t>
  </si>
  <si>
    <t>charter | Standard 3pax</t>
  </si>
  <si>
    <t>France, Courchevel</t>
  </si>
  <si>
    <t>Courchevel Transfer - Turin Hotel Transfer</t>
  </si>
  <si>
    <t>France, La Salle les Alpes</t>
  </si>
  <si>
    <t>Le Bez Hotel Transfer - Turin Hotel Transfer</t>
  </si>
  <si>
    <t>Serre Chevalier Hotel Transfer - Turin Hotel Transfer</t>
  </si>
  <si>
    <t>France, Meribel</t>
  </si>
  <si>
    <t>Meribel Hotel Transfer - Turin Hotel Transfer</t>
  </si>
  <si>
    <t>France, Modane</t>
  </si>
  <si>
    <t>Valfrejus Transfer - Turin Hotel Transfer</t>
  </si>
  <si>
    <t>France, Montgenevre</t>
  </si>
  <si>
    <t>Montgenevre Hotel Transfer - Turin Hotel Transfer</t>
  </si>
  <si>
    <t>France, Val Cenis</t>
  </si>
  <si>
    <t>Val Cenis Transfer - Turin Hotel Transfer</t>
  </si>
  <si>
    <t>France, Val d Isere</t>
  </si>
  <si>
    <t>Val d Isere Transfer - Turin Hotel Transfer</t>
  </si>
  <si>
    <t>Greece, Adele</t>
  </si>
  <si>
    <t>Greece, Chania</t>
  </si>
  <si>
    <t>Adele Hotel Transfer - Chania Airport</t>
  </si>
  <si>
    <t>charter | Premium 4pax</t>
  </si>
  <si>
    <t>charter | Premium Minibus 13pax</t>
  </si>
  <si>
    <t>charter | Premium Van 8pax</t>
  </si>
  <si>
    <t>Greece, Heraklion</t>
  </si>
  <si>
    <t>Adele Hotel Transfer - Heraklion Airport</t>
  </si>
  <si>
    <t>Greece, Adelianos Kampos</t>
  </si>
  <si>
    <t>Adelianos Kampos Hotel Transfer - Chania Airport</t>
  </si>
  <si>
    <t>Adelianos Kampos Hotel Transfer - Heraklion Airport</t>
  </si>
  <si>
    <t>Greece, Agia Galini</t>
  </si>
  <si>
    <t>Agia Galini Hotel Transfer - Chania Airport</t>
  </si>
  <si>
    <t>Agia Galini Hotel Transfer - Heraklion Airport</t>
  </si>
  <si>
    <t>Greece, Agia Marina Chania</t>
  </si>
  <si>
    <t>Agia Marina Hotel Transfer - Chania Airport</t>
  </si>
  <si>
    <t>Agia Marina Hotel Transfer - Heraklion Airport</t>
  </si>
  <si>
    <t>Greece, Agia Pelagia</t>
  </si>
  <si>
    <t>Agia Pelagia Hotel Transfer - Chania Airport</t>
  </si>
  <si>
    <t>Agia Pelagia Hotel Transfer - Heraklion Airport</t>
  </si>
  <si>
    <t>Greece, Agia Triada Rethymno</t>
  </si>
  <si>
    <t>Agia Triada Hotel Transfer - Chania Airport</t>
  </si>
  <si>
    <t>Agia Triada Hotel Transfer - Heraklion Airport</t>
  </si>
  <si>
    <t>Greece, Agios Nikolaos</t>
  </si>
  <si>
    <t>Agios Nikolaos Hotel Transfer - Chania Airport</t>
  </si>
  <si>
    <t>Agios Nikolaos Hotel Transfer - Heraklion Airport</t>
  </si>
  <si>
    <t>Greece, Agios Pavlos</t>
  </si>
  <si>
    <t>Agios Pavlos Hotel Transfer - Chania Airport</t>
  </si>
  <si>
    <t>Agios Pavlos Hotel Transfer - Heraklion Airport</t>
  </si>
  <si>
    <t>Greece, Akrotiri Crete</t>
  </si>
  <si>
    <t>Akrotiri Crete Hotel Transfer - Chania Airport</t>
  </si>
  <si>
    <t>Akrotiri Crete Hotel Transfer - Heraklion Airport</t>
  </si>
  <si>
    <t>Greece, Almyrida</t>
  </si>
  <si>
    <t>Almyrida Hotel Transfer - Chania Airport</t>
  </si>
  <si>
    <t>Almyrida Hotel Transfer - Heraklion Airport</t>
  </si>
  <si>
    <t>Greece, Ammoudara</t>
  </si>
  <si>
    <t>Ammoudara Hotel Transfer - Chania Airport</t>
  </si>
  <si>
    <t>Ammoudara Hotel Transfer - Heraklion Airport</t>
  </si>
  <si>
    <t>Greece, Analipsi</t>
  </si>
  <si>
    <t>Analipsi Hotel Transfer - Chania Airport</t>
  </si>
  <si>
    <t>Analipsi Hotel Transfer - Heraklion Airport</t>
  </si>
  <si>
    <t>Greece, Anissaras</t>
  </si>
  <si>
    <t>Anissaras Hotel Transfer - Chania Airport</t>
  </si>
  <si>
    <t>Anissaras Hotel Transfer - Heraklion Airport</t>
  </si>
  <si>
    <t>Greece, Anopoli</t>
  </si>
  <si>
    <t>Anopoli Hotel Transfer - Chania Airport</t>
  </si>
  <si>
    <t>Anopoli Hotel Transfer - Heraklion Airport</t>
  </si>
  <si>
    <t>Greece, Aptera</t>
  </si>
  <si>
    <t>Aptera Hotel Transfer - Chania Airport</t>
  </si>
  <si>
    <t>Aptera Hotel Transfer - Heraklion Airport</t>
  </si>
  <si>
    <t>Greece, Armenoi</t>
  </si>
  <si>
    <t>Armenoi Hotel Transfer - Chania Airport</t>
  </si>
  <si>
    <t>Armenoi Hotel Transfer - Heraklion Airport</t>
  </si>
  <si>
    <t>Greece, Aspro</t>
  </si>
  <si>
    <t>Aspro Hotel Transfer - Chania Airport</t>
  </si>
  <si>
    <t>Aspro Hotel Transfer - Heraklion Airport</t>
  </si>
  <si>
    <t>Greece, Atsipopoulo</t>
  </si>
  <si>
    <t>Atsipopoulo Hotel Transfer - Chania Airport</t>
  </si>
  <si>
    <t>Atsipopoulo Hotel Transfer - Heraklion Airport</t>
  </si>
  <si>
    <t>Greece, Bali Rethymno</t>
  </si>
  <si>
    <t>Bali Rethymno Hotel Transfer - Chania Airport</t>
  </si>
  <si>
    <t>Bali Rethymno Hotel Transfer - Heraklion Airport</t>
  </si>
  <si>
    <t>Chania Airport - Adele Hotel Transfer</t>
  </si>
  <si>
    <t>Chania Airport - Adelianos Kampos Hotel Transfer</t>
  </si>
  <si>
    <t>Chania Airport - Agia Galini Hotel Transfer</t>
  </si>
  <si>
    <t>Chania Airport - Agia Marina Hotel Transfer</t>
  </si>
  <si>
    <t>Chania Airport - Agia Pelagia Hotel Transfer</t>
  </si>
  <si>
    <t>Chania Airport - Agia Triada Hotel Transfer</t>
  </si>
  <si>
    <t>Chania Airport - Agios Nikolaos Hotel Transfer</t>
  </si>
  <si>
    <t>Chania Airport - Agios Pavlos Hotel Transfer</t>
  </si>
  <si>
    <t>Chania Airport - Akrotiri Crete Hotel Transfer</t>
  </si>
  <si>
    <t>Chania Airport - Almyrida Hotel Transfer</t>
  </si>
  <si>
    <t>Chania Airport - Ammoudara Hotel Transfer</t>
  </si>
  <si>
    <t>Chania Airport - Analipsi Hotel Transfer</t>
  </si>
  <si>
    <t>Chania Airport - Anissaras Hotel Transfer</t>
  </si>
  <si>
    <t>Chania Airport - Anopoli Hotel Transfer</t>
  </si>
  <si>
    <t>Chania Airport - Aptera Hotel Transfer</t>
  </si>
  <si>
    <t>Chania Airport - Armenoi Hotel Transfer</t>
  </si>
  <si>
    <t>Chania Airport - Aspro Hotel Transfer</t>
  </si>
  <si>
    <t>Chania Airport - Atsipopoulo Hotel Transfer</t>
  </si>
  <si>
    <t>Chania Airport - Bali Rethymno Hotel Transfer</t>
  </si>
  <si>
    <t>Agioi Apostoli Hotel Transfer - Chania Airport</t>
  </si>
  <si>
    <t>Chania Airport - Agioi Apostoli Hotel Transfer</t>
  </si>
  <si>
    <t>Chania Airport - Chania Hotel Transfer</t>
  </si>
  <si>
    <t>Chania Airport - Chania Port</t>
  </si>
  <si>
    <t>Chania Airport - Kalamaki Hotel Transfer</t>
  </si>
  <si>
    <t>Chania Airport - Kato Daratso Hotel Transfer</t>
  </si>
  <si>
    <t>Chania Airport - Kato Galatas Hotel Transfer</t>
  </si>
  <si>
    <t>Chania Airport - Kato Stalos Hotel Transfer</t>
  </si>
  <si>
    <t>Chania Airport - Makris Tichos Hotel Transfer</t>
  </si>
  <si>
    <t>Chania Hotel Transfer - Chania Airport</t>
  </si>
  <si>
    <t>Chania Port - Chania Airport</t>
  </si>
  <si>
    <t>Kalamaki Hotel Transfer - Chania Airport</t>
  </si>
  <si>
    <t>Kato Daratso Hotel Transfer - Chania Airport</t>
  </si>
  <si>
    <t>Kato Galatas Hotel Transfer - Chania Airport</t>
  </si>
  <si>
    <t>Kato Stalos Hotel Transfer - Chania Airport</t>
  </si>
  <si>
    <t>Makris Tichos Hotel Transfer - Chania Airport</t>
  </si>
  <si>
    <t>Greece, Chorafakia</t>
  </si>
  <si>
    <t>Chania Airport - Chorafakia Hotel Transfer</t>
  </si>
  <si>
    <t>Greece, Crete</t>
  </si>
  <si>
    <t>Chania Airport - Elafonissi Beach</t>
  </si>
  <si>
    <t>Chania Airport - Pano Stalos Hotel Transfer</t>
  </si>
  <si>
    <t>Greece, Damnoni</t>
  </si>
  <si>
    <t>Chania Airport - Damnoni Hotel Transfer</t>
  </si>
  <si>
    <t>Greece, Dramia</t>
  </si>
  <si>
    <t>Chania Airport - Dramia Hotel Transfer</t>
  </si>
  <si>
    <t>Greece, Elounda</t>
  </si>
  <si>
    <t>Chania Airport - Elounda Hotel Transfer</t>
  </si>
  <si>
    <t>Greece, Episkopi Rethymno</t>
  </si>
  <si>
    <t>Chania Airport - Episkopi Rethymno Hotel Transfer</t>
  </si>
  <si>
    <t>Greece, Exopoli</t>
  </si>
  <si>
    <t>Chania Airport - Exopoli Hotel Transfer</t>
  </si>
  <si>
    <t>Greece, Falasarna</t>
  </si>
  <si>
    <t>Chania Airport - Falasarna Hotel Transfer</t>
  </si>
  <si>
    <t>Greece, Ferma</t>
  </si>
  <si>
    <t>Chania Airport - Ferma Hotel Transfer</t>
  </si>
  <si>
    <t>Greece, Fodele</t>
  </si>
  <si>
    <t>Chania Airport - Fodele Hotel Transfer</t>
  </si>
  <si>
    <t>Greece, Frangokastello</t>
  </si>
  <si>
    <t>Chania Airport - Frangokastello Hotel Transfer</t>
  </si>
  <si>
    <t>Greece, Galatas Chania</t>
  </si>
  <si>
    <t>Chania Airport - Galatas Chania Hotel Transfer</t>
  </si>
  <si>
    <t>Greece, Gavalochori</t>
  </si>
  <si>
    <t>Chania Airport - Gavalochori Hotel Transfer</t>
  </si>
  <si>
    <t>Greece, Gazi</t>
  </si>
  <si>
    <t>Chania Airport - Gazi Hotel Transfer</t>
  </si>
  <si>
    <t>Greece, Georgioupoli</t>
  </si>
  <si>
    <t>Chania Airport - Georgioupoli Hotel Transfer</t>
  </si>
  <si>
    <t>Greece, Gerani Chania</t>
  </si>
  <si>
    <t>Chania Airport - Gerani Chania Hotel Transfer</t>
  </si>
  <si>
    <t>Greece, Gerani Rethymno</t>
  </si>
  <si>
    <t>Chania Airport - Gerani Rethymno Hotel Transfer</t>
  </si>
  <si>
    <t>Greece, Gournes Gouvon</t>
  </si>
  <si>
    <t>Chania Airport - Gournes Gouvon Hotel Transfer</t>
  </si>
  <si>
    <t>Greece, Gouves</t>
  </si>
  <si>
    <t>Chania Airport - Gouves Hotel Transfer</t>
  </si>
  <si>
    <t>Agioi Apostoli Hotel Transfer - Heraklion Airport</t>
  </si>
  <si>
    <t>Chania Airport - Ammoudara Heraklion Hotel Transfer</t>
  </si>
  <si>
    <t>Chania Airport - Amnissos Hotel Transfer</t>
  </si>
  <si>
    <t>Chania Airport - Arolithos Traditional Cretan Village</t>
  </si>
  <si>
    <t>Chania Airport - Heraklion Airport</t>
  </si>
  <si>
    <t>Chania Airport - Heraklion Hotel Transfer</t>
  </si>
  <si>
    <t>Chania Airport - Heraklion Port</t>
  </si>
  <si>
    <t>Chania Hotel Transfer - Heraklion Airport</t>
  </si>
  <si>
    <t>Chania Port - Heraklion Airport</t>
  </si>
  <si>
    <t>Kalamaki Hotel Transfer - Heraklion Airport</t>
  </si>
  <si>
    <t>Kato Daratso Hotel Transfer - Heraklion Airport</t>
  </si>
  <si>
    <t>Kato Galatas Hotel Transfer - Heraklion Airport</t>
  </si>
  <si>
    <t>Kato Stalos Hotel Transfer - Heraklion Airport</t>
  </si>
  <si>
    <t>Makris Tichos Hotel Transfer - Heraklion Airport</t>
  </si>
  <si>
    <t>Greece, Hersonissos</t>
  </si>
  <si>
    <t>Chania Airport - Hersonissos Hotel Transfer</t>
  </si>
  <si>
    <t>Greece, Hora Sfakion</t>
  </si>
  <si>
    <t>Chania Airport - Hora Sfakion Hotel Transfer</t>
  </si>
  <si>
    <t>Greece, Ierapetra</t>
  </si>
  <si>
    <t>Chania Airport - Ierapetra Hotel Transfer</t>
  </si>
  <si>
    <t>Greece, Istro</t>
  </si>
  <si>
    <t>Chania Airport - Istro Hotel Transfer</t>
  </si>
  <si>
    <t>Greece, Kalamaki Heraklion</t>
  </si>
  <si>
    <t>Chania Airport - Kalamaki Heraklion Hotel Transfer</t>
  </si>
  <si>
    <t>Greece, Kalyves</t>
  </si>
  <si>
    <t>Chania Airport - Kalyves Hotel Transfer</t>
  </si>
  <si>
    <t>Greece, Kamilari</t>
  </si>
  <si>
    <t>Chania Airport - Kamilari Hotel Transfer</t>
  </si>
  <si>
    <t>Greece, Kamisiana</t>
  </si>
  <si>
    <t>Chania Airport - Kamisiana Hotel Transfer</t>
  </si>
  <si>
    <t>Greece, Karteros</t>
  </si>
  <si>
    <t>Chania Airport - Karteros Hotel Transfer</t>
  </si>
  <si>
    <t>Greece, Kato Gouves</t>
  </si>
  <si>
    <t>Chania Airport - Kato Gouves Hotel Transfer</t>
  </si>
  <si>
    <t>Greece, Katsikia</t>
  </si>
  <si>
    <t>Chania Airport - Katsikia Hotel Transfer</t>
  </si>
  <si>
    <t>Greece, Kefalas</t>
  </si>
  <si>
    <t>Chania Airport - Kefalas Hotel Transfer</t>
  </si>
  <si>
    <t>Greece, Keratokampos</t>
  </si>
  <si>
    <t>Chania Airport - Keratokampos Hotel Transfer</t>
  </si>
  <si>
    <t>Greece, Kissamos</t>
  </si>
  <si>
    <t>Chania Airport - Kissamos Hotel Transfer</t>
  </si>
  <si>
    <t>Greece, Knossos</t>
  </si>
  <si>
    <t>Chania Airport - Knossos Hotel Transfer</t>
  </si>
  <si>
    <t>Greece, Kokkini Hani</t>
  </si>
  <si>
    <t>Chania Airport - Kokkini Hani Hotel Transfer</t>
  </si>
  <si>
    <t>Greece, Kokkino Chorio</t>
  </si>
  <si>
    <t>Chania Airport - Kokkino Chorio Hotel Transfer</t>
  </si>
  <si>
    <t>Greece, Kokkinos Pirgos</t>
  </si>
  <si>
    <t>Chania Airport - Kokkinos Pirgos Hotel Transfer</t>
  </si>
  <si>
    <t>Greece, Kolymvari</t>
  </si>
  <si>
    <t>Chania Airport - Kolymvari Hotel Transfer</t>
  </si>
  <si>
    <t>Greece, Koutouloufari</t>
  </si>
  <si>
    <t>Chania Airport - Koutouloufari Hotel Transfer</t>
  </si>
  <si>
    <t>Greece, Koutsounari</t>
  </si>
  <si>
    <t>Chania Airport - Koutsounari Hotel Transfer</t>
  </si>
  <si>
    <t>Greece, Lavris</t>
  </si>
  <si>
    <t>Chania Airport - Lavris Hotel Transfer</t>
  </si>
  <si>
    <t>Greece, Lentas</t>
  </si>
  <si>
    <t>Chania Airport - Lentas Hotel Transfer</t>
  </si>
  <si>
    <t>Greece, Ligaria</t>
  </si>
  <si>
    <t>Chania Airport - Ligaria Hotel Transfer</t>
  </si>
  <si>
    <t>Greece, Linoperamata</t>
  </si>
  <si>
    <t>Chania Airport - Linoperamata Hotel Transfer</t>
  </si>
  <si>
    <t>Greece, Magnisia</t>
  </si>
  <si>
    <t>Chania Airport - Magnisia Hotel Transfer</t>
  </si>
  <si>
    <t>Greece, Makry Gialos</t>
  </si>
  <si>
    <t>Chania Airport - Makry Gialos Hotel Transfer</t>
  </si>
  <si>
    <t>Greece, Maleme</t>
  </si>
  <si>
    <t>Chania Airport - Maleme Hotel Transfer</t>
  </si>
  <si>
    <t>Greece, Malia</t>
  </si>
  <si>
    <t>Chania Airport - Malia Hotel Transfer</t>
  </si>
  <si>
    <t>Greece, Marathi</t>
  </si>
  <si>
    <t>Chania Airport - Marathi Hotel Transfer</t>
  </si>
  <si>
    <t>Greece, Matala</t>
  </si>
  <si>
    <t>Chania Airport - Matala Hotel Transfer</t>
  </si>
  <si>
    <t>Greece, Milatos</t>
  </si>
  <si>
    <t>Chania Airport - Milatos Hotel Transfer</t>
  </si>
  <si>
    <t>Greece, Mochlos</t>
  </si>
  <si>
    <t>Chania Airport - Mochlos Hotel Transfer</t>
  </si>
  <si>
    <t>Greece, Myrtos</t>
  </si>
  <si>
    <t>Chania Airport - Myrtos Hotel Transfer</t>
  </si>
  <si>
    <t>Greece, Neo Chorio</t>
  </si>
  <si>
    <t>Chania Airport - Neo Chorio Hotel Transfer</t>
  </si>
  <si>
    <t>Greece, Omalos</t>
  </si>
  <si>
    <t>Chania Airport - Omalos Hotel Transfer</t>
  </si>
  <si>
    <t>Greece, Pachia Ammos</t>
  </si>
  <si>
    <t>Chania Airport - Pachia Ammos Hotel Transfer</t>
  </si>
  <si>
    <t>Greece, Paleochora</t>
  </si>
  <si>
    <t>Chania Airport - Paleochora Hotel Transfer</t>
  </si>
  <si>
    <t>Greece, Panormos in Rethymno</t>
  </si>
  <si>
    <t>Chania Airport - Panormos in Rethymno Hotel Transfer</t>
  </si>
  <si>
    <t>Greece, Paralia Kourna</t>
  </si>
  <si>
    <t>Chania Airport - Paralia Kourna Hotel Transfer</t>
  </si>
  <si>
    <t>Greece, Pigi</t>
  </si>
  <si>
    <t>Chania Airport - Pigi Hotel Transfer</t>
  </si>
  <si>
    <t>Greece, Piskopiano</t>
  </si>
  <si>
    <t>Chania Airport - Piskopiano Hotel Transfer</t>
  </si>
  <si>
    <t>Greece, Pitsidia</t>
  </si>
  <si>
    <t>Chania Airport - Pitsidia Hotel Transfer</t>
  </si>
  <si>
    <t>Greece, Plaka Chania</t>
  </si>
  <si>
    <t>Chania Airport - Plaka Chania Hotel Transfer</t>
  </si>
  <si>
    <t>Greece, Plaka Elounda</t>
  </si>
  <si>
    <t>Chania Airport - Plaka Hotel Transfer</t>
  </si>
  <si>
    <t>Greece, Plakias</t>
  </si>
  <si>
    <t>Chania Airport - Plakias Hotel Transfer</t>
  </si>
  <si>
    <t>Greece, Platanias</t>
  </si>
  <si>
    <t>Chania Airport - Platanias Hotel Transfer</t>
  </si>
  <si>
    <t>Greece, Prines</t>
  </si>
  <si>
    <t>Chania Airport - Prines Hotel Transfer</t>
  </si>
  <si>
    <t>Greece, Rapaniana</t>
  </si>
  <si>
    <t>Chania Airport - Rapaniana Hotel Transfer</t>
  </si>
  <si>
    <t>Greece, Rethymno</t>
  </si>
  <si>
    <t>Chania Airport - Misiria Hotel Transfer</t>
  </si>
  <si>
    <t>Chania Airport - Perivolia Hotel Transfer</t>
  </si>
  <si>
    <t>Chania Airport - Platanes Hotel Transfer</t>
  </si>
  <si>
    <t>Chania Airport - Rethymno Hotel Transfer</t>
  </si>
  <si>
    <t>Greece, Roumeli</t>
  </si>
  <si>
    <t>Chania Airport - Roumeli Hotel Transfer</t>
  </si>
  <si>
    <t>Greece, Roussospiti</t>
  </si>
  <si>
    <t>Chania Airport - Roussospiti Hotel Transfer</t>
  </si>
  <si>
    <t>Greece, Sfakaki</t>
  </si>
  <si>
    <t>Chania Airport - Sfakaki Hotel Transfer</t>
  </si>
  <si>
    <t>Greece, Sisi</t>
  </si>
  <si>
    <t>Chania Airport - Sisi Hotel Transfer</t>
  </si>
  <si>
    <t>Greece, Sitia</t>
  </si>
  <si>
    <t>Chania Airport - Sitia Hotel Transfer</t>
  </si>
  <si>
    <t>Greece, Skaleta</t>
  </si>
  <si>
    <t>Chania Airport - Skaleta Hotel Transfer</t>
  </si>
  <si>
    <t>Greece, Souda</t>
  </si>
  <si>
    <t>Chania Airport - Souda Hotel Transfer</t>
  </si>
  <si>
    <t>Greece, Sougia</t>
  </si>
  <si>
    <t>Chania Airport - Sougia Hotel Transfer</t>
  </si>
  <si>
    <t>Greece, Stalida</t>
  </si>
  <si>
    <t>Chania Airport - Stalida Hotel Transfer</t>
  </si>
  <si>
    <t>Greece, Stalos</t>
  </si>
  <si>
    <t>Chania Airport - Stalos Hotel Transfer</t>
  </si>
  <si>
    <t>Greece, Stavros Chania</t>
  </si>
  <si>
    <t>Chania Airport - Stavros Chania Hotel Transfer</t>
  </si>
  <si>
    <t>Greece, Tavronitis</t>
  </si>
  <si>
    <t>Chania Airport - Tavronitis Hotel Transfer</t>
  </si>
  <si>
    <t>Greece, Tsoutsouros</t>
  </si>
  <si>
    <t>Chania Airport - Tsoutsouros Hotel Transfer</t>
  </si>
  <si>
    <t>Greece, Vamos</t>
  </si>
  <si>
    <t>Chania Airport - Vamos Hotel Transfer</t>
  </si>
  <si>
    <t>Greece, Vathi Crete</t>
  </si>
  <si>
    <t>Chania Airport - Vathi Hotel Transfer</t>
  </si>
  <si>
    <t>Greece, Viranepiskopi</t>
  </si>
  <si>
    <t>Chania Airport - Viranepiskopi Hotel Transfer</t>
  </si>
  <si>
    <t>Greece, Vryses</t>
  </si>
  <si>
    <t>Chania Airport - Vryses Hotel Transfer</t>
  </si>
  <si>
    <t>Chorafakia Hotel Transfer - Chania Airport</t>
  </si>
  <si>
    <t>Chorafakia Hotel Transfer - Heraklion Airport</t>
  </si>
  <si>
    <t>Elafonissi Beach - Chania Airport</t>
  </si>
  <si>
    <t>Pano Stalos Hotel Transfer - Chania Airport</t>
  </si>
  <si>
    <t>Elafonissi Beach - Heraklion Airport</t>
  </si>
  <si>
    <t>Pano Stalos Hotel Transfer - Heraklion Airport</t>
  </si>
  <si>
    <t>Damnoni Hotel Transfer - Chania Airport</t>
  </si>
  <si>
    <t>Damnoni Hotel Transfer - Heraklion Airport</t>
  </si>
  <si>
    <t>Dramia Hotel Transfer - Chania Airport</t>
  </si>
  <si>
    <t>Dramia Hotel Transfer - Heraklion Airport</t>
  </si>
  <si>
    <t>Elounda Hotel Transfer - Chania Airport</t>
  </si>
  <si>
    <t>Elounda Hotel Transfer - Heraklion Airport</t>
  </si>
  <si>
    <t>Episkopi Rethymno Hotel Transfer - Chania Airport</t>
  </si>
  <si>
    <t>Episkopi Rethymno Hotel Transfer - Heraklion Airport</t>
  </si>
  <si>
    <t>Exopoli Hotel Transfer - Chania Airport</t>
  </si>
  <si>
    <t>Exopoli Hotel Transfer - Heraklion Airport</t>
  </si>
  <si>
    <t>Falasarna Hotel Transfer - Chania Airport</t>
  </si>
  <si>
    <t>Falasarna Hotel Transfer - Heraklion Airport</t>
  </si>
  <si>
    <t>Ferma Hotel Transfer - Chania Airport</t>
  </si>
  <si>
    <t>Ferma Hotel Transfer - Heraklion Airport</t>
  </si>
  <si>
    <t>Fodele Hotel Transfer - Chania Airport</t>
  </si>
  <si>
    <t>Fodele Hotel Transfer - Heraklion Airport</t>
  </si>
  <si>
    <t>Frangokastello Hotel Transfer - Chania Airport</t>
  </si>
  <si>
    <t>Frangokastello Hotel Transfer - Heraklion Airport</t>
  </si>
  <si>
    <t>Galatas Chania Hotel Transfer - Chania Airport</t>
  </si>
  <si>
    <t>Galatas Chania Hotel Transfer - Heraklion Airport</t>
  </si>
  <si>
    <t>Gavalochori Hotel Transfer - Chania Airport</t>
  </si>
  <si>
    <t>Gavalochori Hotel Transfer - Heraklion Airport</t>
  </si>
  <si>
    <t>Gazi Hotel Transfer - Chania Airport</t>
  </si>
  <si>
    <t>Gazi Hotel Transfer - Heraklion Airport</t>
  </si>
  <si>
    <t>Georgioupoli Hotel Transfer - Chania Airport</t>
  </si>
  <si>
    <t>Georgioupoli Hotel Transfer - Heraklion Airport</t>
  </si>
  <si>
    <t>Gerani Chania Hotel Transfer - Chania Airport</t>
  </si>
  <si>
    <t>Gerani Chania Hotel Transfer - Heraklion Airport</t>
  </si>
  <si>
    <t>Gerani Rethymno Hotel Transfer - Chania Airport</t>
  </si>
  <si>
    <t>Gerani Rethymno Hotel Transfer - Heraklion Airport</t>
  </si>
  <si>
    <t>Gournes Gouvon Hotel Transfer - Chania Airport</t>
  </si>
  <si>
    <t>Gournes Gouvon Hotel Transfer - Heraklion Airport</t>
  </si>
  <si>
    <t>Gouves Hotel Transfer - Chania Airport</t>
  </si>
  <si>
    <t>Gouves Hotel Transfer - Heraklion Airport</t>
  </si>
  <si>
    <t>Heraklion Airport - Adele Hotel Transfer</t>
  </si>
  <si>
    <t>Heraklion Airport - Adelianos Kampos Hotel Transfer</t>
  </si>
  <si>
    <t>Heraklion Airport - Agia Galini Hotel Transfer</t>
  </si>
  <si>
    <t>Heraklion Airport - Agia Marina Hotel Transfer</t>
  </si>
  <si>
    <t>Heraklion Airport - Agia Pelagia Hotel Transfer</t>
  </si>
  <si>
    <t>Heraklion Airport - Agia Triada Hotel Transfer</t>
  </si>
  <si>
    <t>Heraklion Airport - Agios Nikolaos Hotel Transfer</t>
  </si>
  <si>
    <t>Heraklion Airport - Agios Pavlos Hotel Transfer</t>
  </si>
  <si>
    <t>Heraklion Airport - Akrotiri Crete Hotel Transfer</t>
  </si>
  <si>
    <t>Heraklion Airport - Almyrida Hotel Transfer</t>
  </si>
  <si>
    <t>Heraklion Airport - Ammoudara Hotel Transfer</t>
  </si>
  <si>
    <t>Heraklion Airport - Analipsi Hotel Transfer</t>
  </si>
  <si>
    <t>Heraklion Airport - Anissaras Hotel Transfer</t>
  </si>
  <si>
    <t>Heraklion Airport - Anopoli Hotel Transfer</t>
  </si>
  <si>
    <t>Heraklion Airport - Aptera Hotel Transfer</t>
  </si>
  <si>
    <t>Heraklion Airport - Armenoi Hotel Transfer</t>
  </si>
  <si>
    <t>Heraklion Airport - Aspro Hotel Transfer</t>
  </si>
  <si>
    <t>Heraklion Airport - Atsipopoulo Hotel Transfer</t>
  </si>
  <si>
    <t>Heraklion Airport - Bali Rethymno Hotel Transfer</t>
  </si>
  <si>
    <t>Ammoudara Heraklion Hotel Transfer - Chania Airport</t>
  </si>
  <si>
    <t>Amnissos Hotel Transfer - Chania Airport</t>
  </si>
  <si>
    <t>Arolithos Traditional Cretan Village - Chania Airport</t>
  </si>
  <si>
    <t>Heraklion Airport - Agioi Apostoli Hotel Transfer</t>
  </si>
  <si>
    <t>Heraklion Airport - Chania Airport</t>
  </si>
  <si>
    <t>Heraklion Airport - Chania Hotel Transfer</t>
  </si>
  <si>
    <t>Heraklion Airport - Chania Port</t>
  </si>
  <si>
    <t>Heraklion Airport - Kalamaki Hotel Transfer</t>
  </si>
  <si>
    <t>Heraklion Airport - Kato Daratso Hotel Transfer</t>
  </si>
  <si>
    <t>Heraklion Airport - Kato Galatas Hotel Transfer</t>
  </si>
  <si>
    <t>Heraklion Airport - Kato Stalos Hotel Transfer</t>
  </si>
  <si>
    <t>Heraklion Airport - Makris Tichos Hotel Transfer</t>
  </si>
  <si>
    <t>Heraklion Hotel Transfer - Chania Airport</t>
  </si>
  <si>
    <t>Heraklion Port - Chania Airport</t>
  </si>
  <si>
    <t>Heraklion Airport - Chorafakia Hotel Transfer</t>
  </si>
  <si>
    <t>Heraklion Airport - Elafonissi Beach</t>
  </si>
  <si>
    <t>Heraklion Airport - Pano Stalos Hotel Transfer</t>
  </si>
  <si>
    <t>Heraklion Airport - Damnoni Hotel Transfer</t>
  </si>
  <si>
    <t>Heraklion Airport - Dramia Hotel Transfer</t>
  </si>
  <si>
    <t>Heraklion Airport - Elounda Hotel Transfer</t>
  </si>
  <si>
    <t>Heraklion Airport - Episkopi Rethymno Hotel Transfer</t>
  </si>
  <si>
    <t>Heraklion Airport - Exopoli Hotel Transfer</t>
  </si>
  <si>
    <t>Heraklion Airport - Falasarna Hotel Transfer</t>
  </si>
  <si>
    <t>Heraklion Airport - Ferma Hotel Transfer</t>
  </si>
  <si>
    <t>Heraklion Airport - Fodele Hotel Transfer</t>
  </si>
  <si>
    <t>Heraklion Airport - Frangokastello Hotel Transfer</t>
  </si>
  <si>
    <t>Heraklion Airport - Galatas Chania Hotel Transfer</t>
  </si>
  <si>
    <t>Heraklion Airport - Gavalochori Hotel Transfer</t>
  </si>
  <si>
    <t>Heraklion Airport - Gazi Hotel Transfer</t>
  </si>
  <si>
    <t>Heraklion Airport - Georgioupoli Hotel Transfer</t>
  </si>
  <si>
    <t>Heraklion Airport - Gerani Chania Hotel Transfer</t>
  </si>
  <si>
    <t>Heraklion Airport - Gerani Rethymno Hotel Transfer</t>
  </si>
  <si>
    <t>Heraklion Airport - Gournes Gouvon Hotel Transfer</t>
  </si>
  <si>
    <t>Heraklion Airport - Gouves Hotel Transfer</t>
  </si>
  <si>
    <t>Ammoudara Heraklion Hotel Transfer - Heraklion Airport</t>
  </si>
  <si>
    <t>Amnissos Hotel Transfer - Heraklion Airport</t>
  </si>
  <si>
    <t>Arolithos Traditional Cretan Village - Heraklion Airport</t>
  </si>
  <si>
    <t>Heraklion Airport - Ammoudara Heraklion Hotel Transfer</t>
  </si>
  <si>
    <t>Heraklion Airport - Amnissos Hotel Transfer</t>
  </si>
  <si>
    <t>Heraklion Airport - Arolithos Traditional Cretan Village</t>
  </si>
  <si>
    <t>Heraklion Airport - Heraklion Hotel Transfer</t>
  </si>
  <si>
    <t>Heraklion Airport - Heraklion Port</t>
  </si>
  <si>
    <t>Heraklion Hotel Transfer - Heraklion Airport</t>
  </si>
  <si>
    <t>Heraklion Port - Heraklion Airport</t>
  </si>
  <si>
    <t>Heraklion Airport - Hersonissos Hotel Transfer</t>
  </si>
  <si>
    <t>Heraklion Airport - Hora Sfakion Hotel Transfer</t>
  </si>
  <si>
    <t>Heraklion Airport - Ierapetra Hotel Transfer</t>
  </si>
  <si>
    <t>Heraklion Airport - Istro Hotel Transfer</t>
  </si>
  <si>
    <t>Heraklion Airport - Kalamaki Heraklion Hotel Transfer</t>
  </si>
  <si>
    <t>Heraklion Airport - Kalyves Hotel Transfer</t>
  </si>
  <si>
    <t>Heraklion Airport - Kamilari Hotel Transfer</t>
  </si>
  <si>
    <t>Heraklion Airport - Kamisiana Hotel Transfer</t>
  </si>
  <si>
    <t>Heraklion Airport - Karteros Hotel Transfer</t>
  </si>
  <si>
    <t>Heraklion Airport - Kato Gouves Hotel Transfer</t>
  </si>
  <si>
    <t>Heraklion Airport - Katsikia Hotel Transfer</t>
  </si>
  <si>
    <t>Heraklion Airport - Kefalas Hotel Transfer</t>
  </si>
  <si>
    <t>Heraklion Airport - Keratokampos Hotel Transfer</t>
  </si>
  <si>
    <t>Heraklion Airport - Kissamos Hotel Transfer</t>
  </si>
  <si>
    <t>Heraklion Airport - Knossos Hotel Transfer</t>
  </si>
  <si>
    <t>Heraklion Airport - Kokkini Hani Hotel Transfer</t>
  </si>
  <si>
    <t>Heraklion Airport - Kokkino Chorio Hotel Transfer</t>
  </si>
  <si>
    <t>Heraklion Airport - Kokkinos Pirgos Hotel Transfer</t>
  </si>
  <si>
    <t>Heraklion Airport - Kolymvari Hotel Transfer</t>
  </si>
  <si>
    <t>Heraklion Airport - Koutouloufari Hotel Transfer</t>
  </si>
  <si>
    <t>Heraklion Airport - Koutsounari Hotel Transfer</t>
  </si>
  <si>
    <t>Heraklion Airport - Lavris Hotel Transfer</t>
  </si>
  <si>
    <t>Heraklion Airport - Lentas Hotel Transfer</t>
  </si>
  <si>
    <t>Heraklion Airport - Ligaria Hotel Transfer</t>
  </si>
  <si>
    <t>Heraklion Airport - Linoperamata Hotel Transfer</t>
  </si>
  <si>
    <t>Heraklion Airport - Magnisia Hotel Transfer</t>
  </si>
  <si>
    <t>Heraklion Airport - Makry Gialos Hotel Transfer</t>
  </si>
  <si>
    <t>Heraklion Airport - Maleme Hotel Transfer</t>
  </si>
  <si>
    <t>Heraklion Airport - Malia Hotel Transfer</t>
  </si>
  <si>
    <t>Heraklion Airport - Marathi Hotel Transfer</t>
  </si>
  <si>
    <t>Heraklion Airport - Matala Hotel Transfer</t>
  </si>
  <si>
    <t>Heraklion Airport - Milatos Hotel Transfer</t>
  </si>
  <si>
    <t>Heraklion Airport - Mochlos Hotel Transfer</t>
  </si>
  <si>
    <t>Heraklion Airport - Myrtos Hotel Transfer</t>
  </si>
  <si>
    <t>Heraklion Airport - Neo Chorio Hotel Transfer</t>
  </si>
  <si>
    <t>Heraklion Airport - Omalos Hotel Transfer</t>
  </si>
  <si>
    <t>Heraklion Airport - Pachia Ammos Hotel Transfer</t>
  </si>
  <si>
    <t>Heraklion Airport - Paleochora Hotel Transfer</t>
  </si>
  <si>
    <t>Heraklion Airport - Panormos in Rethymno Hotel Transfer</t>
  </si>
  <si>
    <t>Heraklion Airport - Paralia Kourna Hotel Transfer</t>
  </si>
  <si>
    <t>Heraklion Airport - Pigi Hotel Transfer</t>
  </si>
  <si>
    <t>Heraklion Airport - Piskopiano Hotel Transfer</t>
  </si>
  <si>
    <t>Heraklion Airport - Pitsidia Hotel Transfer</t>
  </si>
  <si>
    <t>Heraklion Airport - Plaka Chania Hotel Transfer</t>
  </si>
  <si>
    <t>Heraklion Airport - Plaka Hotel Transfer</t>
  </si>
  <si>
    <t>Heraklion Airport - Plakias Hotel Transfer</t>
  </si>
  <si>
    <t>Heraklion Airport - Platanias Hotel Transfer</t>
  </si>
  <si>
    <t>Heraklion Airport - Prines Hotel Transfer</t>
  </si>
  <si>
    <t>Heraklion Airport - Rapaniana Hotel Transfer</t>
  </si>
  <si>
    <t>Heraklion Airport - Misiria Hotel Transfer</t>
  </si>
  <si>
    <t>Heraklion Airport - Perivolia Hotel Transfer</t>
  </si>
  <si>
    <t>Heraklion Airport - Platanes Hotel Transfer</t>
  </si>
  <si>
    <t>Heraklion Airport - Rethymno Hotel Transfer</t>
  </si>
  <si>
    <t>Heraklion Airport - Roumeli Hotel Transfer</t>
  </si>
  <si>
    <t>Heraklion Airport - Roussospiti Hotel Transfer</t>
  </si>
  <si>
    <t>Heraklion Airport - Sfakaki Hotel Transfer</t>
  </si>
  <si>
    <t>Heraklion Airport - Sisi Hotel Transfer</t>
  </si>
  <si>
    <t>Heraklion Airport - Sitia Hotel Transfer</t>
  </si>
  <si>
    <t>Heraklion Airport - Skaleta Hotel Transfer</t>
  </si>
  <si>
    <t>Heraklion Airport - Souda Hotel Transfer</t>
  </si>
  <si>
    <t>Heraklion Airport - Sougia Hotel Transfer</t>
  </si>
  <si>
    <t>Heraklion Airport - Stalida Hotel Transfer</t>
  </si>
  <si>
    <t>Heraklion Airport - Stalos Hotel Transfer</t>
  </si>
  <si>
    <t>Heraklion Airport - Stavros Chania Hotel Transfer</t>
  </si>
  <si>
    <t>Heraklion Airport - Tavronitis Hotel Transfer</t>
  </si>
  <si>
    <t>Heraklion Airport - Tsoutsouros Hotel Transfer</t>
  </si>
  <si>
    <t>Heraklion Airport - Vamos Hotel Transfer</t>
  </si>
  <si>
    <t>Heraklion Airport - Vathi Hotel Transfer</t>
  </si>
  <si>
    <t>Heraklion Airport - Viranepiskopi Hotel Transfer</t>
  </si>
  <si>
    <t>Heraklion Airport - Vryses Hotel Transfer</t>
  </si>
  <si>
    <t>Hersonissos Hotel Transfer - Chania Airport</t>
  </si>
  <si>
    <t>Hersonissos Hotel Transfer - Heraklion Airport</t>
  </si>
  <si>
    <t>Hora Sfakion Hotel Transfer - Chania Airport</t>
  </si>
  <si>
    <t>Hora Sfakion Hotel Transfer - Heraklion Airport</t>
  </si>
  <si>
    <t>Ierapetra Hotel Transfer - Chania Airport</t>
  </si>
  <si>
    <t>Ierapetra Hotel Transfer - Heraklion Airport</t>
  </si>
  <si>
    <t>Istro Hotel Transfer - Chania Airport</t>
  </si>
  <si>
    <t>Istro Hotel Transfer - Heraklion Airport</t>
  </si>
  <si>
    <t>Kalamaki Heraklion Hotel Transfer - Chania Airport</t>
  </si>
  <si>
    <t>Kalamaki Heraklion Hotel Transfer - Heraklion Airport</t>
  </si>
  <si>
    <t>Kalyves Hotel Transfer - Chania Airport</t>
  </si>
  <si>
    <t>Kalyves Hotel Transfer - Heraklion Airport</t>
  </si>
  <si>
    <t>Kamilari Hotel Transfer - Chania Airport</t>
  </si>
  <si>
    <t>Kamilari Hotel Transfer - Heraklion Airport</t>
  </si>
  <si>
    <t>Kamisiana Hotel Transfer - Chania Airport</t>
  </si>
  <si>
    <t>Kamisiana Hotel Transfer - Heraklion Airport</t>
  </si>
  <si>
    <t>Karteros Hotel Transfer - Chania Airport</t>
  </si>
  <si>
    <t>Karteros Hotel Transfer - Heraklion Airport</t>
  </si>
  <si>
    <t>Kato Gouves Hotel Transfer - Chania Airport</t>
  </si>
  <si>
    <t>Kato Gouves Hotel Transfer - Heraklion Airport</t>
  </si>
  <si>
    <t>Katsikia Hotel Transfer - Chania Airport</t>
  </si>
  <si>
    <t>Katsikia Hotel Transfer - Heraklion Airport</t>
  </si>
  <si>
    <t>Kefalas Hotel Transfer - Chania Airport</t>
  </si>
  <si>
    <t>Kefalas Hotel Transfer - Heraklion Airport</t>
  </si>
  <si>
    <t>Keratokampos Hotel Transfer - Chania Airport</t>
  </si>
  <si>
    <t>Keratokampos Hotel Transfer - Heraklion Airport</t>
  </si>
  <si>
    <t>Kissamos Hotel Transfer - Chania Airport</t>
  </si>
  <si>
    <t>Kissamos Hotel Transfer - Heraklion Airport</t>
  </si>
  <si>
    <t>Knossos Hotel Transfer - Chania Airport</t>
  </si>
  <si>
    <t>Knossos Hotel Transfer - Heraklion Airport</t>
  </si>
  <si>
    <t>Kokkini Hani Hotel Transfer - Chania Airport</t>
  </si>
  <si>
    <t>Kokkini Hani Hotel Transfer - Heraklion Airport</t>
  </si>
  <si>
    <t>Kokkino Chorio Hotel Transfer - Chania Airport</t>
  </si>
  <si>
    <t>Kokkino Chorio Hotel Transfer - Heraklion Airport</t>
  </si>
  <si>
    <t>Kokkinos Pirgos Hotel Transfer - Chania Airport</t>
  </si>
  <si>
    <t>Kokkinos Pirgos Hotel Transfer - Heraklion Airport</t>
  </si>
  <si>
    <t>Kolymvari Hotel Transfer - Chania Airport</t>
  </si>
  <si>
    <t>Kolymvari Hotel Transfer - Heraklion Airport</t>
  </si>
  <si>
    <t>Koutouloufari Hotel Transfer - Chania Airport</t>
  </si>
  <si>
    <t>Koutouloufari Hotel Transfer - Heraklion Airport</t>
  </si>
  <si>
    <t>Koutsounari Hotel Transfer - Chania Airport</t>
  </si>
  <si>
    <t>Koutsounari Hotel Transfer - Heraklion Airport</t>
  </si>
  <si>
    <t>Lavris Hotel Transfer - Chania Airport</t>
  </si>
  <si>
    <t>Lavris Hotel Transfer - Heraklion Airport</t>
  </si>
  <si>
    <t>Lentas Hotel Transfer - Chania Airport</t>
  </si>
  <si>
    <t>Lentas Hotel Transfer - Heraklion Airport</t>
  </si>
  <si>
    <t>Ligaria Hotel Transfer - Chania Airport</t>
  </si>
  <si>
    <t>Ligaria Hotel Transfer - Heraklion Airport</t>
  </si>
  <si>
    <t>Linoperamata Hotel Transfer - Chania Airport</t>
  </si>
  <si>
    <t>Linoperamata Hotel Transfer - Heraklion Airport</t>
  </si>
  <si>
    <t>Magnisia Hotel Transfer - Chania Airport</t>
  </si>
  <si>
    <t>Magnisia Hotel Transfer - Heraklion Airport</t>
  </si>
  <si>
    <t>Makry Gialos Hotel Transfer - Chania Airport</t>
  </si>
  <si>
    <t>Makry Gialos Hotel Transfer - Heraklion Airport</t>
  </si>
  <si>
    <t>Maleme Hotel Transfer - Chania Airport</t>
  </si>
  <si>
    <t>Maleme Hotel Transfer - Heraklion Airport</t>
  </si>
  <si>
    <t>Malia Hotel Transfer - Chania Airport</t>
  </si>
  <si>
    <t>Malia Hotel Transfer - Heraklion Airport</t>
  </si>
  <si>
    <t>Marathi Hotel Transfer - Chania Airport</t>
  </si>
  <si>
    <t>Marathi Hotel Transfer - Heraklion Airport</t>
  </si>
  <si>
    <t>Matala Hotel Transfer - Chania Airport</t>
  </si>
  <si>
    <t>Matala Hotel Transfer - Heraklion Airport</t>
  </si>
  <si>
    <t>Milatos Hotel Transfer - Chania Airport</t>
  </si>
  <si>
    <t>Milatos Hotel Transfer - Heraklion Airport</t>
  </si>
  <si>
    <t>Mochlos Hotel Transfer - Chania Airport</t>
  </si>
  <si>
    <t>Mochlos Hotel Transfer - Heraklion Airport</t>
  </si>
  <si>
    <t>Myrtos Hotel Transfer - Chania Airport</t>
  </si>
  <si>
    <t>Myrtos Hotel Transfer - Heraklion Airport</t>
  </si>
  <si>
    <t>Neo Chorio Hotel Transfer - Chania Airport</t>
  </si>
  <si>
    <t>Neo Chorio Hotel Transfer - Heraklion Airport</t>
  </si>
  <si>
    <t>Omalos Hotel Transfer - Chania Airport</t>
  </si>
  <si>
    <t>Omalos Hotel Transfer - Heraklion Airport</t>
  </si>
  <si>
    <t>Pachia Ammos Hotel Transfer - Chania Airport</t>
  </si>
  <si>
    <t>Pachia Ammos Hotel Transfer - Heraklion Airport</t>
  </si>
  <si>
    <t>Paleochora Hotel Transfer - Chania Airport</t>
  </si>
  <si>
    <t>Paleochora Hotel Transfer - Heraklion Airport</t>
  </si>
  <si>
    <t>Panormos in Rethymno Hotel Transfer - Chania Airport</t>
  </si>
  <si>
    <t>Panormos in Rethymno Hotel Transfer - Heraklion Airport</t>
  </si>
  <si>
    <t>Paralia Kourna Hotel Transfer - Chania Airport</t>
  </si>
  <si>
    <t>Paralia Kourna Hotel Transfer - Heraklion Airport</t>
  </si>
  <si>
    <t>Pigi Hotel Transfer - Chania Airport</t>
  </si>
  <si>
    <t>Pigi Hotel Transfer - Heraklion Airport</t>
  </si>
  <si>
    <t>Piskopiano Hotel Transfer - Chania Airport</t>
  </si>
  <si>
    <t>Piskopiano Hotel Transfer - Heraklion Airport</t>
  </si>
  <si>
    <t>Pitsidia Hotel Transfer - Chania Airport</t>
  </si>
  <si>
    <t>Pitsidia Hotel Transfer - Heraklion Airport</t>
  </si>
  <si>
    <t>Plaka Chania Hotel Transfer - Chania Airport</t>
  </si>
  <si>
    <t>Plaka Chania Hotel Transfer - Heraklion Airport</t>
  </si>
  <si>
    <t>Plaka Hotel Transfer - Chania Airport</t>
  </si>
  <si>
    <t>Plaka Hotel Transfer - Heraklion Airport</t>
  </si>
  <si>
    <t>Plakias Hotel Transfer - Chania Airport</t>
  </si>
  <si>
    <t>Plakias Hotel Transfer - Heraklion Airport</t>
  </si>
  <si>
    <t>Platanias Hotel Transfer - Chania Airport</t>
  </si>
  <si>
    <t>Platanias Hotel Transfer - Heraklion Airport</t>
  </si>
  <si>
    <t>Prines Hotel Transfer - Chania Airport</t>
  </si>
  <si>
    <t>Prines Hotel Transfer - Heraklion Airport</t>
  </si>
  <si>
    <t>Rapaniana Hotel Transfer - Chania Airport</t>
  </si>
  <si>
    <t>Rapaniana Hotel Transfer - Heraklion Airport</t>
  </si>
  <si>
    <t>Misiria Hotel Transfer - Chania Airport</t>
  </si>
  <si>
    <t>Perivolia Hotel Transfer - Chania Airport</t>
  </si>
  <si>
    <t>Platanes Hotel Transfer - Chania Airport</t>
  </si>
  <si>
    <t>Rethymno Hotel Transfer - Chania Airport</t>
  </si>
  <si>
    <t>Misiria Hotel Transfer - Heraklion Airport</t>
  </si>
  <si>
    <t>Perivolia Hotel Transfer - Heraklion Airport</t>
  </si>
  <si>
    <t>Platanes Hotel Transfer - Heraklion Airport</t>
  </si>
  <si>
    <t>Rethymno Hotel Transfer - Heraklion Airport</t>
  </si>
  <si>
    <t>Roumeli Hotel Transfer - Chania Airport</t>
  </si>
  <si>
    <t>Roumeli Hotel Transfer - Heraklion Airport</t>
  </si>
  <si>
    <t>Roussospiti Hotel Transfer - Chania Airport</t>
  </si>
  <si>
    <t>Roussospiti Hotel Transfer - Heraklion Airport</t>
  </si>
  <si>
    <t>Sfakaki Hotel Transfer - Chania Airport</t>
  </si>
  <si>
    <t>Sfakaki Hotel Transfer - Heraklion Airport</t>
  </si>
  <si>
    <t>Sisi Hotel Transfer - Chania Airport</t>
  </si>
  <si>
    <t>Sisi Hotel Transfer - Heraklion Airport</t>
  </si>
  <si>
    <t>Sitia Hotel Transfer - Chania Airport</t>
  </si>
  <si>
    <t>Sitia Hotel Transfer - Heraklion Airport</t>
  </si>
  <si>
    <t>Skaleta Hotel Transfer - Chania Airport</t>
  </si>
  <si>
    <t>Skaleta Hotel Transfer - Heraklion Airport</t>
  </si>
  <si>
    <t>Souda Hotel Transfer - Chania Airport</t>
  </si>
  <si>
    <t>Souda Hotel Transfer - Heraklion Airport</t>
  </si>
  <si>
    <t>Sougia Hotel Transfer - Chania Airport</t>
  </si>
  <si>
    <t>Sougia Hotel Transfer - Heraklion Airport</t>
  </si>
  <si>
    <t>Stalida Hotel Transfer - Chania Airport</t>
  </si>
  <si>
    <t>Stalida Hotel Transfer - Heraklion Airport</t>
  </si>
  <si>
    <t>Stalos Hotel Transfer - Chania Airport</t>
  </si>
  <si>
    <t>Stalos Hotel Transfer - Heraklion Airport</t>
  </si>
  <si>
    <t>Stavros Chania Hotel Transfer - Chania Airport</t>
  </si>
  <si>
    <t>Stavros Chania Hotel Transfer - Heraklion Airport</t>
  </si>
  <si>
    <t>Tavronitis Hotel Transfer - Chania Airport</t>
  </si>
  <si>
    <t>Tavronitis Hotel Transfer - Heraklion Airport</t>
  </si>
  <si>
    <t>Tsoutsouros Hotel Transfer - Chania Airport</t>
  </si>
  <si>
    <t>Tsoutsouros Hotel Transfer - Heraklion Airport</t>
  </si>
  <si>
    <t>Vamos Hotel Transfer - Chania Airport</t>
  </si>
  <si>
    <t>Vamos Hotel Transfer - Heraklion Airport</t>
  </si>
  <si>
    <t>Vathi Hotel Transfer - Chania Airport</t>
  </si>
  <si>
    <t>Vathi Hotel Transfer - Heraklion Airport</t>
  </si>
  <si>
    <t>Viranepiskopi Hotel Transfer - Chania Airport</t>
  </si>
  <si>
    <t>Viranepiskopi Hotel Transfer - Heraklion Airport</t>
  </si>
  <si>
    <t>Vryses Hotel Transfer - Chania Airport</t>
  </si>
  <si>
    <t>Vryses Hotel Transfer - Heraklion Airport</t>
  </si>
  <si>
    <t>Hong Kong, Hong Kong</t>
  </si>
  <si>
    <t>Hong Kong - Jiangzhou</t>
  </si>
  <si>
    <t>Hong Kong - Zengcheng</t>
  </si>
  <si>
    <t>India, Adoni</t>
  </si>
  <si>
    <t>Adoni - Newcastle Nsw</t>
  </si>
  <si>
    <t>India, Agartala</t>
  </si>
  <si>
    <t>India, Varanasi</t>
  </si>
  <si>
    <t>Agartala - Deen Dayal Upadhyaya Jn</t>
  </si>
  <si>
    <t>India, Agra</t>
  </si>
  <si>
    <t>Agra - Newcastle Nsw</t>
  </si>
  <si>
    <t>India, Bokaro Steel City</t>
  </si>
  <si>
    <t>Agra - Bokaro Steel City</t>
  </si>
  <si>
    <t>India, Bundi</t>
  </si>
  <si>
    <t>Agra Cantt - Bundi</t>
  </si>
  <si>
    <t>India, Kanpur</t>
  </si>
  <si>
    <t>Agra Cantt - Govindpuri</t>
  </si>
  <si>
    <t>India, Katni</t>
  </si>
  <si>
    <t>Agra Cantt - Katni Murwara</t>
  </si>
  <si>
    <t>India, Khanna</t>
  </si>
  <si>
    <t>Agra Cantt - Khanna</t>
  </si>
  <si>
    <t>Agra - Khanna</t>
  </si>
  <si>
    <t>India, Kothapatnam</t>
  </si>
  <si>
    <t>Agra - Kothapatnam</t>
  </si>
  <si>
    <t>India, Malkapur</t>
  </si>
  <si>
    <t>Agra Cantt - Malkapur</t>
  </si>
  <si>
    <t>Agra - Malkapur</t>
  </si>
  <si>
    <t>India, Naini</t>
  </si>
  <si>
    <t>Agra - Naini</t>
  </si>
  <si>
    <t>India, Phagwara</t>
  </si>
  <si>
    <t>Agra Cantt - Phagwara Junction</t>
  </si>
  <si>
    <t>Agra - Phagwara</t>
  </si>
  <si>
    <t>India, Sikar</t>
  </si>
  <si>
    <t>Agra Cantt - Sikar Junction</t>
  </si>
  <si>
    <t>India, Tiruchirappalli</t>
  </si>
  <si>
    <t>Agra Cantt - Tiruchchirappalli Junction</t>
  </si>
  <si>
    <t>India, Tiruppur</t>
  </si>
  <si>
    <t>Agra Cantt - Tiruppur</t>
  </si>
  <si>
    <t>Agra Cantt - Deen Dayal Upadhyaya Jn</t>
  </si>
  <si>
    <t>Agra Fort - Deen Dayal Upadhyaya Jn</t>
  </si>
  <si>
    <t>Agra - Deen Dayal Upadhyaya Jn</t>
  </si>
  <si>
    <t>India, Ahmadnagar</t>
  </si>
  <si>
    <t>Ahmadnagar - Broadmeadow</t>
  </si>
  <si>
    <t>Ahmadnagar - Newcastle Nsw</t>
  </si>
  <si>
    <t>India, Maharashtra</t>
  </si>
  <si>
    <t>Ahmadnagar - Miraj Junction</t>
  </si>
  <si>
    <t>India, Miraj</t>
  </si>
  <si>
    <t>Ahmadnagar - Miraj</t>
  </si>
  <si>
    <t>India, Ahmedabad</t>
  </si>
  <si>
    <t>Ahmedabad - Newcastle Nsw</t>
  </si>
  <si>
    <t>India, Nagercoil</t>
  </si>
  <si>
    <t>Ahmedabad Jn - Nagercoil Town</t>
  </si>
  <si>
    <t>Ahmedabad - Nagercoil</t>
  </si>
  <si>
    <t>India, Renigunta</t>
  </si>
  <si>
    <t>Ahmedabad - Renigunta</t>
  </si>
  <si>
    <t>India, Tambaram</t>
  </si>
  <si>
    <t>Ahmedabad Jn - Tambaram</t>
  </si>
  <si>
    <t>Ahmedabad - Tambaram</t>
  </si>
  <si>
    <t>Ahmedabad Jn - Deen Dayal Upadhyaya Jn</t>
  </si>
  <si>
    <t>India, Ajmer</t>
  </si>
  <si>
    <t>India, Jaipur</t>
  </si>
  <si>
    <t>Ajmer Jn - Dahar Ka Balaji</t>
  </si>
  <si>
    <t>India, Jodhpur</t>
  </si>
  <si>
    <t>Ajmer Jn - Raikabag Palace</t>
  </si>
  <si>
    <t>Ajmer Jn - Deen Dayal Upadhyaya Jn</t>
  </si>
  <si>
    <t>Ajmer - Deen Dayal Upadhyaya Jn</t>
  </si>
  <si>
    <t>India, Akola</t>
  </si>
  <si>
    <t>Akola Junction - Ajmer Jn</t>
  </si>
  <si>
    <t>Akola Junction - Purna Junction</t>
  </si>
  <si>
    <t>India, Purna</t>
  </si>
  <si>
    <t>Akola - Purna</t>
  </si>
  <si>
    <t>India, Pushkar</t>
  </si>
  <si>
    <t>Akola - Pushkar</t>
  </si>
  <si>
    <t>India, Alappuzha</t>
  </si>
  <si>
    <t>Alappuzha - Newcastle Nsw</t>
  </si>
  <si>
    <t>India, Manipal</t>
  </si>
  <si>
    <t>Alappuzha - Manipal</t>
  </si>
  <si>
    <t>India, Trivandrum</t>
  </si>
  <si>
    <t>Alappuzha - Thiruvananthapuram North Kochuveli</t>
  </si>
  <si>
    <t>India, Aligarh</t>
  </si>
  <si>
    <t>India, Badshahnagar</t>
  </si>
  <si>
    <t>Aligarh Junction - Badshahnagar</t>
  </si>
  <si>
    <t>Aligarh - Badshahnagar</t>
  </si>
  <si>
    <t>Aligarh Junction - Naini Junction</t>
  </si>
  <si>
    <t>Aligarh - Naini</t>
  </si>
  <si>
    <t>Aligarh Junction - Deen Dayal Upadhyaya Jn</t>
  </si>
  <si>
    <t>India, Alipurduar</t>
  </si>
  <si>
    <t>India, Bardhaman</t>
  </si>
  <si>
    <t>Alipur Duar Junction - Barddhaman Junction</t>
  </si>
  <si>
    <t>Alipurduar - Bardhaman</t>
  </si>
  <si>
    <t>India, Prayagraj</t>
  </si>
  <si>
    <t>Alipur Duar Junction - Prayagraj Junction</t>
  </si>
  <si>
    <t>Alipurduar - Prayagraj</t>
  </si>
  <si>
    <t>New Alipurduar - Prayagraj Junction</t>
  </si>
  <si>
    <t>India, Aluva</t>
  </si>
  <si>
    <t>India, Changanaseri</t>
  </si>
  <si>
    <t>Aluva - Changanaseri</t>
  </si>
  <si>
    <t>India, Jharkhand</t>
  </si>
  <si>
    <t>Aluva - Jharkhand</t>
  </si>
  <si>
    <t>India, Old Goa</t>
  </si>
  <si>
    <t>Aluva - Old Goa</t>
  </si>
  <si>
    <t>India, Ranchi</t>
  </si>
  <si>
    <t>Aluva - Ranchi</t>
  </si>
  <si>
    <t>India, Srirangam</t>
  </si>
  <si>
    <t>Aluva - Srirangam</t>
  </si>
  <si>
    <t>India, Tiruvalla</t>
  </si>
  <si>
    <t>Aluva - Tiruvalla</t>
  </si>
  <si>
    <t>India, Alwar</t>
  </si>
  <si>
    <t>India, Amritsar</t>
  </si>
  <si>
    <t>Alwar - Amritsar Jn</t>
  </si>
  <si>
    <t>Alwar - Amritsar</t>
  </si>
  <si>
    <t>India, Punjab</t>
  </si>
  <si>
    <t>Alwar - Punjab</t>
  </si>
  <si>
    <t>India, Sikandra Agra</t>
  </si>
  <si>
    <t>Alwar - Sikandra Agra</t>
  </si>
  <si>
    <t>India, Amadalavalasa</t>
  </si>
  <si>
    <t>India, Lingampalli</t>
  </si>
  <si>
    <t>Amadalavalasa - Lingampalli</t>
  </si>
  <si>
    <t>India, Ambala</t>
  </si>
  <si>
    <t>India, Patiala</t>
  </si>
  <si>
    <t>Ambala - Patiala</t>
  </si>
  <si>
    <t xml:space="preserve">India, Shahganj </t>
  </si>
  <si>
    <t>Ambala - Shahganj</t>
  </si>
  <si>
    <t>India, Ambala City</t>
  </si>
  <si>
    <t>India, Mughalsarai</t>
  </si>
  <si>
    <t>Ambala City - Mughalsarai</t>
  </si>
  <si>
    <t>Ambala City - Patiala</t>
  </si>
  <si>
    <t>Ambala City - Deen Dayal Upadhyaya Jn</t>
  </si>
  <si>
    <t>India, Amravati</t>
  </si>
  <si>
    <t>India, Madhya Pradesh</t>
  </si>
  <si>
    <t>Amravati - Madhya Pradesh</t>
  </si>
  <si>
    <t>Amritsar - Sikandra Agra</t>
  </si>
  <si>
    <t>India, Anakapalle</t>
  </si>
  <si>
    <t>India, Tadepalligudem</t>
  </si>
  <si>
    <t>Anakapalle - Tadepalligudem</t>
  </si>
  <si>
    <t>India, Delhi</t>
  </si>
  <si>
    <t>Anantapur - Delhi</t>
  </si>
  <si>
    <t xml:space="preserve">India, Dharmavaram </t>
  </si>
  <si>
    <t>Anantapur - Dharmavaram</t>
  </si>
  <si>
    <t>Anantapur - Dharmavaram Junction</t>
  </si>
  <si>
    <t>India, Tadipatri</t>
  </si>
  <si>
    <t>Anantapur - Tadipatri</t>
  </si>
  <si>
    <t>India, Andhra Pradesh</t>
  </si>
  <si>
    <t>Andhra Pradesh - Alappuzha</t>
  </si>
  <si>
    <t>India, Hatia</t>
  </si>
  <si>
    <t>Andhra Pradesh - Hatia</t>
  </si>
  <si>
    <t>India, Kavali</t>
  </si>
  <si>
    <t>Andhra Pradesh - Kavali</t>
  </si>
  <si>
    <t>Andhra Pradesh - Renigunta</t>
  </si>
  <si>
    <t>Andhra Pradesh - Sikandra Agra</t>
  </si>
  <si>
    <t>India, Yerraguntla</t>
  </si>
  <si>
    <t>Andhra Pradesh - Yerraguntla</t>
  </si>
  <si>
    <t>India, Angamaly</t>
  </si>
  <si>
    <t>India, Chengannur</t>
  </si>
  <si>
    <t>Angamali - Chengannur</t>
  </si>
  <si>
    <t>Angamaly - Chengannur</t>
  </si>
  <si>
    <t>India, Anjuna</t>
  </si>
  <si>
    <t>India, Kollam</t>
  </si>
  <si>
    <t>Anjuna - Kollam</t>
  </si>
  <si>
    <t>India, Kumta</t>
  </si>
  <si>
    <t>Anjuna - Kumta</t>
  </si>
  <si>
    <t>India, Kundapur</t>
  </si>
  <si>
    <t>Anjuna - Kundapur</t>
  </si>
  <si>
    <t>Anjuna - Sikandra Agra</t>
  </si>
  <si>
    <t>Anjuna - Trivandrum</t>
  </si>
  <si>
    <t>India, Ankleshwar</t>
  </si>
  <si>
    <t>India, Ernakulam</t>
  </si>
  <si>
    <t>Ankleshwar - Ernakulam</t>
  </si>
  <si>
    <t>India, Margao</t>
  </si>
  <si>
    <t>Ankleshwar - Margao</t>
  </si>
  <si>
    <t>India, Anuppur</t>
  </si>
  <si>
    <t>Anuppur Junction - Katni</t>
  </si>
  <si>
    <t>Anuppur Junction - Katni Murwara</t>
  </si>
  <si>
    <t>Anuppur Junction - Katni South</t>
  </si>
  <si>
    <t>Anuppur - Katni</t>
  </si>
  <si>
    <t>India, Ara</t>
  </si>
  <si>
    <t>India, Jamshedpur</t>
  </si>
  <si>
    <t>Ara - Jamshedpur</t>
  </si>
  <si>
    <t>India, Arakkonam</t>
  </si>
  <si>
    <t>India, Palani</t>
  </si>
  <si>
    <t>Arakkonam - Palani</t>
  </si>
  <si>
    <t>India, Araku Valley</t>
  </si>
  <si>
    <t>India, Simhachalam</t>
  </si>
  <si>
    <t>Araku Valley - Simhachalam</t>
  </si>
  <si>
    <t>Araku - Simhachalam</t>
  </si>
  <si>
    <t>India, Arsikere</t>
  </si>
  <si>
    <t>Arsikere - Broadmeadow</t>
  </si>
  <si>
    <t>Arsikere - Newcastle Nsw</t>
  </si>
  <si>
    <t>India, Asansol</t>
  </si>
  <si>
    <t>Asansol Junction - Ahmedabad Jn</t>
  </si>
  <si>
    <t>Asansol - Ahmedabad</t>
  </si>
  <si>
    <t>India, Akbarpur</t>
  </si>
  <si>
    <t>Asansol Junction - Akbarpur</t>
  </si>
  <si>
    <t>Asansol - Akbarpur</t>
  </si>
  <si>
    <t>India, Ayodhya</t>
  </si>
  <si>
    <t>Asansol Junction - Ayodhya</t>
  </si>
  <si>
    <t>Asansol - Ayodhya</t>
  </si>
  <si>
    <t xml:space="preserve">India, Faizabad </t>
  </si>
  <si>
    <t>Asansol Junction - Ayodhya Cantt</t>
  </si>
  <si>
    <t>Asansol - Faizabad</t>
  </si>
  <si>
    <t>India, Gujarat</t>
  </si>
  <si>
    <t>Asansol - Gujarat</t>
  </si>
  <si>
    <t>India, Assam</t>
  </si>
  <si>
    <t>India, Dhubri</t>
  </si>
  <si>
    <t>Assam - Dhubri</t>
  </si>
  <si>
    <t>India, Lumding</t>
  </si>
  <si>
    <t>Assam - Lumding</t>
  </si>
  <si>
    <t>India, Samastipur</t>
  </si>
  <si>
    <t>Assam - Samastipur</t>
  </si>
  <si>
    <t>India, Silapathar</t>
  </si>
  <si>
    <t>Assam - Silapathar</t>
  </si>
  <si>
    <t>Ayodhya - Aligarh</t>
  </si>
  <si>
    <t>Ayodhya - Sikandra Agra</t>
  </si>
  <si>
    <t>India, Badnera</t>
  </si>
  <si>
    <t>Badnera Junction - Hazrat Nizamuddin</t>
  </si>
  <si>
    <t>Badnera - Delhi</t>
  </si>
  <si>
    <t>India, Howrah</t>
  </si>
  <si>
    <t>Badnera Junction - Howrah</t>
  </si>
  <si>
    <t>Badnera - Howrah</t>
  </si>
  <si>
    <t>India, Kolkata</t>
  </si>
  <si>
    <t>Badnera Junction - Shalimar</t>
  </si>
  <si>
    <t>Badnera - Kolkata</t>
  </si>
  <si>
    <t>India, New Delhi</t>
  </si>
  <si>
    <t>Badnera - New Delhi</t>
  </si>
  <si>
    <t>India, Jhansi</t>
  </si>
  <si>
    <t>Badshahnagar - Jhansi</t>
  </si>
  <si>
    <t>Badshahnagar - Virangana Lakshmibai</t>
  </si>
  <si>
    <t>India, Uttar Pradesh</t>
  </si>
  <si>
    <t>Badshahnagar - Uttar Pradesh</t>
  </si>
  <si>
    <t>India, Vrindavan</t>
  </si>
  <si>
    <t>Badshahnagar - Vrindavan</t>
  </si>
  <si>
    <t>India, Balotra</t>
  </si>
  <si>
    <t>India, Vadodara</t>
  </si>
  <si>
    <t>Balotra Junction - Vadodara</t>
  </si>
  <si>
    <t>Balotra - Vadodara</t>
  </si>
  <si>
    <t>India, Vaniyambadi</t>
  </si>
  <si>
    <t>Ksr Bangalore - Vaniyambadi</t>
  </si>
  <si>
    <t>India, Dhanbad</t>
  </si>
  <si>
    <t>Barddhaman Junction - Dhanbad Junction</t>
  </si>
  <si>
    <t>Bardhaman - Dhanbad</t>
  </si>
  <si>
    <t>India, Bareilly</t>
  </si>
  <si>
    <t>Bareilly - Alwar</t>
  </si>
  <si>
    <t>India, Pilibhit</t>
  </si>
  <si>
    <t>Bareilly - Pilibhit Junction</t>
  </si>
  <si>
    <t>Bareilly - Pilibhit</t>
  </si>
  <si>
    <t>Bareilly - Punjab</t>
  </si>
  <si>
    <t>Bareilly - Sikandra Agra</t>
  </si>
  <si>
    <t>India, Bathinda</t>
  </si>
  <si>
    <t>Bathinda - Madhya Pradesh</t>
  </si>
  <si>
    <t>India, Beas</t>
  </si>
  <si>
    <t>Beas - Punjab</t>
  </si>
  <si>
    <t>India, Beawar</t>
  </si>
  <si>
    <t>Beawar - Ajmer Jn</t>
  </si>
  <si>
    <t>Beawar - Pushkar</t>
  </si>
  <si>
    <t>India, Begusarai</t>
  </si>
  <si>
    <t>India, Danapur</t>
  </si>
  <si>
    <t>Begusarai - Danapur</t>
  </si>
  <si>
    <t>India, Hubli</t>
  </si>
  <si>
    <t>Belgaum - Hubballi Jn</t>
  </si>
  <si>
    <t>India, Berhampore</t>
  </si>
  <si>
    <t>India, Krishnanagar West Bengal</t>
  </si>
  <si>
    <t>Berhampore Crt - Krishnanagar City Jn</t>
  </si>
  <si>
    <t>Berhampore - Krishnanagar West Bengal</t>
  </si>
  <si>
    <t>India, Bhilai</t>
  </si>
  <si>
    <t>India, Sakti</t>
  </si>
  <si>
    <t>Bhilai Power House - Sakti</t>
  </si>
  <si>
    <t>Bhilai - Sakti</t>
  </si>
  <si>
    <t>India, Bhopal</t>
  </si>
  <si>
    <t>India, Betul</t>
  </si>
  <si>
    <t>Rani Kamalapati - Betul</t>
  </si>
  <si>
    <t>India, Bina</t>
  </si>
  <si>
    <t>Rani Kamalapati - Bina Junction</t>
  </si>
  <si>
    <t>India, Khandwa</t>
  </si>
  <si>
    <t>Rani Kamalapati - Khandwa</t>
  </si>
  <si>
    <t>India, Bhubaneswar</t>
  </si>
  <si>
    <t>India, Paradeep</t>
  </si>
  <si>
    <t>Bhubaneswar - Paradeep</t>
  </si>
  <si>
    <t>India, Bhuj</t>
  </si>
  <si>
    <t>Bhuj - Bareilly</t>
  </si>
  <si>
    <t>India, Bihar</t>
  </si>
  <si>
    <t>India, Mirzapur</t>
  </si>
  <si>
    <t>Bihar - Mirzapur</t>
  </si>
  <si>
    <t>Bihar - Sikandra Agra</t>
  </si>
  <si>
    <t>India, Bikaner</t>
  </si>
  <si>
    <t>Bikaner - Mughalsarai</t>
  </si>
  <si>
    <t>Bikaner - Sikandra Agra</t>
  </si>
  <si>
    <t>Bikaner Jn - Deen Dayal Upadhyaya Jn</t>
  </si>
  <si>
    <t>India, West Bengal</t>
  </si>
  <si>
    <t>Bikaner - West Bengal</t>
  </si>
  <si>
    <t>India, Bilaspur</t>
  </si>
  <si>
    <t>Bilaspur Jn - Hatia</t>
  </si>
  <si>
    <t>Bilaspur - Hatia</t>
  </si>
  <si>
    <t>Bilaspur - Jharkhand</t>
  </si>
  <si>
    <t>India, Pune</t>
  </si>
  <si>
    <t>Bilaspur Jn - Pune Jn</t>
  </si>
  <si>
    <t>Bilaspur - Pune</t>
  </si>
  <si>
    <t>India, Mathura</t>
  </si>
  <si>
    <t>Bina Malkhedi Junction - Mathura Jn</t>
  </si>
  <si>
    <t>Bina - Vrindavan</t>
  </si>
  <si>
    <t>India, Bobbili</t>
  </si>
  <si>
    <t>India, Duvvada</t>
  </si>
  <si>
    <t>Bobbili - Duvvada</t>
  </si>
  <si>
    <t>India, Burhanpur</t>
  </si>
  <si>
    <t>India, Bhusaval</t>
  </si>
  <si>
    <t>Burhanpur - Bhusaval</t>
  </si>
  <si>
    <t>Burhanpur - Bhusaval Junction</t>
  </si>
  <si>
    <t>India, Nashik</t>
  </si>
  <si>
    <t>Burhanpur - Nashik</t>
  </si>
  <si>
    <t>Burhanpur - Nasik Road</t>
  </si>
  <si>
    <t>India, Burhar</t>
  </si>
  <si>
    <t>India, Jabalpur</t>
  </si>
  <si>
    <t>Burhar - Jabalpur</t>
  </si>
  <si>
    <t>India, Buxar</t>
  </si>
  <si>
    <t>Buxar - Karnataka</t>
  </si>
  <si>
    <t>India, Chengalpattu</t>
  </si>
  <si>
    <t>India, Dindigul</t>
  </si>
  <si>
    <t>Chengalpattu - Dindigul</t>
  </si>
  <si>
    <t>Chengalpattu - Dindigul Junction</t>
  </si>
  <si>
    <t>India, Hyderabad</t>
  </si>
  <si>
    <t>Chengalpattu - Hyderabad</t>
  </si>
  <si>
    <t>Chengalpattu - Kacheguda</t>
  </si>
  <si>
    <t>India, Karaikudi</t>
  </si>
  <si>
    <t>Chengalpattu - Karaikkudi Junction</t>
  </si>
  <si>
    <t>Chengalpattu - Karaikudi</t>
  </si>
  <si>
    <t>Chengalpattu - Renigunta</t>
  </si>
  <si>
    <t>Chengalpattu - Trivandrum</t>
  </si>
  <si>
    <t>Chengalpattu - Trivandrum Central</t>
  </si>
  <si>
    <t>India, Panvel</t>
  </si>
  <si>
    <t>Chengannur - Panvel</t>
  </si>
  <si>
    <t>India, Tamil Nadu</t>
  </si>
  <si>
    <t>Chengannur - Tamil Nadu</t>
  </si>
  <si>
    <t>India, Velankanni</t>
  </si>
  <si>
    <t>Chengannur - Velankanni</t>
  </si>
  <si>
    <t>India, Chennai</t>
  </si>
  <si>
    <t>India, Narsipatnam</t>
  </si>
  <si>
    <t>Chennai Central - Narsipatnam Road</t>
  </si>
  <si>
    <t>Chennai - Narsipatnam</t>
  </si>
  <si>
    <t>India, Chhapra</t>
  </si>
  <si>
    <t>India, Sonpur</t>
  </si>
  <si>
    <t>Chhapra - Sonpur</t>
  </si>
  <si>
    <t>Chhapra - Sonpur Junction</t>
  </si>
  <si>
    <t>Chhapra - Uttar Pradesh</t>
  </si>
  <si>
    <t>India, Chhatarpur</t>
  </si>
  <si>
    <t>Maharaja Chhatrasal - Mathura Jn</t>
  </si>
  <si>
    <t>Chhatarpur - Vrindavan</t>
  </si>
  <si>
    <t>India, Chhattisgarh</t>
  </si>
  <si>
    <t>India, Kantabanji</t>
  </si>
  <si>
    <t>Chhattisgarh - Kantabanji</t>
  </si>
  <si>
    <t>India, Chidambaram</t>
  </si>
  <si>
    <t>India, Kumbakonam</t>
  </si>
  <si>
    <t>Chidambaram - Kumbakonam</t>
  </si>
  <si>
    <t>India, Cuttack</t>
  </si>
  <si>
    <t>India, Kendujhar</t>
  </si>
  <si>
    <t>Cuttack - Kendujhargarh</t>
  </si>
  <si>
    <t>Danapur - Mirzapur</t>
  </si>
  <si>
    <t>India, Daund</t>
  </si>
  <si>
    <t>Daund - Vrindavan</t>
  </si>
  <si>
    <t>India, Davanagere</t>
  </si>
  <si>
    <t>India, Hosapete</t>
  </si>
  <si>
    <t>Davangere - Hospet Jn</t>
  </si>
  <si>
    <t>Davanagere - Hosapete</t>
  </si>
  <si>
    <t>India, Dehri on Sone</t>
  </si>
  <si>
    <t>India, Maihar</t>
  </si>
  <si>
    <t>Dehri On Sone - Maihar</t>
  </si>
  <si>
    <t>India, Bhadrakh</t>
  </si>
  <si>
    <t>Hazrat Nizamuddin - Bhadrakh</t>
  </si>
  <si>
    <t>India, Bhatpar Rani</t>
  </si>
  <si>
    <t>Anand Vihar Trm - Bhatpar Rani</t>
  </si>
  <si>
    <t>India, Bhitarkanika National Park</t>
  </si>
  <si>
    <t>Delhi - Bhitarkanika National Park</t>
  </si>
  <si>
    <t>Delhi - Burhanpur</t>
  </si>
  <si>
    <t>Hazrat Nizamuddin - Burhanpur</t>
  </si>
  <si>
    <t>India, Gomoh</t>
  </si>
  <si>
    <t>Delhi - Gomoh</t>
  </si>
  <si>
    <t>India, Mavli</t>
  </si>
  <si>
    <t>Delhi Sarai Rohilla - Mavli Junction</t>
  </si>
  <si>
    <t>India, Modinagar</t>
  </si>
  <si>
    <t>Delhi Cantt - Modinagar</t>
  </si>
  <si>
    <t>Hazrat Nizamuddin - Modinagar</t>
  </si>
  <si>
    <t>Delhi - Modinagar</t>
  </si>
  <si>
    <t>Delhi - Deen Dayal Upadhyaya Jn</t>
  </si>
  <si>
    <t>India, Viramgam</t>
  </si>
  <si>
    <t>Delhi Sarai Rohilla - Viramgam Junction</t>
  </si>
  <si>
    <t>Delhi - Viramgam</t>
  </si>
  <si>
    <t>India, Deoghar</t>
  </si>
  <si>
    <t>Deoghar - Prayagraj</t>
  </si>
  <si>
    <t>India, Deshnok</t>
  </si>
  <si>
    <t>Deshnok - Agra</t>
  </si>
  <si>
    <t>India, Bharatpur Rajasthan</t>
  </si>
  <si>
    <t>Deshnok - Bharatpur Jn</t>
  </si>
  <si>
    <t>Deshnok - Bharatpur Rajasthan</t>
  </si>
  <si>
    <t>India, Rajasthan</t>
  </si>
  <si>
    <t>Deshnok - Rajasthan</t>
  </si>
  <si>
    <t>India, Dewas</t>
  </si>
  <si>
    <t>India, Roorkee</t>
  </si>
  <si>
    <t>Dewas - Roorkee</t>
  </si>
  <si>
    <t>India, Dhampur</t>
  </si>
  <si>
    <t>Dhampur - Ayodhya Cantt</t>
  </si>
  <si>
    <t>Dhampur - Faizabad</t>
  </si>
  <si>
    <t>India, Darbhanga</t>
  </si>
  <si>
    <t>Dhanbad Junction - Darbhanga</t>
  </si>
  <si>
    <t>Dhanbad - Darbhanga</t>
  </si>
  <si>
    <t>India, Dharmapuri Tamil Nadu</t>
  </si>
  <si>
    <t>Dharmapuri Tamil Nadu - Trivandrum</t>
  </si>
  <si>
    <t>Dharwad - Newcastle Nsw</t>
  </si>
  <si>
    <t>India, Dhuri</t>
  </si>
  <si>
    <t>India, Haridwar</t>
  </si>
  <si>
    <t>Dhuri - Haridwar</t>
  </si>
  <si>
    <t>Dhuri - Punjab</t>
  </si>
  <si>
    <t>India, Dimapur</t>
  </si>
  <si>
    <t>India, Gorakhpur</t>
  </si>
  <si>
    <t>Dimapur - Gorakhpur</t>
  </si>
  <si>
    <t>India, Dodballapur</t>
  </si>
  <si>
    <t>India, Hampi</t>
  </si>
  <si>
    <t>Dodballapur - Hampi</t>
  </si>
  <si>
    <t>India, Doiwala</t>
  </si>
  <si>
    <t>Doiwala - Uttar Pradesh</t>
  </si>
  <si>
    <t>India, Dondaicha</t>
  </si>
  <si>
    <t>India, Surat</t>
  </si>
  <si>
    <t>Dondaicha - Surat</t>
  </si>
  <si>
    <t>India, Dudhani</t>
  </si>
  <si>
    <t>Dudhani - Maharashtra</t>
  </si>
  <si>
    <t>Duvvada - Bobbili</t>
  </si>
  <si>
    <t>Duvvada - Kothapatnam</t>
  </si>
  <si>
    <t>India, Ongole</t>
  </si>
  <si>
    <t>Duvvada - Ongole</t>
  </si>
  <si>
    <t>India, Punalur</t>
  </si>
  <si>
    <t>Ernakulam - Punalur</t>
  </si>
  <si>
    <t>India, Thoothukudi</t>
  </si>
  <si>
    <t>Ernakulam - Thoothukudi</t>
  </si>
  <si>
    <t>India, Erode</t>
  </si>
  <si>
    <t>Erode - New Delhi</t>
  </si>
  <si>
    <t>Erode - Renigunta</t>
  </si>
  <si>
    <t>India, Secunderabad</t>
  </si>
  <si>
    <t>Erode - Secunderabad</t>
  </si>
  <si>
    <t>India, Thiruvananthapuram</t>
  </si>
  <si>
    <t>Erode - Thiruvananthapuram</t>
  </si>
  <si>
    <t>India, Etawah</t>
  </si>
  <si>
    <t>India, Guwahati</t>
  </si>
  <si>
    <t>Etawah - Guwahati</t>
  </si>
  <si>
    <t>Etawah - Kamakhya</t>
  </si>
  <si>
    <t>Etawah - Maharashtra</t>
  </si>
  <si>
    <t>India, Phaphund</t>
  </si>
  <si>
    <t>Etawah - Phaphund</t>
  </si>
  <si>
    <t>Etawah - Sikandra Agra</t>
  </si>
  <si>
    <t>India, Jammu</t>
  </si>
  <si>
    <t>Ayodhya Cantt - Jammu Tawi</t>
  </si>
  <si>
    <t>India, Jammu and Kashmir</t>
  </si>
  <si>
    <t>Faizabad - Jammu And Kashmir</t>
  </si>
  <si>
    <t>India, Jammu Kashmir</t>
  </si>
  <si>
    <t>Faizabad - Jammu Kashmir</t>
  </si>
  <si>
    <t>Faizabad - Sikandra Agra</t>
  </si>
  <si>
    <t>India, Faridabad</t>
  </si>
  <si>
    <t>India, Haryana</t>
  </si>
  <si>
    <t>Faridabad - Haryana</t>
  </si>
  <si>
    <t>India, Jind</t>
  </si>
  <si>
    <t>Faridabad - Jind Junction</t>
  </si>
  <si>
    <t>Faridabad - Jind</t>
  </si>
  <si>
    <t>Faridabad - Sikandra Agra</t>
  </si>
  <si>
    <t>India, Fatehpur Uttar Pradesh</t>
  </si>
  <si>
    <t>Fatehpur Uttar Pradesh - Bikaner</t>
  </si>
  <si>
    <t>India, Ferozepur</t>
  </si>
  <si>
    <t>India, Jalandhar</t>
  </si>
  <si>
    <t>Ferozepur - Jalandhar</t>
  </si>
  <si>
    <t>India, Firozabad</t>
  </si>
  <si>
    <t>Firozabad - Sikandra Agra</t>
  </si>
  <si>
    <t>India, Gajraula</t>
  </si>
  <si>
    <t>India, Ghaziabad</t>
  </si>
  <si>
    <t>Gajraula Junction - Ghaziabad</t>
  </si>
  <si>
    <t>Gajraula - Uttar Pradesh</t>
  </si>
  <si>
    <t>India, Ganagapur Road</t>
  </si>
  <si>
    <t>Ganagapur Road - Hyderabad</t>
  </si>
  <si>
    <t>Ganagapur Road - Hyderabad Decan</t>
  </si>
  <si>
    <t>India, Gandhidham</t>
  </si>
  <si>
    <t>India, Bharuch</t>
  </si>
  <si>
    <t>Gandhidham Bg - Bharuch Junction</t>
  </si>
  <si>
    <t>Gandhidham - Bharuch</t>
  </si>
  <si>
    <t>India, Gauripur India</t>
  </si>
  <si>
    <t>Gauripur India - Assam</t>
  </si>
  <si>
    <t>India, Ghatkesar</t>
  </si>
  <si>
    <t>India, Nizamabad</t>
  </si>
  <si>
    <t>Charlapalli - Nizamabad</t>
  </si>
  <si>
    <t>Ghatkesar - Nizamabad</t>
  </si>
  <si>
    <t>India, Khurja</t>
  </si>
  <si>
    <t>Ghaziabad - Khurja</t>
  </si>
  <si>
    <t>Ghaziabad - Khurja Junction</t>
  </si>
  <si>
    <t>Ghaziabad - Deen Dayal Upadhyaya Jn</t>
  </si>
  <si>
    <t>India, Ghazipur</t>
  </si>
  <si>
    <t>Ghazipur - Maharashtra</t>
  </si>
  <si>
    <t>India, Goa</t>
  </si>
  <si>
    <t>Vasco Da Gama - Arsikere</t>
  </si>
  <si>
    <t>Thivim - Kumta</t>
  </si>
  <si>
    <t>Thivim - Kundapura</t>
  </si>
  <si>
    <t>Gujarat - Sikandra Agra</t>
  </si>
  <si>
    <t xml:space="preserve">India, Guntur </t>
  </si>
  <si>
    <t>India, Kakinada</t>
  </si>
  <si>
    <t>New Guntur - Kakinada Town</t>
  </si>
  <si>
    <t>Guntur - Kakinada</t>
  </si>
  <si>
    <t>Guntur Junction - Simhachalam</t>
  </si>
  <si>
    <t>Guntur - Simhachalam</t>
  </si>
  <si>
    <t>India, Gwalior</t>
  </si>
  <si>
    <t>Gwalior - Sikandra Agra</t>
  </si>
  <si>
    <t>India, Habibganj</t>
  </si>
  <si>
    <t>Habibganj - Betul</t>
  </si>
  <si>
    <t>Habibganj - Bhusaval</t>
  </si>
  <si>
    <t>Habibganj - Bina</t>
  </si>
  <si>
    <t>Habibganj - Chennai</t>
  </si>
  <si>
    <t>Habibganj - Gorakhpur</t>
  </si>
  <si>
    <t>Habibganj - Kanpur</t>
  </si>
  <si>
    <t>Habibganj - Khandwa</t>
  </si>
  <si>
    <t>Habibganj - Secunderabad</t>
  </si>
  <si>
    <t>Habibganj - Sikandra Agra</t>
  </si>
  <si>
    <t>India, Hajipur</t>
  </si>
  <si>
    <t xml:space="preserve">India, Katihar </t>
  </si>
  <si>
    <t>Hajipur Junction - Katihar Junction</t>
  </si>
  <si>
    <t>Hajipur - Katihar</t>
  </si>
  <si>
    <t>India, Siwan</t>
  </si>
  <si>
    <t>Hajipur Junction - Siwan Junction</t>
  </si>
  <si>
    <t>Hajipur - Siwan</t>
  </si>
  <si>
    <t>India, Haldwani</t>
  </si>
  <si>
    <t>Haldwani - Ajmer Jn</t>
  </si>
  <si>
    <t>Haldwani - Ajmer</t>
  </si>
  <si>
    <t>India, Moradabad</t>
  </si>
  <si>
    <t>Haldwani - Moradabad</t>
  </si>
  <si>
    <t>Haldwani - West Bengal</t>
  </si>
  <si>
    <t>India, Hanumangarh</t>
  </si>
  <si>
    <t>India, Sri Ganganagar</t>
  </si>
  <si>
    <t>Hanumangarh Junction - Shri Ganganagar</t>
  </si>
  <si>
    <t>Hanumangarh - Sri Ganganagar</t>
  </si>
  <si>
    <t>Haryana - Beas</t>
  </si>
  <si>
    <t>India, Bhiwani</t>
  </si>
  <si>
    <t>Haryana - Bhiwani</t>
  </si>
  <si>
    <t>India, Madurai</t>
  </si>
  <si>
    <t>Haryana - Madurai</t>
  </si>
  <si>
    <t>India, Panipat</t>
  </si>
  <si>
    <t>Rohtak Junction - Panipat Junction</t>
  </si>
  <si>
    <t>India, Hassan</t>
  </si>
  <si>
    <t>Hassan - Solapur Junction</t>
  </si>
  <si>
    <t>Hassan - Solapur</t>
  </si>
  <si>
    <t>India, Hoshangabad</t>
  </si>
  <si>
    <t>Hoshangabad - Delhi</t>
  </si>
  <si>
    <t>Narmadapuram - Delhi Safdarjung</t>
  </si>
  <si>
    <t>Narmadapuram - Hazrat Nizamuddin</t>
  </si>
  <si>
    <t>Hoshangabad - New Delhi</t>
  </si>
  <si>
    <t>Narmadapuram - New Delhi</t>
  </si>
  <si>
    <t>Howrah - Amravati</t>
  </si>
  <si>
    <t>Howrah - Badnera</t>
  </si>
  <si>
    <t>Howrah - Badnera Junction</t>
  </si>
  <si>
    <t>India, Barabhum</t>
  </si>
  <si>
    <t>Howrah - Barabhum</t>
  </si>
  <si>
    <t>Howrah - Bhilai</t>
  </si>
  <si>
    <t>Howrah - Bhilai Power House</t>
  </si>
  <si>
    <t>India, Palasa</t>
  </si>
  <si>
    <t>Howrah - Palasa</t>
  </si>
  <si>
    <t>Hubballi Dharwad - Belagavi</t>
  </si>
  <si>
    <t>Hubballi Dharwad - Davanagere</t>
  </si>
  <si>
    <t>India, Gadag</t>
  </si>
  <si>
    <t>Hubballi Dharwad - Gadag</t>
  </si>
  <si>
    <t>Hubballi Dharwad - Harihar</t>
  </si>
  <si>
    <t>Hubballi Jn - Arsikere</t>
  </si>
  <si>
    <t>Hubli - Arsikere</t>
  </si>
  <si>
    <t>Hubballi Jn - Belgaum</t>
  </si>
  <si>
    <t>Hubballi Jn - Harihar</t>
  </si>
  <si>
    <t>Hyderabad - Arsikere</t>
  </si>
  <si>
    <t>Kacheguda - Arsikere</t>
  </si>
  <si>
    <t>Hyderabad - Bilaspur</t>
  </si>
  <si>
    <t>India, Chandipur</t>
  </si>
  <si>
    <t>Hyderabad - Chandipur</t>
  </si>
  <si>
    <t>India, Dachepalle</t>
  </si>
  <si>
    <t>Hyderabad - Dachepalle</t>
  </si>
  <si>
    <t>India, Daman</t>
  </si>
  <si>
    <t>Hyderabad - Daman</t>
  </si>
  <si>
    <t>Hyderabad Decan - Charlapalli</t>
  </si>
  <si>
    <t>Hyderabad - Ghatkesar</t>
  </si>
  <si>
    <t>India, Jamikunta</t>
  </si>
  <si>
    <t>Hyderabad Decan - Jamikunta</t>
  </si>
  <si>
    <t>Hyderabad - Jamikunta</t>
  </si>
  <si>
    <t>India, Indore</t>
  </si>
  <si>
    <t>Indore Jn Bg - Anuppur Junction</t>
  </si>
  <si>
    <t>Indore - Anuppur</t>
  </si>
  <si>
    <t>India, Narsinghpur</t>
  </si>
  <si>
    <t>Indore Jn Bg - Narsinghpur</t>
  </si>
  <si>
    <t>Indore - Narsinghpur</t>
  </si>
  <si>
    <t>Indore - Sikandra Agra</t>
  </si>
  <si>
    <t>Dahar Ka Balaji - Ajmer Jn</t>
  </si>
  <si>
    <t>Jalandhar - Howrah</t>
  </si>
  <si>
    <t>Jalandhar - Kolkata</t>
  </si>
  <si>
    <t>India, Taj Mahal</t>
  </si>
  <si>
    <t>Jalandhar - Taj Mahal</t>
  </si>
  <si>
    <t>Jalandhar - West Bengal</t>
  </si>
  <si>
    <t>India, Jalgaon</t>
  </si>
  <si>
    <t>Jalgaon Jn - Agra Cantt</t>
  </si>
  <si>
    <t>Jalgaon - Taj Mahal</t>
  </si>
  <si>
    <t>India, Jalore</t>
  </si>
  <si>
    <t>India, Ramdevra</t>
  </si>
  <si>
    <t>Jalor - Ramdevra</t>
  </si>
  <si>
    <t>Jalore - Ramdevra</t>
  </si>
  <si>
    <t>Jamikunta - Hyderabad</t>
  </si>
  <si>
    <t>India, Karnal</t>
  </si>
  <si>
    <t>Jammu Tawi - Karnal</t>
  </si>
  <si>
    <t>Jammu - Karnal</t>
  </si>
  <si>
    <t>Jammu - Sikandra Agra</t>
  </si>
  <si>
    <t>Jammu Tawi - Deen Dayal Upadhyaya Jn</t>
  </si>
  <si>
    <t>Jammu And Kashmir - Kanpur</t>
  </si>
  <si>
    <t>India, Kota</t>
  </si>
  <si>
    <t>Jammu And Kashmir - Kota</t>
  </si>
  <si>
    <t>Jammu And Kashmir - Moradabad</t>
  </si>
  <si>
    <t>Jammu And Kashmir - Mughalsarai</t>
  </si>
  <si>
    <t>Jammu And Kashmir - Sikandra Agra</t>
  </si>
  <si>
    <t>Jammu Kashmir - Karnal</t>
  </si>
  <si>
    <t>Jammu Kashmir - Moradabad</t>
  </si>
  <si>
    <t>Jammu Kashmir - Sikandra Agra</t>
  </si>
  <si>
    <t>India, Tundla</t>
  </si>
  <si>
    <t>Jammu Kashmir - Tundla</t>
  </si>
  <si>
    <t>India, Fatwa</t>
  </si>
  <si>
    <t>Jamshedpur - Fatwa</t>
  </si>
  <si>
    <t>India, Gopalpur Odisha</t>
  </si>
  <si>
    <t>Jamshedpur - Gopalpur Odisha</t>
  </si>
  <si>
    <t>India, Jasidih Deoghar</t>
  </si>
  <si>
    <t>Jasidih Deoghar - Katihar</t>
  </si>
  <si>
    <t>Jasidih Junction - Katihar Junction</t>
  </si>
  <si>
    <t>India, Jaunpur</t>
  </si>
  <si>
    <t>India, Vapi</t>
  </si>
  <si>
    <t>Jaunpur Junction - Vapi</t>
  </si>
  <si>
    <t>Jaunpur - Vapi</t>
  </si>
  <si>
    <t>India, Kochi India</t>
  </si>
  <si>
    <t>Virangana Lakshmibai - Ernakulam Jn</t>
  </si>
  <si>
    <t>Virangana Lakshmibai - Ernakulam Town North</t>
  </si>
  <si>
    <t>Jhansi - Kochi India</t>
  </si>
  <si>
    <t>India, Puri</t>
  </si>
  <si>
    <t>Jhansi - Puri</t>
  </si>
  <si>
    <t>Virangana Lakshmibai - Puri</t>
  </si>
  <si>
    <t>Jhansi - Sikandra Agra</t>
  </si>
  <si>
    <t>India, Jogbani</t>
  </si>
  <si>
    <t>Jogbani - West Bengal</t>
  </si>
  <si>
    <t>India, Jolarpet</t>
  </si>
  <si>
    <t>Jolarpet - Ernakulam</t>
  </si>
  <si>
    <t>India, Kadapa</t>
  </si>
  <si>
    <t>Cuddapah - Solapur Junction</t>
  </si>
  <si>
    <t>Kadapa - Solapur</t>
  </si>
  <si>
    <t>India, Kadur</t>
  </si>
  <si>
    <t>Kadur - Karnataka</t>
  </si>
  <si>
    <t>India, Whitefield Bangalore</t>
  </si>
  <si>
    <t>Kadur - Whitefield</t>
  </si>
  <si>
    <t>Kadur - Whitefield Bangalore</t>
  </si>
  <si>
    <t>Kalaburagi - Renigunta</t>
  </si>
  <si>
    <t>Kalaburagi Junction - Tambaram</t>
  </si>
  <si>
    <t>Kalaburagi - Tambaram</t>
  </si>
  <si>
    <t>Kalyan Jn - Aluva</t>
  </si>
  <si>
    <t>Kalyan - Aluva</t>
  </si>
  <si>
    <t>India, Boisar</t>
  </si>
  <si>
    <t>Kalyan Jn - Boisar</t>
  </si>
  <si>
    <t>Kalyan - Boisar</t>
  </si>
  <si>
    <t>Kalyan Jn - Viramgam Junction</t>
  </si>
  <si>
    <t>Kalyan - Viramgam</t>
  </si>
  <si>
    <t>India, Yadgir</t>
  </si>
  <si>
    <t>Kalyan Jn - Yadgir</t>
  </si>
  <si>
    <t>Kalyan - Yadgir</t>
  </si>
  <si>
    <t>India, Kankanadi</t>
  </si>
  <si>
    <t>Kankanadi - Daman</t>
  </si>
  <si>
    <t>India, Kannur</t>
  </si>
  <si>
    <t>India, Canacona Goa</t>
  </si>
  <si>
    <t>Kannur - Canacona Goa</t>
  </si>
  <si>
    <t>Kannur - Cancona</t>
  </si>
  <si>
    <t>India, Karwar</t>
  </si>
  <si>
    <t>Kannur - Karwar</t>
  </si>
  <si>
    <t>India, Meja Road</t>
  </si>
  <si>
    <t>Kanpur Central - Meja Road</t>
  </si>
  <si>
    <t>Kanpur - Meja Road</t>
  </si>
  <si>
    <t>Kanpur - Sikandra Agra</t>
  </si>
  <si>
    <t>India, Kathua</t>
  </si>
  <si>
    <t>Kathua - Jammu And Kashmir</t>
  </si>
  <si>
    <t>Kathua - Jammu Kashmir</t>
  </si>
  <si>
    <t>Katihar Junction - Sealdah</t>
  </si>
  <si>
    <t>Katihar - Kolkata</t>
  </si>
  <si>
    <t>Katni South - Bhopal Jn</t>
  </si>
  <si>
    <t>Katni - Maharashtra</t>
  </si>
  <si>
    <t>India, Mumbai</t>
  </si>
  <si>
    <t>Katni Murwara - Lokmanya Tilak Term</t>
  </si>
  <si>
    <t>Katni - Lokmanya Tilak Term</t>
  </si>
  <si>
    <t>Katni - Mumbai Cst</t>
  </si>
  <si>
    <t>Katni Murwara - Prayagraj Junction</t>
  </si>
  <si>
    <t>Katni - Prayagraj</t>
  </si>
  <si>
    <t>Katni - Prayagraj Junction</t>
  </si>
  <si>
    <t>India, Katpadi</t>
  </si>
  <si>
    <t>Katpadi - Maharashtra</t>
  </si>
  <si>
    <t>Katpadi Junction - Mumbai Cst</t>
  </si>
  <si>
    <t>India, Katra Vaishno Devi</t>
  </si>
  <si>
    <t>Katra Vaishno Devi - Agra</t>
  </si>
  <si>
    <t>Katra Vaishno Devi - Taj Mahal</t>
  </si>
  <si>
    <t>India, Kayamkulam</t>
  </si>
  <si>
    <t>Kayamkulam Junction - Palani</t>
  </si>
  <si>
    <t>Kayamkulam - Palani</t>
  </si>
  <si>
    <t>India, Kerala</t>
  </si>
  <si>
    <t>India, Mangalore</t>
  </si>
  <si>
    <t>Kumbla - Mangalore Central</t>
  </si>
  <si>
    <t>Kerala - Sikandra Agra</t>
  </si>
  <si>
    <t xml:space="preserve">India, Khagaria </t>
  </si>
  <si>
    <t>Khagaria Junction - Siwan Junction</t>
  </si>
  <si>
    <t>Khagaria - Siwan</t>
  </si>
  <si>
    <t>India, Khajuraho</t>
  </si>
  <si>
    <t>Khajuraho - Sikandra Agra</t>
  </si>
  <si>
    <t>India, Chittorgarh</t>
  </si>
  <si>
    <t>Khandwa - Chittaurgarh</t>
  </si>
  <si>
    <t>Khandwa - Chittorgarh</t>
  </si>
  <si>
    <t>India, Kiul</t>
  </si>
  <si>
    <t>Kiul Junction - Kolkata</t>
  </si>
  <si>
    <t>Kiul Junction - Sealdah</t>
  </si>
  <si>
    <t>Ernakulam Jn - Punalur</t>
  </si>
  <si>
    <t>Ernakulam Town North - Renigunta Junction</t>
  </si>
  <si>
    <t>Kochi India - Renigunta</t>
  </si>
  <si>
    <t>Ernakulam Town North - Tuti Melur</t>
  </si>
  <si>
    <t>Ernakulam Town North - Tuticorin</t>
  </si>
  <si>
    <t>Kochi India - Thoothukudi</t>
  </si>
  <si>
    <t>India, Kolaghat</t>
  </si>
  <si>
    <t>India, Digha</t>
  </si>
  <si>
    <t>Kolaghat - Digha</t>
  </si>
  <si>
    <t>Kolaghat - Puri</t>
  </si>
  <si>
    <t>Kolaghat - West Bengal</t>
  </si>
  <si>
    <t>India, Barbil</t>
  </si>
  <si>
    <t>Kolkata - Barbil</t>
  </si>
  <si>
    <t>Kolkata - Renigunta</t>
  </si>
  <si>
    <t>Kolkata - Sikandra Agra</t>
  </si>
  <si>
    <t>Kolkata - Deen Dayal Upadhyaya Jn</t>
  </si>
  <si>
    <t>India, Korba</t>
  </si>
  <si>
    <t>Korba - Delhi</t>
  </si>
  <si>
    <t>Korba - Hazrat Nizamuddin</t>
  </si>
  <si>
    <t>Korba - New Delhi</t>
  </si>
  <si>
    <t>Kothapatnam - Delhi</t>
  </si>
  <si>
    <t>Kothapatnam - Renigunta</t>
  </si>
  <si>
    <t>India, Kudal</t>
  </si>
  <si>
    <t>Kudal - Old Goa</t>
  </si>
  <si>
    <t>India, Navi Mumbai</t>
  </si>
  <si>
    <t>Kumta - Navi Mumbai</t>
  </si>
  <si>
    <t>India, Kurnool</t>
  </si>
  <si>
    <t>India, Nanded</t>
  </si>
  <si>
    <t>Kurnool Town - Nanded</t>
  </si>
  <si>
    <t>Kurnool - Nanded</t>
  </si>
  <si>
    <t>India, Kurukshetra</t>
  </si>
  <si>
    <t>Kurukshetra - Maharashtra</t>
  </si>
  <si>
    <t>Kurukshetra Junction - Mumbai Central</t>
  </si>
  <si>
    <t>Kurukshetra Junction - Mumbai Cst</t>
  </si>
  <si>
    <t>India, Kuttippuram</t>
  </si>
  <si>
    <t>India, Kottayam</t>
  </si>
  <si>
    <t>Kuttippuram - Kottayam</t>
  </si>
  <si>
    <t>India, Jadcherla</t>
  </si>
  <si>
    <t>Lingampalli - Jadcherla</t>
  </si>
  <si>
    <t>India, Luckeesarai</t>
  </si>
  <si>
    <t>Luckeesarai - Jamshedpur</t>
  </si>
  <si>
    <t>Luckeesarai - West Bengal</t>
  </si>
  <si>
    <t>India, Lucknow</t>
  </si>
  <si>
    <t>Gomti Nagar Lucknow - Ara</t>
  </si>
  <si>
    <t>Lucknow Nr - Ara</t>
  </si>
  <si>
    <t>Lucknow - Ara</t>
  </si>
  <si>
    <t>Aishbagh - Badshahnagar</t>
  </si>
  <si>
    <t>Lucknow Ne - Badshahnagar</t>
  </si>
  <si>
    <t>Lucknow - Badshahnagar</t>
  </si>
  <si>
    <t>India, Ludhiana</t>
  </si>
  <si>
    <t>Ludhiana - Faridabad</t>
  </si>
  <si>
    <t>India, Telangana</t>
  </si>
  <si>
    <t>Ludhiana - Telangana</t>
  </si>
  <si>
    <t>India, Madanapalle</t>
  </si>
  <si>
    <t>Madanapalle Road - Secunderabad</t>
  </si>
  <si>
    <t>Madanapalle - Secunderabad</t>
  </si>
  <si>
    <t>India, Madhupur</t>
  </si>
  <si>
    <t>Madhupur - Jharkhand</t>
  </si>
  <si>
    <t xml:space="preserve">India, Amla </t>
  </si>
  <si>
    <t>Madhya Pradesh - Amla</t>
  </si>
  <si>
    <t>India, Chandrapur</t>
  </si>
  <si>
    <t>Madhya Pradesh - Chandrapur</t>
  </si>
  <si>
    <t>Madhya Pradesh - Hoshangabad</t>
  </si>
  <si>
    <t>India, Nagda</t>
  </si>
  <si>
    <t>Madhya Pradesh - Nagda</t>
  </si>
  <si>
    <t>Madhya Pradesh - Puri</t>
  </si>
  <si>
    <t>Madhya Pradesh - Sikandra Agra</t>
  </si>
  <si>
    <t>India, Thalassery</t>
  </si>
  <si>
    <t>Madhya Pradesh - Thalassery</t>
  </si>
  <si>
    <t>Madurai - Anjuna</t>
  </si>
  <si>
    <t>Madurai Junction - Yelahanka Junction</t>
  </si>
  <si>
    <t>India, Yelhanka</t>
  </si>
  <si>
    <t>Madurai - Yelhanka</t>
  </si>
  <si>
    <t>Maharashtra - Alwar</t>
  </si>
  <si>
    <t>Maharashtra - Davanagere</t>
  </si>
  <si>
    <t>Maharashtra - Erode</t>
  </si>
  <si>
    <t>Miraj Junction - Hubballi Jn</t>
  </si>
  <si>
    <t>India, Jalamb</t>
  </si>
  <si>
    <t>Maharashtra - Jalamb</t>
  </si>
  <si>
    <t>Maharashtra - Kurukshetra</t>
  </si>
  <si>
    <t>India, Pimpri Chinchwad</t>
  </si>
  <si>
    <t>Miraj Junction - Chinchvad</t>
  </si>
  <si>
    <t>Maharashtra - Renigunta</t>
  </si>
  <si>
    <t>Maharashtra - Yelhanka</t>
  </si>
  <si>
    <t>India, Mahbubnagar</t>
  </si>
  <si>
    <t>Mahbubnagar - Lingampalli</t>
  </si>
  <si>
    <t>India, Manchiryal</t>
  </si>
  <si>
    <t>India, Ramagundam</t>
  </si>
  <si>
    <t>Mancherial - Ramagundam</t>
  </si>
  <si>
    <t>Manchiryal - Ramagundam</t>
  </si>
  <si>
    <t>India, Mandya</t>
  </si>
  <si>
    <t>Mandya - Karnataka</t>
  </si>
  <si>
    <t>India, Abhaneri</t>
  </si>
  <si>
    <t>Mathura - Abhaneri</t>
  </si>
  <si>
    <t>Mathura Jn - Badshahnagar</t>
  </si>
  <si>
    <t>Mathura - Badshahnagar</t>
  </si>
  <si>
    <t>India, Ratlam</t>
  </si>
  <si>
    <t>Mathura Jn - Ratlam</t>
  </si>
  <si>
    <t>Mathura - Ratlam</t>
  </si>
  <si>
    <t>India, Mau</t>
  </si>
  <si>
    <t>Mau Junction - Ayodhya</t>
  </si>
  <si>
    <t>Mau - Ayodhya</t>
  </si>
  <si>
    <t>Mau Junction - Kanpur Central</t>
  </si>
  <si>
    <t>Mau - Kanpur</t>
  </si>
  <si>
    <t>India, Mayiladuthurai</t>
  </si>
  <si>
    <t>India, Villupuram</t>
  </si>
  <si>
    <t>Mayiladuthurai - Villupuram</t>
  </si>
  <si>
    <t>Mayiladuturai Jn - Villuparam Junction</t>
  </si>
  <si>
    <t>India, Meerut</t>
  </si>
  <si>
    <t>Meerut - Sikandra Agra</t>
  </si>
  <si>
    <t>India, Melmaruvattur</t>
  </si>
  <si>
    <t>Melmaruvattur - Telangana</t>
  </si>
  <si>
    <t>Miraj - Hubballi Dharwad</t>
  </si>
  <si>
    <t>Miraj - Margao</t>
  </si>
  <si>
    <t>Miraj - Pimpri Chinchwad</t>
  </si>
  <si>
    <t>Miraj - Whitefield Bangalore</t>
  </si>
  <si>
    <t>India, Mohali</t>
  </si>
  <si>
    <t>Mohali - Alwar</t>
  </si>
  <si>
    <t>Sahibzada Ajeet Singh Nagar Mohali - Alwar</t>
  </si>
  <si>
    <t>India, Anandpur Sahib</t>
  </si>
  <si>
    <t>Mohali - Anandpur Sahib</t>
  </si>
  <si>
    <t>Sahibzada Ajeet Singh Nagar Mohali - Anandpur Sahib</t>
  </si>
  <si>
    <t>Mohali - Gujarat</t>
  </si>
  <si>
    <t>Mohali - Haryana</t>
  </si>
  <si>
    <t>India, Rewari</t>
  </si>
  <si>
    <t>Mohali - Rewari</t>
  </si>
  <si>
    <t>Sahibzada Ajeet Singh Nagar Mohali - Rewari</t>
  </si>
  <si>
    <t>India, Hapur</t>
  </si>
  <si>
    <t>Moradabad - Hapur</t>
  </si>
  <si>
    <t>Moradabad - Mathura Jn</t>
  </si>
  <si>
    <t>Moradabad - Ringas Junction</t>
  </si>
  <si>
    <t>Moradabad - Vrindavan</t>
  </si>
  <si>
    <t>India, Morappur</t>
  </si>
  <si>
    <t>Morappur - Tamil Nadu</t>
  </si>
  <si>
    <t>India, Mount Abu</t>
  </si>
  <si>
    <t>Abu Road - Agra Cantt</t>
  </si>
  <si>
    <t>India, Borivali</t>
  </si>
  <si>
    <t>Mount Abu - Borivali</t>
  </si>
  <si>
    <t>India, Jamnagar</t>
  </si>
  <si>
    <t>Abu Road - Hapa</t>
  </si>
  <si>
    <t>Abu Road - Jamnagar</t>
  </si>
  <si>
    <t>Mount Abu - Jamnagar</t>
  </si>
  <si>
    <t>Abu Road - Kalyan Jn</t>
  </si>
  <si>
    <t>Mount Abu - Kalyan</t>
  </si>
  <si>
    <t>Mount Abu - Panvel</t>
  </si>
  <si>
    <t>Mount Abu - Pushkar</t>
  </si>
  <si>
    <t>Mount Abu - Sikandra Agra</t>
  </si>
  <si>
    <t>Abu Road - Tundla Junction</t>
  </si>
  <si>
    <t>Mount Abu - Tundla</t>
  </si>
  <si>
    <t>India, Muddanuru</t>
  </si>
  <si>
    <t>Muddanuru - Telangana</t>
  </si>
  <si>
    <t>Mughalsarai - Ambala City</t>
  </si>
  <si>
    <t>Mughalsarai - Asansol</t>
  </si>
  <si>
    <t>India, Aurangabad</t>
  </si>
  <si>
    <t>Mughalsarai - Aurangabad</t>
  </si>
  <si>
    <t>India, Bhagalpur</t>
  </si>
  <si>
    <t>Mughalsarai - Bhagalpur</t>
  </si>
  <si>
    <t>Mughalsarai - Chhatarpur</t>
  </si>
  <si>
    <t>Mughalsarai - Jalgaon</t>
  </si>
  <si>
    <t>Mughalsarai - Khanna</t>
  </si>
  <si>
    <t>Mughalsarai - Nashik</t>
  </si>
  <si>
    <t>Mughalsarai - Surat</t>
  </si>
  <si>
    <t>India, Visakhapatnam</t>
  </si>
  <si>
    <t>Mughalsarai - Visakhapatnam</t>
  </si>
  <si>
    <t>India, Mulki Karnataka</t>
  </si>
  <si>
    <t>Mulki Karnataka - Maharashtra</t>
  </si>
  <si>
    <t>India, Multai</t>
  </si>
  <si>
    <t>Multai - Madhya Pradesh</t>
  </si>
  <si>
    <t>Lokmanya Tilak Term - Adoni</t>
  </si>
  <si>
    <t>Mumbai Cst - Adoni</t>
  </si>
  <si>
    <t>Mumbai - Adoni</t>
  </si>
  <si>
    <t>India, Babhnan</t>
  </si>
  <si>
    <t>Lokmanya Tilak Term - Babhnan</t>
  </si>
  <si>
    <t>Mumbai - Babhnan</t>
  </si>
  <si>
    <t>Mumbai Cst - Yelahanka Junction</t>
  </si>
  <si>
    <t>Mumbai Dadar - Davangere</t>
  </si>
  <si>
    <t>Mumbai Cst - Erode</t>
  </si>
  <si>
    <t>India, Gotan</t>
  </si>
  <si>
    <t>Mumbai Dadar - Gotan</t>
  </si>
  <si>
    <t>Mumbai - Gotan</t>
  </si>
  <si>
    <t>India, Meghnagar</t>
  </si>
  <si>
    <t>Mumbai Central - Meghnagar</t>
  </si>
  <si>
    <t>Mumbai - Meghnagar</t>
  </si>
  <si>
    <t>India, Muniguda</t>
  </si>
  <si>
    <t>India, Raipur</t>
  </si>
  <si>
    <t>Muniguda - Raipur</t>
  </si>
  <si>
    <t>Muniguda - Raipur Jn</t>
  </si>
  <si>
    <t>India, Muzaffarnagar</t>
  </si>
  <si>
    <t>Muzaffarnagar - Daman</t>
  </si>
  <si>
    <t>Muzaffarnagar - Vadodara</t>
  </si>
  <si>
    <t>Muzaffarnagar - Vapi</t>
  </si>
  <si>
    <t>India, Nadikude</t>
  </si>
  <si>
    <t>Nadikude - Telangana</t>
  </si>
  <si>
    <t>India, Nagaland</t>
  </si>
  <si>
    <t>Nagaland - Gorakhpur</t>
  </si>
  <si>
    <t>Nagda Junction - Indore Jn Bg</t>
  </si>
  <si>
    <t>Nagda - Indore</t>
  </si>
  <si>
    <t>Nagda - Maharashtra</t>
  </si>
  <si>
    <t>Nagercoil Jn - Kayamkulam Junction</t>
  </si>
  <si>
    <t>Nagercoil - Kayamkulam</t>
  </si>
  <si>
    <t>Nagercoil - Kerala</t>
  </si>
  <si>
    <t>India, Nagpur</t>
  </si>
  <si>
    <t>Nagpur - Hubballi Dharwad</t>
  </si>
  <si>
    <t>India, Igatpuri</t>
  </si>
  <si>
    <t>Nagpur - Igatpuri</t>
  </si>
  <si>
    <t>India, Narkher</t>
  </si>
  <si>
    <t>Nagpur - Narkher</t>
  </si>
  <si>
    <t>Nagpur - Sikandra Agra</t>
  </si>
  <si>
    <t>India, Naihati Jn</t>
  </si>
  <si>
    <t>India, Durgapur</t>
  </si>
  <si>
    <t>Naihati Jn - Durgapur</t>
  </si>
  <si>
    <t>Naihati Junction - Durgapur</t>
  </si>
  <si>
    <t>India, Ballia</t>
  </si>
  <si>
    <t>Naini Junction - Ballia</t>
  </si>
  <si>
    <t>Naini - Ballia</t>
  </si>
  <si>
    <t>Naini Junction - Kanpur Central</t>
  </si>
  <si>
    <t>Naini - Kanpur</t>
  </si>
  <si>
    <t>Naini Junction - Lucknow Nr</t>
  </si>
  <si>
    <t>Naini - Lucknow</t>
  </si>
  <si>
    <t>Naini Junction - Prayagraj Junction</t>
  </si>
  <si>
    <t>Naini - Prayagraj</t>
  </si>
  <si>
    <t>Naini - Uttar Pradesh</t>
  </si>
  <si>
    <t>India, Nalanda</t>
  </si>
  <si>
    <t>Nalanda - Bihar</t>
  </si>
  <si>
    <t>India, Hingoli</t>
  </si>
  <si>
    <t>Nanded - Hingoli</t>
  </si>
  <si>
    <t>Nanded - Hingoli Deccan</t>
  </si>
  <si>
    <t>Nanded - Visakhapatnam</t>
  </si>
  <si>
    <t>India, Nandura</t>
  </si>
  <si>
    <t>Nandura - Ajni Junction</t>
  </si>
  <si>
    <t>Nandura - Nagpur</t>
  </si>
  <si>
    <t>Nasik Road - Chandrapur</t>
  </si>
  <si>
    <t>Nashik - Chandrapur</t>
  </si>
  <si>
    <t>Navi Mumbai - Aluva</t>
  </si>
  <si>
    <t>Navi Mumbai - Ernakulam</t>
  </si>
  <si>
    <t>India, Gondia</t>
  </si>
  <si>
    <t>Navi Mumbai - Gondia</t>
  </si>
  <si>
    <t>India, Kanyakumari</t>
  </si>
  <si>
    <t>Navi Mumbai - Kanyakumari</t>
  </si>
  <si>
    <t>Navi Mumbai - Kochi India</t>
  </si>
  <si>
    <t>Navi Mumbai - Kottayam</t>
  </si>
  <si>
    <t>Navi Mumbai - Kumta</t>
  </si>
  <si>
    <t>Navi Mumbai - Mulki Karnataka</t>
  </si>
  <si>
    <t>Navi Mumbai - Nagercoil</t>
  </si>
  <si>
    <t>India, Neemuch</t>
  </si>
  <si>
    <t>Neemuch - Ratlam</t>
  </si>
  <si>
    <t>Nimach - Ratlam</t>
  </si>
  <si>
    <t>India, Nellore</t>
  </si>
  <si>
    <t>Nellore - Ludhiana</t>
  </si>
  <si>
    <t>Nellore - Renigunta</t>
  </si>
  <si>
    <t>India, Bakhtiyarpur</t>
  </si>
  <si>
    <t>New Delhi - Bakhtiyarpur</t>
  </si>
  <si>
    <t>New Delhi - Bakhtiyarpur Junction</t>
  </si>
  <si>
    <t>New Delhi - Mavli</t>
  </si>
  <si>
    <t>New Delhi - Modinagar</t>
  </si>
  <si>
    <t>India, Ramgarh Cantonment</t>
  </si>
  <si>
    <t>New Delhi - Ramgarh Cantonment</t>
  </si>
  <si>
    <t>New Delhi - Deen Dayal Upadhyaya Jn</t>
  </si>
  <si>
    <t>Nizamabad - Renigunta Junction</t>
  </si>
  <si>
    <t>Nizamabad - Renigunta</t>
  </si>
  <si>
    <t>India, Odisha</t>
  </si>
  <si>
    <t>Odisha - Katni</t>
  </si>
  <si>
    <t>Odisha - Paradeep</t>
  </si>
  <si>
    <t>India, Puducherry</t>
  </si>
  <si>
    <t>Odisha - Puducherry</t>
  </si>
  <si>
    <t>Odisha - Renigunta</t>
  </si>
  <si>
    <t>India, Okha</t>
  </si>
  <si>
    <t>Okha - Panvel</t>
  </si>
  <si>
    <t>Old Goa - Kannur</t>
  </si>
  <si>
    <t>Old Goa - Karwar</t>
  </si>
  <si>
    <t>India, Ottappalam</t>
  </si>
  <si>
    <t>Ottappalam - Angamali</t>
  </si>
  <si>
    <t>Panipat - Sikandra Agra</t>
  </si>
  <si>
    <t>Panipat - Taj Mahal</t>
  </si>
  <si>
    <t>India, Patna</t>
  </si>
  <si>
    <t>Patliputra - Mirzapur</t>
  </si>
  <si>
    <t>Patna Jn - Mirzapur</t>
  </si>
  <si>
    <t>India, Shirdi</t>
  </si>
  <si>
    <t>Chinchvad - Sainagar Shirdi</t>
  </si>
  <si>
    <t>Pimpri Chinchwad - Shirdi</t>
  </si>
  <si>
    <t>India, Podanur</t>
  </si>
  <si>
    <t>Podanur Junction - Tambaram</t>
  </si>
  <si>
    <t>Podanur - Tambaram</t>
  </si>
  <si>
    <t>Allahabad City - Deen Dayal Upadhyaya Jn</t>
  </si>
  <si>
    <t>Allahabad - Deen Dayal Upadhyaya Jn</t>
  </si>
  <si>
    <t>Pune Jn - Purna Junction</t>
  </si>
  <si>
    <t>Dhuri Junction - Haridwar Jn</t>
  </si>
  <si>
    <t>Firozpur Cant - Jalandhar</t>
  </si>
  <si>
    <t>India, Rajapalayam</t>
  </si>
  <si>
    <t>Rajapalayam - Tambaram</t>
  </si>
  <si>
    <t>India, Rajpura</t>
  </si>
  <si>
    <t>India, Fazilka</t>
  </si>
  <si>
    <t>Rajpura Junction - Fazilka</t>
  </si>
  <si>
    <t>Rajpura - Fazilka</t>
  </si>
  <si>
    <t>Renigunta Junction - Arakkonam</t>
  </si>
  <si>
    <t>Renigunta - Arakkonam</t>
  </si>
  <si>
    <t xml:space="preserve">India, Gooty </t>
  </si>
  <si>
    <t>Renigunta Junction - Gooty</t>
  </si>
  <si>
    <t>Renigunta - Gooty</t>
  </si>
  <si>
    <t>Renigunta Junction - Kalaburagi Junction</t>
  </si>
  <si>
    <t>Renigunta - Kalaburagi</t>
  </si>
  <si>
    <t>Renigunta - Kanyakumari</t>
  </si>
  <si>
    <t>Renigunta - Karnataka</t>
  </si>
  <si>
    <t>Renigunta - Katpadi</t>
  </si>
  <si>
    <t>Renigunta - Maharashtra</t>
  </si>
  <si>
    <t>Renigunta Junction - Lokmanya Tilak Term</t>
  </si>
  <si>
    <t>Renigunta Junction - Mumbai Cst</t>
  </si>
  <si>
    <t>Renigunta - Mumbai</t>
  </si>
  <si>
    <t>Renigunta - Nagercoil</t>
  </si>
  <si>
    <t>Renigunta Junction - Pondicherry</t>
  </si>
  <si>
    <t>Renigunta - Puducherry</t>
  </si>
  <si>
    <t>Renigunta Junction - Srirangam</t>
  </si>
  <si>
    <t>Renigunta - Srirangam</t>
  </si>
  <si>
    <t>Renigunta - Tambaram</t>
  </si>
  <si>
    <t>India, Vellore</t>
  </si>
  <si>
    <t>Renigunta - Vellore</t>
  </si>
  <si>
    <t>India, Charkhi Dadri</t>
  </si>
  <si>
    <t>Rewari - Charkhi Dadri</t>
  </si>
  <si>
    <t>India, Rishikesh</t>
  </si>
  <si>
    <t>Rishikesh - Sikandra Agra</t>
  </si>
  <si>
    <t>India, Rohtak</t>
  </si>
  <si>
    <t>Rohtak - Panipat</t>
  </si>
  <si>
    <t>Secunderabad - Arsikere</t>
  </si>
  <si>
    <t>Secunderabad - Bilaspur Jn</t>
  </si>
  <si>
    <t>Moula Ali - Lingampalli</t>
  </si>
  <si>
    <t>India, Tirupati</t>
  </si>
  <si>
    <t>Moula Ali - Tirupati</t>
  </si>
  <si>
    <t>India, Shegaon</t>
  </si>
  <si>
    <t>Shegaon - Badnera</t>
  </si>
  <si>
    <t>Shegaon - Badnera Junction</t>
  </si>
  <si>
    <t>India, Shoranur</t>
  </si>
  <si>
    <t>Shoranur - Old Goa</t>
  </si>
  <si>
    <t>India, Shravanbela Gola</t>
  </si>
  <si>
    <t>Shravanabelagola - Yesvantpur</t>
  </si>
  <si>
    <t>Shravanbela Gola - Bangalore</t>
  </si>
  <si>
    <t>India, Shri Mata Vaishno</t>
  </si>
  <si>
    <t>Shri Mata Vaishno - Kathua</t>
  </si>
  <si>
    <t>Shri Mata Vaishno - Sikandra Agra</t>
  </si>
  <si>
    <t>India, Shrirampur</t>
  </si>
  <si>
    <t>Belapur - Madgaon</t>
  </si>
  <si>
    <t>Shrirampur - Margao</t>
  </si>
  <si>
    <t>Sikandra Agra - Abhaneri</t>
  </si>
  <si>
    <t>Sikandra Agra - Agra</t>
  </si>
  <si>
    <t>Sikandra Agra - Ahmedabad</t>
  </si>
  <si>
    <t>Sikandra Agra - Ajmer</t>
  </si>
  <si>
    <t>Sikandra Agra - Anjuna</t>
  </si>
  <si>
    <t>Sikandra Agra - Aurangabad</t>
  </si>
  <si>
    <t>India, Bandikui</t>
  </si>
  <si>
    <t>Sikandra Agra - Bandikui</t>
  </si>
  <si>
    <t>Sikandra Agra - Bareilly</t>
  </si>
  <si>
    <t>Sikandra Agra - Bharatpur Rajasthan</t>
  </si>
  <si>
    <t>Sikandra Agra - Bhopal</t>
  </si>
  <si>
    <t>Sikandra Agra - Bikaner</t>
  </si>
  <si>
    <t>Sikandra Agra - Bundi</t>
  </si>
  <si>
    <t>Sikandra Agra - Chennai</t>
  </si>
  <si>
    <t>Sikandra Agra - Chhattisgarh</t>
  </si>
  <si>
    <t>India, Coimbatore</t>
  </si>
  <si>
    <t>Sikandra Agra - Coimbatore</t>
  </si>
  <si>
    <t>Sikandra Agra - Danapur</t>
  </si>
  <si>
    <t>Sikandra Agra - Ernakulam</t>
  </si>
  <si>
    <t>Sikandra Agra - Etawah</t>
  </si>
  <si>
    <t>Sikandra Agra - Fatehpur Uttar Pradesh</t>
  </si>
  <si>
    <t>Sikandra Agra - Firozabad</t>
  </si>
  <si>
    <t>India, Gaya</t>
  </si>
  <si>
    <t>Sikandra Agra - Gaya</t>
  </si>
  <si>
    <t>Sikandra Agra - Goa</t>
  </si>
  <si>
    <t>India, Gonda</t>
  </si>
  <si>
    <t>Sikandra Agra - Gonda</t>
  </si>
  <si>
    <t>Sikandra Agra - Gujarat</t>
  </si>
  <si>
    <t>Sikandra Agra - Gwalior</t>
  </si>
  <si>
    <t>Sikandra Agra - Habibganj</t>
  </si>
  <si>
    <t>Sikandra Agra - Haridwar</t>
  </si>
  <si>
    <t>India, Hindaun</t>
  </si>
  <si>
    <t>Sikandra Agra - Hindaun</t>
  </si>
  <si>
    <t>Sikandra Agra - Hyderabad</t>
  </si>
  <si>
    <t>Sikandra Agra - Indore</t>
  </si>
  <si>
    <t>Sikandra Agra - Jhansi</t>
  </si>
  <si>
    <t>Sikandra Agra - Kanpur</t>
  </si>
  <si>
    <t>Sikandra Agra - Karnal</t>
  </si>
  <si>
    <t>Sikandra Agra - Katni</t>
  </si>
  <si>
    <t>Sikandra Agra - Kerala</t>
  </si>
  <si>
    <t>Sikandra Agra - Khajuraho</t>
  </si>
  <si>
    <t>Sikandra Agra - Kota</t>
  </si>
  <si>
    <t>Sikandra Agra - Lucknow</t>
  </si>
  <si>
    <t>Sikandra Agra - Ludhiana</t>
  </si>
  <si>
    <t>Sikandra Agra - Madhya Pradesh</t>
  </si>
  <si>
    <t>Sikandra Agra - Nagpur</t>
  </si>
  <si>
    <t>India, North Goa</t>
  </si>
  <si>
    <t>Sikandra Agra - North Goa</t>
  </si>
  <si>
    <t>India, Pathankot</t>
  </si>
  <si>
    <t>Sikandra Agra - Pathankot</t>
  </si>
  <si>
    <t>Sikandra Agra - Patna</t>
  </si>
  <si>
    <t>Sikandra Agra - Prayagraj</t>
  </si>
  <si>
    <t>Sikandra Agra - Pune</t>
  </si>
  <si>
    <t>Sikandra Agra - Pushkar</t>
  </si>
  <si>
    <t>Sikandra Agra - Raipur</t>
  </si>
  <si>
    <t>Sikandra Agra - Rishikesh</t>
  </si>
  <si>
    <t>Sikandra Agra - Roorkee</t>
  </si>
  <si>
    <t>India, Sabarmati</t>
  </si>
  <si>
    <t>Sikandra Agra - Sabarmati</t>
  </si>
  <si>
    <t>India, Sawai Madhopur</t>
  </si>
  <si>
    <t>Sikandra Agra - Sawai Madhopur</t>
  </si>
  <si>
    <t>Sikandra Agra - Secunderabad</t>
  </si>
  <si>
    <t>Sikandra Agra - Sikar</t>
  </si>
  <si>
    <t>Sikandra Agra - Taj Mahal</t>
  </si>
  <si>
    <t>Sikandra Agra - Tamil Nadu</t>
  </si>
  <si>
    <t>Sikandra Agra - Telangana</t>
  </si>
  <si>
    <t>Sikandra Agra - Tiruchirappalli</t>
  </si>
  <si>
    <t>Sikandra Agra - Tiruppur</t>
  </si>
  <si>
    <t>Sikandra Agra - Tundla</t>
  </si>
  <si>
    <t>Sikandra Agra - Uttar Pradesh</t>
  </si>
  <si>
    <t>Sikandra Agra - Vrindavan</t>
  </si>
  <si>
    <t>India, Hisar</t>
  </si>
  <si>
    <t>Sikar Junction - Hisar</t>
  </si>
  <si>
    <t>India, Siliguri</t>
  </si>
  <si>
    <t>Siliguri Junction - Siliguri Town</t>
  </si>
  <si>
    <t>Siwan - Ambala</t>
  </si>
  <si>
    <t>Siwan Junction - Ambala City</t>
  </si>
  <si>
    <t>Siwan - Ambala City</t>
  </si>
  <si>
    <t>India, Kopargaon</t>
  </si>
  <si>
    <t>Solapur Junction - Kopargaon</t>
  </si>
  <si>
    <t>Solapur - Kopargaon</t>
  </si>
  <si>
    <t>Solapur - Renigunta</t>
  </si>
  <si>
    <t>Solapur Junction - Villuparam Junction</t>
  </si>
  <si>
    <t>Solapur - Villupuram</t>
  </si>
  <si>
    <t>India, Somnath</t>
  </si>
  <si>
    <t>India, Valsad</t>
  </si>
  <si>
    <t>Somnath - Valsad</t>
  </si>
  <si>
    <t>India, Sonipat</t>
  </si>
  <si>
    <t>Sonipat - Agra Cantt</t>
  </si>
  <si>
    <t>Sonipat - Sikandra Agra</t>
  </si>
  <si>
    <t>Sonpur Junction - Patliputra</t>
  </si>
  <si>
    <t>Shri Ganganagar - Fazilka</t>
  </si>
  <si>
    <t>India, Srikakulam</t>
  </si>
  <si>
    <t>Srikakulam Road - Lingampalli</t>
  </si>
  <si>
    <t>Srikakulam - Lingampalli</t>
  </si>
  <si>
    <t>India, Srikalahasti</t>
  </si>
  <si>
    <t>Sri Kalahasti - New Guntur</t>
  </si>
  <si>
    <t>Srikalahasti - Guntur</t>
  </si>
  <si>
    <t>Sri Kalahasti - Lingampalli</t>
  </si>
  <si>
    <t>Srikalahasti - Lingampalli</t>
  </si>
  <si>
    <t>Srirangam - Dindigul</t>
  </si>
  <si>
    <t>Srirangam - Dindigul Junction</t>
  </si>
  <si>
    <t>Srirangam - Mangalore</t>
  </si>
  <si>
    <t>Srirangam - Mangalore Central</t>
  </si>
  <si>
    <t>India, Sujangarh Rajasthan</t>
  </si>
  <si>
    <t>Sujangarh - Jodhpur Jn</t>
  </si>
  <si>
    <t>Sujangarh Rajasthan - Jodhpur</t>
  </si>
  <si>
    <t>Sujangarh Rajasthan - Maharashtra</t>
  </si>
  <si>
    <t>India, Sultanganj</t>
  </si>
  <si>
    <t>Sultanganj - Jammu</t>
  </si>
  <si>
    <t>Sultanganj - Jammu Tawi</t>
  </si>
  <si>
    <t>India, Sultanpur</t>
  </si>
  <si>
    <t>Sultanpur - Agra Cantt</t>
  </si>
  <si>
    <t>Sultanpur - Agra</t>
  </si>
  <si>
    <t>Sultanpur - Ayodhya Cantt</t>
  </si>
  <si>
    <t>Sultanpur - Mughalsarai</t>
  </si>
  <si>
    <t>Sultanpur - Sikandra Agra</t>
  </si>
  <si>
    <t>Sultanpur - Taj Mahal</t>
  </si>
  <si>
    <t>Sultanpur - Deen Dayal Upadhyaya Jn</t>
  </si>
  <si>
    <t>Surat - Mughalsarai</t>
  </si>
  <si>
    <t>India, Pipariya</t>
  </si>
  <si>
    <t>Surat - Pipariya</t>
  </si>
  <si>
    <t>India, Sevagram</t>
  </si>
  <si>
    <t>Surat - Sevagram</t>
  </si>
  <si>
    <t>Surat - Tundla</t>
  </si>
  <si>
    <t>Surat - Tundla Junction</t>
  </si>
  <si>
    <t>Surat - Deen Dayal Upadhyaya Jn</t>
  </si>
  <si>
    <t>India, Surendranagar</t>
  </si>
  <si>
    <t>Jorawarnagar Junction - Ahmedabad Jn</t>
  </si>
  <si>
    <t>Surendranagar - Bandra Terminus</t>
  </si>
  <si>
    <t>Surendranagar - Gujarat</t>
  </si>
  <si>
    <t>Surendranagar - Maharashtra</t>
  </si>
  <si>
    <t>Surendranagar - Abu Road</t>
  </si>
  <si>
    <t>Surendranagar - Mount Abu</t>
  </si>
  <si>
    <t>Surendranagar - Navi Mumbai</t>
  </si>
  <si>
    <t>Surendranagar - Panvel</t>
  </si>
  <si>
    <t>India, Tatanagar</t>
  </si>
  <si>
    <t>Tatanagar - Fatwa</t>
  </si>
  <si>
    <t>India, Thane</t>
  </si>
  <si>
    <t>India, Anand Gujarat</t>
  </si>
  <si>
    <t>Thane - Anand Gujarat</t>
  </si>
  <si>
    <t>Tundla Junction - Delhi Cantt</t>
  </si>
  <si>
    <t>Tundla Junction - Deen Dayal Upadhyaya Jn</t>
  </si>
  <si>
    <t>Karimuddin Pur - Lucknow Ne</t>
  </si>
  <si>
    <t>Deen Dayal Upadhyaya Jn - Asansol Junction</t>
  </si>
  <si>
    <t>Deen Dayal Upadhyaya Jn - Aurangabad</t>
  </si>
  <si>
    <t>Deen Dayal Upadhyaya Jn - Bhagalpur</t>
  </si>
  <si>
    <t>Deen Dayal Upadhyaya Jn - Maharaja Chhatrasal</t>
  </si>
  <si>
    <t>Deen Dayal Upadhyaya Jn - Howrah</t>
  </si>
  <si>
    <t>Deen Dayal Upadhyaya Jn - Jalgaon Jn</t>
  </si>
  <si>
    <t>Deen Dayal Upadhyaya Jn - Jasidih Junction</t>
  </si>
  <si>
    <t>Deen Dayal Upadhyaya Jn - Nasik Road</t>
  </si>
  <si>
    <t>Deen Dayal Upadhyaya Jn - Allahabad City</t>
  </si>
  <si>
    <t>Deen Dayal Upadhyaya Jn - Surat</t>
  </si>
  <si>
    <t>Deen Dayal Upadhyaya Jn - Visakhapatnam</t>
  </si>
  <si>
    <t>India, Veraval</t>
  </si>
  <si>
    <t>Veraval - Valsad</t>
  </si>
  <si>
    <t>India, Vijayawada</t>
  </si>
  <si>
    <t>Vijayawada Jn - Piler</t>
  </si>
  <si>
    <t>India, Warangal</t>
  </si>
  <si>
    <t>Vijayawada Jn - Kazipet Junction</t>
  </si>
  <si>
    <t>Midnapore - Santragachi Junction</t>
  </si>
  <si>
    <t>Indonesia, Gili Islands</t>
  </si>
  <si>
    <t>Canggu Transfer - Gili Air</t>
  </si>
  <si>
    <t>van | Taxi + Ferry</t>
  </si>
  <si>
    <t>Canggu Transfer - Gili Meno</t>
  </si>
  <si>
    <t>Canggu Transfer - Gili Trawangan Port</t>
  </si>
  <si>
    <t>Kuta Transfer - Gili Air</t>
  </si>
  <si>
    <t>Kuta Transfer - Gili Meno</t>
  </si>
  <si>
    <t>Kuta Transfer - Gili Trawangan Port</t>
  </si>
  <si>
    <t>Legian Transfer - Gili Air</t>
  </si>
  <si>
    <t>Legian Transfer - Gili Meno</t>
  </si>
  <si>
    <t>Legian Transfer - Gili Trawangan Port</t>
  </si>
  <si>
    <t>Indonesia, I Gusti Ngurah Rai International Airport</t>
  </si>
  <si>
    <t>Canggu Transfer - I Gusti Ngurah Rai International Airport</t>
  </si>
  <si>
    <t>charter | SUV 4pax</t>
  </si>
  <si>
    <t>charter | Toyota Alphard 3pax</t>
  </si>
  <si>
    <t>charter | Van 8pax</t>
  </si>
  <si>
    <t>Jimbaran Transfer - I Gusti Ngurah Rai International Airport</t>
  </si>
  <si>
    <t>Kuta Transfer - I Gusti Ngurah Rai International Airport</t>
  </si>
  <si>
    <t>Indonesia, Malang</t>
  </si>
  <si>
    <t>Denpasar Transfer - Malang Transfer</t>
  </si>
  <si>
    <t>bus | Executive</t>
  </si>
  <si>
    <t>Indonesia, Nusa Lembongan</t>
  </si>
  <si>
    <t>Denpasar Transfer - Jungut Batu Harbour</t>
  </si>
  <si>
    <t>ferry | Fast Boat</t>
  </si>
  <si>
    <t>Jimbaran Transfer - Jungut Batu Harbour</t>
  </si>
  <si>
    <t>Kerobokan Transfer - Jungut Batu Harbour</t>
  </si>
  <si>
    <t>Kuta Transfer - Jungut Batu Harbour</t>
  </si>
  <si>
    <t>Legian Transfer - Jungut Batu Harbour</t>
  </si>
  <si>
    <t>Nusa Dua Transfer - Jungut Batu Harbour</t>
  </si>
  <si>
    <t>Petitenget Transfer - Jungut Batu Harbour</t>
  </si>
  <si>
    <t>Indonesia, Surabaya</t>
  </si>
  <si>
    <t>Denpasar Transfer - Surabaya Transfer</t>
  </si>
  <si>
    <t>Indonesia, Banyuwangi</t>
  </si>
  <si>
    <t>Pelabuhan Ketapang - Terminal Ubung</t>
  </si>
  <si>
    <t>Indonesia, Mengwi</t>
  </si>
  <si>
    <t>Pelabuhan Ketapang - Terminal Mengwi</t>
  </si>
  <si>
    <t>Indonesia, Tabanan</t>
  </si>
  <si>
    <t>Pelabuhan Ketapang - Terminal Persiapan</t>
  </si>
  <si>
    <t>Indonesia, Batam</t>
  </si>
  <si>
    <t>Indonesia, Pasuruan</t>
  </si>
  <si>
    <t>Batam - Pasuruan</t>
  </si>
  <si>
    <t>Indonesia, West Kalimantan</t>
  </si>
  <si>
    <t>Batam - West Kalimantan</t>
  </si>
  <si>
    <t>Malaysia, Bandar Sunway</t>
  </si>
  <si>
    <t>Batam - Bandar Sunway</t>
  </si>
  <si>
    <t>Malaysia, Putrajaya</t>
  </si>
  <si>
    <t>Batam - Putrajaya</t>
  </si>
  <si>
    <t>Malaysia, Seremban</t>
  </si>
  <si>
    <t>Batam - Seremban</t>
  </si>
  <si>
    <t>Indonesia, Baubau</t>
  </si>
  <si>
    <t>Indonesia, Ujungpandang</t>
  </si>
  <si>
    <t>Baubau - Ujungpandang</t>
  </si>
  <si>
    <t>Indonesia, Kupang</t>
  </si>
  <si>
    <t>Canggu - Kupang</t>
  </si>
  <si>
    <t>Indonesia, Martapura</t>
  </si>
  <si>
    <t>Canggu - Martapura</t>
  </si>
  <si>
    <t>Indonesia, Salatiga</t>
  </si>
  <si>
    <t>Canggu - Salatiga</t>
  </si>
  <si>
    <t>Indonesia, Sragen</t>
  </si>
  <si>
    <t>Canggu - Sragen</t>
  </si>
  <si>
    <t>Indonesia, zzBandjarmasin</t>
  </si>
  <si>
    <t>Canggu - Zzbandjarmasin</t>
  </si>
  <si>
    <t>Kantor Pusat Ladju Trans - Pelabuhan Ketapang</t>
  </si>
  <si>
    <t>Terminal Ubung - Pelabuhan Ketapang</t>
  </si>
  <si>
    <t>Indonesia, Jember</t>
  </si>
  <si>
    <t>Terminal Ubung - Terminal Tawang Alun</t>
  </si>
  <si>
    <t>Indonesia, Jembrana</t>
  </si>
  <si>
    <t>Terminal Ubung - Pelabuhan Gilimanuk</t>
  </si>
  <si>
    <t>Kantor Pusat Ladju Trans - Kantor Ladju Transport Malang</t>
  </si>
  <si>
    <t>Kantor Pusat Ladju Trans - Kantor Ladju Transport Surabaya</t>
  </si>
  <si>
    <t>Denpasar - Zzbandjarmasin</t>
  </si>
  <si>
    <t>East Bali - Zzbandjarmasin</t>
  </si>
  <si>
    <t>Indonesia, East Java</t>
  </si>
  <si>
    <t>East Java - Zzbandjarmasin</t>
  </si>
  <si>
    <t>Indonesia, East Nusa Tenggara</t>
  </si>
  <si>
    <t>Indonesia, zzEnde Regency</t>
  </si>
  <si>
    <t>East Nusa Tenggara - Zzende Regency</t>
  </si>
  <si>
    <t>Indonesia, Flores</t>
  </si>
  <si>
    <t>Flores - Zzende Regency</t>
  </si>
  <si>
    <t>Indonesia, Lombok</t>
  </si>
  <si>
    <t>Gili Air - Kuta Lombok</t>
  </si>
  <si>
    <t>bus | Minibus + Speedboat</t>
  </si>
  <si>
    <t>ferry | Slow Boat</t>
  </si>
  <si>
    <t>Gili Air - Lombok Airport</t>
  </si>
  <si>
    <t>Gili Air - Mataram</t>
  </si>
  <si>
    <t>Gili Air - Senggigi Pier</t>
  </si>
  <si>
    <t>Gili Trawangan Port - Kuta Lombok</t>
  </si>
  <si>
    <t>Gili Trawangan Port - Lombok Airport</t>
  </si>
  <si>
    <t>Gili Trawangan Port - Mataram</t>
  </si>
  <si>
    <t>Gili Trawangan Port - Senggigi Pier</t>
  </si>
  <si>
    <t>Gili Air - Nusa Penida</t>
  </si>
  <si>
    <t>ferry | Standard Class</t>
  </si>
  <si>
    <t>Gili Air - Sanur Port</t>
  </si>
  <si>
    <t>Indonesia, Gili Trawangan</t>
  </si>
  <si>
    <t>Gili Trawangan Sama Sama Reggae - Nusa Penida</t>
  </si>
  <si>
    <t>Gili Trawangan Starfish - Nusa Penida</t>
  </si>
  <si>
    <t>Gili Trawangan Sama Sama Reggae - Sanur Port</t>
  </si>
  <si>
    <t>Gili Trawangan Starfish - Sanur Port</t>
  </si>
  <si>
    <t>I Gusti Ngurah Rai International Airport - Canggu Transfer</t>
  </si>
  <si>
    <t>I Gusti Ngurah Rai International Airport - Jimbaran Transfer</t>
  </si>
  <si>
    <t>I Gusti Ngurah Rai International Airport - Kuta Transfer</t>
  </si>
  <si>
    <t>I Gusti Ngurah Rai International Airport - Gili Air</t>
  </si>
  <si>
    <t>I Gusti Ngurah Rai International Airport - Gili Meno</t>
  </si>
  <si>
    <t>I Gusti Ngurah Rai International Airport - Gili Trawangan Port</t>
  </si>
  <si>
    <t>Indonesia, Seminyak</t>
  </si>
  <si>
    <t>I Gusti Ngurah Rai International Airport - Seminyak Transfer</t>
  </si>
  <si>
    <t>Indonesia, Ubud</t>
  </si>
  <si>
    <t>I Gusti Ngurah Rai International Airport - Central Ubud Transfer</t>
  </si>
  <si>
    <t>Indonesia, Jakarta</t>
  </si>
  <si>
    <t>Indonesia, West Manggarai</t>
  </si>
  <si>
    <t>Jakarta - West Manggarai</t>
  </si>
  <si>
    <t>Indonesia, zzPekanbaru</t>
  </si>
  <si>
    <t>Jakarta - Zzpekanbaru</t>
  </si>
  <si>
    <t>Indonesia, Java</t>
  </si>
  <si>
    <t>Java - Zzbandjarmasin</t>
  </si>
  <si>
    <t>Terminal Tawang Alun - Terminal Ubung</t>
  </si>
  <si>
    <t>Terminal Tawang Alun - Terminal Mengwi</t>
  </si>
  <si>
    <t>Terminal Tawang Alun - Terminal Persiapan</t>
  </si>
  <si>
    <t>Pelabuhan Gilimanuk - Terminal Ubung</t>
  </si>
  <si>
    <t>Pelabuhan Gilimanuk - Terminal Mengwi</t>
  </si>
  <si>
    <t>Pelabuhan Gilimanuk - Terminal Persiapan</t>
  </si>
  <si>
    <t>Indonesia, Jimbaran</t>
  </si>
  <si>
    <t>Jimbaran - Zzbandjarmasin</t>
  </si>
  <si>
    <t>Indonesia, Jogja</t>
  </si>
  <si>
    <t>Indonesia, Pasar Baru</t>
  </si>
  <si>
    <t>Jogja - Pasar Baru</t>
  </si>
  <si>
    <t>Indonesia, Klaten</t>
  </si>
  <si>
    <t>Klaten - Pasar Baru</t>
  </si>
  <si>
    <t>Indonesia, Kulon Progo</t>
  </si>
  <si>
    <t>Indonesia, Bekasi</t>
  </si>
  <si>
    <t>Kulon Progo - Bekasi</t>
  </si>
  <si>
    <t>Kulon Progo - Denpasar</t>
  </si>
  <si>
    <t>Kupang - Zzende Regency</t>
  </si>
  <si>
    <t>Central Parkir Kuta - Pelabuhan Ketapang</t>
  </si>
  <si>
    <t>Central Parkir Kuta - Terminal Tawang Alun</t>
  </si>
  <si>
    <t>Central Parkir Kuta - Pelabuhan Gilimanuk</t>
  </si>
  <si>
    <t>Kuta - Zzbandjarmasin</t>
  </si>
  <si>
    <t>Indonesia, Labuan Bajo</t>
  </si>
  <si>
    <t>Labuan Bajo - Zzende Regency</t>
  </si>
  <si>
    <t>Kuta Lombok - Gili Air</t>
  </si>
  <si>
    <t>Kuta Lombok - Gili Meno</t>
  </si>
  <si>
    <t>Kuta Lombok - Gili Trawangan Port</t>
  </si>
  <si>
    <t>Lombok Airport - Gili Air</t>
  </si>
  <si>
    <t>Lombok Airport - Gili Meno</t>
  </si>
  <si>
    <t>Lombok Airport - Gili Trawangan Port</t>
  </si>
  <si>
    <t>Mataram - Gili Air</t>
  </si>
  <si>
    <t>Mataram - Gili Meno</t>
  </si>
  <si>
    <t>Mataram - Gili Trawangan Port</t>
  </si>
  <si>
    <t>Senggigi Pier - Gili Air</t>
  </si>
  <si>
    <t>Senggigi Pier - Gili Meno</t>
  </si>
  <si>
    <t>Senggigi Pier - Gili Trawangan Port</t>
  </si>
  <si>
    <t>Bangsal Starfish - Nusa Penida</t>
  </si>
  <si>
    <t>Bangsal Starfish - Sanur Port</t>
  </si>
  <si>
    <t>Malang Transfer - Denpasar Transfer</t>
  </si>
  <si>
    <t>Kantor Ladju Transport Malang - Pelabuhan Ketapang</t>
  </si>
  <si>
    <t>Kantor Ladju Transport Malang - Kantor Pusat Ladju Trans</t>
  </si>
  <si>
    <t>Malang - Pasar Baru</t>
  </si>
  <si>
    <t>Terminal Mengwi - Pelabuhan Ketapang</t>
  </si>
  <si>
    <t>Terminal Mengwi - Terminal Tawang Alun</t>
  </si>
  <si>
    <t>Terminal Mengwi - Pelabuhan Gilimanuk</t>
  </si>
  <si>
    <t>Nusa Ceningan - Zzbandjarmasin</t>
  </si>
  <si>
    <t>Nusa Lembongan - Zzbandjarmasin</t>
  </si>
  <si>
    <t>Nusa Penida - Gili Air</t>
  </si>
  <si>
    <t>Nusa Penida - Gili Trawangan Sama Sama Reggae</t>
  </si>
  <si>
    <t>Nusa Penida - Gili Trawangan Starfish</t>
  </si>
  <si>
    <t>Nusa Penida - Bangsal Starfish</t>
  </si>
  <si>
    <t>Axe Stone Fast Cruise - Sanur Axe Stone</t>
  </si>
  <si>
    <t>Nusa Penida - Sanur Port</t>
  </si>
  <si>
    <t>Nusa Penida Arjuna - Sanur Arjuna</t>
  </si>
  <si>
    <t>Nusa Penida - Zzbandjarmasin</t>
  </si>
  <si>
    <t>Pasar Baru - East Java</t>
  </si>
  <si>
    <t>Pasar Baru - Klaten</t>
  </si>
  <si>
    <t>Pasar Baru - Malang</t>
  </si>
  <si>
    <t>Indonesia, Semarang</t>
  </si>
  <si>
    <t>Pasar Baru - Semarang</t>
  </si>
  <si>
    <t>Pasuruan - Zzbandjarmasin</t>
  </si>
  <si>
    <t>Indonesia, Rinca</t>
  </si>
  <si>
    <t>Rinca - Zzende Regency</t>
  </si>
  <si>
    <t>Indonesia, Ruteng</t>
  </si>
  <si>
    <t>Ruteng - Zzende Regency</t>
  </si>
  <si>
    <t>Sanur Port - Gili Air</t>
  </si>
  <si>
    <t>Sanur Port - Gili Trawangan Sama Sama Reggae</t>
  </si>
  <si>
    <t>Sanur Port - Gili Trawangan Starfish</t>
  </si>
  <si>
    <t>Sanur Port - Bangsal Starfish</t>
  </si>
  <si>
    <t>Sanur Beach Port Arthamas - Lembongan Arthamas</t>
  </si>
  <si>
    <t>Sanur Transfer - Jungut Batu Harbour</t>
  </si>
  <si>
    <t>Sanur Arjuna - Nusa Penida Arjuna</t>
  </si>
  <si>
    <t>Sanur Axe Stone - Axe Stone Fast Cruise</t>
  </si>
  <si>
    <t>Sanur Port - Nusa Penida</t>
  </si>
  <si>
    <t>Semarang - Pasar Baru</t>
  </si>
  <si>
    <t>Seminyak Transfer - Gili Air</t>
  </si>
  <si>
    <t>Seminyak Transfer - Gili Meno</t>
  </si>
  <si>
    <t>Seminyak Transfer - Gili Trawangan Port</t>
  </si>
  <si>
    <t>Seminyak Transfer - I Gusti Ngurah Rai International Airport</t>
  </si>
  <si>
    <t>Seminyak Transfer - Jungut Batu Harbour</t>
  </si>
  <si>
    <t>Surabaya Transfer - Denpasar Transfer</t>
  </si>
  <si>
    <t>Kantor Ladju Transport Surabaya - Pelabuhan Ketapang</t>
  </si>
  <si>
    <t>Kantor Ladju Transport Surabaya - Kantor Pusat Ladju Trans</t>
  </si>
  <si>
    <t>Surabaya - Zzbandjarmasin</t>
  </si>
  <si>
    <t>Surabaya - Zzpekanbaru</t>
  </si>
  <si>
    <t>Malaysia, Klang</t>
  </si>
  <si>
    <t>Surabaya - Klang</t>
  </si>
  <si>
    <t>Surabaya - Seremban</t>
  </si>
  <si>
    <t>Indonesia, Surakarta</t>
  </si>
  <si>
    <t>Surakarta - Nusa Penida</t>
  </si>
  <si>
    <t>Terminal Persiapan - Pelabuhan Ketapang</t>
  </si>
  <si>
    <t>Terminal Persiapan - Terminal Tawang Alun</t>
  </si>
  <si>
    <t>Terminal Persiapan - Pelabuhan Gilimanuk</t>
  </si>
  <si>
    <t>Ubud Transfer - Gili Air</t>
  </si>
  <si>
    <t>Ubud Transfer - Gili Meno</t>
  </si>
  <si>
    <t>Ubud Transfer - Gili Trawangan Port</t>
  </si>
  <si>
    <t>Central Ubud Transfer - I Gusti Ngurah Rai International Airport</t>
  </si>
  <si>
    <t>Coco Supermarket Ubud - Jungut Batu Harbour</t>
  </si>
  <si>
    <t>Indonesia, West Kotawaringin</t>
  </si>
  <si>
    <t>West Kotawaringin - Semarang</t>
  </si>
  <si>
    <t>Indonesia, Yogyakarta</t>
  </si>
  <si>
    <t>Yogyakarta - Pasar Baru</t>
  </si>
  <si>
    <t>Italy, Aosta</t>
  </si>
  <si>
    <t>Aosta Hotel Transfer - Turin Hotel Transfer</t>
  </si>
  <si>
    <t>Gressoney La Trinite Hotel Transfer - Turin Hotel Transfer</t>
  </si>
  <si>
    <t>Valtournenche Ski Resort - Turin Hotel Transfer</t>
  </si>
  <si>
    <t>Italy, Bardonecchia</t>
  </si>
  <si>
    <t>Bardonecchia Hotel Transfer - Turin Hotel Transfer</t>
  </si>
  <si>
    <t>Italy, Breuil Cervinia</t>
  </si>
  <si>
    <t>Cervinia Hotel Transfer - Turin Hotel Transfer</t>
  </si>
  <si>
    <t>Italy, Cesana Torinese</t>
  </si>
  <si>
    <t>Cesana Torinese Hotel Transfer - Turin Hotel Transfer</t>
  </si>
  <si>
    <t>Italy, Champoluc</t>
  </si>
  <si>
    <t>Champoluc Hotel Transfer - Turin Hotel Transfer</t>
  </si>
  <si>
    <t>Italy, Claviere</t>
  </si>
  <si>
    <t>Claviere Hotel Transfer - Turin Hotel Transfer</t>
  </si>
  <si>
    <t>Italy, Courmayeur</t>
  </si>
  <si>
    <t>Courmayeur Hotel Transfer - Turin Hotel Transfer</t>
  </si>
  <si>
    <t>Italy, Gressoney Saint Jean</t>
  </si>
  <si>
    <t>Gressoney Saint Jean Hotel Transfer - Turin Hotel Transfer</t>
  </si>
  <si>
    <t>Italy, La Thuile</t>
  </si>
  <si>
    <t>La Thuile Hotel Transfer - Turin Hotel Transfer</t>
  </si>
  <si>
    <t>Italy, Pila IT</t>
  </si>
  <si>
    <t>Pila Hotel Transfer - Turin Hotel Transfer</t>
  </si>
  <si>
    <t>Italy, Pragelato Rua</t>
  </si>
  <si>
    <t>Pragelato Rua Hotel Transfer - Turin Hotel Transfer</t>
  </si>
  <si>
    <t>Italy, Sauze d Oulx</t>
  </si>
  <si>
    <t>Sauze d Oulx Hotel Transfer - Turin Hotel Transfer</t>
  </si>
  <si>
    <t>Italy, Sestriere</t>
  </si>
  <si>
    <t>Sestriere Hotel Transfer - Turin Hotel Transfer</t>
  </si>
  <si>
    <t>Turin Hotel Transfer - Briancon Transfer</t>
  </si>
  <si>
    <t>Turin Hotel Transfer - Courchevel Transfer</t>
  </si>
  <si>
    <t>Turin Hotel Transfer - Le Bez Hotel Transfer</t>
  </si>
  <si>
    <t>Turin Hotel Transfer - Serre Chevalier Hotel Transfer</t>
  </si>
  <si>
    <t>Turin Hotel Transfer - Meribel Hotel Transfer</t>
  </si>
  <si>
    <t>Turin Hotel Transfer - Valfrejus Transfer</t>
  </si>
  <si>
    <t>Turin Hotel Transfer - Montgenevre Hotel Transfer</t>
  </si>
  <si>
    <t>Turin Hotel Transfer - Val Cenis Transfer</t>
  </si>
  <si>
    <t>Turin Hotel Transfer - Val d Isere Transfer</t>
  </si>
  <si>
    <t>Turin Hotel Transfer - Aosta Hotel Transfer</t>
  </si>
  <si>
    <t>Turin Hotel Transfer - Gressoney La Trinite Hotel Transfer</t>
  </si>
  <si>
    <t>Turin Hotel Transfer - Valtournenche Ski Resort</t>
  </si>
  <si>
    <t>Turin Hotel Transfer - Bardonecchia Hotel Transfer</t>
  </si>
  <si>
    <t>Turin Hotel Transfer - Cervinia Hotel Transfer</t>
  </si>
  <si>
    <t>Turin Hotel Transfer - Cesana Torinese Hotel Transfer</t>
  </si>
  <si>
    <t>Turin Hotel Transfer - Champoluc Hotel Transfer</t>
  </si>
  <si>
    <t>Turin Hotel Transfer - Claviere Hotel Transfer</t>
  </si>
  <si>
    <t>Turin Hotel Transfer - Courmayeur Hotel Transfer</t>
  </si>
  <si>
    <t>Turin Hotel Transfer - Gressoney Saint Jean Hotel Transfer</t>
  </si>
  <si>
    <t>Turin Hotel Transfer - La Thuile Hotel Transfer</t>
  </si>
  <si>
    <t>Turin Hotel Transfer - Pila Hotel Transfer</t>
  </si>
  <si>
    <t>Turin Hotel Transfer - Pragelato Rua Hotel Transfer</t>
  </si>
  <si>
    <t>Turin Hotel Transfer - Sauze d Oulx Hotel Transfer</t>
  </si>
  <si>
    <t>Turin Hotel Transfer - Sestriere Hotel Transfer</t>
  </si>
  <si>
    <t>Japan, Fukuoka</t>
  </si>
  <si>
    <t>Japan, Kagoshima</t>
  </si>
  <si>
    <t>Hakata Fukuoka - Kagoshima Chuo</t>
  </si>
  <si>
    <t>train | Green Car</t>
  </si>
  <si>
    <t>train | Standard Seat</t>
  </si>
  <si>
    <t>train | Unreserved seat</t>
  </si>
  <si>
    <t>Japan, Kumamoto</t>
  </si>
  <si>
    <t>Hakata Fukuoka - Kumamoto</t>
  </si>
  <si>
    <t>Japan, Kurume</t>
  </si>
  <si>
    <t>Hakata Fukuoka - Kurume</t>
  </si>
  <si>
    <t>South Korea, Busan</t>
  </si>
  <si>
    <t>Hakata - Busan</t>
  </si>
  <si>
    <t>ferry | Economy Room Tatami</t>
  </si>
  <si>
    <t>Japan, Haneda Airport</t>
  </si>
  <si>
    <t>Japan, Tokyo</t>
  </si>
  <si>
    <t>Haneda Airport - Tokyo Downtown</t>
  </si>
  <si>
    <t>Japan, Hiroshima</t>
  </si>
  <si>
    <t>Japan, Ikuchijima</t>
  </si>
  <si>
    <t>Hiroshima Port - Setoda Port</t>
  </si>
  <si>
    <t>ferry | Standard</t>
  </si>
  <si>
    <t>Hiroshima - Kagoshima Chuo</t>
  </si>
  <si>
    <t>Hiroshima - Kumamoto</t>
  </si>
  <si>
    <t>Japan, Onomichi</t>
  </si>
  <si>
    <t>Hiroshima Port - Onomichi Port</t>
  </si>
  <si>
    <t>Setoda Port - Onomichi Port</t>
  </si>
  <si>
    <t>Japan, Kagawa</t>
  </si>
  <si>
    <t>Japan, Kobe</t>
  </si>
  <si>
    <t>Shodoshima Port - Kobe Sannomiya Ferry Terminal</t>
  </si>
  <si>
    <t>Japan, Takamatsu</t>
  </si>
  <si>
    <t>Shodoshima Port - Takamatsu Port</t>
  </si>
  <si>
    <t>Japan, Kansai Airport</t>
  </si>
  <si>
    <t>Japan, Osaka</t>
  </si>
  <si>
    <t>Kansai Airport - Osaka Downtown</t>
  </si>
  <si>
    <t>Japan, Kitakyushu</t>
  </si>
  <si>
    <t>Kokura - Kagoshima Chuo</t>
  </si>
  <si>
    <t>Kokura - Kumamoto</t>
  </si>
  <si>
    <t>Kobe Sannomiya Ferry Terminal - Shodoshima Port</t>
  </si>
  <si>
    <t>Shin Kobe - Kagoshima Chuo</t>
  </si>
  <si>
    <t>Shin Kobe - Kumamoto</t>
  </si>
  <si>
    <t>Kobe Airport - Osaka Downtown</t>
  </si>
  <si>
    <t>Kobe Sannomiya Ferry Terminal - Takamatsu Port</t>
  </si>
  <si>
    <t>Japan, Kozushima Village</t>
  </si>
  <si>
    <t>Kozushima Port - Takeshiba Ship Terminal</t>
  </si>
  <si>
    <t>ferry | High Speed Ferry</t>
  </si>
  <si>
    <t>ferry | Second Class Seat</t>
  </si>
  <si>
    <t>Kumamoto - Kagoshima Chuo</t>
  </si>
  <si>
    <t>Japan, Kure Hiroshima</t>
  </si>
  <si>
    <t>Kure Central Pier Terminal - Hiroshima Port</t>
  </si>
  <si>
    <t>Kurume - Kagoshima Chuo</t>
  </si>
  <si>
    <t>Kurume - Kumamoto</t>
  </si>
  <si>
    <t>Japan, Mihara</t>
  </si>
  <si>
    <t>Mihara Port - Hiroshima Port</t>
  </si>
  <si>
    <t>Mihara Port - Kure Central Pier Terminal</t>
  </si>
  <si>
    <t>Japan, Mito</t>
  </si>
  <si>
    <t>Mito - Bandar Sunway</t>
  </si>
  <si>
    <t>Japan, Narita Airport</t>
  </si>
  <si>
    <t>Narita Airport - Tokyo Downtown</t>
  </si>
  <si>
    <t>Japan, Okayama</t>
  </si>
  <si>
    <t>Okayama - Kagoshima Chuo</t>
  </si>
  <si>
    <t>Okayama - Kumamoto</t>
  </si>
  <si>
    <t>Onomichi Port - Hiroshima Port</t>
  </si>
  <si>
    <t>Onomichi Port - Kure Central Pier Terminal</t>
  </si>
  <si>
    <t>Onomichi Port - Mihara Port</t>
  </si>
  <si>
    <t>Shin Osaka - Kagoshima Chuo</t>
  </si>
  <si>
    <t>Osaka Downtown - Kansai Airport</t>
  </si>
  <si>
    <t>Osaka Downtown - Kobe Airport</t>
  </si>
  <si>
    <t>Shin Osaka - Kumamoto</t>
  </si>
  <si>
    <t>Osaka Airport - Osaka Downtown</t>
  </si>
  <si>
    <t>Osaka Downtown - Osaka Airport</t>
  </si>
  <si>
    <t>Japan, Oshima</t>
  </si>
  <si>
    <t>Japan, Shizuoka</t>
  </si>
  <si>
    <t>Okata Port - Atami</t>
  </si>
  <si>
    <t>Okata Port - Inatori Port</t>
  </si>
  <si>
    <t>Okata Port - Ito Port</t>
  </si>
  <si>
    <t>Okata Port - Takeshiba Ship Terminal</t>
  </si>
  <si>
    <t>Okata Port - Tateyama Port</t>
  </si>
  <si>
    <t>Japan, Yokosuka</t>
  </si>
  <si>
    <t>Okata Port - Kurihama</t>
  </si>
  <si>
    <t>Japan, Shikinejima</t>
  </si>
  <si>
    <t>Shikinejima - Takeshiba Ship Terminal</t>
  </si>
  <si>
    <t>Atami - Okata Port</t>
  </si>
  <si>
    <t>Inatori Port - Okata Port</t>
  </si>
  <si>
    <t>Ito Port - Okata Port</t>
  </si>
  <si>
    <t>Atami - Ito Port</t>
  </si>
  <si>
    <t>Ito Port - Atami</t>
  </si>
  <si>
    <t>Takamatsu Port - Shodoshima Port</t>
  </si>
  <si>
    <t>Takamatsu Port - Kobe Sannomiya Ferry Terminal</t>
  </si>
  <si>
    <t>Tokyo Downtown - Haneda Airport</t>
  </si>
  <si>
    <t>Takeshiba Ship Terminal - Kozushima Port</t>
  </si>
  <si>
    <t>Tokyo Downtown - Narita Airport</t>
  </si>
  <si>
    <t>Takeshiba Ship Terminal - Okata Port</t>
  </si>
  <si>
    <t>Tateyama Port - Okata Port</t>
  </si>
  <si>
    <t>Takeshiba Ship Terminal - Shikinejima</t>
  </si>
  <si>
    <t>Hachijojima Port - Mikurajima Port</t>
  </si>
  <si>
    <t>Hachijojima Port - Miyakejima Port</t>
  </si>
  <si>
    <t>Hachijojima Port - Takeshiba Ship Terminal</t>
  </si>
  <si>
    <t>Mikurajima Port - Hachijojima Port</t>
  </si>
  <si>
    <t>Mikurajima Port - Miyakejima Port</t>
  </si>
  <si>
    <t>Mikurajima Port - Takeshiba Ship Terminal</t>
  </si>
  <si>
    <t>Miyakejima Port - Hachijojima Port</t>
  </si>
  <si>
    <t>Miyakejima Port - Mikurajima Port</t>
  </si>
  <si>
    <t>Miyakejima Port - Takeshiba Ship Terminal</t>
  </si>
  <si>
    <t>Niijima Port - Takeshiba Ship Terminal</t>
  </si>
  <si>
    <t>Takeshiba Ship Terminal - Hachijojima Port</t>
  </si>
  <si>
    <t>Takeshiba Ship Terminal - Mikurajima Port</t>
  </si>
  <si>
    <t>Takeshiba Ship Terminal - Miyakejima Port</t>
  </si>
  <si>
    <t>Takeshiba Ship Terminal - Niijima Port</t>
  </si>
  <si>
    <t>Takeshiba Ship Terminal - Tateyama Port</t>
  </si>
  <si>
    <t>Tateyama Port - Takeshiba Ship Terminal</t>
  </si>
  <si>
    <t>Takeshiba Ship Terminal - Kurihama</t>
  </si>
  <si>
    <t>Japan, Yakushima</t>
  </si>
  <si>
    <t>Miyanoura - Kagoshima</t>
  </si>
  <si>
    <t>Kurihama - Okata Port</t>
  </si>
  <si>
    <t>Kurihama - Takeshiba Ship Terminal</t>
  </si>
  <si>
    <t>Jordan, Ajloun</t>
  </si>
  <si>
    <t>Jordan, Amman</t>
  </si>
  <si>
    <t>Ajloun Hotel Transfer - Amman Airport</t>
  </si>
  <si>
    <t>charter | Economy 3pax</t>
  </si>
  <si>
    <t>Ajloun Hotel Transfer - Amman Hotel Transfer</t>
  </si>
  <si>
    <t>Ajloun Hotel Transfer - King Hussein Bridge Border Crossing Amman</t>
  </si>
  <si>
    <t>Jordan, Aqaba</t>
  </si>
  <si>
    <t>Ajloun Hotel Transfer - Aqaba Hotel Transfer</t>
  </si>
  <si>
    <t>Ajloun Hotel Transfer - Aqaba Port</t>
  </si>
  <si>
    <t>Jordan, Dead Sea</t>
  </si>
  <si>
    <t>Ajloun Hotel Transfer - Dead Sea Hotel Transfer</t>
  </si>
  <si>
    <t>Jordan, Irbid</t>
  </si>
  <si>
    <t>Ajloun Hotel Transfer - Irbid Hotel Transfer</t>
  </si>
  <si>
    <t>Jordan, Jerash</t>
  </si>
  <si>
    <t>Ajloun Hotel Transfer - Jerash Hotel Transfer</t>
  </si>
  <si>
    <t>Jordan, Madaba</t>
  </si>
  <si>
    <t>Ajloun Hotel Transfer - Madaba Hotel Transfer</t>
  </si>
  <si>
    <t>Jordan, Main</t>
  </si>
  <si>
    <t>Ajloun Hotel Transfer - Ma in Hot Springs Transfer</t>
  </si>
  <si>
    <t>Jordan, Petra</t>
  </si>
  <si>
    <t>Ajloun Hotel Transfer - Petra Hotel Transfer</t>
  </si>
  <si>
    <t>Jordan, Shaykh Husayn</t>
  </si>
  <si>
    <t>Ajloun Hotel Transfer - Jordan River Crossing</t>
  </si>
  <si>
    <t>Jordan, Umm Qais</t>
  </si>
  <si>
    <t>Ajloun Hotel Transfer - Umm Qais Hotel Transfer</t>
  </si>
  <si>
    <t>Jordan, Wadi Rum</t>
  </si>
  <si>
    <t>Ajloun Hotel Transfer - Wadi Rum Hotel Transfer</t>
  </si>
  <si>
    <t>Amman Airport - Ajloun Hotel Transfer</t>
  </si>
  <si>
    <t>charter | Van 11pax</t>
  </si>
  <si>
    <t>Amman Hotel Transfer - Ajloun Hotel Transfer</t>
  </si>
  <si>
    <t>King Hussein Bridge Border Crossing Amman - Ajloun Hotel Transfer</t>
  </si>
  <si>
    <t>Amman Airport - Amman Hotel Transfer</t>
  </si>
  <si>
    <t>Amman Airport - King Hussein Bridge Border Crossing Amman</t>
  </si>
  <si>
    <t>Amman Hotel Transfer - Amman Airport</t>
  </si>
  <si>
    <t>Amman Hotel Transfer - Amman Hotel Transfer</t>
  </si>
  <si>
    <t>daytrip | Adventure</t>
  </si>
  <si>
    <t>Amman Hotel Transfer - King Hussein Bridge Border Crossing Amman</t>
  </si>
  <si>
    <t>King Hussein Bridge Border Crossing Amman - Amman Airport</t>
  </si>
  <si>
    <t>King Hussein Bridge Border Crossing Amman - Amman Hotel Transfer</t>
  </si>
  <si>
    <t>Amman Airport - Aqaba Hotel Transfer</t>
  </si>
  <si>
    <t>Amman Airport - Aqaba Port</t>
  </si>
  <si>
    <t>Amman Hotel Transfer - Aqaba Hotel Transfer</t>
  </si>
  <si>
    <t>Amman Hotel Transfer - Aqaba Port</t>
  </si>
  <si>
    <t>King Hussein Bridge Border Crossing Amman - Aqaba Hotel Transfer</t>
  </si>
  <si>
    <t>King Hussein Bridge Border Crossing Amman - Aqaba Port</t>
  </si>
  <si>
    <t>Amman Airport - Dead Sea Hotel Transfer</t>
  </si>
  <si>
    <t>Amman Hotel Transfer - Dead Sea Hotel Transfer</t>
  </si>
  <si>
    <t>King Hussein Bridge Border Crossing Amman - Dead Sea Hotel Transfer</t>
  </si>
  <si>
    <t>Amman Airport - Irbid Hotel Transfer</t>
  </si>
  <si>
    <t>Amman Hotel Transfer - Irbid Hotel Transfer</t>
  </si>
  <si>
    <t>King Hussein Bridge Border Crossing Amman - Irbid Hotel Transfer</t>
  </si>
  <si>
    <t>Amman Airport - Jerash Hotel Transfer</t>
  </si>
  <si>
    <t>Amman Hotel Transfer - Jerash Hotel Transfer</t>
  </si>
  <si>
    <t>King Hussein Bridge Border Crossing Amman - Jerash Hotel Transfer</t>
  </si>
  <si>
    <t>Amman Airport - Madaba Hotel Transfer</t>
  </si>
  <si>
    <t>Amman Hotel Transfer - Madaba Hotel Transfer</t>
  </si>
  <si>
    <t>King Hussein Bridge Border Crossing Amman - Madaba Hotel Transfer</t>
  </si>
  <si>
    <t>Amman Airport - Ma in Hot Springs Transfer</t>
  </si>
  <si>
    <t>Amman Hotel Transfer - Ma in Hot Springs Transfer</t>
  </si>
  <si>
    <t>King Hussein Bridge Border Crossing Amman - Ma in Hot Springs Transfer</t>
  </si>
  <si>
    <t>Amman Airport - Petra Hotel Transfer</t>
  </si>
  <si>
    <t>Amman Hotel Transfer - Petra Hotel Transfer</t>
  </si>
  <si>
    <t>King Hussein Bridge Border Crossing Amman - Petra Hotel Transfer</t>
  </si>
  <si>
    <t>Amman Airport - Jordan River Crossing</t>
  </si>
  <si>
    <t>Amman Hotel Transfer - Jordan River Crossing</t>
  </si>
  <si>
    <t>King Hussein Bridge Border Crossing Amman - Jordan River Crossing</t>
  </si>
  <si>
    <t>Amman Airport - Umm Qais Hotel Transfer</t>
  </si>
  <si>
    <t>Amman Hotel Transfer - Umm Qais Hotel Transfer</t>
  </si>
  <si>
    <t>King Hussein Bridge Border Crossing Amman - Umm Qais Hotel Transfer</t>
  </si>
  <si>
    <t>Amman Airport - Wadi Rum Hotel Transfer</t>
  </si>
  <si>
    <t>Amman Hotel Transfer - Wadi Rum Hotel Transfer</t>
  </si>
  <si>
    <t>King Hussein Bridge Border Crossing Amman - Wadi Rum Hotel Transfer</t>
  </si>
  <si>
    <t>Aqaba Hotel Transfer - Ajloun Hotel Transfer</t>
  </si>
  <si>
    <t>Aqaba Port - Ajloun Hotel Transfer</t>
  </si>
  <si>
    <t>Aqaba Hotel Transfer - Amman Airport</t>
  </si>
  <si>
    <t>Aqaba Hotel Transfer - Amman Hotel Transfer</t>
  </si>
  <si>
    <t>Aqaba Hotel Transfer - King Hussein Bridge Border Crossing Amman</t>
  </si>
  <si>
    <t>Aqaba Port - Amman Airport</t>
  </si>
  <si>
    <t>Aqaba Port - Amman Hotel Transfer</t>
  </si>
  <si>
    <t>Aqaba Port - King Hussein Bridge Border Crossing Amman</t>
  </si>
  <si>
    <t>Aqaba Port - Aqaba Hotel Transfer</t>
  </si>
  <si>
    <t>Aqaba Hotel Transfer - Dead Sea Hotel Transfer</t>
  </si>
  <si>
    <t>Aqaba Port - Dead Sea Hotel Transfer</t>
  </si>
  <si>
    <t>Aqaba Hotel Transfer - Irbid Hotel Transfer</t>
  </si>
  <si>
    <t>Aqaba Port - Irbid Hotel Transfer</t>
  </si>
  <si>
    <t>Aqaba Hotel Transfer - Jerash Hotel Transfer</t>
  </si>
  <si>
    <t>Aqaba Port - Jerash Hotel Transfer</t>
  </si>
  <si>
    <t>Aqaba Hotel Transfer - Madaba Hotel Transfer</t>
  </si>
  <si>
    <t>Aqaba Port - Madaba Hotel Transfer</t>
  </si>
  <si>
    <t>Aqaba Hotel Transfer - Ma in Hot Springs Transfer</t>
  </si>
  <si>
    <t>Aqaba Port - Ma in Hot Springs Transfer</t>
  </si>
  <si>
    <t>Aqaba Hotel Transfer - Petra Hotel Transfer</t>
  </si>
  <si>
    <t>Aqaba Port - Petra Hotel Transfer</t>
  </si>
  <si>
    <t>Aqaba Hotel Transfer - Jordan River Crossing</t>
  </si>
  <si>
    <t>Aqaba Port - Jordan River Crossing</t>
  </si>
  <si>
    <t>Aqaba Hotel Transfer - Umm Qais Hotel Transfer</t>
  </si>
  <si>
    <t>Aqaba Port - Umm Qais Hotel Transfer</t>
  </si>
  <si>
    <t>Aqaba Hotel Transfer - Wadi Rum Hotel Transfer</t>
  </si>
  <si>
    <t>Aqaba Port - Wadi Rum Hotel Transfer</t>
  </si>
  <si>
    <t>Dead Sea Hotel Transfer - Ajloun Hotel Transfer</t>
  </si>
  <si>
    <t>Dead Sea Hotel Transfer - Amman Airport</t>
  </si>
  <si>
    <t>Dead Sea Hotel Transfer - Amman Hotel Transfer</t>
  </si>
  <si>
    <t>Dead Sea Hotel Transfer - King Hussein Bridge Border Crossing Amman</t>
  </si>
  <si>
    <t>Dead Sea Hotel Transfer - Aqaba Hotel Transfer</t>
  </si>
  <si>
    <t>Dead Sea Hotel Transfer - Aqaba Port</t>
  </si>
  <si>
    <t>Dead Sea Hotel Transfer - Irbid Hotel Transfer</t>
  </si>
  <si>
    <t>Dead Sea Hotel Transfer - Jerash Hotel Transfer</t>
  </si>
  <si>
    <t>Dead Sea Hotel Transfer - Madaba Hotel Transfer</t>
  </si>
  <si>
    <t>Dead Sea Hotel Transfer - Ma in Hot Springs Transfer</t>
  </si>
  <si>
    <t>Dead Sea Hotel Transfer - Petra Hotel Transfer</t>
  </si>
  <si>
    <t>Dead Sea Hotel Transfer - Jordan River Crossing</t>
  </si>
  <si>
    <t>Dead Sea Hotel Transfer - Umm Qais Hotel Transfer</t>
  </si>
  <si>
    <t>Dead Sea Hotel Transfer - Wadi Rum Hotel Transfer</t>
  </si>
  <si>
    <t>Irbid Hotel Transfer - Ajloun Hotel Transfer</t>
  </si>
  <si>
    <t>Irbid Hotel Transfer - Amman Airport</t>
  </si>
  <si>
    <t>Irbid Hotel Transfer - Amman Hotel Transfer</t>
  </si>
  <si>
    <t>Irbid Hotel Transfer - King Hussein Bridge Border Crossing Amman</t>
  </si>
  <si>
    <t>Irbid Hotel Transfer - Aqaba Hotel Transfer</t>
  </si>
  <si>
    <t>Irbid Hotel Transfer - Aqaba Port</t>
  </si>
  <si>
    <t>Irbid Hotel Transfer - Dead Sea Hotel Transfer</t>
  </si>
  <si>
    <t>Irbid Hotel Transfer - Jerash Hotel Transfer</t>
  </si>
  <si>
    <t>Irbid Hotel Transfer - Madaba Hotel Transfer</t>
  </si>
  <si>
    <t>Irbid Hotel Transfer - Ma in Hot Springs Transfer</t>
  </si>
  <si>
    <t>Irbid Hotel Transfer - Petra Hotel Transfer</t>
  </si>
  <si>
    <t>Irbid Hotel Transfer - Jordan River Crossing</t>
  </si>
  <si>
    <t>Irbid Hotel Transfer - Umm Qais Hotel Transfer</t>
  </si>
  <si>
    <t>Irbid Hotel Transfer - Wadi Rum Hotel Transfer</t>
  </si>
  <si>
    <t>Jerash Hotel Transfer - Ajloun Hotel Transfer</t>
  </si>
  <si>
    <t>Jerash Hotel Transfer - Amman Airport</t>
  </si>
  <si>
    <t>Jerash Hotel Transfer - Amman Hotel Transfer</t>
  </si>
  <si>
    <t>Jerash Hotel Transfer - King Hussein Bridge Border Crossing Amman</t>
  </si>
  <si>
    <t>Jerash Hotel Transfer - Aqaba Hotel Transfer</t>
  </si>
  <si>
    <t>Jerash Hotel Transfer - Aqaba Port</t>
  </si>
  <si>
    <t>Jerash Hotel Transfer - Dead Sea Hotel Transfer</t>
  </si>
  <si>
    <t>Jerash Hotel Transfer - Irbid Hotel Transfer</t>
  </si>
  <si>
    <t>Jerash Hotel Transfer - Madaba Hotel Transfer</t>
  </si>
  <si>
    <t>Jerash Hotel Transfer - Ma in Hot Springs Transfer</t>
  </si>
  <si>
    <t>Jerash Hotel Transfer - Petra Hotel Transfer</t>
  </si>
  <si>
    <t>Jerash Hotel Transfer - Jordan River Crossing</t>
  </si>
  <si>
    <t>Jerash Hotel Transfer - Umm Qais Hotel Transfer</t>
  </si>
  <si>
    <t>Jerash Hotel Transfer - Wadi Rum Hotel Transfer</t>
  </si>
  <si>
    <t>Madaba Hotel Transfer - Ajloun Hotel Transfer</t>
  </si>
  <si>
    <t>Madaba Hotel Transfer - Amman Airport</t>
  </si>
  <si>
    <t>Madaba Hotel Transfer - Amman Hotel Transfer</t>
  </si>
  <si>
    <t>Madaba Hotel Transfer - King Hussein Bridge Border Crossing Amman</t>
  </si>
  <si>
    <t>Madaba Hotel Transfer - Aqaba Hotel Transfer</t>
  </si>
  <si>
    <t>Madaba Hotel Transfer - Aqaba Port</t>
  </si>
  <si>
    <t>Madaba Hotel Transfer - Dead Sea Hotel Transfer</t>
  </si>
  <si>
    <t>Madaba Hotel Transfer - Irbid Hotel Transfer</t>
  </si>
  <si>
    <t>Madaba Hotel Transfer - Jerash Hotel Transfer</t>
  </si>
  <si>
    <t>Madaba Hotel Transfer - Ma in Hot Springs Transfer</t>
  </si>
  <si>
    <t>Madaba Hotel Transfer - Petra Hotel Transfer</t>
  </si>
  <si>
    <t>Madaba Hotel Transfer - Jordan River Crossing</t>
  </si>
  <si>
    <t>Madaba Hotel Transfer - Umm Qais Hotel Transfer</t>
  </si>
  <si>
    <t>Madaba Hotel Transfer - Wadi Rum Hotel Transfer</t>
  </si>
  <si>
    <t>Ma in Hot Springs Transfer - Ajloun Hotel Transfer</t>
  </si>
  <si>
    <t>Ma in Hot Springs Transfer - Amman Airport</t>
  </si>
  <si>
    <t>Ma in Hot Springs Transfer - Amman Hotel Transfer</t>
  </si>
  <si>
    <t>Ma in Hot Springs Transfer - King Hussein Bridge Border Crossing Amman</t>
  </si>
  <si>
    <t>Ma in Hot Springs Transfer - Aqaba Hotel Transfer</t>
  </si>
  <si>
    <t>Ma in Hot Springs Transfer - Aqaba Port</t>
  </si>
  <si>
    <t>Ma in Hot Springs Transfer - Dead Sea Hotel Transfer</t>
  </si>
  <si>
    <t>Ma in Hot Springs Transfer - Irbid Hotel Transfer</t>
  </si>
  <si>
    <t>Ma in Hot Springs Transfer - Jerash Hotel Transfer</t>
  </si>
  <si>
    <t>Ma in Hot Springs Transfer - Madaba Hotel Transfer</t>
  </si>
  <si>
    <t>Ma in Hot Springs Transfer - Petra Hotel Transfer</t>
  </si>
  <si>
    <t>Ma in Hot Springs Transfer - Jordan River Crossing</t>
  </si>
  <si>
    <t>Ma in Hot Springs Transfer - Umm Qais Hotel Transfer</t>
  </si>
  <si>
    <t>Ma in Hot Springs Transfer - Wadi Rum Hotel Transfer</t>
  </si>
  <si>
    <t>Petra Hotel Transfer - Ajloun Hotel Transfer</t>
  </si>
  <si>
    <t>Petra Hotel Transfer - Amman Airport</t>
  </si>
  <si>
    <t>Petra Hotel Transfer - Amman Hotel Transfer</t>
  </si>
  <si>
    <t>Petra Hotel Transfer - King Hussein Bridge Border Crossing Amman</t>
  </si>
  <si>
    <t>Petra Hotel Transfer - Aqaba Hotel Transfer</t>
  </si>
  <si>
    <t>Petra Hotel Transfer - Aqaba Port</t>
  </si>
  <si>
    <t>Petra Hotel Transfer - Dead Sea Hotel Transfer</t>
  </si>
  <si>
    <t>Petra Hotel Transfer - Irbid Hotel Transfer</t>
  </si>
  <si>
    <t>Petra Hotel Transfer - Jerash Hotel Transfer</t>
  </si>
  <si>
    <t>Petra Hotel Transfer - Madaba Hotel Transfer</t>
  </si>
  <si>
    <t>Petra Hotel Transfer - Ma in Hot Springs Transfer</t>
  </si>
  <si>
    <t>Petra Hotel Transfer - Jordan River Crossing</t>
  </si>
  <si>
    <t>Petra Hotel Transfer - Umm Qais Hotel Transfer</t>
  </si>
  <si>
    <t>Petra Hotel Transfer - Wadi Rum Hotel Transfer</t>
  </si>
  <si>
    <t>Jordan River Crossing - Ajloun Hotel Transfer</t>
  </si>
  <si>
    <t>Jordan River Crossing - Amman Airport</t>
  </si>
  <si>
    <t>Jordan River Crossing - Amman Hotel Transfer</t>
  </si>
  <si>
    <t>Jordan River Crossing - King Hussein Bridge Border Crossing Amman</t>
  </si>
  <si>
    <t>Jordan River Crossing - Aqaba Hotel Transfer</t>
  </si>
  <si>
    <t>Jordan River Crossing - Aqaba Port</t>
  </si>
  <si>
    <t>Jordan River Crossing - Dead Sea Hotel Transfer</t>
  </si>
  <si>
    <t>Jordan River Crossing - Irbid Hotel Transfer</t>
  </si>
  <si>
    <t>Jordan River Crossing - Jerash Hotel Transfer</t>
  </si>
  <si>
    <t>Jordan River Crossing - Madaba Hotel Transfer</t>
  </si>
  <si>
    <t>Jordan River Crossing - Ma in Hot Springs Transfer</t>
  </si>
  <si>
    <t>Jordan River Crossing - Petra Hotel Transfer</t>
  </si>
  <si>
    <t>Jordan River Crossing - Umm Qais Hotel Transfer</t>
  </si>
  <si>
    <t>Jordan River Crossing - Wadi Rum Hotel Transfer</t>
  </si>
  <si>
    <t>Umm Qais Hotel Transfer - Ajloun Hotel Transfer</t>
  </si>
  <si>
    <t>Umm Qais Hotel Transfer - Amman Airport</t>
  </si>
  <si>
    <t>Umm Qais Hotel Transfer - Amman Hotel Transfer</t>
  </si>
  <si>
    <t>Umm Qais Hotel Transfer - King Hussein Bridge Border Crossing Amman</t>
  </si>
  <si>
    <t>Umm Qais Hotel Transfer - Aqaba Hotel Transfer</t>
  </si>
  <si>
    <t>Umm Qais Hotel Transfer - Aqaba Port</t>
  </si>
  <si>
    <t>Umm Qais Hotel Transfer - Dead Sea Hotel Transfer</t>
  </si>
  <si>
    <t>Umm Qais Hotel Transfer - Irbid Hotel Transfer</t>
  </si>
  <si>
    <t>Umm Qais Hotel Transfer - Jerash Hotel Transfer</t>
  </si>
  <si>
    <t>Umm Qais Hotel Transfer - Madaba Hotel Transfer</t>
  </si>
  <si>
    <t>Umm Qais Hotel Transfer - Ma in Hot Springs Transfer</t>
  </si>
  <si>
    <t>Umm Qais Hotel Transfer - Petra Hotel Transfer</t>
  </si>
  <si>
    <t>Umm Qais Hotel Transfer - Jordan River Crossing</t>
  </si>
  <si>
    <t>Umm Qais Hotel Transfer - Wadi Rum Hotel Transfer</t>
  </si>
  <si>
    <t>Wadi Rum Hotel Transfer - Ajloun Hotel Transfer</t>
  </si>
  <si>
    <t>Wadi Rum Hotel Transfer - Amman Airport</t>
  </si>
  <si>
    <t>Wadi Rum Hotel Transfer - Amman Hotel Transfer</t>
  </si>
  <si>
    <t>Wadi Rum Hotel Transfer - King Hussein Bridge Border Crossing Amman</t>
  </si>
  <si>
    <t>Wadi Rum Hotel Transfer - Aqaba Hotel Transfer</t>
  </si>
  <si>
    <t>Wadi Rum Hotel Transfer - Aqaba Port</t>
  </si>
  <si>
    <t>Wadi Rum Hotel Transfer - Dead Sea Hotel Transfer</t>
  </si>
  <si>
    <t>Wadi Rum Hotel Transfer - Irbid Hotel Transfer</t>
  </si>
  <si>
    <t>Wadi Rum Hotel Transfer - Jerash Hotel Transfer</t>
  </si>
  <si>
    <t>Wadi Rum Hotel Transfer - Madaba Hotel Transfer</t>
  </si>
  <si>
    <t>Wadi Rum Hotel Transfer - Ma in Hot Springs Transfer</t>
  </si>
  <si>
    <t>Wadi Rum Hotel Transfer - Petra Hotel Transfer</t>
  </si>
  <si>
    <t>Wadi Rum Hotel Transfer - Jordan River Crossing</t>
  </si>
  <si>
    <t>Wadi Rum Hotel Transfer - Umm Qais Hotel Transfer</t>
  </si>
  <si>
    <t>Laos, Chong Mek</t>
  </si>
  <si>
    <t>Laos, Nakasong</t>
  </si>
  <si>
    <t>Chong Mek Checkpoint - Nakasong</t>
  </si>
  <si>
    <t>van | Van</t>
  </si>
  <si>
    <t>Laos, Pakse</t>
  </si>
  <si>
    <t>Chong Mek Border  - Pakse Hotel Transfer</t>
  </si>
  <si>
    <t>charter | Sedan 3pax</t>
  </si>
  <si>
    <t>charter | Van 10pax</t>
  </si>
  <si>
    <t>Chong Mek Checkpoint - Pakse Hotel Transfer</t>
  </si>
  <si>
    <t>van | Songthaew</t>
  </si>
  <si>
    <t>Thailand, Ubon Ratchathani</t>
  </si>
  <si>
    <t>Chong Mek Border  - Ubon Ratchathani Transfer</t>
  </si>
  <si>
    <t>Laos, Huay Xai</t>
  </si>
  <si>
    <t>Laos, Luang Namtha</t>
  </si>
  <si>
    <t>Huay Xai - Luang Namtha Bus Terminal</t>
  </si>
  <si>
    <t>van | Songtaew + Sleeping Bus</t>
  </si>
  <si>
    <t>Huay Xai Transfer - Luang Namtha Bus Terminal</t>
  </si>
  <si>
    <t>bus | Taxi + Sleeping Bus</t>
  </si>
  <si>
    <t>Laos, Luang Prabang</t>
  </si>
  <si>
    <t>Huay Xai - Sokprasert Bus Terminal</t>
  </si>
  <si>
    <t>Huay Xai Transfer - Luang Prabang Slow Boat Pier</t>
  </si>
  <si>
    <t>van | Van + Slow Boat</t>
  </si>
  <si>
    <t>Huay Xai Transfer - Sokprasert Bus Terminal</t>
  </si>
  <si>
    <t>Laos, Nateuy</t>
  </si>
  <si>
    <t>Huay Xai - Nateuy Train Station</t>
  </si>
  <si>
    <t>Huay Xai border checkpoint - Nateuy Train Station</t>
  </si>
  <si>
    <t>Laos, Oudomxay</t>
  </si>
  <si>
    <t>Luang Namtha Bus Station - Lao Viet Restaurant</t>
  </si>
  <si>
    <t>Laos, Phongsali</t>
  </si>
  <si>
    <t>Luang Namtha Bus Station - Muang Khua</t>
  </si>
  <si>
    <t>Vietnam, Dien Bien</t>
  </si>
  <si>
    <t>Luang Namtha Bus Station - Pha Din Hotel</t>
  </si>
  <si>
    <t>Vietnam, Hanoi</t>
  </si>
  <si>
    <t>Luang Namtha Bus Station - 270 Nguyen Hoang</t>
  </si>
  <si>
    <t>van | Minivan + VIP 22</t>
  </si>
  <si>
    <t>Vietnam, Sapa</t>
  </si>
  <si>
    <t>Luang Namtha Bus Station - Sapa Bus Station</t>
  </si>
  <si>
    <t>van | Minivan + Sleeper Bus 41</t>
  </si>
  <si>
    <t>Luang Prabang Transfer - Huay Xai Pier</t>
  </si>
  <si>
    <t>ferry | Taxi + Boat</t>
  </si>
  <si>
    <t>Luang Prabang Transfer - Pak Beng Slow Boat Pier</t>
  </si>
  <si>
    <t>Nong Khiaw Minivan Station - Naluang Bus Station</t>
  </si>
  <si>
    <t>van | Regional 14pax</t>
  </si>
  <si>
    <t>Nakasong - Pakse Hotel Transfer</t>
  </si>
  <si>
    <t>Laos, Nong Khiaw</t>
  </si>
  <si>
    <t>Ing Ing Mountain View - Villa Ban Pakham Hotel</t>
  </si>
  <si>
    <t>Ing Ing Mountain View - Lao Viet Restaurant</t>
  </si>
  <si>
    <t>Ing Ing Mountain View - Muang Khua</t>
  </si>
  <si>
    <t>Laos, Vang Vieng</t>
  </si>
  <si>
    <t>Nong Khiaw Bus Terminal - Vang Vieng Transfer</t>
  </si>
  <si>
    <t>van | Taxi + Hard seat Train + Van</t>
  </si>
  <si>
    <t>van | Taxi + Train + Van + Train</t>
  </si>
  <si>
    <t>Laos, Vientiane</t>
  </si>
  <si>
    <t>Nong Khiaw Bus Terminal - Vientiane Transfer</t>
  </si>
  <si>
    <t>train | Taxi + Hard Seat Train + Van</t>
  </si>
  <si>
    <t>Ing Ing Mountain View - Pha Din Hotel</t>
  </si>
  <si>
    <t>Ing Ing Mountain View - 270 Nguyen Hoang</t>
  </si>
  <si>
    <t>Ing Ing Mountain View - Sapa Bus Station</t>
  </si>
  <si>
    <t>Lao Viet Restaurant - Muang Khua</t>
  </si>
  <si>
    <t>Lao Viet Restaurant - Pha Din Hotel</t>
  </si>
  <si>
    <t xml:space="preserve">Pakse Hotel Transfer - Chong Mek Border </t>
  </si>
  <si>
    <t>Pakse Transfer - Chong Mek Checkpoint</t>
  </si>
  <si>
    <t>van | Van + Van</t>
  </si>
  <si>
    <t>Laos, Don Det</t>
  </si>
  <si>
    <t>Pakse Transfer - Wonderful Tour Dondet</t>
  </si>
  <si>
    <t>van | Van + Boat</t>
  </si>
  <si>
    <t>Pakse Hotel Transfer - Nakasong</t>
  </si>
  <si>
    <t>Laos, Paksong</t>
  </si>
  <si>
    <t>Pakse Hotel Transfer - Ban Nong Luang</t>
  </si>
  <si>
    <t>Pakse Hotel Transfer - Tad Fane Waterfall</t>
  </si>
  <si>
    <t>Laos, Savannakhet</t>
  </si>
  <si>
    <t>Pakse SCL Bus Station - Savannakhet Bus Station</t>
  </si>
  <si>
    <t>van | Regional Van</t>
  </si>
  <si>
    <t>Pakse Hotel Transfer - Ubon Ratchathani Transfer</t>
  </si>
  <si>
    <t>Pakse Transfer - Ubon Ratchathani Transfer</t>
  </si>
  <si>
    <t>Ban Nong Luang - Pakse Hotel Transfer</t>
  </si>
  <si>
    <t>Tad Fane Waterfall - Pakse Hotel Transfer</t>
  </si>
  <si>
    <t>Vang Vieng Transfer - Tuktuk Delivery on Donedet</t>
  </si>
  <si>
    <t>bus | Sleeper Bus</t>
  </si>
  <si>
    <t>Vang Vieng Transfer - Naluang International Bus Station</t>
  </si>
  <si>
    <t>Vang Vieng Transfer - Nong Khiaw Bus Terminal</t>
  </si>
  <si>
    <t>train | Taxi + Train + Taxi + Van</t>
  </si>
  <si>
    <t>Vang Vieng Transfer - Chitpasong Bus Station Pakse</t>
  </si>
  <si>
    <t>Vang Vieng Transfer - Pakse Northern Bus Terminal</t>
  </si>
  <si>
    <t>Vang Vieng Transfer - Savannakhet Bus Station</t>
  </si>
  <si>
    <t>Laos, Thakhek</t>
  </si>
  <si>
    <t>Vang Vieng Transfer - Thakhek Bus Terminal</t>
  </si>
  <si>
    <t>bus | VIP</t>
  </si>
  <si>
    <t>Vang Vieng Transfer - Blue Lagoon 1</t>
  </si>
  <si>
    <t>charter | EV 1pax</t>
  </si>
  <si>
    <t>charter | EV 2pax</t>
  </si>
  <si>
    <t>charter | EV 4pax</t>
  </si>
  <si>
    <t>charter | EV 5pax</t>
  </si>
  <si>
    <t>charter | EV Class 3pax</t>
  </si>
  <si>
    <t>Vang Vieng Transfer - Blue Lagoon 2</t>
  </si>
  <si>
    <t>Vang Vieng Transfer - Blue Lagoon 3</t>
  </si>
  <si>
    <t>Vang Vieng Transfer - Memory Hotel</t>
  </si>
  <si>
    <t>Vang Vieng Transfer - Thanaleng Border Laos side</t>
  </si>
  <si>
    <t>Vang Vieng Transfer - Vientiane Airport</t>
  </si>
  <si>
    <t>Vang Vieng Transfer - Vientiane Center Lao</t>
  </si>
  <si>
    <t>Vang Vieng Transfer - Vientiane Northern Bus Stop</t>
  </si>
  <si>
    <t>Vang Vieng Transfer - Vientiane Southern Bus Terminal</t>
  </si>
  <si>
    <t>Vang Vieng Transfer - Bangkok Office Mo Chit</t>
  </si>
  <si>
    <t>train | Taxi + Train + Van + Bus</t>
  </si>
  <si>
    <t>Vang Vieng Transfer - Krung Thep Aphiwat Central Terminal Station</t>
  </si>
  <si>
    <t>train | Taxi + Train + Van + Train</t>
  </si>
  <si>
    <t>Thailand, Chiang Mai</t>
  </si>
  <si>
    <t>Vang Vieng Transfer - Chiang Mai Arcade 2</t>
  </si>
  <si>
    <t>Vietnam, Da Nang</t>
  </si>
  <si>
    <t>Vang Vieng Transfer - Da Nang Central Bus Station</t>
  </si>
  <si>
    <t>Vang Vieng Transfer - Nuoc Ngam Bus Station</t>
  </si>
  <si>
    <t>Vientiane Transfer - Nong Khiaw Bus Terminal</t>
  </si>
  <si>
    <t>Memory Hotel - VangVieng Backpackers Hostel</t>
  </si>
  <si>
    <t>Thanaleng Border Laos side - Vang Vieng Transfer</t>
  </si>
  <si>
    <t>Vientiane Airport - Vang Vieng Transfer</t>
  </si>
  <si>
    <t>Vientiane Center Lao - Vang Vieng Transfer</t>
  </si>
  <si>
    <t>Vientiane Northern Bus Stop - Vang Vieng Transfer</t>
  </si>
  <si>
    <t>Vientiane Southern Bus Terminal z - Vang Vieng Transfer</t>
  </si>
  <si>
    <t>Vientiane Transfer - Bangkok Office Mo Chit</t>
  </si>
  <si>
    <t>van | Van + Bus</t>
  </si>
  <si>
    <t>Vientiane Transfer - Krung Thep Aphiwat Central Terminal Station</t>
  </si>
  <si>
    <t>train | Van + Second Class Sleeper AC</t>
  </si>
  <si>
    <t>Vientiane Transfer - Chiang Mai Arcade 2</t>
  </si>
  <si>
    <t>Thailand, Khon Kaen</t>
  </si>
  <si>
    <t>Vientiane Transfer - Khon Kaen</t>
  </si>
  <si>
    <t>Malaysia, Bandar Penawar</t>
  </si>
  <si>
    <t>Bandar Penawar - Klang</t>
  </si>
  <si>
    <t>Malaysia, Batu Caves</t>
  </si>
  <si>
    <t>Malaysia, Kuala Lumpur</t>
  </si>
  <si>
    <t>Batu Caves - Kuala Lumpur Airport</t>
  </si>
  <si>
    <t>Malaysia, Butterworth</t>
  </si>
  <si>
    <t>Malaysia, Penang</t>
  </si>
  <si>
    <t>Butterworth Hotel Transfer - Penang International Airport</t>
  </si>
  <si>
    <t>Malaysia, Cameron Highlands</t>
  </si>
  <si>
    <t>Cameron Highlands Hotel Transfer - Kuala Lumpur Hotel Transfer</t>
  </si>
  <si>
    <t>charter | Minivan 6pax</t>
  </si>
  <si>
    <t>charter | Standard 4pax</t>
  </si>
  <si>
    <t>charter | Van 12pax</t>
  </si>
  <si>
    <t>Malaysia, George Town</t>
  </si>
  <si>
    <t>George Town - Penang International Airport</t>
  </si>
  <si>
    <t>Malaysia, Ipoh</t>
  </si>
  <si>
    <t>Ipoh Hotel Transfer - Kuala Lumpur Hotel Transfer</t>
  </si>
  <si>
    <t>Malaysia, Johor</t>
  </si>
  <si>
    <t>Hotel Ramada - Swiss Garden Hotel</t>
  </si>
  <si>
    <t>Hotel Ramada - Tbs Kuala Lumpur</t>
  </si>
  <si>
    <t>Legoland Malaysia Parking Zone - Swiss Garden Hotel</t>
  </si>
  <si>
    <t>Legoland Malaysia Parking Zone - Tbs Kuala Lumpur</t>
  </si>
  <si>
    <t>Mall Of Medini - Swiss Garden Hotel</t>
  </si>
  <si>
    <t>Mall Of Medini - Tbs Kuala Lumpur</t>
  </si>
  <si>
    <t>Malaysia, Selangor</t>
  </si>
  <si>
    <t>Pengerang - Terminal Shah Alam Section 17</t>
  </si>
  <si>
    <t>Malaysia, Johor Bahru</t>
  </si>
  <si>
    <t>Jb Sentral - Pintu Masuk Senai Airport Terminal</t>
  </si>
  <si>
    <t>Johor Bahru - Kuala Lumpur Hotel Transfer</t>
  </si>
  <si>
    <t>Singapore, Singapore</t>
  </si>
  <si>
    <t>Johor Bahru - Singapore Hotel Transfer</t>
  </si>
  <si>
    <t>Malaysia, Kedah</t>
  </si>
  <si>
    <t>Langkawi Beach Resorts North - Langkawi International Airport</t>
  </si>
  <si>
    <t>Langkawi International Airport - Cenang Beach</t>
  </si>
  <si>
    <t>charter | Honda Accord New 1.5 Vtec Turbo</t>
  </si>
  <si>
    <t>charter | Honda CRV 1.5 VTEC 4WD</t>
  </si>
  <si>
    <t>charter | Hyundai Starex 2.5 Diesel</t>
  </si>
  <si>
    <t>charter | Mercedes C200 Sedan</t>
  </si>
  <si>
    <t>charter | Nissan Almera 1.5</t>
  </si>
  <si>
    <t>charter | Nissan Grand Livina 1.6</t>
  </si>
  <si>
    <t>charter | Nissan Sarena New</t>
  </si>
  <si>
    <t>charter | Toyota Alphard 3.5 V6</t>
  </si>
  <si>
    <t>charter | Toyota Camry 2.5</t>
  </si>
  <si>
    <t>charter | Toyota Innova 2.0G</t>
  </si>
  <si>
    <t>charter | Toyota Vellfire 2.4 ZG</t>
  </si>
  <si>
    <t>charter | Toyota Vellfire 2.5 AT</t>
  </si>
  <si>
    <t>charter | Toyota Vios 1.5</t>
  </si>
  <si>
    <t>charter | Van 13pax</t>
  </si>
  <si>
    <t>charter | Van Nissan Urvan 2.5 Diesel</t>
  </si>
  <si>
    <t>Langkawi International Airport - Langkawi Beach Resorts North</t>
  </si>
  <si>
    <t>Langkawi International Airport - Langkawi Transfer</t>
  </si>
  <si>
    <t>Langkawi International Airport - Tengah Beach</t>
  </si>
  <si>
    <t>Langkawi Transfer - Langkawi International Airport</t>
  </si>
  <si>
    <t>Malaysia, Langkawi</t>
  </si>
  <si>
    <t>Langkawi International Airport - Andaman</t>
  </si>
  <si>
    <t>Langkawi International Airport - Datai</t>
  </si>
  <si>
    <t>Langkawi International Airport - Kuah Transfer</t>
  </si>
  <si>
    <t>Langkawi International Airport - Pantai Kok Beach</t>
  </si>
  <si>
    <t>Langkawi International Airport - Tanjung Rhu Beach Transfer</t>
  </si>
  <si>
    <t>Langkawi International Airport - Telaga Harbour Marina</t>
  </si>
  <si>
    <t>Malaysia, Kelantan</t>
  </si>
  <si>
    <t>Malaysia, Terengganu</t>
  </si>
  <si>
    <t>Kota Bharu - Kuala Besut Jetty</t>
  </si>
  <si>
    <t>van | Shuttle</t>
  </si>
  <si>
    <t>Kota Bharu Airport - Kuala Besut Jetty</t>
  </si>
  <si>
    <t>Malaysia, Kota Kinabalu</t>
  </si>
  <si>
    <t>Kota Kinabalu Airport - Kota Kinabalu Transfer</t>
  </si>
  <si>
    <t>charter | Van 14pax</t>
  </si>
  <si>
    <t>Kota Kinabalu Transfer - Kota Kinabalu Airport</t>
  </si>
  <si>
    <t>Malaysia, Sabah</t>
  </si>
  <si>
    <t>Jesselton Point Ferry Terminal - Mamutik Island</t>
  </si>
  <si>
    <t>Jesselton Point Ferry Terminal - Manukan Island</t>
  </si>
  <si>
    <t>Jesselton Point Ferry Terminal - Sapi Island</t>
  </si>
  <si>
    <t>Kuala Lumpur Airport - Batu Caves</t>
  </si>
  <si>
    <t>Kuala Lumpur Hotel Transfer - Cameron Highlands Hotel Transfer</t>
  </si>
  <si>
    <t>charter | Comfort 4pax</t>
  </si>
  <si>
    <t>Malaysia, Frasers Hill</t>
  </si>
  <si>
    <t>Kuala Lumpur Hotel Transfer - Frasers Hill</t>
  </si>
  <si>
    <t>Malaysia, Gelang Patah</t>
  </si>
  <si>
    <t>Kuala Lumpur - Gelang Patah</t>
  </si>
  <si>
    <t>Swiss Garden Hotel - Forest City</t>
  </si>
  <si>
    <t>Tbs Kuala Lumpur - Forest City</t>
  </si>
  <si>
    <t>Malaysia, Genting Highlands</t>
  </si>
  <si>
    <t>Kuala Lumpur Airport - Genting Highland Skyway</t>
  </si>
  <si>
    <t>Kuala Lumpur Hotel Transfer - Genting Highland Skyway</t>
  </si>
  <si>
    <t>Kuala Lumpur Hotel Transfer - Ipoh Hotel Transfer</t>
  </si>
  <si>
    <t>Kuala Lumpur Hotel Transfer - Desaru Hotel Transfer</t>
  </si>
  <si>
    <t>Swiss Garden Hotel - Hotel Ramada</t>
  </si>
  <si>
    <t>Tbs Kuala Lumpur - Hotel Ramada</t>
  </si>
  <si>
    <t>Tbs Kuala Lumpur - Mall Of Medini</t>
  </si>
  <si>
    <t>Kuala Lumpur Hotel Transfer - Johor Bahru</t>
  </si>
  <si>
    <t>Kuala Lumpur Hotel Transfer - Alor Setar Hotel Transfer</t>
  </si>
  <si>
    <t>Kuala Lumpur Hotel Transfer - Kuala Kedah Hotel Transfer</t>
  </si>
  <si>
    <t>Kuala Lumpur Hotel Transfer - Kota Bharu</t>
  </si>
  <si>
    <t>KL Sentral - Kuala Lumpur Hotel Transfer</t>
  </si>
  <si>
    <t>Kuala Lumpur Airport - Kuala Lumpur Hotel Transfer</t>
  </si>
  <si>
    <t>Kuala Lumpur Hotel Transfer - Kuala Lumpur Airport</t>
  </si>
  <si>
    <t>Malaysia, Kuala Perlis</t>
  </si>
  <si>
    <t>Kuala Lumpur Hotel Transfer - Kuala Perlis Hotel Transfer</t>
  </si>
  <si>
    <t>Malaysia, Kuantan</t>
  </si>
  <si>
    <t>Kuala Lumpur Hotel Transfer - Kuantan Hotel Transfer</t>
  </si>
  <si>
    <t>Malaysia, Lumut</t>
  </si>
  <si>
    <t>Kuala Lumpur Hotel Transfer - Lumut Hotel Transfer</t>
  </si>
  <si>
    <t>Malaysia, Malacca</t>
  </si>
  <si>
    <t>Kuala Lumpur Hotel Transfer - Malacca Hotel Transfer</t>
  </si>
  <si>
    <t>Malaysia, Mersing</t>
  </si>
  <si>
    <t>Kuala Lumpur Hotel Transfer - Mersing Hotel Transfer</t>
  </si>
  <si>
    <t>Malaysia, Negeri Sembilan</t>
  </si>
  <si>
    <t>Kuala Lumpur Hotel Transfer - Tampin Hotel Transfer</t>
  </si>
  <si>
    <t>Malaysia, Pahang</t>
  </si>
  <si>
    <t>Kuala Lumpur Hotel Transfer - Cherating Hotel Transfer</t>
  </si>
  <si>
    <t>Kuala Lumpur Hotel Transfer - Kuala Tembeling</t>
  </si>
  <si>
    <t>Kuala Lumpur Hotel Transfer - Taman Negeri Rompin</t>
  </si>
  <si>
    <t>Kuala Lumpur Hotel Transfer - Penang Hotel Transfer</t>
  </si>
  <si>
    <t>Malaysia, Perak</t>
  </si>
  <si>
    <t>Kuala Lumpur Hotel Transfer - Belum Banding</t>
  </si>
  <si>
    <t>Malaysia, Perlis</t>
  </si>
  <si>
    <t>Kuala Lumpur Hotel Transfer - Kangar Hotel Transfer</t>
  </si>
  <si>
    <t>Malaysia, Port Dickson</t>
  </si>
  <si>
    <t>Kuala Lumpur Hotel Transfer - Port Dickson</t>
  </si>
  <si>
    <t>Kuala Lumpur Hotel Transfer - Bangi Hotel Transfer</t>
  </si>
  <si>
    <t>Kuala Lumpur Hotel Transfer - Kuala Selangor</t>
  </si>
  <si>
    <t>Kuala Lumpur Hotel Transfer - Port Klang</t>
  </si>
  <si>
    <t>Kuala Lumpur Hotel Transfer - Sultan Abdul Aziz Shah Airport</t>
  </si>
  <si>
    <t>Kuala Lumpur Hotel Transfer - Seremban Hotel Transfer</t>
  </si>
  <si>
    <t>Malaysia, Shah Alam</t>
  </si>
  <si>
    <t>Kuala Lumpur Hotel Transfer - Shah Alam Hotel Transfer</t>
  </si>
  <si>
    <t>Malaysia, Taman Negara</t>
  </si>
  <si>
    <t>Kuala Lumpur Hotel Transfer - Kuala Tahan Taman Negara</t>
  </si>
  <si>
    <t>Kuala Lumpur Hotel Transfer - Kuala Terengganu</t>
  </si>
  <si>
    <t>Kuala Lumpur Hotel Transfer - Tanjong Jara</t>
  </si>
  <si>
    <t>Kuala Lumpur Hotel Transfer - Tasik Kenyir</t>
  </si>
  <si>
    <t>Kuala Lumpur Hotel Transfer - Singapore Hotel Transfer</t>
  </si>
  <si>
    <t>Berjaya Times Square - The Plaza</t>
  </si>
  <si>
    <t>Tbs Kuala Lumpur - Jurong East Bus Mrt Interchange</t>
  </si>
  <si>
    <t>Tbs Kuala Lumpur - Kovan Hub 206</t>
  </si>
  <si>
    <t>Tbs Kuala Lumpur - The Plaza</t>
  </si>
  <si>
    <t>Malaysia, Kuala Lumpur Sentral</t>
  </si>
  <si>
    <t>China, Lantau Island</t>
  </si>
  <si>
    <t>Kuala Lumpur Sentral - Lantau Island</t>
  </si>
  <si>
    <t>Kuala Lumpur Sentral - Hong Kong</t>
  </si>
  <si>
    <t>Hong Kong, Hong Kong Airport</t>
  </si>
  <si>
    <t>Kuala Lumpur Sentral - Hong Kong Airport</t>
  </si>
  <si>
    <t>Kuala Lumpur Sentral - Kowloon</t>
  </si>
  <si>
    <t>Hong Kong, Tuen Mun Hong Kong</t>
  </si>
  <si>
    <t>Kuala Lumpur Sentral - Tuen Mun Hong Kong</t>
  </si>
  <si>
    <t>India, Delhi Airport</t>
  </si>
  <si>
    <t>Kuala Lumpur Sentral - Delhi Airport</t>
  </si>
  <si>
    <t>India, Gurgaon</t>
  </si>
  <si>
    <t>Kuala Lumpur Sentral - Gurgaon</t>
  </si>
  <si>
    <t>Kuala Lumpur Sentral - New Delhi</t>
  </si>
  <si>
    <t>Kuala Lumpur Sentral - Srirangam</t>
  </si>
  <si>
    <t>Kuala Lumpur Sentral - Tiruchirappalli</t>
  </si>
  <si>
    <t>Pakistan, Lahore</t>
  </si>
  <si>
    <t>Kuala Lumpur Sentral - Lahore</t>
  </si>
  <si>
    <t>Thailand, Rangsit</t>
  </si>
  <si>
    <t>Kuala Lumpur Sentral - Rangsit</t>
  </si>
  <si>
    <t>Thailand, Thale Ban National Park</t>
  </si>
  <si>
    <t>Kuala Lumpur Sentral - Thale Ban National Park</t>
  </si>
  <si>
    <t>Langkawi Kuah Jetty - Cenang Beach</t>
  </si>
  <si>
    <t>charter | Van 9pax</t>
  </si>
  <si>
    <t>Langkawi Kuah Jetty - Tengah Beach</t>
  </si>
  <si>
    <t>Langkawi Kuah Jetty - Andaman</t>
  </si>
  <si>
    <t>Langkawi Kuah Jetty - Datai</t>
  </si>
  <si>
    <t>Langkawi Kuah Jetty - Kuah Transfer</t>
  </si>
  <si>
    <t>Langkawi Kuah Jetty - Pantai Kok Beach</t>
  </si>
  <si>
    <t>Langkawi Kuah Jetty - Tanjung Rhu Beach Transfer</t>
  </si>
  <si>
    <t>Langkawi Kuah Jetty - Telaga Harbour Marina</t>
  </si>
  <si>
    <t>Malacca Hotel Transfer - Kuala Lumpur Hotel Transfer</t>
  </si>
  <si>
    <t>Penang International Airport - Butterworth Hotel Transfer</t>
  </si>
  <si>
    <t>Penang International Airport - George Town</t>
  </si>
  <si>
    <t>Penang Hotel Transfer - Kuala Lumpur Hotel Transfer</t>
  </si>
  <si>
    <t>Penang beach - Penang International Airport</t>
  </si>
  <si>
    <t>Penang International Airport - Penang beach</t>
  </si>
  <si>
    <t>Malaysia, Perhentian</t>
  </si>
  <si>
    <t>Pulau Perhentian Island - Kuala Besut Jetty</t>
  </si>
  <si>
    <t>Sultan Abdul Aziz Shah Airport - Kuala Lumpur Airport</t>
  </si>
  <si>
    <t>Malaysia, Sungai Nibong</t>
  </si>
  <si>
    <t>Thailand, Bangkok Airport</t>
  </si>
  <si>
    <t>Sungai Nibong - Bangkok Airport</t>
  </si>
  <si>
    <t>Thailand, Don Mueang Airport</t>
  </si>
  <si>
    <t>Sungai Nibong - Don Mueang Airport</t>
  </si>
  <si>
    <t>Sungai Nibong - Rangsit</t>
  </si>
  <si>
    <t>Kuala Besut Jetty - Kota Bharu</t>
  </si>
  <si>
    <t>Kuala Besut Jetty - Kota Bharu Airport</t>
  </si>
  <si>
    <t>Kuala Besut Jetty - Pulau Perhentian Island</t>
  </si>
  <si>
    <t>charter | Private Boat 12pax</t>
  </si>
  <si>
    <t>Maldives, Dhiffushi</t>
  </si>
  <si>
    <t>Maldives, Male</t>
  </si>
  <si>
    <t>Dhiffushi - Male Airport</t>
  </si>
  <si>
    <t>Male Airport - Dhiffushi</t>
  </si>
  <si>
    <t>Maldives, Thulusdhoo</t>
  </si>
  <si>
    <t>Male - Thulusdhoo</t>
  </si>
  <si>
    <t>Male Airport - Thulusdhoo</t>
  </si>
  <si>
    <t>Thulusdhoo - Male</t>
  </si>
  <si>
    <t>Thulusdhoo - Male Airport</t>
  </si>
  <si>
    <t>Malta, Mgarr</t>
  </si>
  <si>
    <t>Malta, Valletta</t>
  </si>
  <si>
    <t>Mgarr Harbour Terminal - Lascaris Wharf Terminal</t>
  </si>
  <si>
    <t>Lascaris Wharf Terminal - Mgarr Harbour Terminal</t>
  </si>
  <si>
    <t>Mexico, Empalme</t>
  </si>
  <si>
    <t>USA, Phoenix</t>
  </si>
  <si>
    <t>Empalme - Phoenix</t>
  </si>
  <si>
    <t>Mexico, Mexicali</t>
  </si>
  <si>
    <t>Mexico, Ciudad Obregon</t>
  </si>
  <si>
    <t>Mexicali Tufesa - Cd Obregon</t>
  </si>
  <si>
    <t>Mexicali - Ciudad Obregon</t>
  </si>
  <si>
    <t>Morocco, Agadir</t>
  </si>
  <si>
    <t>Agadir Al Massira International Airport - Agadir Hotel Transfer</t>
  </si>
  <si>
    <t>charter | Business Luxury 3pax</t>
  </si>
  <si>
    <t>charter | Minicoach 17pax</t>
  </si>
  <si>
    <t>charter | Premium Executive 3pax</t>
  </si>
  <si>
    <t>charter | Premium Minivan 5pax</t>
  </si>
  <si>
    <t>charter | Sedan 4pax</t>
  </si>
  <si>
    <t>Agadir Al Massira International Airport - Founty Hotel Transfer</t>
  </si>
  <si>
    <t>Agadir Hotel Transfer - Agadir Al Massira International Airport</t>
  </si>
  <si>
    <t>Founty Hotel Transfer - Agadir Al Massira International Airport</t>
  </si>
  <si>
    <t>Morocco, Aourir</t>
  </si>
  <si>
    <t>Agadir Al Massira International Airport - Aourir Hotel Transfer</t>
  </si>
  <si>
    <t>Morocco, Asni</t>
  </si>
  <si>
    <t>Agadir Al Massira International Airport - Asni Hotel Transfer</t>
  </si>
  <si>
    <t>Morocco, Beni Mellal</t>
  </si>
  <si>
    <t>Agadir Al Massira International Airport - Beni Mellal Hotel Transfer</t>
  </si>
  <si>
    <t>Morocco, Casablanca</t>
  </si>
  <si>
    <t>Agadir Al Massira International Airport - Casablanca Hotel Transfer</t>
  </si>
  <si>
    <t>Agadir Hotel Transfer - Mohammed V International Airport</t>
  </si>
  <si>
    <t>Morocco, Essaouira</t>
  </si>
  <si>
    <t>Agadir Al Massira International Airport - Essaouira Hotel Transfer</t>
  </si>
  <si>
    <t>Agadir Al Massira International Airport - Essaouira Mogador Airport</t>
  </si>
  <si>
    <t>Agadir Hotel Transfer - Essaouira Mogador Airport</t>
  </si>
  <si>
    <t>Morocco, Fes</t>
  </si>
  <si>
    <t>Agadir Al Massira International Airport - Fes Airport</t>
  </si>
  <si>
    <t>Agadir Al Massira International Airport - Fes Hotel Transfer</t>
  </si>
  <si>
    <t>Agadir Hotel Transfer - Fes Airport</t>
  </si>
  <si>
    <t>Founty Hotel Transfer - Fes Airport</t>
  </si>
  <si>
    <t>Morocco, Guelmim</t>
  </si>
  <si>
    <t>Agadir Al Massira International Airport - Guelmin Hotel Transfer</t>
  </si>
  <si>
    <t>Morocco, Imi Ouaddar</t>
  </si>
  <si>
    <t>Agadir Al Massira International Airport - Imi Ouaddar Hotel Transfer</t>
  </si>
  <si>
    <t>Morocco, Imlil</t>
  </si>
  <si>
    <t>Agadir Al Massira International Airport - Imlil Hotel Transfer</t>
  </si>
  <si>
    <t>Morocco, Imsouane</t>
  </si>
  <si>
    <t>Agadir Al Massira International Airport - Imsouane Hotel Transfer</t>
  </si>
  <si>
    <t>Morocco, Inezgane</t>
  </si>
  <si>
    <t>Agadir Al Massira International Airport - Inezgane Hotel Transfer</t>
  </si>
  <si>
    <t>Morocco, Marrakesh</t>
  </si>
  <si>
    <t>Agadir Al Massira International Airport - Marrakech Medina Transfer</t>
  </si>
  <si>
    <t>Agadir Al Massira International Airport - Marrakesh Hotel Transfer</t>
  </si>
  <si>
    <t>Agadir Al Massira International Airport - Marrakesh Menara Airport</t>
  </si>
  <si>
    <t>Agadir Hotel Transfer - Marrakesh Menara Airport</t>
  </si>
  <si>
    <t>Morocco, Meknes</t>
  </si>
  <si>
    <t>Agadir Al Massira International Airport - Meknes Hotel Transfer</t>
  </si>
  <si>
    <t>Morocco, Mirleft</t>
  </si>
  <si>
    <t>Agadir Al Massira International Airport - Mirleft Hotel Transfer</t>
  </si>
  <si>
    <t>Morocco, Ouarzazate</t>
  </si>
  <si>
    <t>Agadir Al Massira International Airport - Ouarzazate Airport</t>
  </si>
  <si>
    <t>Agadir Al Massira International Airport - Ouarzazate Hotel Transfer</t>
  </si>
  <si>
    <t>Morocco, Ouirgane</t>
  </si>
  <si>
    <t>Agadir Al Massira International Airport - Ouirgane Hotel Transfer</t>
  </si>
  <si>
    <t>Morocco, Rabat</t>
  </si>
  <si>
    <t>Agadir Al Massira International Airport - Rabat Hotel Transfer</t>
  </si>
  <si>
    <t>Agadir Hotel Transfer - Rabat Sale Airport</t>
  </si>
  <si>
    <t>Morocco, Sidi Ifni</t>
  </si>
  <si>
    <t>Agadir Al Massira International Airport - Sidi Ifni Hotel Transfer</t>
  </si>
  <si>
    <t>Morocco, Sidi Kaouki</t>
  </si>
  <si>
    <t>Agadir Al Massira International Airport - Sidi Kaouki Hotel Transfer</t>
  </si>
  <si>
    <t>Morocco, Sti Fadma</t>
  </si>
  <si>
    <t>Agadir Al Massira International Airport - Setti Fadma Hotel Transfer</t>
  </si>
  <si>
    <t>Morocco, Tafraoute</t>
  </si>
  <si>
    <t>Agadir Al Massira International Airport - Tafraoute Hotel Transfer</t>
  </si>
  <si>
    <t>Morocco, Taghazout</t>
  </si>
  <si>
    <t>Agadir Al Massira International Airport - Taghazout Hotel Transfer</t>
  </si>
  <si>
    <t>Morocco, Tamraght</t>
  </si>
  <si>
    <t>Agadir Al Massira International Airport - Tamraght Hotel Transfer</t>
  </si>
  <si>
    <t>Morocco, Tamri</t>
  </si>
  <si>
    <t>Agadir Al Massira International Airport - Paradis Plage</t>
  </si>
  <si>
    <t>Morocco, Tangier</t>
  </si>
  <si>
    <t>Agadir Al Massira International Airport - Immouzzer Hotel Transfer</t>
  </si>
  <si>
    <t>Morocco, Taroudant</t>
  </si>
  <si>
    <t>Agadir Al Massira International Airport - Taroudant Hotel Transfer</t>
  </si>
  <si>
    <t>Morocco, Tiguert</t>
  </si>
  <si>
    <t>Agadir Al Massira International Airport - Tiguert Hotel Transfer</t>
  </si>
  <si>
    <t>Morocco, Ait Si Hammou</t>
  </si>
  <si>
    <t>Ait Si Hammou Hotel Transfer - Mohammed V International Airport</t>
  </si>
  <si>
    <t>Ait Si Hammou Hotel Transfer - Marrakesh Menara Airport</t>
  </si>
  <si>
    <t>Morocco, Al Hoceima</t>
  </si>
  <si>
    <t>Morocco, Oujda</t>
  </si>
  <si>
    <t>El Hoceima Hotel Transfer - Oujda Angads Airport</t>
  </si>
  <si>
    <t>Aourir Hotel Transfer - Agadir Al Massira International Airport</t>
  </si>
  <si>
    <t>Aourir Hotel Transfer - Essaouira Mogador Airport</t>
  </si>
  <si>
    <t>Aourir Hotel Transfer - Fes Airport</t>
  </si>
  <si>
    <t>Morocco, Asilah</t>
  </si>
  <si>
    <t>Asilah Hotel Transfer - Tanger Ibn Battouta Airport</t>
  </si>
  <si>
    <t>Hotel Asilah - Tanger Ibn Battouta Airport</t>
  </si>
  <si>
    <t>Asni Hotel Transfer - Agadir Al Massira International Airport</t>
  </si>
  <si>
    <t>Asni Hotel Transfer - Mohammed V International Airport</t>
  </si>
  <si>
    <t>Asni Hotel Transfer - Fes Airport</t>
  </si>
  <si>
    <t>Asni Hotel Transfer - Marrakesh Menara Airport</t>
  </si>
  <si>
    <t>Morocco, Ben Slimane</t>
  </si>
  <si>
    <t>Ben Slimane Hotel Transfer - Mohammed V International Airport</t>
  </si>
  <si>
    <t>Beni Mellal Hotel Transfer - Agadir Al Massira International Airport</t>
  </si>
  <si>
    <t>Beni Mellal Hotel Transfer - Mohammed V International Airport</t>
  </si>
  <si>
    <t>Morocco, Berkane</t>
  </si>
  <si>
    <t>Berkane Hotel Transfer - Oujda Angads Airport</t>
  </si>
  <si>
    <t>Morocco, Berrechid</t>
  </si>
  <si>
    <t>Berrechid Hotel Transfer - Mohammed V International Airport</t>
  </si>
  <si>
    <t>Morocco, Bin El Ouidane</t>
  </si>
  <si>
    <t>Bin El Ouidane Hotel Transfer - Mohammed V International Airport</t>
  </si>
  <si>
    <t>Bin El Ouidane Hotel Transfer - Marrakesh Menara Airport</t>
  </si>
  <si>
    <t>Morocco, Bouznika</t>
  </si>
  <si>
    <t>Bouznika Hotel Transfer - Rabat Sale Airport</t>
  </si>
  <si>
    <t>Casablanca Hotel Transfer - Agadir Al Massira International Airport</t>
  </si>
  <si>
    <t>Mohammed V International Airport - Agadir Hotel Transfer</t>
  </si>
  <si>
    <t>Mohammed V International Airport - Ait Si Hammou Hotel Transfer</t>
  </si>
  <si>
    <t>Mohammed V International Airport - Asni Hotel Transfer</t>
  </si>
  <si>
    <t>Mohammed V International Airport - Ben Slimane Hotel Transfer</t>
  </si>
  <si>
    <t>Mohammed V International Airport - Beni Mellal Hotel Transfer</t>
  </si>
  <si>
    <t>Mohammed V International Airport - Berrechid Hotel Transfer</t>
  </si>
  <si>
    <t>Mohammed V International Airport - Bin El Ouidane Hotel Transfer</t>
  </si>
  <si>
    <t>Casablanca Hotel Transfer - Mohammed V International Airport</t>
  </si>
  <si>
    <t>Mohammed V International Airport - Casablanca Hotel Transfer</t>
  </si>
  <si>
    <t>Mohammed V International Airport - Nouaseur Hotel Transfer</t>
  </si>
  <si>
    <t>Nouaseur Hotel Transfer - Mohammed V International Airport</t>
  </si>
  <si>
    <t>Morocco, Chefchaouen</t>
  </si>
  <si>
    <t>Mohammed V International Airport - Chefchaouen Hotel Transfer</t>
  </si>
  <si>
    <t>Morocco, Dar Bouazza</t>
  </si>
  <si>
    <t>Mohammed V International Airport - Dar Bouazza Hotel Transfer</t>
  </si>
  <si>
    <t>Morocco, Demnate</t>
  </si>
  <si>
    <t>Mohammed V International Airport - Demnate Hotel Transfer</t>
  </si>
  <si>
    <t>Morocco, El Jadida</t>
  </si>
  <si>
    <t>Mohammed V International Airport - El Jadida Hotel Transfer</t>
  </si>
  <si>
    <t>Morocco, Er Rachidia</t>
  </si>
  <si>
    <t>Mohammed V International Airport - Errachidia Hotel Transfer</t>
  </si>
  <si>
    <t>Mohammed V International Airport - Essaouira Hotel Transfer</t>
  </si>
  <si>
    <t>Casablanca Hotel Transfer - Fes Airport</t>
  </si>
  <si>
    <t>Mohammed V International Airport - Fes Hotel Transfer</t>
  </si>
  <si>
    <t>Morocco, Fquih Ben Salah</t>
  </si>
  <si>
    <t>Mohammed V International Airport - Fquih Ben Salah Hotel Transfer</t>
  </si>
  <si>
    <t>Morocco, Kenitra</t>
  </si>
  <si>
    <t>Mohammed V International Airport - Kenitra Hotel Transfer</t>
  </si>
  <si>
    <t>Morocco, Khouribga</t>
  </si>
  <si>
    <t>Mohammed V International Airport - Khouribga Hotel Transfer</t>
  </si>
  <si>
    <t>Casablanca Hotel Transfer - Marrakesh Menara Airport</t>
  </si>
  <si>
    <t>Mohammed V International Airport - La Palmeraie</t>
  </si>
  <si>
    <t>Mohammed V International Airport - Marrakesh Hotel Transfer</t>
  </si>
  <si>
    <t>Mohammed V International Airport - Royal Golf Park</t>
  </si>
  <si>
    <t>Mohammed V International Airport - Meknes Hotel Transfer</t>
  </si>
  <si>
    <t>Morocco, Mohammedia</t>
  </si>
  <si>
    <t>Mohammed V International Airport - Mohammedia Hotel Transfer</t>
  </si>
  <si>
    <t>Morocco, Oualidia</t>
  </si>
  <si>
    <t>Mohammed V International Airport - Oualidia Hotel Transfer</t>
  </si>
  <si>
    <t>Mohammed V International Airport - Ouarzazate Hotel Transfer</t>
  </si>
  <si>
    <t>Mohammed V International Airport - Oujda Hotel Transfer</t>
  </si>
  <si>
    <t>Morocco, Ouzoud</t>
  </si>
  <si>
    <t>Mohammed V International Airport - Ouzoud Falls</t>
  </si>
  <si>
    <t>Casablanca Hotel Transfer - Rabat Sale Airport</t>
  </si>
  <si>
    <t>Mohammed V International Airport - Rabat Hotel Transfer</t>
  </si>
  <si>
    <t>Morocco, Safi</t>
  </si>
  <si>
    <t>Mohammed V International Airport - Safi Hotel Transfer</t>
  </si>
  <si>
    <t>Morocco, Sale</t>
  </si>
  <si>
    <t>Mohammed V International Airport - Sale Hotel Transfer</t>
  </si>
  <si>
    <t>Morocco, Settat</t>
  </si>
  <si>
    <t>Mohammed V International Airport - Settat Hotel Transfer</t>
  </si>
  <si>
    <t>Morocco, Sidi Slimane</t>
  </si>
  <si>
    <t>Mohammed V International Airport - Sidi Slimane Hotel Transfer</t>
  </si>
  <si>
    <t>Morocco, Skhirat</t>
  </si>
  <si>
    <t>Mohammed V International Airport - Skhirat Plage Hotel Transfer</t>
  </si>
  <si>
    <t>Morocco, Souk El Arbaa</t>
  </si>
  <si>
    <t>Mohammed V International Airport - Souk Elarbaa Hotel Transfer</t>
  </si>
  <si>
    <t>Mohammed V International Airport - Setti Fadma Hotel Transfer</t>
  </si>
  <si>
    <t>Mohammed V International Airport - Tangier Hotel Transfer</t>
  </si>
  <si>
    <t>Morocco, Temara</t>
  </si>
  <si>
    <t>Mohammed V International Airport - Temara Hotel Transfer</t>
  </si>
  <si>
    <t>Chefchaouen Hotel Transfer - Mohammed V International Airport</t>
  </si>
  <si>
    <t>Chefchaouen Hotel Transfer - Fes Airport</t>
  </si>
  <si>
    <t>Chefchaouen Hotel Transfer - Marrakesh Menara Airport</t>
  </si>
  <si>
    <t>Chefchaouen Hotel Transfer - Rabat Sale Airport</t>
  </si>
  <si>
    <t>Chefchaouen Hotel Transfer - Tanger Ibn Battouta Airport</t>
  </si>
  <si>
    <t>Morocco, Dakhla</t>
  </si>
  <si>
    <t>Dakhla Airport - Dakhla Hotel Transfer</t>
  </si>
  <si>
    <t>charter | Business 3pax</t>
  </si>
  <si>
    <t>charter | Premium 3pax</t>
  </si>
  <si>
    <t>Dakhla Hotel Transfer - Dakhla Airport</t>
  </si>
  <si>
    <t>Dar Bouazza Hotel Transfer - Mohammed V International Airport</t>
  </si>
  <si>
    <t>Demnate Hotel Transfer - Mohammed V International Airport</t>
  </si>
  <si>
    <t>El Jadida Hotel Transfer - Mohammed V International Airport</t>
  </si>
  <si>
    <t>El Jadida Hotel Transfer - Marrakesh Menara Airport</t>
  </si>
  <si>
    <t>Errachidia Hotel Transfer - Mohammed V International Airport</t>
  </si>
  <si>
    <t>Essaouira Hotel Transfer - Agadir Al Massira International Airport</t>
  </si>
  <si>
    <t>Essaouira Mogador Airport - Agadir Al Massira International Airport</t>
  </si>
  <si>
    <t>Essaouira Mogador Airport - Agadir Hotel Transfer</t>
  </si>
  <si>
    <t>Essaouira Mogador Airport - Aourir Hotel Transfer</t>
  </si>
  <si>
    <t>Essaouira Hotel Transfer - Mohammed V International Airport</t>
  </si>
  <si>
    <t>Essaouira Hotel Transfer - Essaouira Mogador Airport</t>
  </si>
  <si>
    <t>Essaouira Mogador Airport - Essaouira Hotel Transfer</t>
  </si>
  <si>
    <t>Essaouira Hotel Transfer - Fes Airport</t>
  </si>
  <si>
    <t>Essaouira Mogador Airport - Fes Airport</t>
  </si>
  <si>
    <t>Essaouira Mogador Airport - Fes Hotel Transfer</t>
  </si>
  <si>
    <t>Essaouira Mogador Airport - Imi Ouaddar Hotel Transfer</t>
  </si>
  <si>
    <t>Essaouira Hotel Transfer - Marrakesh Menara Airport</t>
  </si>
  <si>
    <t>Essaouira Mogador Airport - Marrakech Medina Transfer</t>
  </si>
  <si>
    <t>Essaouira Mogador Airport - Marrakesh Hotel Transfer</t>
  </si>
  <si>
    <t>Essaouira Mogador Airport - Marrakesh Menara Airport</t>
  </si>
  <si>
    <t>Essaouira Mogador Airport - Mirleft Hotel Transfer</t>
  </si>
  <si>
    <t>Essaouira Mogador Airport - Oualidia Hotel Transfer</t>
  </si>
  <si>
    <t>Essaouira Mogador Airport - Ouarzazate Airport</t>
  </si>
  <si>
    <t>Essaouira Mogador Airport - Ouarzazate Hotel Transfer</t>
  </si>
  <si>
    <t>Essaouira Mogador Airport - Safi Hotel Transfer</t>
  </si>
  <si>
    <t>Essaouira Mogador Airport - Sidi Kaouki Hotel Transfer</t>
  </si>
  <si>
    <t>Essaouira Mogador Airport - Taghazout Hotel Transfer</t>
  </si>
  <si>
    <t>Essaouira Mogador Airport - Tamraght Hotel Transfer</t>
  </si>
  <si>
    <t>Essaouira Mogador Airport - Paradis Plage</t>
  </si>
  <si>
    <t>Essaouira Mogador Airport - Immouzzer Hotel Transfer</t>
  </si>
  <si>
    <t>Fes Airport - Agadir Al Massira International Airport</t>
  </si>
  <si>
    <t>Fes Airport - Agadir Hotel Transfer</t>
  </si>
  <si>
    <t>Fes Airport - Founty Hotel Transfer</t>
  </si>
  <si>
    <t>Fes Hotel Transfer - Agadir Al Massira International Airport</t>
  </si>
  <si>
    <t>Fes Airport - Aourir Hotel Transfer</t>
  </si>
  <si>
    <t>Fes Airport - Asni Hotel Transfer</t>
  </si>
  <si>
    <t>Fes Airport - Casablanca Hotel Transfer</t>
  </si>
  <si>
    <t>Fes Hotel Transfer - Mohammed V International Airport</t>
  </si>
  <si>
    <t>Fes Airport - Chefchaouen Hotel Transfer</t>
  </si>
  <si>
    <t>Fes Airport - Essaouira Hotel Transfer</t>
  </si>
  <si>
    <t>Fes Airport - Essaouira Mogador Airport</t>
  </si>
  <si>
    <t>Fes Hotel Transfer - Essaouira Mogador Airport</t>
  </si>
  <si>
    <t>Fes Airport - Fes Hotel Transfer</t>
  </si>
  <si>
    <t>Fes Hotel Transfer - Fes Airport</t>
  </si>
  <si>
    <t>Morocco, Ifrane</t>
  </si>
  <si>
    <t>Fes Airport - Ifran Hotel Transfer</t>
  </si>
  <si>
    <t>Fes Airport - Imi Ouaddar Hotel Transfer</t>
  </si>
  <si>
    <t>Fes Airport - Imlil Hotel Transfer</t>
  </si>
  <si>
    <t>Fes Airport - Imsouane Hotel Transfer</t>
  </si>
  <si>
    <t>Fes Airport - Inezgane Hotel Transfer</t>
  </si>
  <si>
    <t>Fes Airport - Marrakech Medina Transfer</t>
  </si>
  <si>
    <t>Fes Airport - Marrakesh Hotel Transfer</t>
  </si>
  <si>
    <t>Fes Airport - Marrakesh Menara Airport</t>
  </si>
  <si>
    <t>Fes Hotel Transfer - Marrakesh Menara Airport</t>
  </si>
  <si>
    <t>Fes Airport - Meknes Hotel Transfer</t>
  </si>
  <si>
    <t>Morocco, Moulay Idriss Zerhoun</t>
  </si>
  <si>
    <t>Fes Airport - Moulay Idriss Zerhoun</t>
  </si>
  <si>
    <t>Fes Airport - Ouarzazate Airport</t>
  </si>
  <si>
    <t>Fes Airport - Ouarzazate Hotel Transfer</t>
  </si>
  <si>
    <t>Fes Airport - Ouirgane Hotel Transfer</t>
  </si>
  <si>
    <t>Fes Airport - Oujda Hotel Transfer</t>
  </si>
  <si>
    <t>Fes Hotel Transfer - Oujda Angads Airport</t>
  </si>
  <si>
    <t>Fes Airport - Rabat Hotel Transfer</t>
  </si>
  <si>
    <t>Fes Airport - Rabat Sale Airport</t>
  </si>
  <si>
    <t>Fes Hotel Transfer - Rabat Sale Airport</t>
  </si>
  <si>
    <t>Fes Airport - Safi Hotel Transfer</t>
  </si>
  <si>
    <t>Fes Airport - Sale Hotel Transfer</t>
  </si>
  <si>
    <t>Fes Airport - Sidi Kaouki Hotel Transfer</t>
  </si>
  <si>
    <t>Fes Airport - Setti Fadma Hotel Transfer</t>
  </si>
  <si>
    <t>Fes Airport - Taghazout Hotel Transfer</t>
  </si>
  <si>
    <t>Fes Airport - Tamraght Hotel Transfer</t>
  </si>
  <si>
    <t>Fes Airport - Paradis Plage</t>
  </si>
  <si>
    <t>Fes Airport - Immouzzer Hotel Transfer</t>
  </si>
  <si>
    <t>Fes Airport - Tangier Hotel Transfer</t>
  </si>
  <si>
    <t>Fes Hotel Transfer - Tanger Ibn Battouta Airport</t>
  </si>
  <si>
    <t>Fquih Ben Salah Hotel Transfer - Mohammed V International Airport</t>
  </si>
  <si>
    <t>Guelmin Hotel Transfer - Agadir Al Massira International Airport</t>
  </si>
  <si>
    <t>Ifran Hotel Transfer - Fes Airport</t>
  </si>
  <si>
    <t>Ifran Hotel Transfer - Rabat Sale Airport</t>
  </si>
  <si>
    <t>Imi Ouaddar Hotel Transfer - Agadir Al Massira International Airport</t>
  </si>
  <si>
    <t>Imi Ouaddar Hotel Transfer - Essaouira Mogador Airport</t>
  </si>
  <si>
    <t>Imi Ouaddar Hotel Transfer - Fes Airport</t>
  </si>
  <si>
    <t>Imlil Hotel Transfer - Agadir Al Massira International Airport</t>
  </si>
  <si>
    <t>Imlil Hotel Transfer - Fes Airport</t>
  </si>
  <si>
    <t>Imlil Hotel Transfer - Marrakesh Menara Airport</t>
  </si>
  <si>
    <t>Imsouane Hotel Transfer - Agadir Al Massira International Airport</t>
  </si>
  <si>
    <t>Imsouane Hotel Transfer - Fes Airport</t>
  </si>
  <si>
    <t>Inezgane Hotel Transfer - Agadir Al Massira International Airport</t>
  </si>
  <si>
    <t>Inezgane Hotel Transfer - Fes Airport</t>
  </si>
  <si>
    <t>Kenitra Hotel Transfer - Mohammed V International Airport</t>
  </si>
  <si>
    <t>Kenitra Hotel Transfer - Rabat Sale Airport</t>
  </si>
  <si>
    <t>Khouribga Hotel Transfer - Mohammed V International Airport</t>
  </si>
  <si>
    <t>Morocco, Lalla Takerkoust</t>
  </si>
  <si>
    <t>Lalla Takerkoust Hotel Transfer - Marrakesh Menara Airport</t>
  </si>
  <si>
    <t>Morocco, Marina Smir</t>
  </si>
  <si>
    <t>Marina Smir Hotel Transfer - Tanger Ibn Battouta Airport</t>
  </si>
  <si>
    <t>Marrakech Medina Transfer - Agadir Al Massira International Airport</t>
  </si>
  <si>
    <t>Marrakesh Hotel Transfer - Agadir Al Massira International Airport</t>
  </si>
  <si>
    <t>Marrakesh Menara Airport - Agadir Al Massira International Airport</t>
  </si>
  <si>
    <t>Marrakesh Menara Airport - Agadir Hotel Transfer</t>
  </si>
  <si>
    <t>Marrakesh Menara Airport - Ait Si Hammou Hotel Transfer</t>
  </si>
  <si>
    <t>Marrakesh Menara Airport - Asni Hotel Transfer</t>
  </si>
  <si>
    <t>Marrakesh Menara Airport - Bin El Ouidane Hotel Transfer</t>
  </si>
  <si>
    <t>La Palmeraie - Mohammed V International Airport</t>
  </si>
  <si>
    <t>Marrakesh Hotel Transfer - Mohammed V International Airport</t>
  </si>
  <si>
    <t>Marrakesh Menara Airport - Casablanca Hotel Transfer</t>
  </si>
  <si>
    <t>Royal Golf Park - Mohammed V International Airport</t>
  </si>
  <si>
    <t>Marrakesh Menara Airport - Chefchaouen Hotel Transfer</t>
  </si>
  <si>
    <t>Marrakesh Menara Airport - El Jadida Hotel Transfer</t>
  </si>
  <si>
    <t>Marrakech Medina Transfer - Essaouira Mogador Airport</t>
  </si>
  <si>
    <t>Marrakesh Hotel Transfer - Essaouira Mogador Airport</t>
  </si>
  <si>
    <t>Marrakesh Menara Airport - Essaouira Hotel Transfer</t>
  </si>
  <si>
    <t>Marrakesh Menara Airport - Essaouira Mogador Airport</t>
  </si>
  <si>
    <t>Marrakech Medina Transfer - Fes Airport</t>
  </si>
  <si>
    <t>Marrakesh Hotel Transfer - Fes Airport</t>
  </si>
  <si>
    <t>Marrakesh Menara Airport - Fes Airport</t>
  </si>
  <si>
    <t>Marrakesh Menara Airport - Fes Hotel Transfer</t>
  </si>
  <si>
    <t>Marrakesh Menara Airport - Imlil Hotel Transfer</t>
  </si>
  <si>
    <t>Marrakesh Menara Airport - Lalla Takerkoust Hotel Transfer</t>
  </si>
  <si>
    <t>Ain Itti Hotel Transfer - Marrakesh Menara Airport</t>
  </si>
  <si>
    <t>Aqua Fun Club - Marrakesh Menara Airport</t>
  </si>
  <si>
    <t>Aqua Mirage Club - Marrakesh Menara Airport</t>
  </si>
  <si>
    <t>Atlas Targa Resort - Marrakesh Menara Airport</t>
  </si>
  <si>
    <t>Blue Bay Marrakech - Marrakesh Menara Airport</t>
  </si>
  <si>
    <t>Caravanserai Hotel Transfer - Marrakesh Menara Airport</t>
  </si>
  <si>
    <t>Chrifia Hotel Transfer - Marrakesh Menara Airport</t>
  </si>
  <si>
    <t>Club Dar Atlas Marmara - Marrakesh Menara Airport</t>
  </si>
  <si>
    <t>Club Palmeraie Marrakech - Marrakesh Menara Airport</t>
  </si>
  <si>
    <t>Dar Tamsna Hotel Transfer - Marrakesh Menara Airport</t>
  </si>
  <si>
    <t>Dar Tounsi Hotel Transfer - Marrakesh Menara Airport</t>
  </si>
  <si>
    <t>Douar Laataouna Hotel Transfer - Marrakesh Menara Airport</t>
  </si>
  <si>
    <t>Douar Lahna Hotel Transfer - Marrakesh Menara Airport</t>
  </si>
  <si>
    <t>Douar Zemrane Hotel Transfer - Marrakesh Menara Airport</t>
  </si>
  <si>
    <t>Eden Andalou Spa Resort - Marrakesh Menara Airport</t>
  </si>
  <si>
    <t>Kenzi Club Oasis Hotel - Marrakesh Menara Airport</t>
  </si>
  <si>
    <t>La Palmeraie - Marrakesh Menara Airport</t>
  </si>
  <si>
    <t>Marrakech Medina Transfer - Marrakesh Menara Airport</t>
  </si>
  <si>
    <t>Marrakesh Hotel Transfer - Marrakesh Menara Airport</t>
  </si>
  <si>
    <t>Marrakesh Menara Airport - Ain Itti Hotel Transfer</t>
  </si>
  <si>
    <t>Marrakesh Menara Airport - Aqua Fun Club</t>
  </si>
  <si>
    <t>Marrakesh Menara Airport - Aqua Mirage Club</t>
  </si>
  <si>
    <t>Marrakesh Menara Airport - Atlas Targa Resort</t>
  </si>
  <si>
    <t>Marrakesh Menara Airport - Blue Bay Marrakech</t>
  </si>
  <si>
    <t>Marrakesh Menara Airport - Caravanserai Hotel Transfer</t>
  </si>
  <si>
    <t>Marrakesh Menara Airport - Chrifia Hotel Transfer</t>
  </si>
  <si>
    <t>Marrakesh Menara Airport - Club Dar Atlas Marmara</t>
  </si>
  <si>
    <t>Marrakesh Menara Airport - Club Palmeraie Marrakech</t>
  </si>
  <si>
    <t>Marrakesh Menara Airport - Dar Tamsna Hotel Transfer</t>
  </si>
  <si>
    <t>Marrakesh Menara Airport - Dar Tounsi Hotel Transfer</t>
  </si>
  <si>
    <t>Marrakesh Menara Airport - Douar Laataouna Hotel Transfer</t>
  </si>
  <si>
    <t>Marrakesh Menara Airport - Douar Lahna Hotel Transfer</t>
  </si>
  <si>
    <t>Marrakesh Menara Airport - Douar Zemrane Hotel Transfer</t>
  </si>
  <si>
    <t>Marrakesh Menara Airport - Eden Andalou Spa Resort</t>
  </si>
  <si>
    <t>Marrakesh Menara Airport - Kenzi Club Oasis Hotel</t>
  </si>
  <si>
    <t>Marrakesh Menara Airport - La Palmeraie</t>
  </si>
  <si>
    <t>Marrakesh Menara Airport - Marrakech Medina Transfer</t>
  </si>
  <si>
    <t>Marrakesh Menara Airport - Marrakesh Hotel Transfer</t>
  </si>
  <si>
    <t>Marrakesh Menara Airport - Palais Namaskar Hotel Transfer</t>
  </si>
  <si>
    <t>Marrakesh Menara Airport - Semlalia Hotel Transfer</t>
  </si>
  <si>
    <t>Marrakesh Menara Airport - Sirayane Boutique Hotel and Spa</t>
  </si>
  <si>
    <t>Marrakesh Menara Airport - Taj Palace Marrakech</t>
  </si>
  <si>
    <t>Palais Namaskar Hotel Transfer - Marrakesh Menara Airport</t>
  </si>
  <si>
    <t>Semlalia Hotel Transfer - Marrakesh Menara Airport</t>
  </si>
  <si>
    <t>Sirayane Boutique Hotel and Spa - Marrakesh Menara Airport</t>
  </si>
  <si>
    <t>Taj Palace Marrakech - Marrakesh Menara Airport</t>
  </si>
  <si>
    <t>Marrakesh Menara Airport - Meknes Hotel Transfer</t>
  </si>
  <si>
    <t>Morocco, Merzouga</t>
  </si>
  <si>
    <t>Marrakesh Menara Airport - Merzouga Hotel Transfer</t>
  </si>
  <si>
    <t>Marrakesh Menara Airport - Mirleft Hotel Transfer</t>
  </si>
  <si>
    <t>Marrakesh Menara Airport - Mohammedia Hotel Transfer</t>
  </si>
  <si>
    <t>Morocco, Ouahat Sidi Brahim</t>
  </si>
  <si>
    <t>Marrakesh Menara Airport - Ouahat Sidi Brahim Hotel Transfer</t>
  </si>
  <si>
    <t>Marrakesh Menara Airport - Oualidia Hotel Transfer</t>
  </si>
  <si>
    <t>Marrakesh Menara Airport - Ouarzazate Hotel Transfer</t>
  </si>
  <si>
    <t>Marrakesh Menara Airport - Ouirgane Hotel Transfer</t>
  </si>
  <si>
    <t>Morocco, Oukaimeden</t>
  </si>
  <si>
    <t>Marrakesh Menara Airport - Oukaïmeden Hotel Transfer</t>
  </si>
  <si>
    <t>Morocco, Ourika</t>
  </si>
  <si>
    <t>Marrakesh Menara Airport - Ourika Hotel Transfer</t>
  </si>
  <si>
    <t>Marrakech Medina Transfer - Rabat Sale Airport</t>
  </si>
  <si>
    <t>Marrakesh Hotel Transfer - Rabat Sale Airport</t>
  </si>
  <si>
    <t>Marrakesh Menara Airport - Agdal Rabat Hotel Transfer</t>
  </si>
  <si>
    <t>Marrakesh Menara Airport - Rabat Hotel Transfer</t>
  </si>
  <si>
    <t>Morocco, Sidi Abdallah Ghiat</t>
  </si>
  <si>
    <t>Marrakesh Menara Airport - Sidi Abdallah Ghiat Hotel Transfer</t>
  </si>
  <si>
    <t>Morocco, Sidi Bouzguia</t>
  </si>
  <si>
    <t>Marrakesh Menara Airport - Sidi Bouzguia Hotel Transfer</t>
  </si>
  <si>
    <t>Marrakesh Menara Airport - Sidi Kaouki Hotel Transfer</t>
  </si>
  <si>
    <t>Marrakesh Menara Airport - Skhirat Plage Hotel Transfer</t>
  </si>
  <si>
    <t>Morocco, Skoura</t>
  </si>
  <si>
    <t>Marrakesh Menara Airport - Skoura Hotel Transfer</t>
  </si>
  <si>
    <t>Morocco, Srairi</t>
  </si>
  <si>
    <t>Marrakesh Menara Airport - Srayeri Hotel Transfer</t>
  </si>
  <si>
    <t>Marrakesh Menara Airport - Setti Fadma Hotel Transfer</t>
  </si>
  <si>
    <t>Marrakesh Menara Airport - Taghazout Hotel Transfer</t>
  </si>
  <si>
    <t>Morocco, Tahannaout</t>
  </si>
  <si>
    <t>Marrakesh Menara Airport - Tahannaout Hotel Transfer</t>
  </si>
  <si>
    <t>Marrakesh Menara Airport - Immouzzer Hotel Transfer</t>
  </si>
  <si>
    <t>Marrakesh Menara Airport - Tangier Hotel Transfer</t>
  </si>
  <si>
    <t>Morocco, Tetouan</t>
  </si>
  <si>
    <t>Marrakesh Menara Airport - Tetouan Hotel Transfer</t>
  </si>
  <si>
    <t>Morocco, Zagora</t>
  </si>
  <si>
    <t>Marrakesh Menara Airport - Zagora Hotel Transfer</t>
  </si>
  <si>
    <t>Meknes Hotel Transfer - Agadir Al Massira International Airport</t>
  </si>
  <si>
    <t>Meknes Hotel Transfer - Mohammed V International Airport</t>
  </si>
  <si>
    <t>Meknes Hotel Transfer - Fes Airport</t>
  </si>
  <si>
    <t>Meknes Hotel Transfer - Marrakesh Menara Airport</t>
  </si>
  <si>
    <t>Meknes Hotel Transfer - Rabat Sale Airport</t>
  </si>
  <si>
    <t>Merzouga Hotel Transfer - Marrakesh Menara Airport</t>
  </si>
  <si>
    <t>Mirleft Hotel Transfer - Agadir Al Massira International Airport</t>
  </si>
  <si>
    <t>Mirleft Hotel Transfer - Essaouira Mogador Airport</t>
  </si>
  <si>
    <t>Mirleft Hotel Transfer - Marrakesh Menara Airport</t>
  </si>
  <si>
    <t>Mohammedia Hotel Transfer - Mohammed V International Airport</t>
  </si>
  <si>
    <t>Mohammedia Hotel Transfer - Marrakesh Menara Airport</t>
  </si>
  <si>
    <t>Mohammedia Hotel Transfer - Rabat Sale Airport</t>
  </si>
  <si>
    <t>Moulay Idriss Zerhoun - Fes Airport</t>
  </si>
  <si>
    <t>Morocco, Nador</t>
  </si>
  <si>
    <t>Nador Hotel Transfer - Oujda Angads Airport</t>
  </si>
  <si>
    <t>Nador Hotel Transfer - Rabat Sale Airport</t>
  </si>
  <si>
    <t>Nador Hotel Transfer - Tanger Ibn Battouta Airport</t>
  </si>
  <si>
    <t>Ouahat Sidi Brahim Hotel Transfer - Marrakesh Menara Airport</t>
  </si>
  <si>
    <t>Oualidia Hotel Transfer - Mohammed V International Airport</t>
  </si>
  <si>
    <t>Oualidia Hotel Transfer - Essaouira Mogador Airport</t>
  </si>
  <si>
    <t>Oualidia Hotel Transfer - Marrakesh Menara Airport</t>
  </si>
  <si>
    <t>Ouarzazate Airport - Agadir Al Massira International Airport</t>
  </si>
  <si>
    <t>Ouarzazate Hotel Transfer - Agadir Al Massira International Airport</t>
  </si>
  <si>
    <t>Ouarzazate Hotel Transfer - Mohammed V International Airport</t>
  </si>
  <si>
    <t>Ouarzazate Airport - Essaouira Mogador Airport</t>
  </si>
  <si>
    <t>Ouarzazate Hotel Transfer - Essaouira Mogador Airport</t>
  </si>
  <si>
    <t>Ouarzazate Airport - Fes Airport</t>
  </si>
  <si>
    <t>Ouarzazate Hotel Transfer - Fes Airport</t>
  </si>
  <si>
    <t>Ouarzazate Hotel Transfer - Marrakesh Menara Airport</t>
  </si>
  <si>
    <t>Ouirgane Hotel Transfer - Agadir Al Massira International Airport</t>
  </si>
  <si>
    <t>Ouirgane Hotel Transfer - Fes Airport</t>
  </si>
  <si>
    <t>Ouirgane Hotel Transfer - Marrakesh Menara Airport</t>
  </si>
  <si>
    <t>Oujda Angads Airport - El Hoceima Hotel Transfer</t>
  </si>
  <si>
    <t>Oujda Angads Airport - Berkane Hotel Transfer</t>
  </si>
  <si>
    <t>Oujda Hotel Transfer - Mohammed V International Airport</t>
  </si>
  <si>
    <t>Oujda Angads Airport - Fes Hotel Transfer</t>
  </si>
  <si>
    <t>Oujda Hotel Transfer - Fes Airport</t>
  </si>
  <si>
    <t>Oujda Angads Airport - Nador Hotel Transfer</t>
  </si>
  <si>
    <t>Oujda Angads Airport - Oujda Hotel Transfer</t>
  </si>
  <si>
    <t>Oujda Hotel Transfer - Oujda Angads Airport</t>
  </si>
  <si>
    <t>Morocco, Saidia</t>
  </si>
  <si>
    <t>Oujda Angads Airport - Saidia Hotel Transfer</t>
  </si>
  <si>
    <t>Spain, Melilla</t>
  </si>
  <si>
    <t>Oujda Angads Airport - Melilla Hotel Transfer</t>
  </si>
  <si>
    <t>Oukaïmeden Hotel Transfer - Marrakesh Menara Airport</t>
  </si>
  <si>
    <t>Ourika Hotel Transfer - Marrakesh Menara Airport</t>
  </si>
  <si>
    <t>Ouzoud Falls - Mohammed V International Airport</t>
  </si>
  <si>
    <t>Rabat Hotel Transfer - Agadir Al Massira International Airport</t>
  </si>
  <si>
    <t>Rabat Sale Airport - Agadir Hotel Transfer</t>
  </si>
  <si>
    <t>Rabat Sale Airport - Bouznika Hotel Transfer</t>
  </si>
  <si>
    <t>Rabat Hotel Transfer - Mohammed V International Airport</t>
  </si>
  <si>
    <t>Rabat Sale Airport - Casablanca Hotel Transfer</t>
  </si>
  <si>
    <t>Rabat Sale Airport - Chefchaouen Hotel Transfer</t>
  </si>
  <si>
    <t>Rabat Hotel Transfer - Fes Airport</t>
  </si>
  <si>
    <t>Rabat Sale Airport - Fes Airport</t>
  </si>
  <si>
    <t>Rabat Sale Airport - Fes Hotel Transfer</t>
  </si>
  <si>
    <t>Rabat Sale Airport - Ifran Hotel Transfer</t>
  </si>
  <si>
    <t>Rabat Sale Airport - Kenitra Hotel Transfer</t>
  </si>
  <si>
    <t>Agdal Rabat Hotel Transfer - Marrakesh Menara Airport</t>
  </si>
  <si>
    <t>Rabat Hotel Transfer - Marrakesh Menara Airport</t>
  </si>
  <si>
    <t>Rabat Sale Airport - Marrakech Medina Transfer</t>
  </si>
  <si>
    <t>Rabat Sale Airport - Marrakesh Hotel Transfer</t>
  </si>
  <si>
    <t>Rabat Sale Airport - Meknes Hotel Transfer</t>
  </si>
  <si>
    <t>Rabat Sale Airport - Mohammedia Hotel Transfer</t>
  </si>
  <si>
    <t>Rabat Sale Airport - Nador Hotel Transfer</t>
  </si>
  <si>
    <t>Rabat Hotel Transfer - Rabat Sale Airport</t>
  </si>
  <si>
    <t>Rabat Sale Airport - Rabat Hotel Transfer</t>
  </si>
  <si>
    <t>Rabat Sale Airport - Safi Hotel Transfer</t>
  </si>
  <si>
    <t>Rabat Sale Airport - Sale Hotel Transfer</t>
  </si>
  <si>
    <t>Rabat Sale Airport - Skhirat Plage Hotel Transfer</t>
  </si>
  <si>
    <t>Rabat Hotel Transfer - Tanger Ibn Battouta Airport</t>
  </si>
  <si>
    <t>Rabat Sale Airport - Tangier Hotel Transfer</t>
  </si>
  <si>
    <t>Rabat Sale Airport - Temara Hotel Transfer</t>
  </si>
  <si>
    <t>Rabat Sale Airport - Tetouan Hotel Transfer</t>
  </si>
  <si>
    <t>Safi Hotel Transfer - Mohammed V International Airport</t>
  </si>
  <si>
    <t>Safi Hotel Transfer - Essaouira Mogador Airport</t>
  </si>
  <si>
    <t>Safi Hotel Transfer - Fes Airport</t>
  </si>
  <si>
    <t>Safi Hotel Transfer - Rabat Sale Airport</t>
  </si>
  <si>
    <t>Saidia Hotel Transfer - Oujda Angads Airport</t>
  </si>
  <si>
    <t>Sale Hotel Transfer - Mohammed V International Airport</t>
  </si>
  <si>
    <t>Sale Hotel Transfer - Fes Airport</t>
  </si>
  <si>
    <t>Sale Hotel Transfer - Rabat Sale Airport</t>
  </si>
  <si>
    <t>Settat Hotel Transfer - Mohammed V International Airport</t>
  </si>
  <si>
    <t>Sidi Abdallah Ghiat Hotel Transfer - Marrakesh Menara Airport</t>
  </si>
  <si>
    <t>Sidi Bouzguia Hotel Transfer - Marrakesh Menara Airport</t>
  </si>
  <si>
    <t>Sidi Ifni Hotel Transfer - Agadir Al Massira International Airport</t>
  </si>
  <si>
    <t>Sidi Kaouki Hotel Transfer - Agadir Al Massira International Airport</t>
  </si>
  <si>
    <t>Sidi Kaouki Hotel Transfer - Essaouira Mogador Airport</t>
  </si>
  <si>
    <t>Sidi Kaouki Hotel Transfer - Fes Airport</t>
  </si>
  <si>
    <t>Sidi Kaouki Hotel Transfer - Marrakesh Menara Airport</t>
  </si>
  <si>
    <t>Sidi Slimane Hotel Transfer - Mohammed V International Airport</t>
  </si>
  <si>
    <t>Skhirat Plage Hotel Transfer - Mohammed V International Airport</t>
  </si>
  <si>
    <t>Skhirat Plage Hotel Transfer - Marrakesh Menara Airport</t>
  </si>
  <si>
    <t>Skhirat Plage Hotel Transfer - Rabat Sale Airport</t>
  </si>
  <si>
    <t>Skoura Hotel Transfer - Marrakesh Menara Airport</t>
  </si>
  <si>
    <t>Souk Elarbaa Hotel Transfer - Mohammed V International Airport</t>
  </si>
  <si>
    <t>Srayeri Hotel Transfer - Marrakesh Menara Airport</t>
  </si>
  <si>
    <t>Setti Fadma Hotel Transfer - Agadir Al Massira International Airport</t>
  </si>
  <si>
    <t>Setti Fadma Hotel Transfer - Mohammed V International Airport</t>
  </si>
  <si>
    <t>Setti Fadma Hotel Transfer - Fes Airport</t>
  </si>
  <si>
    <t>Setti Fadma Hotel Transfer - Marrakesh Menara Airport</t>
  </si>
  <si>
    <t>Tafraoute Hotel Transfer - Agadir Al Massira International Airport</t>
  </si>
  <si>
    <t>Taghazout Hotel Transfer - Agadir Al Massira International Airport</t>
  </si>
  <si>
    <t>Taghazout Hotel Transfer - Essaouira Mogador Airport</t>
  </si>
  <si>
    <t>Taghazout Hotel Transfer - Fes Airport</t>
  </si>
  <si>
    <t>Taghazout Hotel Transfer - Marrakesh Menara Airport</t>
  </si>
  <si>
    <t>Tahannaout Hotel Transfer - Marrakesh Menara Airport</t>
  </si>
  <si>
    <t>Tamraght Hotel Transfer - Agadir Al Massira International Airport</t>
  </si>
  <si>
    <t>Tamraght Hotel Transfer - Essaouira Mogador Airport</t>
  </si>
  <si>
    <t>Tamraght Hotel Transfer - Fes Airport</t>
  </si>
  <si>
    <t>Paradis Plage - Agadir Al Massira International Airport</t>
  </si>
  <si>
    <t>Paradis Plage - Essaouira Mogador Airport</t>
  </si>
  <si>
    <t>Paradis Plage - Fes Airport</t>
  </si>
  <si>
    <t>Immouzzer Hotel Transfer - Agadir Al Massira International Airport</t>
  </si>
  <si>
    <t>Tanger Ibn Battouta Airport - Asilah Hotel Transfer</t>
  </si>
  <si>
    <t>Tanger Ibn Battouta Airport - Hotel Asilah</t>
  </si>
  <si>
    <t>Tangier Hotel Transfer - Mohammed V International Airport</t>
  </si>
  <si>
    <t>Tanger Ibn Battouta Airport - Chefchaouen Hotel Transfer</t>
  </si>
  <si>
    <t>Immouzzer Hotel Transfer - Essaouira Mogador Airport</t>
  </si>
  <si>
    <t>Immouzzer Hotel Transfer - Fes Airport</t>
  </si>
  <si>
    <t>Tanger Ibn Battouta Airport - Fes Hotel Transfer</t>
  </si>
  <si>
    <t>Tangier Hotel Transfer - Fes Airport</t>
  </si>
  <si>
    <t>Tanger Ibn Battouta Airport - Marina Smir Hotel Transfer</t>
  </si>
  <si>
    <t>Immouzzer Hotel Transfer - Marrakesh Menara Airport</t>
  </si>
  <si>
    <t>Tangier Hotel Transfer - Marrakesh Menara Airport</t>
  </si>
  <si>
    <t>Tanger Ibn Battouta Airport - Nador Hotel Transfer</t>
  </si>
  <si>
    <t>Tanger Ibn Battouta Airport - Rabat Hotel Transfer</t>
  </si>
  <si>
    <t>Tangier Hotel Transfer - Rabat Sale Airport</t>
  </si>
  <si>
    <t>Tanger Ibn Battouta Airport - Tangier Hotel Transfer</t>
  </si>
  <si>
    <t>Tangier Hotel Transfer - Tanger Ibn Battouta Airport</t>
  </si>
  <si>
    <t>Tanger Ibn Battouta Airport - Tetuan Hotel Transfer</t>
  </si>
  <si>
    <t>Taroudant Hotel Transfer - Agadir Al Massira International Airport</t>
  </si>
  <si>
    <t>Temara Hotel Transfer - Mohammed V International Airport</t>
  </si>
  <si>
    <t>Temara Hotel Transfer - Rabat Sale Airport</t>
  </si>
  <si>
    <t>Tetouan Hotel Transfer - Marrakesh Menara Airport</t>
  </si>
  <si>
    <t>Tetouan Hotel Transfer - Rabat Sale Airport</t>
  </si>
  <si>
    <t>Tetuan Hotel Transfer - Tanger Ibn Battouta Airport</t>
  </si>
  <si>
    <t>Tiguert Hotel Transfer - Agadir Al Massira International Airport</t>
  </si>
  <si>
    <t>Zagora Hotel Transfer - Marrakesh Menara Airport</t>
  </si>
  <si>
    <t>New Zealand, Akaroa</t>
  </si>
  <si>
    <t>New Zealand, Christchurch</t>
  </si>
  <si>
    <t>Akaroa - Christchurch</t>
  </si>
  <si>
    <t>New Zealand, Auckland</t>
  </si>
  <si>
    <t>New Zealand, Rotoroa Island</t>
  </si>
  <si>
    <t>Viaduct Harbour - Rotoroa Island Wharf</t>
  </si>
  <si>
    <t>New Zealand, Waiheke Island</t>
  </si>
  <si>
    <t>Viaduct Harbour - Kennedy Point Ferry Terminal</t>
  </si>
  <si>
    <t>Viaduct Harbour - Man O War Vineyards</t>
  </si>
  <si>
    <t>New Zealand, Lower Hutt</t>
  </si>
  <si>
    <t>New Zealand, Wellington</t>
  </si>
  <si>
    <t>Days Bay - Queens Wharf</t>
  </si>
  <si>
    <t>Rotoroa Island Wharf - Viaduct Harbour</t>
  </si>
  <si>
    <t>New Zealand, Tiritiri Matangi</t>
  </si>
  <si>
    <t>Tiritiri Matangi Island Wharf - Viaduct Harbour</t>
  </si>
  <si>
    <t>New Zealand, Whangaparaoa</t>
  </si>
  <si>
    <t>Tiritiri Matangi Island Wharf - Gulf Harbour</t>
  </si>
  <si>
    <t>Kennedy Point Ferry Terminal - Viaduct Harbour</t>
  </si>
  <si>
    <t>Man O War Vineyards - Viaduct Harbour</t>
  </si>
  <si>
    <t>Queens Wharf - Days Bay</t>
  </si>
  <si>
    <t>Panama, Panama City</t>
  </si>
  <si>
    <t>Panama, San Blas Islands</t>
  </si>
  <si>
    <t>Panama City Any Hotel - Puerto Dibbin San Blas</t>
  </si>
  <si>
    <t>ferry | Taxi + Ferry + Taxi</t>
  </si>
  <si>
    <t>Peru, Arequipa</t>
  </si>
  <si>
    <t>Arequipa Airport - Arequipa Transfer</t>
  </si>
  <si>
    <t>charter | Minivan 5pax</t>
  </si>
  <si>
    <t>charter | Sedan</t>
  </si>
  <si>
    <t>charter | SUV 5pax</t>
  </si>
  <si>
    <t>Peru, Cusco</t>
  </si>
  <si>
    <t>Cusco Airport - Cusco Transfer</t>
  </si>
  <si>
    <t>Peru, Lima Peru</t>
  </si>
  <si>
    <t>Lima Airport - Lima Transfer</t>
  </si>
  <si>
    <t>Philippines, Coron</t>
  </si>
  <si>
    <t>Philippines, El Nido</t>
  </si>
  <si>
    <t>Coron Port - El Nido Ferry Terminal</t>
  </si>
  <si>
    <t>Philippines, Manila</t>
  </si>
  <si>
    <t>Coron Port - Baseco Port</t>
  </si>
  <si>
    <t>ferry | Economy</t>
  </si>
  <si>
    <t>ferry | Premium</t>
  </si>
  <si>
    <t>ferry | Shared Cabin for 4</t>
  </si>
  <si>
    <t>ferry | Tourist Class</t>
  </si>
  <si>
    <t>El Nido Ferry Terminal - Coron Port</t>
  </si>
  <si>
    <t>El Nido Ferry Terminal - Baseco Port</t>
  </si>
  <si>
    <t>Philippines, Luneta Park</t>
  </si>
  <si>
    <t>Philippines, Sagada</t>
  </si>
  <si>
    <t>Luneta Park - Sagada</t>
  </si>
  <si>
    <t>Baseco Port - Coron Port</t>
  </si>
  <si>
    <t>Baseco Port - El Nido Ferry Terminal</t>
  </si>
  <si>
    <t>Philippines, Misamis Occidental</t>
  </si>
  <si>
    <t>Philippines, Panglao</t>
  </si>
  <si>
    <t>Misamis Occidental - Panglao</t>
  </si>
  <si>
    <t>Philippines, Baclaran</t>
  </si>
  <si>
    <t>Sagada - Baclaran</t>
  </si>
  <si>
    <t>Singapore Hotel Transfer - Johor Bahru</t>
  </si>
  <si>
    <t>Singapore Hotel Transfer - Kuala Lumpur Hotel Transfer</t>
  </si>
  <si>
    <t>Jurong East Bus Mrt Interchange - Tbs Kuala Lumpur</t>
  </si>
  <si>
    <t>Kovan Hub 206 - Tbs Kuala Lumpur</t>
  </si>
  <si>
    <t>Busan - Hakata</t>
  </si>
  <si>
    <t>South Korea, Incheon</t>
  </si>
  <si>
    <t>Incheon Airport - Incheon Transfer</t>
  </si>
  <si>
    <t>Incheon Transfer - Incheon Airport</t>
  </si>
  <si>
    <t>South Korea, Seoul</t>
  </si>
  <si>
    <t>Incheon Transfer - Gimpo Airport</t>
  </si>
  <si>
    <t>Gimpo Airport - Incheon Transfer</t>
  </si>
  <si>
    <t>Melilla Hotel Transfer - Oujda Angads Airport</t>
  </si>
  <si>
    <t>Sri Lanka, Adams Peak</t>
  </si>
  <si>
    <t>Sri Lanka, Ahangama</t>
  </si>
  <si>
    <t>Adams Peak - Ahangama</t>
  </si>
  <si>
    <t>Sri Lanka, Ahungalla</t>
  </si>
  <si>
    <t>Adams Peak - Ahungalla</t>
  </si>
  <si>
    <t>Sri Lanka, Aluthgama</t>
  </si>
  <si>
    <t>Adams Peak - Aluthgama</t>
  </si>
  <si>
    <t>Sri Lanka, Ambalangoda</t>
  </si>
  <si>
    <t>Adams Peak - Ambalangoda</t>
  </si>
  <si>
    <t>Sri Lanka, Ambalantota</t>
  </si>
  <si>
    <t>Adams Peak - Ambalantota</t>
  </si>
  <si>
    <t>Sri Lanka, Anuradhapura</t>
  </si>
  <si>
    <t>Adams Peak - Anuradhapura</t>
  </si>
  <si>
    <t>Sri Lanka, Arugam Bay</t>
  </si>
  <si>
    <t>Adams Peak - Arugam bay</t>
  </si>
  <si>
    <t>Sri Lanka, Balapitiya</t>
  </si>
  <si>
    <t>Adams Peak - balapitiya</t>
  </si>
  <si>
    <t>Sri Lanka, Batticaloa</t>
  </si>
  <si>
    <t>Adams Peak - Batticaloa</t>
  </si>
  <si>
    <t>Sri Lanka, Bentota</t>
  </si>
  <si>
    <t>Adams Peak - Bentota</t>
  </si>
  <si>
    <t>Sri Lanka, Beruwala</t>
  </si>
  <si>
    <t>Adams Peak - Beruwala</t>
  </si>
  <si>
    <t>Sri Lanka, Bundala</t>
  </si>
  <si>
    <t>Adams Peak - Bundala</t>
  </si>
  <si>
    <t>Sri Lanka, Colombo</t>
  </si>
  <si>
    <t>Adams Peak - Bambalapitiya</t>
  </si>
  <si>
    <t>Sri Lanka, Colombo Airport</t>
  </si>
  <si>
    <t>Adams Peak - Bandaranaike Airport</t>
  </si>
  <si>
    <t>Sri Lanka, Dambulla</t>
  </si>
  <si>
    <t>Adams Peak - Dambulla</t>
  </si>
  <si>
    <t>Sri Lanka, Deniyaya</t>
  </si>
  <si>
    <t>Adams Peak - Deniyaya</t>
  </si>
  <si>
    <t>Sri Lanka, Dikwella</t>
  </si>
  <si>
    <t>Adams Peak - Dickwella</t>
  </si>
  <si>
    <t>Adams Peak - Hiriketiya beach</t>
  </si>
  <si>
    <t>Sri Lanka, Galle</t>
  </si>
  <si>
    <t>Adams Peak - Galle</t>
  </si>
  <si>
    <t>Adams Peak - Talpe</t>
  </si>
  <si>
    <t>Sri Lanka, Habarana</t>
  </si>
  <si>
    <t>Adams Peak - Habarana</t>
  </si>
  <si>
    <t>Sri Lanka, Hambantota</t>
  </si>
  <si>
    <t>Adams Peak - Ella</t>
  </si>
  <si>
    <t>Sri Lanka, Haputale</t>
  </si>
  <si>
    <t>Adams Peak - Beragala</t>
  </si>
  <si>
    <t>Sri Lanka, Hatton</t>
  </si>
  <si>
    <t>Adams Peak - Dick oya</t>
  </si>
  <si>
    <t>Sri Lanka, Hikkaduwa</t>
  </si>
  <si>
    <t>Adams Peak - Dodanduwa</t>
  </si>
  <si>
    <t>Sri Lanka, Induruwa</t>
  </si>
  <si>
    <t>Adams Peak - Induruwa</t>
  </si>
  <si>
    <t>Sri Lanka, Jaffna</t>
  </si>
  <si>
    <t>Adams Peak - Jaffna</t>
  </si>
  <si>
    <t>Sri Lanka, Kalutara</t>
  </si>
  <si>
    <t>Adams Peak - Kalapuwa</t>
  </si>
  <si>
    <t>Sri Lanka, Kandy</t>
  </si>
  <si>
    <t>Adams Peak - Ampitiya</t>
  </si>
  <si>
    <t>Adams Peak - Digana</t>
  </si>
  <si>
    <t>Sri Lanka, Kataragama</t>
  </si>
  <si>
    <t>Adams Peak - Kataragama</t>
  </si>
  <si>
    <t>Sri Lanka, Katunayake</t>
  </si>
  <si>
    <t>Adams Peak - Alawathupitiya</t>
  </si>
  <si>
    <t>Sri Lanka, Kegalle</t>
  </si>
  <si>
    <t>Adams Peak - Pinnawala</t>
  </si>
  <si>
    <t>Sri Lanka, Kitulgala</t>
  </si>
  <si>
    <t>Adams Peak - Kitulgala</t>
  </si>
  <si>
    <t>Sri Lanka, Koggala</t>
  </si>
  <si>
    <t>Adams Peak - Habaraduwa</t>
  </si>
  <si>
    <t>Sri Lanka, Kosgoda</t>
  </si>
  <si>
    <t>Adams Peak - Kosgoda</t>
  </si>
  <si>
    <t>Sri Lanka, Kuchchaveli</t>
  </si>
  <si>
    <t>Adams Peak - Kuchchaveli</t>
  </si>
  <si>
    <t>Sri Lanka, Mannar</t>
  </si>
  <si>
    <t>Adams Peak - Mannar</t>
  </si>
  <si>
    <t>Sri Lanka, Matale</t>
  </si>
  <si>
    <t>Adams Peak - Kinigama</t>
  </si>
  <si>
    <t>Sri Lanka, Matara</t>
  </si>
  <si>
    <t>Adams Peak - Kalamatiya</t>
  </si>
  <si>
    <t>Sri Lanka, Mirissa</t>
  </si>
  <si>
    <t>Adams Peak - mirissa</t>
  </si>
  <si>
    <t>Sri Lanka, Nanu Oya</t>
  </si>
  <si>
    <t>Adams Peak - Nanu Oya</t>
  </si>
  <si>
    <t>Sri Lanka, Negombo</t>
  </si>
  <si>
    <t>Adams Peak - Dalupotha</t>
  </si>
  <si>
    <t>Adams Peak - Waikkal</t>
  </si>
  <si>
    <t>Sri Lanka, Nilaveli</t>
  </si>
  <si>
    <t>Adams Peak - Nilaveli</t>
  </si>
  <si>
    <t>Sri Lanka, Nuwara Eliya</t>
  </si>
  <si>
    <t>Adams Peak - Kotmale</t>
  </si>
  <si>
    <t>Sri Lanka, Pasikudah</t>
  </si>
  <si>
    <t>Adams Peak - Pasikuda</t>
  </si>
  <si>
    <t>Sri Lanka, Polonnaruwa</t>
  </si>
  <si>
    <t>Adams Peak - Galoya</t>
  </si>
  <si>
    <t>Sri Lanka, Puttalam</t>
  </si>
  <si>
    <t>Adams Peak - Kalpitiya</t>
  </si>
  <si>
    <t>Adams Peak - Marawila</t>
  </si>
  <si>
    <t>Sri Lanka, Ratnapura</t>
  </si>
  <si>
    <t>Adams Peak - Kiriella</t>
  </si>
  <si>
    <t>Sri Lanka, Sigiriya</t>
  </si>
  <si>
    <t>Adams Peak - Pidurangala</t>
  </si>
  <si>
    <t>Sri Lanka, Tangalle</t>
  </si>
  <si>
    <t>Adams Peak - Rekawa</t>
  </si>
  <si>
    <t>Sri Lanka, Tissamaharama</t>
  </si>
  <si>
    <t>Adams Peak - Tissamaharama</t>
  </si>
  <si>
    <t>Adams Peak - Yala Park</t>
  </si>
  <si>
    <t>Sri Lanka, Trincomalee</t>
  </si>
  <si>
    <t>Adams Peak - Nilaweli</t>
  </si>
  <si>
    <t>Sri Lanka, Udawalawe Safari Park</t>
  </si>
  <si>
    <t>Adams Peak - Udawalawa</t>
  </si>
  <si>
    <t>Sri Lanka, Unawatuna</t>
  </si>
  <si>
    <t>Adams Peak - Unawatuna</t>
  </si>
  <si>
    <t>Sri Lanka, Veyangoda</t>
  </si>
  <si>
    <t>Adams Peak - Attanagalla</t>
  </si>
  <si>
    <t>Sri Lanka, Wadduwa</t>
  </si>
  <si>
    <t>Adams Peak - Moronthuduwa</t>
  </si>
  <si>
    <t>Adams Peak - Waskaduwa</t>
  </si>
  <si>
    <t>Sri Lanka, Weddagala</t>
  </si>
  <si>
    <t>Adams Peak - Weddagala</t>
  </si>
  <si>
    <t>Sri Lanka, Weerawila</t>
  </si>
  <si>
    <t>Adams Peak - Weligatta</t>
  </si>
  <si>
    <t>Sri Lanka, Weligama</t>
  </si>
  <si>
    <t>Adams Peak - Akuressa</t>
  </si>
  <si>
    <t>Sri Lanka, Wilpattu National Park</t>
  </si>
  <si>
    <t>Adams Peak - Wilpattu</t>
  </si>
  <si>
    <t>Ahangama - Adams Peak</t>
  </si>
  <si>
    <t>Ahangama - Ahungalla</t>
  </si>
  <si>
    <t>Ahangama - Aluthgama</t>
  </si>
  <si>
    <t>Ahangama - Ambalangoda</t>
  </si>
  <si>
    <t>Ahangama - Ambalantota</t>
  </si>
  <si>
    <t>Ahangama - Anuradhapura</t>
  </si>
  <si>
    <t>Ahangama - Arugam bay</t>
  </si>
  <si>
    <t>Ahangama - balapitiya</t>
  </si>
  <si>
    <t>Ahangama - Batticaloa</t>
  </si>
  <si>
    <t>Ahangama - Bentota</t>
  </si>
  <si>
    <t>Ahangama - Beruwala</t>
  </si>
  <si>
    <t>Ahangama - Bundala</t>
  </si>
  <si>
    <t>Ahangama - Bandaranaike Airport</t>
  </si>
  <si>
    <t>Ahangama - Deniyaya</t>
  </si>
  <si>
    <t>Ahangama - Dickwella</t>
  </si>
  <si>
    <t>Ahangama - Hiriketiya beach</t>
  </si>
  <si>
    <t>Ahangama - Galle</t>
  </si>
  <si>
    <t>Ahangama - Talpe</t>
  </si>
  <si>
    <t>Ahangama - Habarana</t>
  </si>
  <si>
    <t>Ahangama - Ella</t>
  </si>
  <si>
    <t>Ahangama - Beragala</t>
  </si>
  <si>
    <t>Ahangama - Dick oya</t>
  </si>
  <si>
    <t>Ahangama - Dodanduwa</t>
  </si>
  <si>
    <t>Ahangama - Induruwa</t>
  </si>
  <si>
    <t>Ahangama - Jaffna</t>
  </si>
  <si>
    <t>Ahangama - Kalapuwa</t>
  </si>
  <si>
    <t>Ahangama - Digana</t>
  </si>
  <si>
    <t>Ahangama - Kataragama</t>
  </si>
  <si>
    <t>Ahangama - Alawathupitiya</t>
  </si>
  <si>
    <t>Ahangama - Pinnawala</t>
  </si>
  <si>
    <t>Ahangama - Kitulgala</t>
  </si>
  <si>
    <t>Ahangama - Habaraduwa</t>
  </si>
  <si>
    <t>Ahangama - Kosgoda</t>
  </si>
  <si>
    <t>Ahangama - Kuchchaveli</t>
  </si>
  <si>
    <t>Ahangama - Mannar</t>
  </si>
  <si>
    <t>Ahangama - Kinigama</t>
  </si>
  <si>
    <t>Ahangama - Kalamatiya</t>
  </si>
  <si>
    <t>Ahangama - Matara</t>
  </si>
  <si>
    <t>train | Unreserved 2nd Class</t>
  </si>
  <si>
    <t>train | Unreserved 3rd Class</t>
  </si>
  <si>
    <t>Ahangama - mirissa</t>
  </si>
  <si>
    <t>Ahangama - Mirissa</t>
  </si>
  <si>
    <t>Ahangama - Nanu Oya</t>
  </si>
  <si>
    <t>Ahangama - Waikkal</t>
  </si>
  <si>
    <t>Ahangama - Nilaveli</t>
  </si>
  <si>
    <t>Ahangama - Pasikuda</t>
  </si>
  <si>
    <t>Ahangama - Galoya</t>
  </si>
  <si>
    <t>Ahangama - Kalpitiya</t>
  </si>
  <si>
    <t>Ahangama - Marawila</t>
  </si>
  <si>
    <t>Ahangama - Kiriella</t>
  </si>
  <si>
    <t>Ahangama - Rekawa</t>
  </si>
  <si>
    <t>Ahangama - Tissamaharama</t>
  </si>
  <si>
    <t>Ahangama - Yala Park</t>
  </si>
  <si>
    <t>Ahangama - Nilaweli</t>
  </si>
  <si>
    <t>Ahangama - Udawalawa</t>
  </si>
  <si>
    <t>Ahangama - Unawatuna</t>
  </si>
  <si>
    <t>Ahangama - Attanagalla</t>
  </si>
  <si>
    <t>Ahangama - Moronthuduwa</t>
  </si>
  <si>
    <t>Ahangama - Waskaduwa</t>
  </si>
  <si>
    <t>Ahangama - Weddagala</t>
  </si>
  <si>
    <t>Ahangama - Weligatta</t>
  </si>
  <si>
    <t>Ahangama - Akuressa</t>
  </si>
  <si>
    <t>Ahangama - Weligama</t>
  </si>
  <si>
    <t>Ahangama - Wilpattu</t>
  </si>
  <si>
    <t>Ahungalla - Adams Peak</t>
  </si>
  <si>
    <t>Ahungalla - Ahangama</t>
  </si>
  <si>
    <t>Ahungalla - Aluthgama</t>
  </si>
  <si>
    <t>Ahungalla - Ambalangoda</t>
  </si>
  <si>
    <t>Ahungalla - Ambalantota</t>
  </si>
  <si>
    <t>Ahungalla - Anuradhapura</t>
  </si>
  <si>
    <t>Ahungalla - Arugam bay</t>
  </si>
  <si>
    <t>Ahungalla - balapitiya</t>
  </si>
  <si>
    <t>Ahungalla - Batticaloa</t>
  </si>
  <si>
    <t>Ahungalla - Bentota</t>
  </si>
  <si>
    <t>Ahungalla - Beruwala</t>
  </si>
  <si>
    <t>Ahungalla - Bundala</t>
  </si>
  <si>
    <t>Ahungalla - Bandaranaike Airport</t>
  </si>
  <si>
    <t>Ahungalla - Deniyaya</t>
  </si>
  <si>
    <t>Ahungalla - Dickwella</t>
  </si>
  <si>
    <t>Ahungalla - Hiriketiya beach</t>
  </si>
  <si>
    <t>Ahungalla - Galle</t>
  </si>
  <si>
    <t>Ahungalla - Talpe</t>
  </si>
  <si>
    <t>Ahungalla - Habarana</t>
  </si>
  <si>
    <t>Ahungalla - Ella</t>
  </si>
  <si>
    <t>Ahungalla - Beragala</t>
  </si>
  <si>
    <t>Ahungalla - Dick oya</t>
  </si>
  <si>
    <t>Ahungalla - Dodanduwa</t>
  </si>
  <si>
    <t>Ahungalla - Induruwa</t>
  </si>
  <si>
    <t>Ahungalla - Jaffna</t>
  </si>
  <si>
    <t>Ahungalla - Kalapuwa</t>
  </si>
  <si>
    <t>Ahungalla - Digana</t>
  </si>
  <si>
    <t>Ahungalla - Kataragama</t>
  </si>
  <si>
    <t>Ahungalla - Alawathupitiya</t>
  </si>
  <si>
    <t>Ahungalla - Pinnawala</t>
  </si>
  <si>
    <t>Ahungalla - Kitulgala</t>
  </si>
  <si>
    <t>Ahungalla - Habaraduwa</t>
  </si>
  <si>
    <t>Ahungalla - Kosgoda</t>
  </si>
  <si>
    <t>Ahungalla - Kuchchaveli</t>
  </si>
  <si>
    <t>Ahungalla - Mannar</t>
  </si>
  <si>
    <t>Ahungalla - Kinigama</t>
  </si>
  <si>
    <t>Ahungalla - Kalamatiya</t>
  </si>
  <si>
    <t>Ahungalla - mirissa</t>
  </si>
  <si>
    <t>Ahungalla - Nanu Oya</t>
  </si>
  <si>
    <t>Ahungalla - Waikkal</t>
  </si>
  <si>
    <t>Ahungalla - Nilaveli</t>
  </si>
  <si>
    <t>Ahungalla - Pasikuda</t>
  </si>
  <si>
    <t>Ahungalla - Galoya</t>
  </si>
  <si>
    <t>Ahungalla - Kalpitiya</t>
  </si>
  <si>
    <t>Ahungalla - Marawila</t>
  </si>
  <si>
    <t>Ahungalla - Kiriella</t>
  </si>
  <si>
    <t>Ahungalla - Rekawa</t>
  </si>
  <si>
    <t>Ahungalla - Tissamaharama</t>
  </si>
  <si>
    <t>Ahungalla - Yala Park</t>
  </si>
  <si>
    <t>Ahungalla - Nilaweli</t>
  </si>
  <si>
    <t>Ahungalla - Udawalawa</t>
  </si>
  <si>
    <t>Ahungalla - Unawatuna</t>
  </si>
  <si>
    <t>Ahungalla - Attanagalla</t>
  </si>
  <si>
    <t>Ahungalla - Moronthuduwa</t>
  </si>
  <si>
    <t>Ahungalla - Waskaduwa</t>
  </si>
  <si>
    <t>Ahungalla - Weddagala</t>
  </si>
  <si>
    <t>Ahungalla - Weligatta</t>
  </si>
  <si>
    <t>Ahungalla - Akuressa</t>
  </si>
  <si>
    <t>Ahungalla - Wilpattu</t>
  </si>
  <si>
    <t>Aluthgama - Adams Peak</t>
  </si>
  <si>
    <t>Aluthgama - Ahangama</t>
  </si>
  <si>
    <t>Aluthgama - Ahungalla</t>
  </si>
  <si>
    <t>Aluthgama - Ambalangoda</t>
  </si>
  <si>
    <t>Aluthgama - Ambalantota</t>
  </si>
  <si>
    <t>Aluthgama - Anuradhapura</t>
  </si>
  <si>
    <t>Aluthgama - Arugam bay</t>
  </si>
  <si>
    <t>Aluthgama - balapitiya</t>
  </si>
  <si>
    <t>Aluthgama - Batticaloa</t>
  </si>
  <si>
    <t>Aluthgama - Bentota</t>
  </si>
  <si>
    <t>Aluthgama - Beruwala</t>
  </si>
  <si>
    <t>Aluthgama - Bundala</t>
  </si>
  <si>
    <t>Aluthgama - Bandaranaike Airport</t>
  </si>
  <si>
    <t>Aluthgama - Deniyaya</t>
  </si>
  <si>
    <t>Aluthgama - Dickwella</t>
  </si>
  <si>
    <t>Aluthgama - Hiriketiya beach</t>
  </si>
  <si>
    <t>Aluthgama - Galle</t>
  </si>
  <si>
    <t>Aluthgama - Talpe</t>
  </si>
  <si>
    <t>Aluthgama - Habarana</t>
  </si>
  <si>
    <t>Aluthgama - Ella</t>
  </si>
  <si>
    <t>Aluthgama - Beragala</t>
  </si>
  <si>
    <t>Aluthgama - Dick oya</t>
  </si>
  <si>
    <t>Aluthgama - Dodanduwa</t>
  </si>
  <si>
    <t>Aluthgama - Induruwa</t>
  </si>
  <si>
    <t>Aluthgama - Jaffna</t>
  </si>
  <si>
    <t>Aluthgama - Kalapuwa</t>
  </si>
  <si>
    <t>Aluthgama - Digana</t>
  </si>
  <si>
    <t>Aluthgama - Kataragama</t>
  </si>
  <si>
    <t>Aluthgama - Alawathupitiya</t>
  </si>
  <si>
    <t>Aluthgama - Pinnawala</t>
  </si>
  <si>
    <t>Aluthgama - Kitulgala</t>
  </si>
  <si>
    <t>Aluthgama - Habaraduwa</t>
  </si>
  <si>
    <t>Aluthgama - Kosgoda</t>
  </si>
  <si>
    <t>Aluthgama - Kuchchaveli</t>
  </si>
  <si>
    <t>Aluthgama - Mannar</t>
  </si>
  <si>
    <t>Aluthgama - Kinigama</t>
  </si>
  <si>
    <t>Aluthgama - Kalamatiya</t>
  </si>
  <si>
    <t>Aluthgama - Matara</t>
  </si>
  <si>
    <t>Aluthgama - mirissa</t>
  </si>
  <si>
    <t>Sri Lanka, Moratuwa</t>
  </si>
  <si>
    <t>Aluthgama - Moratuwa</t>
  </si>
  <si>
    <t>train | Unreserved 2nd Class Seat</t>
  </si>
  <si>
    <t>Aluthgama - Nanu Oya</t>
  </si>
  <si>
    <t>Aluthgama - Waikkal</t>
  </si>
  <si>
    <t>Aluthgama - Nilaveli</t>
  </si>
  <si>
    <t>Aluthgama - Pasikuda</t>
  </si>
  <si>
    <t>Aluthgama - Galoya</t>
  </si>
  <si>
    <t>Aluthgama - Kalpitiya</t>
  </si>
  <si>
    <t>Aluthgama - Marawila</t>
  </si>
  <si>
    <t>Aluthgama - Kiriella</t>
  </si>
  <si>
    <t>Aluthgama - Rekawa</t>
  </si>
  <si>
    <t>Aluthgama - Tissamaharama</t>
  </si>
  <si>
    <t>Aluthgama - Yala Park</t>
  </si>
  <si>
    <t>Aluthgama - Nilaweli</t>
  </si>
  <si>
    <t>Aluthgama - Udawalawa</t>
  </si>
  <si>
    <t>Aluthgama - Unawatuna</t>
  </si>
  <si>
    <t>Aluthgama - Attanagalla</t>
  </si>
  <si>
    <t>Aluthgama - Moronthuduwa</t>
  </si>
  <si>
    <t>Aluthgama - Waskaduwa</t>
  </si>
  <si>
    <t>Aluthgama - Weddagala</t>
  </si>
  <si>
    <t>Aluthgama - Weligatta</t>
  </si>
  <si>
    <t>Aluthgama - Akuressa</t>
  </si>
  <si>
    <t>Aluthgama - Wilpattu</t>
  </si>
  <si>
    <t>Ambalangoda - Adams Peak</t>
  </si>
  <si>
    <t>Ambalangoda - Ahangama</t>
  </si>
  <si>
    <t>Ambalangoda - Ahungalla</t>
  </si>
  <si>
    <t>Ambalangoda - Aluthgama</t>
  </si>
  <si>
    <t>Ambalangoda - Ambalantota</t>
  </si>
  <si>
    <t>Ambalangoda - Anuradhapura</t>
  </si>
  <si>
    <t>Ambalangoda - Arugam bay</t>
  </si>
  <si>
    <t>Ambalangoda - balapitiya</t>
  </si>
  <si>
    <t>Ambalangoda - Batticaloa</t>
  </si>
  <si>
    <t>Ambalangoda - Bentota</t>
  </si>
  <si>
    <t>Ambalangoda - Beruwala</t>
  </si>
  <si>
    <t>Ambalangoda - Bundala</t>
  </si>
  <si>
    <t>Ambalangoda - Bandaranaike Airport</t>
  </si>
  <si>
    <t>Ambalangoda - Deniyaya</t>
  </si>
  <si>
    <t>Ambalangoda - Dickwella</t>
  </si>
  <si>
    <t>Ambalangoda - Hiriketiya beach</t>
  </si>
  <si>
    <t>Ambalangoda - Galle</t>
  </si>
  <si>
    <t>Ambalangoda - Talpe</t>
  </si>
  <si>
    <t>Ambalangoda - Habarana</t>
  </si>
  <si>
    <t>Ambalangoda - Ella</t>
  </si>
  <si>
    <t>Ambalangoda - Beragala</t>
  </si>
  <si>
    <t>Ambalangoda - Dick oya</t>
  </si>
  <si>
    <t>Ambalangoda - Dodanduwa</t>
  </si>
  <si>
    <t>Ambalangoda - Induruwa</t>
  </si>
  <si>
    <t>Ambalangoda - Jaffna</t>
  </si>
  <si>
    <t>Ambalangoda - Kalapuwa</t>
  </si>
  <si>
    <t>Ambalangoda - Digana</t>
  </si>
  <si>
    <t>Ambalangoda - Kataragama</t>
  </si>
  <si>
    <t>Ambalangoda - Alawathupitiya</t>
  </si>
  <si>
    <t>Ambalangoda - Pinnawala</t>
  </si>
  <si>
    <t>Ambalangoda - Kitulgala</t>
  </si>
  <si>
    <t>Ambalangoda - Habaraduwa</t>
  </si>
  <si>
    <t>Ambalangoda - Kosgoda</t>
  </si>
  <si>
    <t>Ambalangoda - Kuchchaveli</t>
  </si>
  <si>
    <t>Ambalangoda - Mannar</t>
  </si>
  <si>
    <t>Ambalangoda - Kinigama</t>
  </si>
  <si>
    <t>Ambalangoda - Kalamatiya</t>
  </si>
  <si>
    <t>Ambalangoda - Matara</t>
  </si>
  <si>
    <t>Ambalangoda - mirissa</t>
  </si>
  <si>
    <t>Ambalangoda - Moratuwa</t>
  </si>
  <si>
    <t>Ambalangoda - Nanu Oya</t>
  </si>
  <si>
    <t>Ambalangoda - Waikkal</t>
  </si>
  <si>
    <t>Ambalangoda - Nilaveli</t>
  </si>
  <si>
    <t>Ambalangoda - Pasikuda</t>
  </si>
  <si>
    <t>Ambalangoda - Galoya</t>
  </si>
  <si>
    <t>Ambalangoda - Kalpitiya</t>
  </si>
  <si>
    <t>Ambalangoda - Marawila</t>
  </si>
  <si>
    <t>Ambalangoda - Kiriella</t>
  </si>
  <si>
    <t>Ambalangoda - Rekawa</t>
  </si>
  <si>
    <t>Ambalangoda - Tissamaharama</t>
  </si>
  <si>
    <t>Ambalangoda - Yala Park</t>
  </si>
  <si>
    <t>Ambalangoda - Nilaweli</t>
  </si>
  <si>
    <t>Ambalangoda - Udawalawa</t>
  </si>
  <si>
    <t>Ambalangoda - Unawatuna</t>
  </si>
  <si>
    <t>Ambalangoda - Attanagalla</t>
  </si>
  <si>
    <t>Ambalangoda - Moronthuduwa</t>
  </si>
  <si>
    <t>Ambalangoda - Waskaduwa</t>
  </si>
  <si>
    <t>Ambalangoda - Weddagala</t>
  </si>
  <si>
    <t>Ambalangoda - Weligatta</t>
  </si>
  <si>
    <t>Ambalangoda - Akuressa</t>
  </si>
  <si>
    <t>Ambalangoda - Wilpattu</t>
  </si>
  <si>
    <t>Ambalantota - Adams Peak</t>
  </si>
  <si>
    <t>Ambalantota - Ahangama</t>
  </si>
  <si>
    <t>Ambalantota - Ahungalla</t>
  </si>
  <si>
    <t>Ambalantota - Aluthgama</t>
  </si>
  <si>
    <t>Ambalantota - Ambalangoda</t>
  </si>
  <si>
    <t>Ambalantota - Anuradhapura</t>
  </si>
  <si>
    <t>Ambalantota - Arugam bay</t>
  </si>
  <si>
    <t>Ambalantota - balapitiya</t>
  </si>
  <si>
    <t>Ambalantota - Batticaloa</t>
  </si>
  <si>
    <t>Ambalantota - Bentota</t>
  </si>
  <si>
    <t>Ambalantota - Beruwala</t>
  </si>
  <si>
    <t>Ambalantota - Bundala</t>
  </si>
  <si>
    <t>Ambalantota - Bandaranaike Airport</t>
  </si>
  <si>
    <t>Ambalantota - Deniyaya</t>
  </si>
  <si>
    <t>Ambalantota - Dickwella</t>
  </si>
  <si>
    <t>Ambalantota - Hiriketiya beach</t>
  </si>
  <si>
    <t>Ambalantota - Galle</t>
  </si>
  <si>
    <t>Ambalantota - Talpe</t>
  </si>
  <si>
    <t>Ambalantota - Habarana</t>
  </si>
  <si>
    <t>Ambalantota - Ella</t>
  </si>
  <si>
    <t>Ambalantota - Beragala</t>
  </si>
  <si>
    <t>Ambalantota - Dick oya</t>
  </si>
  <si>
    <t>Ambalantota - Dodanduwa</t>
  </si>
  <si>
    <t>Ambalantota - Induruwa</t>
  </si>
  <si>
    <t>Ambalantota - Jaffna</t>
  </si>
  <si>
    <t>Ambalantota - Kalapuwa</t>
  </si>
  <si>
    <t>Ambalantota - Digana</t>
  </si>
  <si>
    <t>Ambalantota - Kataragama</t>
  </si>
  <si>
    <t>Ambalantota - Alawathupitiya</t>
  </si>
  <si>
    <t>Ambalantota - Pinnawala</t>
  </si>
  <si>
    <t>Ambalantota - Kitulgala</t>
  </si>
  <si>
    <t>Ambalantota - Habaraduwa</t>
  </si>
  <si>
    <t>Ambalantota - Kosgoda</t>
  </si>
  <si>
    <t>Ambalantota - Kuchchaveli</t>
  </si>
  <si>
    <t>Ambalantota - Mannar</t>
  </si>
  <si>
    <t>Ambalantota - Kinigama</t>
  </si>
  <si>
    <t>Ambalantota - Kalamatiya</t>
  </si>
  <si>
    <t>Ambalantota - mirissa</t>
  </si>
  <si>
    <t>Ambalantota - Nanu Oya</t>
  </si>
  <si>
    <t>Ambalantota - Waikkal</t>
  </si>
  <si>
    <t>Ambalantota - Nilaveli</t>
  </si>
  <si>
    <t>Ambalantota - Pasikuda</t>
  </si>
  <si>
    <t>Ambalantota - Galoya</t>
  </si>
  <si>
    <t>Ambalantota - Kalpitiya</t>
  </si>
  <si>
    <t>Ambalantota - Marawila</t>
  </si>
  <si>
    <t>Ambalantota - Kiriella</t>
  </si>
  <si>
    <t>Ambalantota - Rekawa</t>
  </si>
  <si>
    <t>Ambalantota - Tissamaharama</t>
  </si>
  <si>
    <t>Ambalantota - Yala Park</t>
  </si>
  <si>
    <t>Ambalantota - Nilaweli</t>
  </si>
  <si>
    <t>Ambalantota - Udawalawa</t>
  </si>
  <si>
    <t>Ambalantota - Unawatuna</t>
  </si>
  <si>
    <t>Ambalantota - Attanagalla</t>
  </si>
  <si>
    <t>Ambalantota - Moronthuduwa</t>
  </si>
  <si>
    <t>Ambalantota - Waskaduwa</t>
  </si>
  <si>
    <t>Ambalantota - Weddagala</t>
  </si>
  <si>
    <t>Ambalantota - Weligatta</t>
  </si>
  <si>
    <t>Ambalantota - Akuressa</t>
  </si>
  <si>
    <t>Ambalantota - Wilpattu</t>
  </si>
  <si>
    <t>Anuradhapura - Adams Peak</t>
  </si>
  <si>
    <t>Anuradhapura - Ahangama</t>
  </si>
  <si>
    <t>Anuradhapura - Ahungalla</t>
  </si>
  <si>
    <t>Anuradhapura - Aluthgama</t>
  </si>
  <si>
    <t>Anuradhapura - Ambalangoda</t>
  </si>
  <si>
    <t>Anuradhapura - Ambalantota</t>
  </si>
  <si>
    <t>Anuradhapura - Arugam bay</t>
  </si>
  <si>
    <t>Anuradhapura - balapitiya</t>
  </si>
  <si>
    <t>Anuradhapura - Batticaloa</t>
  </si>
  <si>
    <t>Anuradhapura - Bentota</t>
  </si>
  <si>
    <t>Anuradhapura - Beruwala</t>
  </si>
  <si>
    <t>Anuradhapura - Bundala</t>
  </si>
  <si>
    <t>Anuradhapura - Bandaranaike Airport</t>
  </si>
  <si>
    <t>Anuradhapura - Deniyaya</t>
  </si>
  <si>
    <t>Anuradhapura - Dickwella</t>
  </si>
  <si>
    <t>Anuradhapura - Hiriketiya beach</t>
  </si>
  <si>
    <t>Anuradhapura - Galle</t>
  </si>
  <si>
    <t>Anuradhapura - Talpe</t>
  </si>
  <si>
    <t>Anuradhapura - Ella</t>
  </si>
  <si>
    <t>Anuradhapura - Beragala</t>
  </si>
  <si>
    <t>Anuradhapura - Dick oya</t>
  </si>
  <si>
    <t>Anuradhapura - Dodanduwa</t>
  </si>
  <si>
    <t>Anuradhapura - Induruwa</t>
  </si>
  <si>
    <t>Anuradhapura - Kalapuwa</t>
  </si>
  <si>
    <t>Anuradhapura - Digana</t>
  </si>
  <si>
    <t>Anuradhapura - Kataragama</t>
  </si>
  <si>
    <t>Anuradhapura - Alawathupitiya</t>
  </si>
  <si>
    <t>Anuradhapura - Pinnawala</t>
  </si>
  <si>
    <t>Anuradhapura - Kitulgala</t>
  </si>
  <si>
    <t>Anuradhapura - Habaraduwa</t>
  </si>
  <si>
    <t>Anuradhapura - Kosgoda</t>
  </si>
  <si>
    <t>Anuradhapura - Kuchchaveli</t>
  </si>
  <si>
    <t>Anuradhapura - Mannar</t>
  </si>
  <si>
    <t>Anuradhapura - Kinigama</t>
  </si>
  <si>
    <t>Anuradhapura - Kalamatiya</t>
  </si>
  <si>
    <t>Anuradhapura - mirissa</t>
  </si>
  <si>
    <t>Anuradhapura - Nanu Oya</t>
  </si>
  <si>
    <t>Anuradhapura - Waikkal</t>
  </si>
  <si>
    <t>Anuradhapura - Nilaveli</t>
  </si>
  <si>
    <t>Anuradhapura - Pasikuda</t>
  </si>
  <si>
    <t>Anuradhapura - Kalpitiya</t>
  </si>
  <si>
    <t>Anuradhapura - Marawila</t>
  </si>
  <si>
    <t>Anuradhapura - Kiriella</t>
  </si>
  <si>
    <t>Anuradhapura - Rekawa</t>
  </si>
  <si>
    <t>Anuradhapura - Tissamaharama</t>
  </si>
  <si>
    <t>Anuradhapura - Yala Park</t>
  </si>
  <si>
    <t>Anuradhapura - Udawalawa</t>
  </si>
  <si>
    <t>Anuradhapura - Unawatuna</t>
  </si>
  <si>
    <t>Anuradhapura - Attanagalla</t>
  </si>
  <si>
    <t>Anuradhapura - Moronthuduwa</t>
  </si>
  <si>
    <t>Anuradhapura - Waskaduwa</t>
  </si>
  <si>
    <t>Anuradhapura - Weddagala</t>
  </si>
  <si>
    <t>Anuradhapura - Weligatta</t>
  </si>
  <si>
    <t>Anuradhapura - Akuressa</t>
  </si>
  <si>
    <t>Anuradhapura - Wilpattu</t>
  </si>
  <si>
    <t>Arugam bay - Adams Peak</t>
  </si>
  <si>
    <t>Arugam bay - Ahangama</t>
  </si>
  <si>
    <t>Arugam bay - Ahungalla</t>
  </si>
  <si>
    <t>Arugam bay - Aluthgama</t>
  </si>
  <si>
    <t>Arugam bay - Ambalangoda</t>
  </si>
  <si>
    <t>Arugam bay - Ambalantota</t>
  </si>
  <si>
    <t>Arugam bay - Anuradhapura</t>
  </si>
  <si>
    <t>Arugam bay - balapitiya</t>
  </si>
  <si>
    <t>Arugam bay - Batticaloa</t>
  </si>
  <si>
    <t>Arugam bay - Bentota</t>
  </si>
  <si>
    <t>Arugam bay - Beruwala</t>
  </si>
  <si>
    <t>Arugam bay - Bundala</t>
  </si>
  <si>
    <t>Arugam bay - Bambalapitiya</t>
  </si>
  <si>
    <t>Arugam bay - Bandaranaike Airport</t>
  </si>
  <si>
    <t>Arugam bay - Dambulla</t>
  </si>
  <si>
    <t>Arugam bay - Deniyaya</t>
  </si>
  <si>
    <t>Arugam bay - Dickwella</t>
  </si>
  <si>
    <t>Arugam bay - Hiriketiya beach</t>
  </si>
  <si>
    <t>Arugam bay - Galle</t>
  </si>
  <si>
    <t>Arugam bay - Talpe</t>
  </si>
  <si>
    <t>Arugam bay - Habarana</t>
  </si>
  <si>
    <t>Arugam bay - Ella</t>
  </si>
  <si>
    <t>Arugam bay - Beragala</t>
  </si>
  <si>
    <t>Arugam bay - Dick oya</t>
  </si>
  <si>
    <t>Arugam bay - Dodanduwa</t>
  </si>
  <si>
    <t>Arugam bay - Induruwa</t>
  </si>
  <si>
    <t>Arugam bay - Jaffna</t>
  </si>
  <si>
    <t>Arugam bay - Kalapuwa</t>
  </si>
  <si>
    <t>Arugam bay - Ampitiya</t>
  </si>
  <si>
    <t>Arugam bay - Digana</t>
  </si>
  <si>
    <t>Arugam bay - Kataragama</t>
  </si>
  <si>
    <t>Arugam bay - Alawathupitiya</t>
  </si>
  <si>
    <t>Arugam bay - Pinnawala</t>
  </si>
  <si>
    <t>Arugam bay - Kitulgala</t>
  </si>
  <si>
    <t>Arugam bay - Habaraduwa</t>
  </si>
  <si>
    <t>Arugam bay - Kosgoda</t>
  </si>
  <si>
    <t>Arugam bay - Kuchchaveli</t>
  </si>
  <si>
    <t>Arugam bay - Mannar</t>
  </si>
  <si>
    <t>Arugam bay - Kinigama</t>
  </si>
  <si>
    <t>Arugam bay - Kalamatiya</t>
  </si>
  <si>
    <t>Arugam bay - mirissa</t>
  </si>
  <si>
    <t>Arugam bay - Nanu Oya</t>
  </si>
  <si>
    <t>Arugam bay - Dalupotha</t>
  </si>
  <si>
    <t>Arugam bay - Waikkal</t>
  </si>
  <si>
    <t>Arugam bay - Nilaveli</t>
  </si>
  <si>
    <t>Arugam bay - Kotmale</t>
  </si>
  <si>
    <t>Arugam bay - Pasikuda</t>
  </si>
  <si>
    <t>Arugam bay - Galoya</t>
  </si>
  <si>
    <t>Arugam bay - Kalpitiya</t>
  </si>
  <si>
    <t>Arugam bay - Marawila</t>
  </si>
  <si>
    <t>Arugam bay - Kiriella</t>
  </si>
  <si>
    <t>Arugam bay - Pidurangala</t>
  </si>
  <si>
    <t>Arugam bay - Rekawa</t>
  </si>
  <si>
    <t>Arugam bay - Tissamaharama</t>
  </si>
  <si>
    <t>Arugam bay - Yala Park</t>
  </si>
  <si>
    <t>Arugam bay - Nilaweli</t>
  </si>
  <si>
    <t>Arugam bay - Udawalawa</t>
  </si>
  <si>
    <t>Arugam bay - Unawatuna</t>
  </si>
  <si>
    <t>Arugam bay - Attanagalla</t>
  </si>
  <si>
    <t>Arugam bay - Moronthuduwa</t>
  </si>
  <si>
    <t>Arugam bay - Waskaduwa</t>
  </si>
  <si>
    <t>Arugam bay - Weddagala</t>
  </si>
  <si>
    <t>Arugam bay - Weligatta</t>
  </si>
  <si>
    <t>Arugam bay - Akuressa</t>
  </si>
  <si>
    <t>Arugam bay - Wilpattu</t>
  </si>
  <si>
    <t>balapitiya - Adams Peak</t>
  </si>
  <si>
    <t>balapitiya - Ahangama</t>
  </si>
  <si>
    <t>balapitiya - Ahungalla</t>
  </si>
  <si>
    <t>balapitiya - Aluthgama</t>
  </si>
  <si>
    <t>balapitiya - Ambalangoda</t>
  </si>
  <si>
    <t>balapitiya - Ambalantota</t>
  </si>
  <si>
    <t>balapitiya - Anuradhapura</t>
  </si>
  <si>
    <t>balapitiya - Arugam bay</t>
  </si>
  <si>
    <t>balapitiya - Batticaloa</t>
  </si>
  <si>
    <t>balapitiya - Bentota</t>
  </si>
  <si>
    <t>balapitiya - Beruwala</t>
  </si>
  <si>
    <t>balapitiya - Bundala</t>
  </si>
  <si>
    <t>balapitiya - Bandaranaike Airport</t>
  </si>
  <si>
    <t>balapitiya - Deniyaya</t>
  </si>
  <si>
    <t>balapitiya - Dickwella</t>
  </si>
  <si>
    <t>balapitiya - Hiriketiya beach</t>
  </si>
  <si>
    <t>balapitiya - Galle</t>
  </si>
  <si>
    <t>balapitiya - Talpe</t>
  </si>
  <si>
    <t>balapitiya - Habarana</t>
  </si>
  <si>
    <t>balapitiya - Ella</t>
  </si>
  <si>
    <t>balapitiya - Beragala</t>
  </si>
  <si>
    <t>balapitiya - Dick oya</t>
  </si>
  <si>
    <t>balapitiya - Dodanduwa</t>
  </si>
  <si>
    <t>balapitiya - Induruwa</t>
  </si>
  <si>
    <t>balapitiya - Jaffna</t>
  </si>
  <si>
    <t>balapitiya - Kalapuwa</t>
  </si>
  <si>
    <t>balapitiya - Digana</t>
  </si>
  <si>
    <t>balapitiya - Kataragama</t>
  </si>
  <si>
    <t>balapitiya - Alawathupitiya</t>
  </si>
  <si>
    <t>balapitiya - Pinnawala</t>
  </si>
  <si>
    <t>balapitiya - Kitulgala</t>
  </si>
  <si>
    <t>balapitiya - Habaraduwa</t>
  </si>
  <si>
    <t>balapitiya - Kosgoda</t>
  </si>
  <si>
    <t>balapitiya - Kuchchaveli</t>
  </si>
  <si>
    <t>balapitiya - Mannar</t>
  </si>
  <si>
    <t>balapitiya - Kinigama</t>
  </si>
  <si>
    <t>balapitiya - Kalamatiya</t>
  </si>
  <si>
    <t>balapitiya - mirissa</t>
  </si>
  <si>
    <t>balapitiya - Nanu Oya</t>
  </si>
  <si>
    <t>balapitiya - Waikkal</t>
  </si>
  <si>
    <t>balapitiya - Nilaveli</t>
  </si>
  <si>
    <t>balapitiya - Pasikuda</t>
  </si>
  <si>
    <t>balapitiya - Galoya</t>
  </si>
  <si>
    <t>balapitiya - Kalpitiya</t>
  </si>
  <si>
    <t>balapitiya - Marawila</t>
  </si>
  <si>
    <t>balapitiya - Kiriella</t>
  </si>
  <si>
    <t>balapitiya - Rekawa</t>
  </si>
  <si>
    <t>balapitiya - Tissamaharama</t>
  </si>
  <si>
    <t>balapitiya - Yala Park</t>
  </si>
  <si>
    <t>balapitiya - Nilaweli</t>
  </si>
  <si>
    <t>balapitiya - Udawalawa</t>
  </si>
  <si>
    <t>balapitiya - Unawatuna</t>
  </si>
  <si>
    <t>balapitiya - Attanagalla</t>
  </si>
  <si>
    <t>balapitiya - Moronthuduwa</t>
  </si>
  <si>
    <t>balapitiya - Waskaduwa</t>
  </si>
  <si>
    <t>balapitiya - Weddagala</t>
  </si>
  <si>
    <t>balapitiya - Weligatta</t>
  </si>
  <si>
    <t>balapitiya - Akuressa</t>
  </si>
  <si>
    <t>balapitiya - Wilpattu</t>
  </si>
  <si>
    <t>Bentota - Adams Peak</t>
  </si>
  <si>
    <t>Bentota - Ahangama</t>
  </si>
  <si>
    <t>Bentota - Ahungalla</t>
  </si>
  <si>
    <t>Bentota - Aluthgama</t>
  </si>
  <si>
    <t>Bentota - Ambalangoda</t>
  </si>
  <si>
    <t>Bentota - Ambalantota</t>
  </si>
  <si>
    <t>Bentota - Anuradhapura</t>
  </si>
  <si>
    <t>Bentota - Arugam bay</t>
  </si>
  <si>
    <t>Bentota - balapitiya</t>
  </si>
  <si>
    <t>Bentota - Batticaloa</t>
  </si>
  <si>
    <t>Bentota - Beruwala</t>
  </si>
  <si>
    <t>Bentota - Bundala</t>
  </si>
  <si>
    <t>Bentota - Colombo Fort</t>
  </si>
  <si>
    <t>Bentota - Bandaranaike Airport</t>
  </si>
  <si>
    <t>Bentota - Deniyaya</t>
  </si>
  <si>
    <t>Bentota - Dickwella</t>
  </si>
  <si>
    <t>Bentota - Hiriketiya beach</t>
  </si>
  <si>
    <t>Bentota - Galle</t>
  </si>
  <si>
    <t>Bentota - Talpe</t>
  </si>
  <si>
    <t>Bentota - Habarana</t>
  </si>
  <si>
    <t>Bentota - Ella</t>
  </si>
  <si>
    <t>Bentota - Beragala</t>
  </si>
  <si>
    <t>Bentota - Dick oya</t>
  </si>
  <si>
    <t>Bentota - Dodanduwa</t>
  </si>
  <si>
    <t>Bentota - Induruwa</t>
  </si>
  <si>
    <t>Bentota - Jaffna</t>
  </si>
  <si>
    <t>Bentota - Kalapuwa</t>
  </si>
  <si>
    <t>Bentota - Digana</t>
  </si>
  <si>
    <t>Bentota - Alawathupitiya</t>
  </si>
  <si>
    <t>Bentota - Pinnawala</t>
  </si>
  <si>
    <t>Bentota - Kitulgala</t>
  </si>
  <si>
    <t>Bentota - Habaraduwa</t>
  </si>
  <si>
    <t>Bentota - Kosgoda</t>
  </si>
  <si>
    <t>Bentota - Kuchchaveli</t>
  </si>
  <si>
    <t>Bentota - Mannar</t>
  </si>
  <si>
    <t>Bentota - Kinigama</t>
  </si>
  <si>
    <t>Bentota - Kalamatiya</t>
  </si>
  <si>
    <t>Bentota - Matara</t>
  </si>
  <si>
    <t>Bentota - mirissa</t>
  </si>
  <si>
    <t>Bentota - Moratuwa</t>
  </si>
  <si>
    <t>Bentota - Nanu Oya</t>
  </si>
  <si>
    <t>Bentota - Waikkal</t>
  </si>
  <si>
    <t>Bentota - Nilaveli</t>
  </si>
  <si>
    <t>Bentota - Kotmale</t>
  </si>
  <si>
    <t>Bentota - Pasikuda</t>
  </si>
  <si>
    <t>Bentota - Galoya</t>
  </si>
  <si>
    <t>Bentota - Kalpitiya</t>
  </si>
  <si>
    <t>Bentota - Marawila</t>
  </si>
  <si>
    <t>Bentota - Kiriella</t>
  </si>
  <si>
    <t>Bentota - Rekawa</t>
  </si>
  <si>
    <t>Bentota - Tissamaharama</t>
  </si>
  <si>
    <t>Bentota - Yala Park</t>
  </si>
  <si>
    <t>Bentota - Nilaweli</t>
  </si>
  <si>
    <t>Bentota - Udawalawa</t>
  </si>
  <si>
    <t>Bentota - Unawatuna</t>
  </si>
  <si>
    <t>Bentota - Attanagalla</t>
  </si>
  <si>
    <t>Bentota - Moronthuduwa</t>
  </si>
  <si>
    <t>Bentota - Waskaduwa</t>
  </si>
  <si>
    <t>Bentota - Weddagala</t>
  </si>
  <si>
    <t>Bentota - Weligatta</t>
  </si>
  <si>
    <t>Bentota - Akuressa</t>
  </si>
  <si>
    <t>Bentota - Wilpattu</t>
  </si>
  <si>
    <t>Beruwala - Adams Peak</t>
  </si>
  <si>
    <t>Beruwala - Ahangama</t>
  </si>
  <si>
    <t>Beruwala - Ahungalla</t>
  </si>
  <si>
    <t>Beruwala - Aluthgama</t>
  </si>
  <si>
    <t>Beruwala - Ambalangoda</t>
  </si>
  <si>
    <t>Beruwala - Ambalantota</t>
  </si>
  <si>
    <t>Beruwala - Anuradhapura</t>
  </si>
  <si>
    <t>Beruwala - Arugam bay</t>
  </si>
  <si>
    <t>Beruwala - balapitiya</t>
  </si>
  <si>
    <t>Beruwala - Batticaloa</t>
  </si>
  <si>
    <t>Beruwala - Bentota</t>
  </si>
  <si>
    <t>Beruwala - Bundala</t>
  </si>
  <si>
    <t>Beruwala - Bandaranaike Airport</t>
  </si>
  <si>
    <t>Beruwala - Dambulla</t>
  </si>
  <si>
    <t>Beruwala - Deniyaya</t>
  </si>
  <si>
    <t>Beruwala - Dickwella</t>
  </si>
  <si>
    <t>Beruwala - Hiriketiya beach</t>
  </si>
  <si>
    <t>Beruwala - Galle</t>
  </si>
  <si>
    <t>Beruwala - Talpe</t>
  </si>
  <si>
    <t>Beruwala - Habarana</t>
  </si>
  <si>
    <t>Beruwala - Ella</t>
  </si>
  <si>
    <t>Beruwala - Beragala</t>
  </si>
  <si>
    <t>Beruwala - Dick oya</t>
  </si>
  <si>
    <t>Beruwala - Dodanduwa</t>
  </si>
  <si>
    <t>Beruwala - Induruwa</t>
  </si>
  <si>
    <t>Beruwala - Jaffna</t>
  </si>
  <si>
    <t>Beruwala - Kalapuwa</t>
  </si>
  <si>
    <t>Beruwala - Ampitiya</t>
  </si>
  <si>
    <t>Beruwala - Digana</t>
  </si>
  <si>
    <t>Beruwala - Kataragama</t>
  </si>
  <si>
    <t>Beruwala - Alawathupitiya</t>
  </si>
  <si>
    <t>Beruwala - Pinnawala</t>
  </si>
  <si>
    <t>Beruwala - Kitulgala</t>
  </si>
  <si>
    <t>Beruwala - Habaraduwa</t>
  </si>
  <si>
    <t>Beruwala - Kosgoda</t>
  </si>
  <si>
    <t>Beruwala - Kuchchaveli</t>
  </si>
  <si>
    <t>Beruwala - Mannar</t>
  </si>
  <si>
    <t>Beruwala - Kinigama</t>
  </si>
  <si>
    <t>Beruwala - Kalamatiya</t>
  </si>
  <si>
    <t>Beruwala - mirissa</t>
  </si>
  <si>
    <t>Beruwala - Nanu Oya</t>
  </si>
  <si>
    <t>Beruwala - Dalupotha</t>
  </si>
  <si>
    <t>Beruwala - Waikkal</t>
  </si>
  <si>
    <t>Beruwala - Nilaveli</t>
  </si>
  <si>
    <t>Beruwala - Kotmale</t>
  </si>
  <si>
    <t>Beruwala - Pasikuda</t>
  </si>
  <si>
    <t>Beruwala - Galoya</t>
  </si>
  <si>
    <t>Beruwala - Kalpitiya</t>
  </si>
  <si>
    <t>Beruwala - Marawila</t>
  </si>
  <si>
    <t>Beruwala - Kiriella</t>
  </si>
  <si>
    <t>Beruwala - Pidurangala</t>
  </si>
  <si>
    <t>Beruwala - Rekawa</t>
  </si>
  <si>
    <t>Beruwala - Tissamaharama</t>
  </si>
  <si>
    <t>Beruwala - Yala Park</t>
  </si>
  <si>
    <t>Beruwala - Nilaweli</t>
  </si>
  <si>
    <t>Beruwala - Udawalawa</t>
  </si>
  <si>
    <t>Beruwala - Unawatuna</t>
  </si>
  <si>
    <t>Beruwala - Attanagalla</t>
  </si>
  <si>
    <t>Beruwala - Moronthuduwa</t>
  </si>
  <si>
    <t>Beruwala - Waskaduwa</t>
  </si>
  <si>
    <t>Beruwala - Weddagala</t>
  </si>
  <si>
    <t>Beruwala - Weligatta</t>
  </si>
  <si>
    <t>Beruwala - Akuressa</t>
  </si>
  <si>
    <t>Beruwala - Wilpattu</t>
  </si>
  <si>
    <t>Sri Lanka, Chilaw</t>
  </si>
  <si>
    <t>Chilaw - Colombo Fort</t>
  </si>
  <si>
    <t>Chilaw - Negombo</t>
  </si>
  <si>
    <t>Bambalapitiya - Adams Peak</t>
  </si>
  <si>
    <t>Colombo Fort - Ahangama</t>
  </si>
  <si>
    <t>Colombo Fort - Bentota</t>
  </si>
  <si>
    <t>Bambalapitiya - Beruwala</t>
  </si>
  <si>
    <t>Colombo Fort - Chilaw</t>
  </si>
  <si>
    <t>Bambalapitiya - Bandaranaike Airport</t>
  </si>
  <si>
    <t>Bambalapitiya - Deniyaya</t>
  </si>
  <si>
    <t>Bambalapitiya - Dickwella</t>
  </si>
  <si>
    <t>Bambalapitiya - Hiriketiya beach</t>
  </si>
  <si>
    <t>Bambalapitiya - Talpe</t>
  </si>
  <si>
    <t>Colombo Fort - Talpe</t>
  </si>
  <si>
    <t>Bambalapitiya - Dick oya</t>
  </si>
  <si>
    <t>Colombo Fort - Dodanduwa</t>
  </si>
  <si>
    <t>Bambalapitiya - Kalapuwa</t>
  </si>
  <si>
    <t>Bambalapitiya - Digana</t>
  </si>
  <si>
    <t>Bambalapitiya - Alawathupitiya</t>
  </si>
  <si>
    <t>Bambalapitiya - Pinnawala</t>
  </si>
  <si>
    <t>Bambalapitiya - Kitulgala</t>
  </si>
  <si>
    <t>Bambalapitiya - Habaraduwa</t>
  </si>
  <si>
    <t>Colombo Fort - Koggala</t>
  </si>
  <si>
    <t>Bambalapitiya - Mannar</t>
  </si>
  <si>
    <t>Colombo Fort - Mirissa</t>
  </si>
  <si>
    <t>Colombo Fort - Moratuwa</t>
  </si>
  <si>
    <t>Bambalapitiya - Nanu Oya</t>
  </si>
  <si>
    <t>Bambalapitiya - Waikkal</t>
  </si>
  <si>
    <t>Colombo Fort - Negombo</t>
  </si>
  <si>
    <t>Bambalapitiya - Kotmale</t>
  </si>
  <si>
    <t>Sri Lanka, Panadura</t>
  </si>
  <si>
    <t>Colombo Fort - Panadura</t>
  </si>
  <si>
    <t>Bambalapitiya - Pasikuda</t>
  </si>
  <si>
    <t>Bambalapitiya - Kalpitiya</t>
  </si>
  <si>
    <t>Bambalapitiya - Marawila</t>
  </si>
  <si>
    <t>Bambalapitiya - Kiriella</t>
  </si>
  <si>
    <t>Bambalapitiya - Rekawa</t>
  </si>
  <si>
    <t>Bambalapitiya - Tissamaharama</t>
  </si>
  <si>
    <t>Bambalapitiya - Yala Park</t>
  </si>
  <si>
    <t>Bambalapitiya - Nilaweli</t>
  </si>
  <si>
    <t>Bambalapitiya - Udawalawa</t>
  </si>
  <si>
    <t>Bambalapitiya - Attanagalla</t>
  </si>
  <si>
    <t>Bambalapitiya - Waskaduwa</t>
  </si>
  <si>
    <t>Colombo Fort - Wadduwa</t>
  </si>
  <si>
    <t>Bambalapitiya - Weddagala</t>
  </si>
  <si>
    <t>Bambalapitiya - Weligatta</t>
  </si>
  <si>
    <t>Bambalapitiya - Akuressa</t>
  </si>
  <si>
    <t>Colombo Fort - Weligama</t>
  </si>
  <si>
    <t>Bambalapitiya - Wilpattu</t>
  </si>
  <si>
    <t>Bandaranaike Airport - Adams Peak</t>
  </si>
  <si>
    <t>Bandaranaike Airport - Ahangama</t>
  </si>
  <si>
    <t>Bandaranaike Airport - Ahungalla</t>
  </si>
  <si>
    <t>Bandaranaike Airport - Aluthgama</t>
  </si>
  <si>
    <t>Bandaranaike Airport - Ambalangoda</t>
  </si>
  <si>
    <t>Bandaranaike Airport - Ambalantota</t>
  </si>
  <si>
    <t>Bandaranaike Airport - Anuradhapura</t>
  </si>
  <si>
    <t>Bandaranaike Airport - Arugam bay</t>
  </si>
  <si>
    <t>Bandaranaike Airport - balapitiya</t>
  </si>
  <si>
    <t>Bandaranaike Airport - Batticaloa</t>
  </si>
  <si>
    <t>Bandaranaike Airport - Bentota</t>
  </si>
  <si>
    <t>Bandaranaike Airport - Beruwala</t>
  </si>
  <si>
    <t>Bandaranaike Airport - Bundala</t>
  </si>
  <si>
    <t>Bandaranaike Airport - Bambalapitiya</t>
  </si>
  <si>
    <t>Bandaranaike Airport - Dambulla</t>
  </si>
  <si>
    <t>Bandaranaike Airport - Deniyaya</t>
  </si>
  <si>
    <t>Bandaranaike Airport - Dickwella</t>
  </si>
  <si>
    <t>Bandaranaike Airport - Hiriketiya beach</t>
  </si>
  <si>
    <t>Bandaranaike Airport - Galle</t>
  </si>
  <si>
    <t>Bandaranaike Airport - Talpe</t>
  </si>
  <si>
    <t>Bandaranaike Airport - Habarana</t>
  </si>
  <si>
    <t>Bandaranaike Airport - Ella</t>
  </si>
  <si>
    <t>Bandaranaike Airport - Beragala</t>
  </si>
  <si>
    <t>Bandaranaike Airport - Dick oya</t>
  </si>
  <si>
    <t>Bandaranaike Airport - Dodanduwa</t>
  </si>
  <si>
    <t>Bandaranaike Airport - Induruwa</t>
  </si>
  <si>
    <t>Bandaranaike Airport - Jaffna</t>
  </si>
  <si>
    <t>Bandaranaike Airport - Kalapuwa</t>
  </si>
  <si>
    <t>Bandaranaike Airport - Ampitiya</t>
  </si>
  <si>
    <t>Bandaranaike Airport - Digana</t>
  </si>
  <si>
    <t>Bandaranaike Airport - Kataragama</t>
  </si>
  <si>
    <t>Bandaranaike Airport - Alawathupitiya</t>
  </si>
  <si>
    <t>Bandaranaike Airport - Pinnawala</t>
  </si>
  <si>
    <t>Bandaranaike Airport - Kitulgala</t>
  </si>
  <si>
    <t>Bandaranaike Airport - Habaraduwa</t>
  </si>
  <si>
    <t>Bandaranaike Airport - Kosgoda</t>
  </si>
  <si>
    <t>Bandaranaike Airport - Kuchchaveli</t>
  </si>
  <si>
    <t>Bandaranaike Airport - Mannar</t>
  </si>
  <si>
    <t>Bandaranaike Airport - Kinigama</t>
  </si>
  <si>
    <t>Bandaranaike Airport - Kalamatiya</t>
  </si>
  <si>
    <t>Bandaranaike Airport - mirissa</t>
  </si>
  <si>
    <t>Bandaranaike Airport - Nanu Oya</t>
  </si>
  <si>
    <t>Bandaranaike Airport - Dalupotha</t>
  </si>
  <si>
    <t>Bandaranaike Airport - Waikkal</t>
  </si>
  <si>
    <t>Bandaranaike Airport - Nilaveli</t>
  </si>
  <si>
    <t>Bandaranaike Airport - Kotmale</t>
  </si>
  <si>
    <t>Bandaranaike Airport - Pasikuda</t>
  </si>
  <si>
    <t>Bandaranaike Airport - Galoya</t>
  </si>
  <si>
    <t>Bandaranaike Airport - Kalpitiya</t>
  </si>
  <si>
    <t>Bandaranaike Airport - Marawila</t>
  </si>
  <si>
    <t>Bandaranaike Airport - Kiriella</t>
  </si>
  <si>
    <t>Bandaranaike Airport - Pidurangala</t>
  </si>
  <si>
    <t>Bandaranaike Airport - Rekawa</t>
  </si>
  <si>
    <t>Bandaranaike Airport - Tissamaharama</t>
  </si>
  <si>
    <t>Bandaranaike Airport - Yala Park</t>
  </si>
  <si>
    <t>Bandaranaike Airport - Nilaweli</t>
  </si>
  <si>
    <t>Bandaranaike Airport - Udawalawa</t>
  </si>
  <si>
    <t>Bandaranaike Airport - Unawatuna</t>
  </si>
  <si>
    <t>Bandaranaike Airport - Attanagalla</t>
  </si>
  <si>
    <t>Bandaranaike Airport - Moronthuduwa</t>
  </si>
  <si>
    <t>Bandaranaike Airport - Waskaduwa</t>
  </si>
  <si>
    <t>Bandaranaike Airport - Weddagala</t>
  </si>
  <si>
    <t>Bandaranaike Airport - Weligatta</t>
  </si>
  <si>
    <t>Bandaranaike Airport - Akuressa</t>
  </si>
  <si>
    <t>Bandaranaike Airport - Wilpattu</t>
  </si>
  <si>
    <t>Dambulla - Adams Peak</t>
  </si>
  <si>
    <t>Dambulla - Ahungalla</t>
  </si>
  <si>
    <t>Dambulla - Ambalangoda</t>
  </si>
  <si>
    <t>Dambulla - Anuradhapura</t>
  </si>
  <si>
    <t>Dambulla - Arugam bay</t>
  </si>
  <si>
    <t>Dambulla - balapitiya</t>
  </si>
  <si>
    <t>Dambulla - Batticaloa</t>
  </si>
  <si>
    <t>Dambulla - Bentota</t>
  </si>
  <si>
    <t>Dambulla - Beruwala</t>
  </si>
  <si>
    <t>Dambulla - Bambalapitiya</t>
  </si>
  <si>
    <t>Dambulla - Bandaranaike Airport</t>
  </si>
  <si>
    <t>Dambulla - Deniyaya</t>
  </si>
  <si>
    <t>Sri Lanka, Ella</t>
  </si>
  <si>
    <t>Dambulla - Ella</t>
  </si>
  <si>
    <t>Dambulla - Galle</t>
  </si>
  <si>
    <t>Dambulla - Talpe</t>
  </si>
  <si>
    <t>Dambulla - Habarana</t>
  </si>
  <si>
    <t>Dambulla - Beragala</t>
  </si>
  <si>
    <t>Dambulla - Dick oya</t>
  </si>
  <si>
    <t>Dambulla - Dodanduwa</t>
  </si>
  <si>
    <t>Dambulla - Induruwa</t>
  </si>
  <si>
    <t>Dambulla - Jaffna</t>
  </si>
  <si>
    <t>Dambulla - Kalapuwa</t>
  </si>
  <si>
    <t>Dambulla - Digana</t>
  </si>
  <si>
    <t>Dambulla - Pinnawala</t>
  </si>
  <si>
    <t>Dambulla - Kitulgala</t>
  </si>
  <si>
    <t>Dambulla - Habaraduwa</t>
  </si>
  <si>
    <t>Dambulla - Kosgoda</t>
  </si>
  <si>
    <t>Dambulla - Kuchchaveli</t>
  </si>
  <si>
    <t>Dambulla - Mannar</t>
  </si>
  <si>
    <t>Dambulla - Kinigama</t>
  </si>
  <si>
    <t>Dambulla - Nanu Oya</t>
  </si>
  <si>
    <t>Dambulla - Dalupotha</t>
  </si>
  <si>
    <t>Dambulla - Waikkal</t>
  </si>
  <si>
    <t>Dambulla - Nilaveli</t>
  </si>
  <si>
    <t>Dambulla - Kotmale</t>
  </si>
  <si>
    <t>Dambulla - Pasikuda</t>
  </si>
  <si>
    <t>Dambulla - Galoya</t>
  </si>
  <si>
    <t>Dambulla - Kalpitiya</t>
  </si>
  <si>
    <t>Dambulla - Marawila</t>
  </si>
  <si>
    <t>Dambulla - Kiriella</t>
  </si>
  <si>
    <t>Dambulla - Pidurangala</t>
  </si>
  <si>
    <t>Dambulla - Yala Park</t>
  </si>
  <si>
    <t>Dambulla - Nilaweli</t>
  </si>
  <si>
    <t>Dambulla - Attanagalla</t>
  </si>
  <si>
    <t>Dambulla - Waskaduwa</t>
  </si>
  <si>
    <t>Dambulla - Weddagala</t>
  </si>
  <si>
    <t>Dambulla - Akuressa</t>
  </si>
  <si>
    <t>Dambulla - Wilpattu</t>
  </si>
  <si>
    <t>Deniyaya - Adams Peak</t>
  </si>
  <si>
    <t>Deniyaya - Ahangama</t>
  </si>
  <si>
    <t>Deniyaya - Ahungalla</t>
  </si>
  <si>
    <t>Deniyaya - Aluthgama</t>
  </si>
  <si>
    <t>Deniyaya - Ambalangoda</t>
  </si>
  <si>
    <t>Deniyaya - Ambalantota</t>
  </si>
  <si>
    <t>Deniyaya - Anuradhapura</t>
  </si>
  <si>
    <t>Deniyaya - Arugam bay</t>
  </si>
  <si>
    <t>Deniyaya - balapitiya</t>
  </si>
  <si>
    <t>Deniyaya - Batticaloa</t>
  </si>
  <si>
    <t>Deniyaya - Bentota</t>
  </si>
  <si>
    <t>Deniyaya - Beruwala</t>
  </si>
  <si>
    <t>Deniyaya - Bundala</t>
  </si>
  <si>
    <t>Deniyaya - Bambalapitiya</t>
  </si>
  <si>
    <t>Deniyaya - Bandaranaike Airport</t>
  </si>
  <si>
    <t>Deniyaya - Dambulla</t>
  </si>
  <si>
    <t>Deniyaya - Dickwella</t>
  </si>
  <si>
    <t>Deniyaya - Hiriketiya beach</t>
  </si>
  <si>
    <t>Deniyaya - Galle</t>
  </si>
  <si>
    <t>Deniyaya - Talpe</t>
  </si>
  <si>
    <t>Deniyaya - Habarana</t>
  </si>
  <si>
    <t>Deniyaya - Ella</t>
  </si>
  <si>
    <t>Deniyaya - Beragala</t>
  </si>
  <si>
    <t>Deniyaya - Dick oya</t>
  </si>
  <si>
    <t>Deniyaya - Dodanduwa</t>
  </si>
  <si>
    <t>Deniyaya - Induruwa</t>
  </si>
  <si>
    <t>Deniyaya - Jaffna</t>
  </si>
  <si>
    <t>Deniyaya - Kalapuwa</t>
  </si>
  <si>
    <t>Deniyaya - Ampitiya</t>
  </si>
  <si>
    <t>Deniyaya - Digana</t>
  </si>
  <si>
    <t>Deniyaya - Kataragama</t>
  </si>
  <si>
    <t>Deniyaya - Alawathupitiya</t>
  </si>
  <si>
    <t>Deniyaya - Pinnawala</t>
  </si>
  <si>
    <t>Deniyaya - Kitulgala</t>
  </si>
  <si>
    <t>Deniyaya - Habaraduwa</t>
  </si>
  <si>
    <t>Deniyaya - Kosgoda</t>
  </si>
  <si>
    <t>Deniyaya - Kuchchaveli</t>
  </si>
  <si>
    <t>Deniyaya - Mannar</t>
  </si>
  <si>
    <t>Deniyaya - Kinigama</t>
  </si>
  <si>
    <t>Deniyaya - Kalamatiya</t>
  </si>
  <si>
    <t>Deniyaya - mirissa</t>
  </si>
  <si>
    <t>Deniyaya - Nanu Oya</t>
  </si>
  <si>
    <t>Deniyaya - Dalupotha</t>
  </si>
  <si>
    <t>Deniyaya - Waikkal</t>
  </si>
  <si>
    <t>Deniyaya - Nilaveli</t>
  </si>
  <si>
    <t>Deniyaya - Kotmale</t>
  </si>
  <si>
    <t>Deniyaya - Pasikuda</t>
  </si>
  <si>
    <t>Deniyaya - Galoya</t>
  </si>
  <si>
    <t>Deniyaya - Kalpitiya</t>
  </si>
  <si>
    <t>Deniyaya - Marawila</t>
  </si>
  <si>
    <t>Deniyaya - Kiriella</t>
  </si>
  <si>
    <t>Deniyaya - Pidurangala</t>
  </si>
  <si>
    <t>Deniyaya - Rekawa</t>
  </si>
  <si>
    <t>Deniyaya - Tissamaharama</t>
  </si>
  <si>
    <t>Deniyaya - Yala Park</t>
  </si>
  <si>
    <t>Deniyaya - Nilaweli</t>
  </si>
  <si>
    <t>Deniyaya - Udawalawa</t>
  </si>
  <si>
    <t>Deniyaya - Unawatuna</t>
  </si>
  <si>
    <t>Deniyaya - Attanagalla</t>
  </si>
  <si>
    <t>Deniyaya - Moronthuduwa</t>
  </si>
  <si>
    <t>Deniyaya - Waskaduwa</t>
  </si>
  <si>
    <t>Deniyaya - Weddagala</t>
  </si>
  <si>
    <t>Deniyaya - Weligatta</t>
  </si>
  <si>
    <t>Deniyaya - Akuressa</t>
  </si>
  <si>
    <t>Deniyaya - Wilpattu</t>
  </si>
  <si>
    <t>Dickwella - Adams Peak</t>
  </si>
  <si>
    <t>Hiriketiya beach - Adams Peak</t>
  </si>
  <si>
    <t>Dickwella - Ahangama</t>
  </si>
  <si>
    <t>Hiriketiya beach - Ahangama</t>
  </si>
  <si>
    <t>Dickwella - Ahungalla</t>
  </si>
  <si>
    <t>Hiriketiya beach - Ahungalla</t>
  </si>
  <si>
    <t>Dickwella - Aluthgama</t>
  </si>
  <si>
    <t>Hiriketiya beach - Aluthgama</t>
  </si>
  <si>
    <t>Dickwella - Ambalangoda</t>
  </si>
  <si>
    <t>Hiriketiya beach - Ambalangoda</t>
  </si>
  <si>
    <t>Dickwella - Ambalantota</t>
  </si>
  <si>
    <t>Hiriketiya beach - Ambalantota</t>
  </si>
  <si>
    <t>Dickwella - Anuradhapura</t>
  </si>
  <si>
    <t>Hiriketiya beach - Anuradhapura</t>
  </si>
  <si>
    <t>Dickwella - Arugam bay</t>
  </si>
  <si>
    <t>Hiriketiya beach - Arugam bay</t>
  </si>
  <si>
    <t>Dickwella - balapitiya</t>
  </si>
  <si>
    <t>Hiriketiya beach - balapitiya</t>
  </si>
  <si>
    <t>Dickwella - Batticaloa</t>
  </si>
  <si>
    <t>Hiriketiya beach - Batticaloa</t>
  </si>
  <si>
    <t>Dickwella - Bentota</t>
  </si>
  <si>
    <t>Hiriketiya beach - Bentota</t>
  </si>
  <si>
    <t>Dickwella - Beruwala</t>
  </si>
  <si>
    <t>Hiriketiya beach - Beruwala</t>
  </si>
  <si>
    <t>Dickwella - Bundala</t>
  </si>
  <si>
    <t>Hiriketiya beach - Bundala</t>
  </si>
  <si>
    <t>Dickwella - Bambalapitiya</t>
  </si>
  <si>
    <t>Hiriketiya beach - Bambalapitiya</t>
  </si>
  <si>
    <t>Dickwella - Bandaranaike Airport</t>
  </si>
  <si>
    <t>Hiriketiya beach - Bandaranaike Airport</t>
  </si>
  <si>
    <t>Dickwella - Dambulla</t>
  </si>
  <si>
    <t>Hiriketiya beach - Dambulla</t>
  </si>
  <si>
    <t>Dickwella - Deniyaya</t>
  </si>
  <si>
    <t>Hiriketiya beach - Deniyaya</t>
  </si>
  <si>
    <t>Dickwella - Hiriketiya beach</t>
  </si>
  <si>
    <t>Hiriketiya beach - Dickwella</t>
  </si>
  <si>
    <t>Dickwella - Galle</t>
  </si>
  <si>
    <t>Dickwella - Talpe</t>
  </si>
  <si>
    <t>Hiriketiya beach - Galle</t>
  </si>
  <si>
    <t>Hiriketiya beach - Talpe</t>
  </si>
  <si>
    <t>Dickwella - Habarana</t>
  </si>
  <si>
    <t>Hiriketiya beach - Habarana</t>
  </si>
  <si>
    <t>Dickwella - Ella</t>
  </si>
  <si>
    <t>Hiriketiya beach - Ella</t>
  </si>
  <si>
    <t>Dickwella - Beragala</t>
  </si>
  <si>
    <t>Hiriketiya beach - Beragala</t>
  </si>
  <si>
    <t>Dickwella - Dick oya</t>
  </si>
  <si>
    <t>Hiriketiya beach - Dick oya</t>
  </si>
  <si>
    <t>Dickwella - Dodanduwa</t>
  </si>
  <si>
    <t>Hiriketiya beach - Dodanduwa</t>
  </si>
  <si>
    <t>Dickwella - Induruwa</t>
  </si>
  <si>
    <t>Hiriketiya beach - Induruwa</t>
  </si>
  <si>
    <t>Dickwella - Jaffna</t>
  </si>
  <si>
    <t>Hiriketiya beach - Jaffna</t>
  </si>
  <si>
    <t>Dickwella - Kalapuwa</t>
  </si>
  <si>
    <t>Hiriketiya beach - Kalapuwa</t>
  </si>
  <si>
    <t>Dickwella - Ampitiya</t>
  </si>
  <si>
    <t>Dickwella - Digana</t>
  </si>
  <si>
    <t>Hiriketiya beach - Ampitiya</t>
  </si>
  <si>
    <t>Hiriketiya beach - Digana</t>
  </si>
  <si>
    <t>Dickwella - Kataragama</t>
  </si>
  <si>
    <t>Hiriketiya beach - Kataragama</t>
  </si>
  <si>
    <t>Dickwella - Alawathupitiya</t>
  </si>
  <si>
    <t>Hiriketiya beach - Alawathupitiya</t>
  </si>
  <si>
    <t>Dickwella - Pinnawala</t>
  </si>
  <si>
    <t>Hiriketiya beach - Pinnawala</t>
  </si>
  <si>
    <t>Dickwella - Kitulgala</t>
  </si>
  <si>
    <t>Hiriketiya beach - Kitulgala</t>
  </si>
  <si>
    <t>Dickwella - Habaraduwa</t>
  </si>
  <si>
    <t>Hiriketiya beach - Habaraduwa</t>
  </si>
  <si>
    <t>Dickwella - Kosgoda</t>
  </si>
  <si>
    <t>Hiriketiya beach - Kosgoda</t>
  </si>
  <si>
    <t>Dickwella - Kuchchaveli</t>
  </si>
  <si>
    <t>Hiriketiya beach - Kuchchaveli</t>
  </si>
  <si>
    <t>Dickwella - Mannar</t>
  </si>
  <si>
    <t>Hiriketiya beach - Mannar</t>
  </si>
  <si>
    <t>Dickwella - Kinigama</t>
  </si>
  <si>
    <t>Hiriketiya beach - Kinigama</t>
  </si>
  <si>
    <t>Dickwella - Kalamatiya</t>
  </si>
  <si>
    <t>Hiriketiya beach - Kalamatiya</t>
  </si>
  <si>
    <t>Dickwella - mirissa</t>
  </si>
  <si>
    <t>Hiriketiya beach - mirissa</t>
  </si>
  <si>
    <t>Dickwella - Nanu Oya</t>
  </si>
  <si>
    <t>Hiriketiya beach - Nanu Oya</t>
  </si>
  <si>
    <t>Dickwella - Dalupotha</t>
  </si>
  <si>
    <t>Dickwella - Waikkal</t>
  </si>
  <si>
    <t>Hiriketiya beach - Dalupotha</t>
  </si>
  <si>
    <t>Hiriketiya beach - Waikkal</t>
  </si>
  <si>
    <t>Dickwella - Nilaveli</t>
  </si>
  <si>
    <t>Hiriketiya beach - Nilaveli</t>
  </si>
  <si>
    <t>Dickwella - Kotmale</t>
  </si>
  <si>
    <t>Hiriketiya beach - Kotmale</t>
  </si>
  <si>
    <t>Dickwella - Pasikuda</t>
  </si>
  <si>
    <t>Hiriketiya beach - Pasikuda</t>
  </si>
  <si>
    <t>Dickwella - Galoya</t>
  </si>
  <si>
    <t>Hiriketiya beach - Galoya</t>
  </si>
  <si>
    <t>Dickwella - Kalpitiya</t>
  </si>
  <si>
    <t>Dickwella - Marawila</t>
  </si>
  <si>
    <t>Hiriketiya beach - Kalpitiya</t>
  </si>
  <si>
    <t>Hiriketiya beach - Marawila</t>
  </si>
  <si>
    <t>Dickwella - Kiriella</t>
  </si>
  <si>
    <t>Hiriketiya beach - Kiriella</t>
  </si>
  <si>
    <t>Dickwella - Pidurangala</t>
  </si>
  <si>
    <t>Hiriketiya beach - Pidurangala</t>
  </si>
  <si>
    <t>Dickwella - Rekawa</t>
  </si>
  <si>
    <t>Hiriketiya beach - Rekawa</t>
  </si>
  <si>
    <t>Dickwella - Tissamaharama</t>
  </si>
  <si>
    <t>Dickwella - Yala Park</t>
  </si>
  <si>
    <t>Hiriketiya beach - Tissamaharama</t>
  </si>
  <si>
    <t>Hiriketiya beach - Yala Park</t>
  </si>
  <si>
    <t>Dickwella - Nilaweli</t>
  </si>
  <si>
    <t>Hiriketiya beach - Nilaweli</t>
  </si>
  <si>
    <t>Dickwella - Udawalawa</t>
  </si>
  <si>
    <t>Hiriketiya beach - Udawalawa</t>
  </si>
  <si>
    <t>Dickwella - Unawatuna</t>
  </si>
  <si>
    <t>Hiriketiya beach - Unawatuna</t>
  </si>
  <si>
    <t>Dickwella - Attanagalla</t>
  </si>
  <si>
    <t>Hiriketiya beach - Attanagalla</t>
  </si>
  <si>
    <t>Dickwella - Moronthuduwa</t>
  </si>
  <si>
    <t>Dickwella - Waskaduwa</t>
  </si>
  <si>
    <t>Hiriketiya beach - Moronthuduwa</t>
  </si>
  <si>
    <t>Hiriketiya beach - Waskaduwa</t>
  </si>
  <si>
    <t>Dickwella - Weddagala</t>
  </si>
  <si>
    <t>Hiriketiya beach - Weddagala</t>
  </si>
  <si>
    <t>Dickwella - Weligatta</t>
  </si>
  <si>
    <t>Hiriketiya beach - Weligatta</t>
  </si>
  <si>
    <t>Dickwella - Akuressa</t>
  </si>
  <si>
    <t>Hiriketiya beach - Akuressa</t>
  </si>
  <si>
    <t>Dickwella - Wilpattu</t>
  </si>
  <si>
    <t>Hiriketiya beach - Wilpattu</t>
  </si>
  <si>
    <t>Ella - Dambulla</t>
  </si>
  <si>
    <t>Ella - Dalupotha</t>
  </si>
  <si>
    <t>Ella - Pidurangala</t>
  </si>
  <si>
    <t>Galle - Adams Peak</t>
  </si>
  <si>
    <t>Talpe - Adams Peak</t>
  </si>
  <si>
    <t>Galle - Ahangama</t>
  </si>
  <si>
    <t>Talpe - Ahangama</t>
  </si>
  <si>
    <t>Galle - Ahungalla</t>
  </si>
  <si>
    <t>Talpe - Ahungalla</t>
  </si>
  <si>
    <t>Galle - Aluthgama</t>
  </si>
  <si>
    <t>Talpe - Aluthgama</t>
  </si>
  <si>
    <t>Galle - Ambalangoda</t>
  </si>
  <si>
    <t>Talpe - Ambalangoda</t>
  </si>
  <si>
    <t>Galle - Ambalantota</t>
  </si>
  <si>
    <t>Talpe - Ambalantota</t>
  </si>
  <si>
    <t>Galle - Anuradhapura</t>
  </si>
  <si>
    <t>Talpe - Anuradhapura</t>
  </si>
  <si>
    <t>Galle - Arugam bay</t>
  </si>
  <si>
    <t>Talpe - Arugam bay</t>
  </si>
  <si>
    <t>Galle - balapitiya</t>
  </si>
  <si>
    <t>Talpe - balapitiya</t>
  </si>
  <si>
    <t>Galle - Batticaloa</t>
  </si>
  <si>
    <t>Talpe - Batticaloa</t>
  </si>
  <si>
    <t>Galle - Bentota</t>
  </si>
  <si>
    <t>Talpe - Bentota</t>
  </si>
  <si>
    <t>Galle - Beruwala</t>
  </si>
  <si>
    <t>Talpe - Beruwala</t>
  </si>
  <si>
    <t>Galle - Bundala</t>
  </si>
  <si>
    <t>Talpe - Bundala</t>
  </si>
  <si>
    <t>Talpe - Bambalapitiya</t>
  </si>
  <si>
    <t>Talpe - Colombo Fort</t>
  </si>
  <si>
    <t>Galle - Bandaranaike Airport</t>
  </si>
  <si>
    <t>Talpe - Bandaranaike Airport</t>
  </si>
  <si>
    <t>Talpe - Dambulla</t>
  </si>
  <si>
    <t>Galle - Deniyaya</t>
  </si>
  <si>
    <t>Talpe - Deniyaya</t>
  </si>
  <si>
    <t>Galle - Dickwella</t>
  </si>
  <si>
    <t>Galle - Hiriketiya beach</t>
  </si>
  <si>
    <t>Talpe - Dickwella</t>
  </si>
  <si>
    <t>Talpe - Hiriketiya beach</t>
  </si>
  <si>
    <t>Galle - Talpe</t>
  </si>
  <si>
    <t>Talpe - Galle</t>
  </si>
  <si>
    <t>Talpe - Habarana</t>
  </si>
  <si>
    <t>Galle - Ella</t>
  </si>
  <si>
    <t>Talpe - Ella</t>
  </si>
  <si>
    <t>Galle - Beragala</t>
  </si>
  <si>
    <t>Talpe - Beragala</t>
  </si>
  <si>
    <t>Galle - Dick oya</t>
  </si>
  <si>
    <t>Talpe - Dick oya</t>
  </si>
  <si>
    <t>Galle - Hikkaduwa</t>
  </si>
  <si>
    <t>Talpe - Dodanduwa</t>
  </si>
  <si>
    <t>Galle - Induruwa</t>
  </si>
  <si>
    <t>Talpe - Induruwa</t>
  </si>
  <si>
    <t>Galle - Jaffna</t>
  </si>
  <si>
    <t>Talpe - Jaffna</t>
  </si>
  <si>
    <t>Galle - Kalapuwa</t>
  </si>
  <si>
    <t>Galle - Kalutara South</t>
  </si>
  <si>
    <t>Talpe - Kalapuwa</t>
  </si>
  <si>
    <t>Galle - Digana</t>
  </si>
  <si>
    <t>Talpe - Ampitiya</t>
  </si>
  <si>
    <t>Talpe - Digana</t>
  </si>
  <si>
    <t>Talpe - Kataragama</t>
  </si>
  <si>
    <t>Galle - Alawathupitiya</t>
  </si>
  <si>
    <t>Talpe - Alawathupitiya</t>
  </si>
  <si>
    <t>Galle - Pinnawala</t>
  </si>
  <si>
    <t>Talpe - Pinnawala</t>
  </si>
  <si>
    <t>Galle - Kitulgala</t>
  </si>
  <si>
    <t>Talpe - Kitulgala</t>
  </si>
  <si>
    <t>Galle - Habaraduwa</t>
  </si>
  <si>
    <t>Galle - Koggala</t>
  </si>
  <si>
    <t>Talpe - Habaraduwa</t>
  </si>
  <si>
    <t>Galle - Kosgoda</t>
  </si>
  <si>
    <t>Talpe - Kosgoda</t>
  </si>
  <si>
    <t>Galle - Kuchchaveli</t>
  </si>
  <si>
    <t>Talpe - Kuchchaveli</t>
  </si>
  <si>
    <t>Galle - Mannar</t>
  </si>
  <si>
    <t>Talpe - Mannar</t>
  </si>
  <si>
    <t>Galle - Kinigama</t>
  </si>
  <si>
    <t>Talpe - Kinigama</t>
  </si>
  <si>
    <t>Galle - Kalamatiya</t>
  </si>
  <si>
    <t>Galle - Matara</t>
  </si>
  <si>
    <t>Talpe - Kalamatiya</t>
  </si>
  <si>
    <t>Talpe - Matara</t>
  </si>
  <si>
    <t>Galle - mirissa</t>
  </si>
  <si>
    <t>Galle - Mirissa</t>
  </si>
  <si>
    <t>Talpe - mirissa</t>
  </si>
  <si>
    <t>Galle - Moratuwa</t>
  </si>
  <si>
    <t>Talpe - Moratuwa</t>
  </si>
  <si>
    <t>Galle - Nanu Oya</t>
  </si>
  <si>
    <t>Talpe - Nanu Oya</t>
  </si>
  <si>
    <t>Galle - Waikkal</t>
  </si>
  <si>
    <t>Talpe - Dalupotha</t>
  </si>
  <si>
    <t>Talpe - Waikkal</t>
  </si>
  <si>
    <t>Galle - Nilaveli</t>
  </si>
  <si>
    <t>Talpe - Nilaveli</t>
  </si>
  <si>
    <t>Talpe - Kotmale</t>
  </si>
  <si>
    <t>Galle - Panadura</t>
  </si>
  <si>
    <t>Galle - Pasikuda</t>
  </si>
  <si>
    <t>Talpe - Pasikuda</t>
  </si>
  <si>
    <t>Galle - Galoya</t>
  </si>
  <si>
    <t>Talpe - Galoya</t>
  </si>
  <si>
    <t>Galle - Kalpitiya</t>
  </si>
  <si>
    <t>Galle - Marawila</t>
  </si>
  <si>
    <t>Talpe - Kalpitiya</t>
  </si>
  <si>
    <t>Talpe - Marawila</t>
  </si>
  <si>
    <t>Galle - Kiriella</t>
  </si>
  <si>
    <t>Talpe - Kiriella</t>
  </si>
  <si>
    <t>Talpe - Pidurangala</t>
  </si>
  <si>
    <t>Galle - Rekawa</t>
  </si>
  <si>
    <t>Talpe - Rekawa</t>
  </si>
  <si>
    <t>Galle - Tissamaharama</t>
  </si>
  <si>
    <t>Galle - Yala Park</t>
  </si>
  <si>
    <t>Talpe - Tissamaharama</t>
  </si>
  <si>
    <t>Talpe - Yala Park</t>
  </si>
  <si>
    <t>Galle - Nilaweli</t>
  </si>
  <si>
    <t>Talpe - Nilaweli</t>
  </si>
  <si>
    <t>Galle - Udawalawa</t>
  </si>
  <si>
    <t>Talpe - Udawalawa</t>
  </si>
  <si>
    <t>Galle - Unawatuna</t>
  </si>
  <si>
    <t>Talpe - Unawatuna</t>
  </si>
  <si>
    <t>Galle - Attanagalla</t>
  </si>
  <si>
    <t>Talpe - Attanagalla</t>
  </si>
  <si>
    <t>Galle - Moronthuduwa</t>
  </si>
  <si>
    <t>Galle - Waskaduwa</t>
  </si>
  <si>
    <t>Talpe - Moronthuduwa</t>
  </si>
  <si>
    <t>Talpe - Waskaduwa</t>
  </si>
  <si>
    <t>Galle - Weddagala</t>
  </si>
  <si>
    <t>Talpe - Weddagala</t>
  </si>
  <si>
    <t>Galle - Weligatta</t>
  </si>
  <si>
    <t>Talpe - Weligatta</t>
  </si>
  <si>
    <t>Galle - Akuressa</t>
  </si>
  <si>
    <t>Galle - Weligama</t>
  </si>
  <si>
    <t>Talpe - Akuressa</t>
  </si>
  <si>
    <t>Galle - Wilpattu</t>
  </si>
  <si>
    <t>Talpe - Wilpattu</t>
  </si>
  <si>
    <t>Sri Lanka, Gampaha</t>
  </si>
  <si>
    <t>Gampaha - Habarana</t>
  </si>
  <si>
    <t>Ella - Adams Peak</t>
  </si>
  <si>
    <t>Ella - Ahangama</t>
  </si>
  <si>
    <t>Ella - Ahungalla</t>
  </si>
  <si>
    <t>Ella - Aluthgama</t>
  </si>
  <si>
    <t>Ella - Ambalangoda</t>
  </si>
  <si>
    <t>Ella - Ambalantota</t>
  </si>
  <si>
    <t>Ella - Anuradhapura</t>
  </si>
  <si>
    <t>Ella - Arugam bay</t>
  </si>
  <si>
    <t>Ella - balapitiya</t>
  </si>
  <si>
    <t>Ella - Batticaloa</t>
  </si>
  <si>
    <t>Ella - Bentota</t>
  </si>
  <si>
    <t>Ella - Beruwala</t>
  </si>
  <si>
    <t>Ella - Bundala</t>
  </si>
  <si>
    <t>Ella - Bandaranaike Airport</t>
  </si>
  <si>
    <t>Ella - Deniyaya</t>
  </si>
  <si>
    <t>Ella - Dickwella</t>
  </si>
  <si>
    <t>Ella - Hiriketiya beach</t>
  </si>
  <si>
    <t>Ella - Talpe</t>
  </si>
  <si>
    <t>Ella - Habarana</t>
  </si>
  <si>
    <t>Ella - Beragala</t>
  </si>
  <si>
    <t>Ella - Dick oya</t>
  </si>
  <si>
    <t>Ella - Dodanduwa</t>
  </si>
  <si>
    <t>Ella - Induruwa</t>
  </si>
  <si>
    <t>Ella - Jaffna</t>
  </si>
  <si>
    <t>Ella - Kalapuwa</t>
  </si>
  <si>
    <t>Ella - Digana</t>
  </si>
  <si>
    <t>Ella - Kataragama</t>
  </si>
  <si>
    <t>Ella - Alawathupitiya</t>
  </si>
  <si>
    <t>Ella - Pinnawala</t>
  </si>
  <si>
    <t>Ella - Kitulgala</t>
  </si>
  <si>
    <t>Ella - Habaraduwa</t>
  </si>
  <si>
    <t>Ella - Kosgoda</t>
  </si>
  <si>
    <t>Ella - Kuchchaveli</t>
  </si>
  <si>
    <t>Ella - Mannar</t>
  </si>
  <si>
    <t>Ella - Kinigama</t>
  </si>
  <si>
    <t>Ella - Kalamatiya</t>
  </si>
  <si>
    <t>Ella - mirissa</t>
  </si>
  <si>
    <t>Ella - Nanu Oya</t>
  </si>
  <si>
    <t>Ella - Waikkal</t>
  </si>
  <si>
    <t>Ella - Nilaveli</t>
  </si>
  <si>
    <t>Ella - Pasikuda</t>
  </si>
  <si>
    <t>Ella - Galoya</t>
  </si>
  <si>
    <t>Ella - Kalpitiya</t>
  </si>
  <si>
    <t>Ella - Marawila</t>
  </si>
  <si>
    <t>Ella - Kiriella</t>
  </si>
  <si>
    <t>Ella - Rekawa</t>
  </si>
  <si>
    <t>Ella - Tissamaharama</t>
  </si>
  <si>
    <t>Ella - Yala Park</t>
  </si>
  <si>
    <t>Ella - Nilaweli</t>
  </si>
  <si>
    <t>Ella - Udawalawa</t>
  </si>
  <si>
    <t>Ella - Unawatuna</t>
  </si>
  <si>
    <t>Ella - Attanagalla</t>
  </si>
  <si>
    <t>Ella - Moronthuduwa</t>
  </si>
  <si>
    <t>Ella - Waskaduwa</t>
  </si>
  <si>
    <t>Ella - Weddagala</t>
  </si>
  <si>
    <t>Ella - Weligatta</t>
  </si>
  <si>
    <t>Ella - Akuressa</t>
  </si>
  <si>
    <t>Ella - Wilpattu</t>
  </si>
  <si>
    <t>Dick oya - Adams Peak</t>
  </si>
  <si>
    <t>Dick oya - Ahangama</t>
  </si>
  <si>
    <t>Dick oya - Ahungalla</t>
  </si>
  <si>
    <t>Dick oya - Aluthgama</t>
  </si>
  <si>
    <t>Dick oya - Ambalangoda</t>
  </si>
  <si>
    <t>Dick oya - Ambalantota</t>
  </si>
  <si>
    <t>Dick oya - Anuradhapura</t>
  </si>
  <si>
    <t>Dick oya - Arugam bay</t>
  </si>
  <si>
    <t>Dick oya - balapitiya</t>
  </si>
  <si>
    <t>Dick oya - Batticaloa</t>
  </si>
  <si>
    <t>Dick oya - Bentota</t>
  </si>
  <si>
    <t>Dick oya - Beruwala</t>
  </si>
  <si>
    <t>Dick oya - Bundala</t>
  </si>
  <si>
    <t>Dick oya - Bambalapitiya</t>
  </si>
  <si>
    <t>Dick oya - Bandaranaike Airport</t>
  </si>
  <si>
    <t>Dick oya - Dambulla</t>
  </si>
  <si>
    <t>Dick oya - Deniyaya</t>
  </si>
  <si>
    <t>Dick oya - Dickwella</t>
  </si>
  <si>
    <t>Dick oya - Hiriketiya beach</t>
  </si>
  <si>
    <t>Dick oya - Galle</t>
  </si>
  <si>
    <t>Dick oya - Talpe</t>
  </si>
  <si>
    <t>Dick oya - Habarana</t>
  </si>
  <si>
    <t>Dick oya - Ella</t>
  </si>
  <si>
    <t>Dick oya - Beragala</t>
  </si>
  <si>
    <t>Dick oya - Dodanduwa</t>
  </si>
  <si>
    <t>Dick oya - Induruwa</t>
  </si>
  <si>
    <t>Dick oya - Jaffna</t>
  </si>
  <si>
    <t>Dick oya - Kalapuwa</t>
  </si>
  <si>
    <t>Dick oya - Ampitiya</t>
  </si>
  <si>
    <t>Dick oya - Digana</t>
  </si>
  <si>
    <t>Dick oya - Kataragama</t>
  </si>
  <si>
    <t>Dick oya - Alawathupitiya</t>
  </si>
  <si>
    <t>Dick oya - Pinnawala</t>
  </si>
  <si>
    <t>Dick oya - Kitulgala</t>
  </si>
  <si>
    <t>Dick oya - Habaraduwa</t>
  </si>
  <si>
    <t>Dick oya - Kosgoda</t>
  </si>
  <si>
    <t>Dick oya - Kuchchaveli</t>
  </si>
  <si>
    <t>Dick oya - Mannar</t>
  </si>
  <si>
    <t>Dick oya - Kinigama</t>
  </si>
  <si>
    <t>Dick oya - Kalamatiya</t>
  </si>
  <si>
    <t>Dick oya - mirissa</t>
  </si>
  <si>
    <t>Dick oya - Nanu Oya</t>
  </si>
  <si>
    <t>Dick oya - Dalupotha</t>
  </si>
  <si>
    <t>Dick oya - Waikkal</t>
  </si>
  <si>
    <t>Dick oya - Nilaveli</t>
  </si>
  <si>
    <t>Dick oya - Kotmale</t>
  </si>
  <si>
    <t>Dick oya - Pasikuda</t>
  </si>
  <si>
    <t>Dick oya - Galoya</t>
  </si>
  <si>
    <t>Dick oya - Kalpitiya</t>
  </si>
  <si>
    <t>Dick oya - Marawila</t>
  </si>
  <si>
    <t>Dick oya - Kiriella</t>
  </si>
  <si>
    <t>Dick oya - Pidurangala</t>
  </si>
  <si>
    <t>Dick oya - Rekawa</t>
  </si>
  <si>
    <t>Dick oya - Tissamaharama</t>
  </si>
  <si>
    <t>Dick oya - Yala Park</t>
  </si>
  <si>
    <t>Dick oya - Nilaweli</t>
  </si>
  <si>
    <t>Dick oya - Udawalawa</t>
  </si>
  <si>
    <t>Dick oya - Unawatuna</t>
  </si>
  <si>
    <t>Dick oya - Attanagalla</t>
  </si>
  <si>
    <t>Dick oya - Moronthuduwa</t>
  </si>
  <si>
    <t>Dick oya - Waskaduwa</t>
  </si>
  <si>
    <t>Dick oya - Weddagala</t>
  </si>
  <si>
    <t>Dick oya - Weligatta</t>
  </si>
  <si>
    <t>Dick oya - Akuressa</t>
  </si>
  <si>
    <t>Dick oya - Wilpattu</t>
  </si>
  <si>
    <t>Dodanduwa - Adams Peak</t>
  </si>
  <si>
    <t>Dodanduwa - Ahangama</t>
  </si>
  <si>
    <t>Dodanduwa - Ahungalla</t>
  </si>
  <si>
    <t>Dodanduwa - Aluthgama</t>
  </si>
  <si>
    <t>Dodanduwa - Ambalangoda</t>
  </si>
  <si>
    <t>Dodanduwa - Ambalantota</t>
  </si>
  <si>
    <t>Dodanduwa - Anuradhapura</t>
  </si>
  <si>
    <t>Dodanduwa - Arugam bay</t>
  </si>
  <si>
    <t>Dodanduwa - balapitiya</t>
  </si>
  <si>
    <t>Dodanduwa - Batticaloa</t>
  </si>
  <si>
    <t>Dodanduwa - Bentota</t>
  </si>
  <si>
    <t>Dodanduwa - Beruwala</t>
  </si>
  <si>
    <t>Dodanduwa - Bundala</t>
  </si>
  <si>
    <t>Dodanduwa - Bandaranaike Airport</t>
  </si>
  <si>
    <t>Dodanduwa - Deniyaya</t>
  </si>
  <si>
    <t>Dodanduwa - Dickwella</t>
  </si>
  <si>
    <t>Dodanduwa - Hiriketiya beach</t>
  </si>
  <si>
    <t>Dodanduwa - Galle</t>
  </si>
  <si>
    <t>Dodanduwa - Talpe</t>
  </si>
  <si>
    <t>Hikkaduwa - Galle</t>
  </si>
  <si>
    <t>Dodanduwa - Habarana</t>
  </si>
  <si>
    <t>Dodanduwa - Ella</t>
  </si>
  <si>
    <t>Dodanduwa - Beragala</t>
  </si>
  <si>
    <t>Dodanduwa - Dick oya</t>
  </si>
  <si>
    <t>Dodanduwa - Induruwa</t>
  </si>
  <si>
    <t>Dodanduwa - Jaffna</t>
  </si>
  <si>
    <t>Dodanduwa - Kalapuwa</t>
  </si>
  <si>
    <t>Dodanduwa - Digana</t>
  </si>
  <si>
    <t>Dodanduwa - Kataragama</t>
  </si>
  <si>
    <t>Dodanduwa - Alawathupitiya</t>
  </si>
  <si>
    <t>Dodanduwa - Pinnawala</t>
  </si>
  <si>
    <t>Dodanduwa - Kitulgala</t>
  </si>
  <si>
    <t>Dodanduwa - Habaraduwa</t>
  </si>
  <si>
    <t>Dodanduwa - Kosgoda</t>
  </si>
  <si>
    <t>Dodanduwa - Kuchchaveli</t>
  </si>
  <si>
    <t>Dodanduwa - Mannar</t>
  </si>
  <si>
    <t>Dodanduwa - Kinigama</t>
  </si>
  <si>
    <t>Dodanduwa - Kalamatiya</t>
  </si>
  <si>
    <t>Dodanduwa - Matara</t>
  </si>
  <si>
    <t>Hikkaduwa - Matara</t>
  </si>
  <si>
    <t>Dodanduwa - mirissa</t>
  </si>
  <si>
    <t>Hikkaduwa - Mirissa</t>
  </si>
  <si>
    <t>Hikkaduwa - Moratuwa</t>
  </si>
  <si>
    <t>Dodanduwa - Nanu Oya</t>
  </si>
  <si>
    <t>Dodanduwa - Waikkal</t>
  </si>
  <si>
    <t>Dodanduwa - Nilaveli</t>
  </si>
  <si>
    <t>Dodanduwa - Kotmale</t>
  </si>
  <si>
    <t>Dodanduwa - Pasikuda</t>
  </si>
  <si>
    <t>Dodanduwa - Galoya</t>
  </si>
  <si>
    <t>Dodanduwa - Kalpitiya</t>
  </si>
  <si>
    <t>Dodanduwa - Marawila</t>
  </si>
  <si>
    <t>Dodanduwa - Kiriella</t>
  </si>
  <si>
    <t>Dodanduwa - Rekawa</t>
  </si>
  <si>
    <t>Dodanduwa - Tissamaharama</t>
  </si>
  <si>
    <t>Dodanduwa - Yala Park</t>
  </si>
  <si>
    <t>Dodanduwa - Nilaweli</t>
  </si>
  <si>
    <t>Dodanduwa - Udawalawa</t>
  </si>
  <si>
    <t>Dodanduwa - Unawatuna</t>
  </si>
  <si>
    <t>Dodanduwa - Attanagalla</t>
  </si>
  <si>
    <t>Dodanduwa - Moronthuduwa</t>
  </si>
  <si>
    <t>Dodanduwa - Waskaduwa</t>
  </si>
  <si>
    <t>Dodanduwa - Weddagala</t>
  </si>
  <si>
    <t>Dodanduwa - Weligatta</t>
  </si>
  <si>
    <t>Dodanduwa - Akuressa</t>
  </si>
  <si>
    <t>Dodanduwa - Wilpattu</t>
  </si>
  <si>
    <t>Induruwa - Adams Peak</t>
  </si>
  <si>
    <t>Induruwa - Ahangama</t>
  </si>
  <si>
    <t>Induruwa - Ahungalla</t>
  </si>
  <si>
    <t>Induruwa - Aluthgama</t>
  </si>
  <si>
    <t>Induruwa - Ambalangoda</t>
  </si>
  <si>
    <t>Induruwa - Ambalantota</t>
  </si>
  <si>
    <t>Induruwa - Anuradhapura</t>
  </si>
  <si>
    <t>Induruwa - Arugam bay</t>
  </si>
  <si>
    <t>Induruwa - balapitiya</t>
  </si>
  <si>
    <t>Induruwa - Batticaloa</t>
  </si>
  <si>
    <t>Induruwa - Bentota</t>
  </si>
  <si>
    <t>Induruwa - Beruwala</t>
  </si>
  <si>
    <t>Induruwa - Bundala</t>
  </si>
  <si>
    <t>Induruwa - Bandaranaike Airport</t>
  </si>
  <si>
    <t>Induruwa - Dambulla</t>
  </si>
  <si>
    <t>Induruwa - Deniyaya</t>
  </si>
  <si>
    <t>Induruwa - Dickwella</t>
  </si>
  <si>
    <t>Induruwa - Hiriketiya beach</t>
  </si>
  <si>
    <t>Induruwa - Galle</t>
  </si>
  <si>
    <t>Induruwa - Talpe</t>
  </si>
  <si>
    <t>Induruwa - Habarana</t>
  </si>
  <si>
    <t>Induruwa - Ella</t>
  </si>
  <si>
    <t>Induruwa - Beragala</t>
  </si>
  <si>
    <t>Induruwa - Dick oya</t>
  </si>
  <si>
    <t>Induruwa - Dodanduwa</t>
  </si>
  <si>
    <t>Induruwa - Jaffna</t>
  </si>
  <si>
    <t>Induruwa - Kalapuwa</t>
  </si>
  <si>
    <t>Induruwa - Ampitiya</t>
  </si>
  <si>
    <t>Induruwa - Digana</t>
  </si>
  <si>
    <t>Induruwa - Kataragama</t>
  </si>
  <si>
    <t>Induruwa - Alawathupitiya</t>
  </si>
  <si>
    <t>Induruwa - Pinnawala</t>
  </si>
  <si>
    <t>Induruwa - Kitulgala</t>
  </si>
  <si>
    <t>Induruwa - Habaraduwa</t>
  </si>
  <si>
    <t>Induruwa - Kosgoda</t>
  </si>
  <si>
    <t>Induruwa - Kuchchaveli</t>
  </si>
  <si>
    <t>Induruwa - Mannar</t>
  </si>
  <si>
    <t>Induruwa - Kinigama</t>
  </si>
  <si>
    <t>Induruwa - Kalamatiya</t>
  </si>
  <si>
    <t>Induruwa - mirissa</t>
  </si>
  <si>
    <t>Induruwa - Nanu Oya</t>
  </si>
  <si>
    <t>Induruwa - Waikkal</t>
  </si>
  <si>
    <t>Induruwa - Nilaveli</t>
  </si>
  <si>
    <t>Induruwa - Kotmale</t>
  </si>
  <si>
    <t>Induruwa - Pasikuda</t>
  </si>
  <si>
    <t>Induruwa - Galoya</t>
  </si>
  <si>
    <t>Induruwa - Kalpitiya</t>
  </si>
  <si>
    <t>Induruwa - Marawila</t>
  </si>
  <si>
    <t>Induruwa - Kiriella</t>
  </si>
  <si>
    <t>Induruwa - Pidurangala</t>
  </si>
  <si>
    <t>Induruwa - Rekawa</t>
  </si>
  <si>
    <t>Induruwa - Tissamaharama</t>
  </si>
  <si>
    <t>Induruwa - Yala Park</t>
  </si>
  <si>
    <t>Induruwa - Nilaweli</t>
  </si>
  <si>
    <t>Induruwa - Udawalawa</t>
  </si>
  <si>
    <t>Induruwa - Unawatuna</t>
  </si>
  <si>
    <t>Induruwa - Attanagalla</t>
  </si>
  <si>
    <t>Induruwa - Moronthuduwa</t>
  </si>
  <si>
    <t>Induruwa - Waskaduwa</t>
  </si>
  <si>
    <t>Induruwa - Weddagala</t>
  </si>
  <si>
    <t>Induruwa - Weligatta</t>
  </si>
  <si>
    <t>Induruwa - Akuressa</t>
  </si>
  <si>
    <t>Induruwa - Wilpattu</t>
  </si>
  <si>
    <t>Jaffna - Adams Peak</t>
  </si>
  <si>
    <t>Jaffna - Ahangama</t>
  </si>
  <si>
    <t>Jaffna - Ahungalla</t>
  </si>
  <si>
    <t>Jaffna - Aluthgama</t>
  </si>
  <si>
    <t>Jaffna - Ambalangoda</t>
  </si>
  <si>
    <t>Jaffna - Ambalantota</t>
  </si>
  <si>
    <t>Jaffna - Anuradhapura</t>
  </si>
  <si>
    <t>Jaffna - Arugam bay</t>
  </si>
  <si>
    <t>Jaffna - balapitiya</t>
  </si>
  <si>
    <t>Jaffna - Batticaloa</t>
  </si>
  <si>
    <t>Jaffna - Bentota</t>
  </si>
  <si>
    <t>Jaffna - Beruwala</t>
  </si>
  <si>
    <t>Jaffna - Bundala</t>
  </si>
  <si>
    <t>Jaffna - Bambalapitiya</t>
  </si>
  <si>
    <t>Jaffna - Bandaranaike Airport</t>
  </si>
  <si>
    <t>Jaffna - Dambulla</t>
  </si>
  <si>
    <t>Jaffna - Deniyaya</t>
  </si>
  <si>
    <t>Jaffna - Dickwella</t>
  </si>
  <si>
    <t>Jaffna - Hiriketiya beach</t>
  </si>
  <si>
    <t>Jaffna - Galle</t>
  </si>
  <si>
    <t>Jaffna - Talpe</t>
  </si>
  <si>
    <t>Jaffna - Habarana</t>
  </si>
  <si>
    <t>Jaffna - Ella</t>
  </si>
  <si>
    <t>Jaffna - Beragala</t>
  </si>
  <si>
    <t>Jaffna - Dick oya</t>
  </si>
  <si>
    <t>Jaffna - Dodanduwa</t>
  </si>
  <si>
    <t>Jaffna - Induruwa</t>
  </si>
  <si>
    <t>Jaffna - Kalapuwa</t>
  </si>
  <si>
    <t>Jaffna - Ampitiya</t>
  </si>
  <si>
    <t>Jaffna - Digana</t>
  </si>
  <si>
    <t>Jaffna - Kataragama</t>
  </si>
  <si>
    <t>Jaffna - Alawathupitiya</t>
  </si>
  <si>
    <t>Jaffna - Pinnawala</t>
  </si>
  <si>
    <t>Jaffna - Kitulgala</t>
  </si>
  <si>
    <t>Jaffna - Habaraduwa</t>
  </si>
  <si>
    <t>Jaffna - Kosgoda</t>
  </si>
  <si>
    <t>Jaffna - Kuchchaveli</t>
  </si>
  <si>
    <t>Jaffna - Mannar</t>
  </si>
  <si>
    <t>Jaffna - Kinigama</t>
  </si>
  <si>
    <t>Jaffna - Kalamatiya</t>
  </si>
  <si>
    <t>Jaffna - mirissa</t>
  </si>
  <si>
    <t>Jaffna - Nanu Oya</t>
  </si>
  <si>
    <t>Jaffna - Dalupotha</t>
  </si>
  <si>
    <t>Jaffna - Waikkal</t>
  </si>
  <si>
    <t>Jaffna - Nilaveli</t>
  </si>
  <si>
    <t>Jaffna - Kotmale</t>
  </si>
  <si>
    <t>Jaffna - Pasikuda</t>
  </si>
  <si>
    <t>Jaffna - Galoya</t>
  </si>
  <si>
    <t>Jaffna - Kalpitiya</t>
  </si>
  <si>
    <t>Jaffna - Marawila</t>
  </si>
  <si>
    <t>Jaffna - Kiriella</t>
  </si>
  <si>
    <t>Jaffna - Pidurangala</t>
  </si>
  <si>
    <t>Jaffna - Rekawa</t>
  </si>
  <si>
    <t>Jaffna - Tissamaharama</t>
  </si>
  <si>
    <t>Jaffna - Yala Park</t>
  </si>
  <si>
    <t>Jaffna - Nilaweli</t>
  </si>
  <si>
    <t>Jaffna - Udawalawa</t>
  </si>
  <si>
    <t>Jaffna - Unawatuna</t>
  </si>
  <si>
    <t>Jaffna - Attanagalla</t>
  </si>
  <si>
    <t>Jaffna - Moronthuduwa</t>
  </si>
  <si>
    <t>Jaffna - Waskaduwa</t>
  </si>
  <si>
    <t>Jaffna - Weddagala</t>
  </si>
  <si>
    <t>Jaffna - Weligatta</t>
  </si>
  <si>
    <t>Jaffna - Akuressa</t>
  </si>
  <si>
    <t>Jaffna - Wilpattu</t>
  </si>
  <si>
    <t>Kalapuwa - Adams Peak</t>
  </si>
  <si>
    <t>Kalapuwa - Ahangama</t>
  </si>
  <si>
    <t>Kalapuwa - Ahungalla</t>
  </si>
  <si>
    <t>Kalapuwa - Aluthgama</t>
  </si>
  <si>
    <t>Kalapuwa - Ambalangoda</t>
  </si>
  <si>
    <t>Kalapuwa - Ambalantota</t>
  </si>
  <si>
    <t>Kalapuwa - Anuradhapura</t>
  </si>
  <si>
    <t>Kalapuwa - Arugam bay</t>
  </si>
  <si>
    <t>Kalapuwa - balapitiya</t>
  </si>
  <si>
    <t>Kalapuwa - Batticaloa</t>
  </si>
  <si>
    <t>Kalapuwa - Bentota</t>
  </si>
  <si>
    <t>Kalapuwa - Beruwala</t>
  </si>
  <si>
    <t>Kalapuwa - Bundala</t>
  </si>
  <si>
    <t>Kalapuwa - Bambalapitiya</t>
  </si>
  <si>
    <t>Kalapuwa - Bandaranaike Airport</t>
  </si>
  <si>
    <t>Kalapuwa - Dambulla</t>
  </si>
  <si>
    <t>Kalapuwa - Deniyaya</t>
  </si>
  <si>
    <t>Kalapuwa - Dickwella</t>
  </si>
  <si>
    <t>Kalapuwa - Hiriketiya beach</t>
  </si>
  <si>
    <t>Kalapuwa - Galle</t>
  </si>
  <si>
    <t>Kalapuwa - Talpe</t>
  </si>
  <si>
    <t>Kalutara South - Galle</t>
  </si>
  <si>
    <t>Kalapuwa - Habarana</t>
  </si>
  <si>
    <t>Kalapuwa - Ella</t>
  </si>
  <si>
    <t>Kalapuwa - Beragala</t>
  </si>
  <si>
    <t>Kalapuwa - Dick oya</t>
  </si>
  <si>
    <t>Kalapuwa - Dodanduwa</t>
  </si>
  <si>
    <t>Kalapuwa - Induruwa</t>
  </si>
  <si>
    <t>Kalapuwa - Jaffna</t>
  </si>
  <si>
    <t>Kalapuwa - Ampitiya</t>
  </si>
  <si>
    <t>Kalapuwa - Digana</t>
  </si>
  <si>
    <t>Kalapuwa - Kataragama</t>
  </si>
  <si>
    <t>Kalapuwa - Alawathupitiya</t>
  </si>
  <si>
    <t>Kalapuwa - Pinnawala</t>
  </si>
  <si>
    <t>Kalapuwa - Kitulgala</t>
  </si>
  <si>
    <t>Kalapuwa - Habaraduwa</t>
  </si>
  <si>
    <t>Kalapuwa - Kosgoda</t>
  </si>
  <si>
    <t>Kalapuwa - Kuchchaveli</t>
  </si>
  <si>
    <t>Kalapuwa - Mannar</t>
  </si>
  <si>
    <t>Kalapuwa - Kinigama</t>
  </si>
  <si>
    <t>Kalapuwa - Kalamatiya</t>
  </si>
  <si>
    <t>Kalutara South - Matara</t>
  </si>
  <si>
    <t>Kalapuwa - mirissa</t>
  </si>
  <si>
    <t>Kalutara South - Moratuwa</t>
  </si>
  <si>
    <t>Kalapuwa - Nanu Oya</t>
  </si>
  <si>
    <t>Kalapuwa - Dalupotha</t>
  </si>
  <si>
    <t>Kalapuwa - Waikkal</t>
  </si>
  <si>
    <t>Kalapuwa - Nilaveli</t>
  </si>
  <si>
    <t>Kalapuwa - Kotmale</t>
  </si>
  <si>
    <t>Kalapuwa - Pasikuda</t>
  </si>
  <si>
    <t>Kalapuwa - Galoya</t>
  </si>
  <si>
    <t>Kalapuwa - Kalpitiya</t>
  </si>
  <si>
    <t>Kalapuwa - Marawila</t>
  </si>
  <si>
    <t>Kalapuwa - Kiriella</t>
  </si>
  <si>
    <t>Kalapuwa - Pidurangala</t>
  </si>
  <si>
    <t>Kalapuwa - Rekawa</t>
  </si>
  <si>
    <t>Kalapuwa - Tissamaharama</t>
  </si>
  <si>
    <t>Kalapuwa - Yala Park</t>
  </si>
  <si>
    <t>Kalapuwa - Nilaweli</t>
  </si>
  <si>
    <t>Kalapuwa - Udawalawa</t>
  </si>
  <si>
    <t>Kalapuwa - Unawatuna</t>
  </si>
  <si>
    <t>Kalapuwa - Attanagalla</t>
  </si>
  <si>
    <t>Kalapuwa - Moronthuduwa</t>
  </si>
  <si>
    <t>Kalapuwa - Waskaduwa</t>
  </si>
  <si>
    <t>Kalapuwa - Weddagala</t>
  </si>
  <si>
    <t>Kalapuwa - Weligatta</t>
  </si>
  <si>
    <t>Kalapuwa - Akuressa</t>
  </si>
  <si>
    <t>Kalapuwa - Wilpattu</t>
  </si>
  <si>
    <t>Ampitiya - Adams Peak</t>
  </si>
  <si>
    <t>Ampitiya - Anuradhapura</t>
  </si>
  <si>
    <t>Ampitiya - Arugam bay</t>
  </si>
  <si>
    <t>Ampitiya - Batticaloa</t>
  </si>
  <si>
    <t>Ampitiya - Beruwala</t>
  </si>
  <si>
    <t>Ampitiya - Bundala</t>
  </si>
  <si>
    <t>Ampitiya - Bandaranaike Airport</t>
  </si>
  <si>
    <t>Ampitiya - Dambulla</t>
  </si>
  <si>
    <t>Ampitiya - Deniyaya</t>
  </si>
  <si>
    <t>Ampitiya - Dickwella</t>
  </si>
  <si>
    <t>Ampitiya - Hiriketiya beach</t>
  </si>
  <si>
    <t>Ampitiya - Talpe</t>
  </si>
  <si>
    <t>Ampitiya - Beragala</t>
  </si>
  <si>
    <t>Ampitiya - Dick oya</t>
  </si>
  <si>
    <t>Ampitiya - Induruwa</t>
  </si>
  <si>
    <t>Ampitiya - Jaffna</t>
  </si>
  <si>
    <t>Ampitiya - Kalapuwa</t>
  </si>
  <si>
    <t>Ampitiya - Digana</t>
  </si>
  <si>
    <t>Ampitiya - Kataragama</t>
  </si>
  <si>
    <t>Ampitiya - Alawathupitiya</t>
  </si>
  <si>
    <t>Ampitiya - Pinnawala</t>
  </si>
  <si>
    <t>Ampitiya - Kitulgala</t>
  </si>
  <si>
    <t>Ampitiya - Habaraduwa</t>
  </si>
  <si>
    <t>Ampitiya - Kuchchaveli</t>
  </si>
  <si>
    <t>Ampitiya - Mannar</t>
  </si>
  <si>
    <t>Ampitiya - Kinigama</t>
  </si>
  <si>
    <t>Ampitiya - Nanu Oya</t>
  </si>
  <si>
    <t>Ampitiya - Waikkal</t>
  </si>
  <si>
    <t>Ampitiya - Nilaveli</t>
  </si>
  <si>
    <t>Ampitiya - Pasikuda</t>
  </si>
  <si>
    <t>Ampitiya - Galoya</t>
  </si>
  <si>
    <t>Ampitiya - Kalpitiya</t>
  </si>
  <si>
    <t>Ampitiya - Marawila</t>
  </si>
  <si>
    <t>Ampitiya - Kiriella</t>
  </si>
  <si>
    <t>Ampitiya - Rekawa</t>
  </si>
  <si>
    <t>Ampitiya - Tissamaharama</t>
  </si>
  <si>
    <t>Ampitiya - Yala Park</t>
  </si>
  <si>
    <t>Ampitiya - Udawalawa</t>
  </si>
  <si>
    <t>Ampitiya - Attanagalla</t>
  </si>
  <si>
    <t>Ampitiya - Waskaduwa</t>
  </si>
  <si>
    <t>Ampitiya - Weddagala</t>
  </si>
  <si>
    <t>Ampitiya - Weligatta</t>
  </si>
  <si>
    <t>Ampitiya - Akuressa</t>
  </si>
  <si>
    <t>Ampitiya - Wilpattu</t>
  </si>
  <si>
    <t>Kataragama - Bandaranaike Airport</t>
  </si>
  <si>
    <t>Kataragama - Alawathupitiya</t>
  </si>
  <si>
    <t>Kataragama - Dalupotha</t>
  </si>
  <si>
    <t>Kataragama - Tissamaharama</t>
  </si>
  <si>
    <t>Kataragama - Yala Park</t>
  </si>
  <si>
    <t>Alawathupitiya - Adams Peak</t>
  </si>
  <si>
    <t>Alawathupitiya - Ahangama</t>
  </si>
  <si>
    <t>Alawathupitiya - Ahungalla</t>
  </si>
  <si>
    <t>Alawathupitiya - Aluthgama</t>
  </si>
  <si>
    <t>Alawathupitiya - Ambalangoda</t>
  </si>
  <si>
    <t>Alawathupitiya - Ambalantota</t>
  </si>
  <si>
    <t>Alawathupitiya - Anuradhapura</t>
  </si>
  <si>
    <t>Alawathupitiya - Arugam bay</t>
  </si>
  <si>
    <t>Alawathupitiya - balapitiya</t>
  </si>
  <si>
    <t>Alawathupitiya - Batticaloa</t>
  </si>
  <si>
    <t>Alawathupitiya - Bentota</t>
  </si>
  <si>
    <t>Alawathupitiya - Beruwala</t>
  </si>
  <si>
    <t>Alawathupitiya - Bundala</t>
  </si>
  <si>
    <t>Alawathupitiya - Bambalapitiya</t>
  </si>
  <si>
    <t>Alawathupitiya - Bandaranaike Airport</t>
  </si>
  <si>
    <t>Alawathupitiya - Dambulla</t>
  </si>
  <si>
    <t>Alawathupitiya - Deniyaya</t>
  </si>
  <si>
    <t>Alawathupitiya - Dickwella</t>
  </si>
  <si>
    <t>Alawathupitiya - Hiriketiya beach</t>
  </si>
  <si>
    <t>Alawathupitiya - Galle</t>
  </si>
  <si>
    <t>Alawathupitiya - Talpe</t>
  </si>
  <si>
    <t>Alawathupitiya - Habarana</t>
  </si>
  <si>
    <t>Alawathupitiya - Ella</t>
  </si>
  <si>
    <t>Alawathupitiya - Beragala</t>
  </si>
  <si>
    <t>Alawathupitiya - Dick oya</t>
  </si>
  <si>
    <t>Alawathupitiya - Dodanduwa</t>
  </si>
  <si>
    <t>Alawathupitiya - Induruwa</t>
  </si>
  <si>
    <t>Alawathupitiya - Jaffna</t>
  </si>
  <si>
    <t>Alawathupitiya - Kalapuwa</t>
  </si>
  <si>
    <t>Alawathupitiya - Ampitiya</t>
  </si>
  <si>
    <t>Alawathupitiya - Digana</t>
  </si>
  <si>
    <t>Alawathupitiya - Kataragama</t>
  </si>
  <si>
    <t>Alawathupitiya - Pinnawala</t>
  </si>
  <si>
    <t>Alawathupitiya - Kitulgala</t>
  </si>
  <si>
    <t>Alawathupitiya - Habaraduwa</t>
  </si>
  <si>
    <t>Alawathupitiya - Kosgoda</t>
  </si>
  <si>
    <t>Alawathupitiya - Kuchchaveli</t>
  </si>
  <si>
    <t>Alawathupitiya - Mannar</t>
  </si>
  <si>
    <t>Alawathupitiya - Kinigama</t>
  </si>
  <si>
    <t>Alawathupitiya - Kalamatiya</t>
  </si>
  <si>
    <t>Alawathupitiya - mirissa</t>
  </si>
  <si>
    <t>Alawathupitiya - Nanu Oya</t>
  </si>
  <si>
    <t>Alawathupitiya - Dalupotha</t>
  </si>
  <si>
    <t>Alawathupitiya - Waikkal</t>
  </si>
  <si>
    <t>Alawathupitiya - Nilaveli</t>
  </si>
  <si>
    <t>Alawathupitiya - Kotmale</t>
  </si>
  <si>
    <t>Alawathupitiya - Pasikuda</t>
  </si>
  <si>
    <t>Alawathupitiya - Galoya</t>
  </si>
  <si>
    <t>Alawathupitiya - Kalpitiya</t>
  </si>
  <si>
    <t>Alawathupitiya - Marawila</t>
  </si>
  <si>
    <t>Alawathupitiya - Kiriella</t>
  </si>
  <si>
    <t>Alawathupitiya - Pidurangala</t>
  </si>
  <si>
    <t>Alawathupitiya - Rekawa</t>
  </si>
  <si>
    <t>Alawathupitiya - Tissamaharama</t>
  </si>
  <si>
    <t>Alawathupitiya - Yala Park</t>
  </si>
  <si>
    <t>Alawathupitiya - Nilaweli</t>
  </si>
  <si>
    <t>Alawathupitiya - Udawalawa</t>
  </si>
  <si>
    <t>Alawathupitiya - Unawatuna</t>
  </si>
  <si>
    <t>Alawathupitiya - Attanagalla</t>
  </si>
  <si>
    <t>Alawathupitiya - Moronthuduwa</t>
  </si>
  <si>
    <t>Alawathupitiya - Waskaduwa</t>
  </si>
  <si>
    <t>Alawathupitiya - Weddagala</t>
  </si>
  <si>
    <t>Alawathupitiya - Weligatta</t>
  </si>
  <si>
    <t>Alawathupitiya - Akuressa</t>
  </si>
  <si>
    <t>Alawathupitiya - Wilpattu</t>
  </si>
  <si>
    <t>Kitulgala - Adams Peak</t>
  </si>
  <si>
    <t>Kitulgala - Ahangama</t>
  </si>
  <si>
    <t>Kitulgala - Ahungalla</t>
  </si>
  <si>
    <t>Kitulgala - Aluthgama</t>
  </si>
  <si>
    <t>Kitulgala - Ambalangoda</t>
  </si>
  <si>
    <t>Kitulgala - Ambalantota</t>
  </si>
  <si>
    <t>Kitulgala - Anuradhapura</t>
  </si>
  <si>
    <t>Kitulgala - Arugam bay</t>
  </si>
  <si>
    <t>Kitulgala - balapitiya</t>
  </si>
  <si>
    <t>Kitulgala - Batticaloa</t>
  </si>
  <si>
    <t>Kitulgala - Bentota</t>
  </si>
  <si>
    <t>Kitulgala - Beruwala</t>
  </si>
  <si>
    <t>Kitulgala - Bundala</t>
  </si>
  <si>
    <t>Kitulgala - Bambalapitiya</t>
  </si>
  <si>
    <t>Kitulgala - Bandaranaike Airport</t>
  </si>
  <si>
    <t>Kitulgala - Dambulla</t>
  </si>
  <si>
    <t>Kitulgala - Deniyaya</t>
  </si>
  <si>
    <t>Kitulgala - Dickwella</t>
  </si>
  <si>
    <t>Kitulgala - Hiriketiya beach</t>
  </si>
  <si>
    <t>Kitulgala - Galle</t>
  </si>
  <si>
    <t>Kitulgala - Talpe</t>
  </si>
  <si>
    <t>Kitulgala - Habarana</t>
  </si>
  <si>
    <t>Kitulgala - Ella</t>
  </si>
  <si>
    <t>Kitulgala - Beragala</t>
  </si>
  <si>
    <t>Kitulgala - Dick oya</t>
  </si>
  <si>
    <t>Kitulgala - Dodanduwa</t>
  </si>
  <si>
    <t>Kitulgala - Induruwa</t>
  </si>
  <si>
    <t>Kitulgala - Jaffna</t>
  </si>
  <si>
    <t>Kitulgala - Kalapuwa</t>
  </si>
  <si>
    <t>Kitulgala - Ampitiya</t>
  </si>
  <si>
    <t>Kitulgala - Digana</t>
  </si>
  <si>
    <t>Kitulgala - Kataragama</t>
  </si>
  <si>
    <t>Kitulgala - Alawathupitiya</t>
  </si>
  <si>
    <t>Kitulgala - Pinnawala</t>
  </si>
  <si>
    <t>Kitulgala - Kitulgala</t>
  </si>
  <si>
    <t>Kitulgala - Habaraduwa</t>
  </si>
  <si>
    <t>Kitulgala - Kosgoda</t>
  </si>
  <si>
    <t>Kitulgala - Kuchchaveli</t>
  </si>
  <si>
    <t>Kitulgala - Mannar</t>
  </si>
  <si>
    <t>Kitulgala - Kinigama</t>
  </si>
  <si>
    <t>Kitulgala - Kalamatiya</t>
  </si>
  <si>
    <t>Kitulgala - mirissa</t>
  </si>
  <si>
    <t>Kitulgala - Nanu Oya</t>
  </si>
  <si>
    <t>Kitulgala - Dalupotha</t>
  </si>
  <si>
    <t>Kitulgala - Waikkal</t>
  </si>
  <si>
    <t>Kitulgala - Nilaveli</t>
  </si>
  <si>
    <t>Kitulgala - Kotmale</t>
  </si>
  <si>
    <t>Kitulgala - Pasikuda</t>
  </si>
  <si>
    <t>Kitulgala - Galoya</t>
  </si>
  <si>
    <t>Kitulgala - Kalpitiya</t>
  </si>
  <si>
    <t>Kitulgala - Marawila</t>
  </si>
  <si>
    <t>Kitulgala - Kiriella</t>
  </si>
  <si>
    <t>Kitulgala - Pidurangala</t>
  </si>
  <si>
    <t>Kitulgala - Rekawa</t>
  </si>
  <si>
    <t>Kitulgala - Tissamaharama</t>
  </si>
  <si>
    <t>Kitulgala - Yala Park</t>
  </si>
  <si>
    <t>Kitulgala - Nilaweli</t>
  </si>
  <si>
    <t>Kitulgala - Udawalawa</t>
  </si>
  <si>
    <t>Kitulgala - Unawatuna</t>
  </si>
  <si>
    <t>Kitulgala - Attanagalla</t>
  </si>
  <si>
    <t>Kitulgala - Moronthuduwa</t>
  </si>
  <si>
    <t>Kitulgala - Waskaduwa</t>
  </si>
  <si>
    <t>Kitulgala - Weddagala</t>
  </si>
  <si>
    <t>Kitulgala - Weligatta</t>
  </si>
  <si>
    <t>Kitulgala - Akuressa</t>
  </si>
  <si>
    <t>Kitulgala - Wilpattu</t>
  </si>
  <si>
    <t>Habaraduwa - Adams Peak</t>
  </si>
  <si>
    <t>Habaraduwa - Ahangama</t>
  </si>
  <si>
    <t>Koggala - Ahangama</t>
  </si>
  <si>
    <t>Habaraduwa - Ahungalla</t>
  </si>
  <si>
    <t>Habaraduwa - Aluthgama</t>
  </si>
  <si>
    <t>Habaraduwa - Ambalangoda</t>
  </si>
  <si>
    <t>Habaraduwa - Ambalantota</t>
  </si>
  <si>
    <t>Habaraduwa - Anuradhapura</t>
  </si>
  <si>
    <t>Habaraduwa - Arugam bay</t>
  </si>
  <si>
    <t>Habaraduwa - balapitiya</t>
  </si>
  <si>
    <t>Habaraduwa - Batticaloa</t>
  </si>
  <si>
    <t>Habaraduwa - Bentota</t>
  </si>
  <si>
    <t>Habaraduwa - Beruwala</t>
  </si>
  <si>
    <t>Habaraduwa - Bundala</t>
  </si>
  <si>
    <t>Habaraduwa - Bambalapitiya</t>
  </si>
  <si>
    <t>Habaraduwa - Bandaranaike Airport</t>
  </si>
  <si>
    <t>Habaraduwa - Dambulla</t>
  </si>
  <si>
    <t>Habaraduwa - Deniyaya</t>
  </si>
  <si>
    <t>Habaraduwa - Dickwella</t>
  </si>
  <si>
    <t>Habaraduwa - Hiriketiya beach</t>
  </si>
  <si>
    <t>Habaraduwa - Galle</t>
  </si>
  <si>
    <t>Habaraduwa - Talpe</t>
  </si>
  <si>
    <t>Habaraduwa - Habarana</t>
  </si>
  <si>
    <t>Habaraduwa - Ella</t>
  </si>
  <si>
    <t>Habaraduwa - Beragala</t>
  </si>
  <si>
    <t>Habaraduwa - Dick oya</t>
  </si>
  <si>
    <t>Habaraduwa - Dodanduwa</t>
  </si>
  <si>
    <t>Habaraduwa - Induruwa</t>
  </si>
  <si>
    <t>Habaraduwa - Jaffna</t>
  </si>
  <si>
    <t>Habaraduwa - Kalapuwa</t>
  </si>
  <si>
    <t>Habaraduwa - Ampitiya</t>
  </si>
  <si>
    <t>Habaraduwa - Digana</t>
  </si>
  <si>
    <t>Habaraduwa - Kataragama</t>
  </si>
  <si>
    <t>Habaraduwa - Alawathupitiya</t>
  </si>
  <si>
    <t>Habaraduwa - Pinnawala</t>
  </si>
  <si>
    <t>Habaraduwa - Kitulgala</t>
  </si>
  <si>
    <t>Habaraduwa - Kosgoda</t>
  </si>
  <si>
    <t>Habaraduwa - Kuchchaveli</t>
  </si>
  <si>
    <t>Habaraduwa - Mannar</t>
  </si>
  <si>
    <t>Habaraduwa - Kinigama</t>
  </si>
  <si>
    <t>Habaraduwa - Kalamatiya</t>
  </si>
  <si>
    <t>Koggala - Matara</t>
  </si>
  <si>
    <t>Habaraduwa - mirissa</t>
  </si>
  <si>
    <t>Koggala - Mirissa</t>
  </si>
  <si>
    <t>Habaraduwa - Nanu Oya</t>
  </si>
  <si>
    <t>Habaraduwa - Dalupotha</t>
  </si>
  <si>
    <t>Habaraduwa - Waikkal</t>
  </si>
  <si>
    <t>Habaraduwa - Nilaveli</t>
  </si>
  <si>
    <t>Habaraduwa - Kotmale</t>
  </si>
  <si>
    <t>Habaraduwa - Pasikuda</t>
  </si>
  <si>
    <t>Habaraduwa - Galoya</t>
  </si>
  <si>
    <t>Habaraduwa - Kalpitiya</t>
  </si>
  <si>
    <t>Habaraduwa - Marawila</t>
  </si>
  <si>
    <t>Habaraduwa - Kiriella</t>
  </si>
  <si>
    <t>Habaraduwa - Pidurangala</t>
  </si>
  <si>
    <t>Habaraduwa - Rekawa</t>
  </si>
  <si>
    <t>Habaraduwa - Tissamaharama</t>
  </si>
  <si>
    <t>Habaraduwa - Yala Park</t>
  </si>
  <si>
    <t>Habaraduwa - Nilaweli</t>
  </si>
  <si>
    <t>Habaraduwa - Udawalawa</t>
  </si>
  <si>
    <t>Habaraduwa - Unawatuna</t>
  </si>
  <si>
    <t>Habaraduwa - Attanagalla</t>
  </si>
  <si>
    <t>Habaraduwa - Moronthuduwa</t>
  </si>
  <si>
    <t>Habaraduwa - Waskaduwa</t>
  </si>
  <si>
    <t>Habaraduwa - Weddagala</t>
  </si>
  <si>
    <t>Habaraduwa - Weligatta</t>
  </si>
  <si>
    <t>Habaraduwa - Akuressa</t>
  </si>
  <si>
    <t>Koggala - Weligama</t>
  </si>
  <si>
    <t>Habaraduwa - Wilpattu</t>
  </si>
  <si>
    <t>Kosgoda - Adams Peak</t>
  </si>
  <si>
    <t>Kosgoda - Ahangama</t>
  </si>
  <si>
    <t>Kosgoda - Ahungalla</t>
  </si>
  <si>
    <t>Kosgoda - Aluthgama</t>
  </si>
  <si>
    <t>Kosgoda - Ambalangoda</t>
  </si>
  <si>
    <t>Kosgoda - Ambalantota</t>
  </si>
  <si>
    <t>Kosgoda - Anuradhapura</t>
  </si>
  <si>
    <t>Kosgoda - Arugam bay</t>
  </si>
  <si>
    <t>Kosgoda - balapitiya</t>
  </si>
  <si>
    <t>Kosgoda - Batticaloa</t>
  </si>
  <si>
    <t>Kosgoda - Bentota</t>
  </si>
  <si>
    <t>Kosgoda - Beruwala</t>
  </si>
  <si>
    <t>Kosgoda - Bundala</t>
  </si>
  <si>
    <t>Kosgoda - Bandaranaike Airport</t>
  </si>
  <si>
    <t>Kosgoda - Deniyaya</t>
  </si>
  <si>
    <t>Kosgoda - Dickwella</t>
  </si>
  <si>
    <t>Kosgoda - Hiriketiya beach</t>
  </si>
  <si>
    <t>Kosgoda - Galle</t>
  </si>
  <si>
    <t>Kosgoda - Talpe</t>
  </si>
  <si>
    <t>Kosgoda - Habarana</t>
  </si>
  <si>
    <t>Kosgoda - Ella</t>
  </si>
  <si>
    <t>Kosgoda - Beragala</t>
  </si>
  <si>
    <t>Kosgoda - Dick oya</t>
  </si>
  <si>
    <t>Kosgoda - Dodanduwa</t>
  </si>
  <si>
    <t>Kosgoda - Induruwa</t>
  </si>
  <si>
    <t>Kosgoda - Jaffna</t>
  </si>
  <si>
    <t>Kosgoda - Kalapuwa</t>
  </si>
  <si>
    <t>Kosgoda - Digana</t>
  </si>
  <si>
    <t>Kosgoda - Kataragama</t>
  </si>
  <si>
    <t>Kosgoda - Alawathupitiya</t>
  </si>
  <si>
    <t>Kosgoda - Pinnawala</t>
  </si>
  <si>
    <t>Kosgoda - Kitulgala</t>
  </si>
  <si>
    <t>Kosgoda - Habaraduwa</t>
  </si>
  <si>
    <t>Kosgoda - Kuchchaveli</t>
  </si>
  <si>
    <t>Kosgoda - Mannar</t>
  </si>
  <si>
    <t>Kosgoda - Kinigama</t>
  </si>
  <si>
    <t>Kosgoda - Kalamatiya</t>
  </si>
  <si>
    <t>Kosgoda - mirissa</t>
  </si>
  <si>
    <t>Kosgoda - Nanu Oya</t>
  </si>
  <si>
    <t>Kosgoda - Waikkal</t>
  </si>
  <si>
    <t>Kosgoda - Nilaveli</t>
  </si>
  <si>
    <t>Kosgoda - Kotmale</t>
  </si>
  <si>
    <t>Kosgoda - Pasikuda</t>
  </si>
  <si>
    <t>Kosgoda - Galoya</t>
  </si>
  <si>
    <t>Kosgoda - Kalpitiya</t>
  </si>
  <si>
    <t>Kosgoda - Marawila</t>
  </si>
  <si>
    <t>Kosgoda - Kiriella</t>
  </si>
  <si>
    <t>Kosgoda - Rekawa</t>
  </si>
  <si>
    <t>Kosgoda - Tissamaharama</t>
  </si>
  <si>
    <t>Kosgoda - Yala Park</t>
  </si>
  <si>
    <t>Kosgoda - Nilaweli</t>
  </si>
  <si>
    <t>Kosgoda - Udawalawa</t>
  </si>
  <si>
    <t>Kosgoda - Unawatuna</t>
  </si>
  <si>
    <t>Kosgoda - Attanagalla</t>
  </si>
  <si>
    <t>Kosgoda - Moronthuduwa</t>
  </si>
  <si>
    <t>Kosgoda - Waskaduwa</t>
  </si>
  <si>
    <t>Kosgoda - Weddagala</t>
  </si>
  <si>
    <t>Kosgoda - Weligatta</t>
  </si>
  <si>
    <t>Kosgoda - Akuressa</t>
  </si>
  <si>
    <t>Kosgoda - Wilpattu</t>
  </si>
  <si>
    <t>Kuchchaveli - Bandaranaike Airport</t>
  </si>
  <si>
    <t>Mannar - Adams Peak</t>
  </si>
  <si>
    <t>Mannar - Ahangama</t>
  </si>
  <si>
    <t>Mannar - Ahungalla</t>
  </si>
  <si>
    <t>Mannar - Aluthgama</t>
  </si>
  <si>
    <t>Mannar - Ambalangoda</t>
  </si>
  <si>
    <t>Mannar - Ambalantota</t>
  </si>
  <si>
    <t>Mannar - Anuradhapura</t>
  </si>
  <si>
    <t>Mannar - Arugam bay</t>
  </si>
  <si>
    <t>Mannar - balapitiya</t>
  </si>
  <si>
    <t>Mannar - Batticaloa</t>
  </si>
  <si>
    <t>Mannar - Bentota</t>
  </si>
  <si>
    <t>Mannar - Beruwala</t>
  </si>
  <si>
    <t>Mannar - Bundala</t>
  </si>
  <si>
    <t>Mannar - Bambalapitiya</t>
  </si>
  <si>
    <t>Mannar - Bandaranaike Airport</t>
  </si>
  <si>
    <t>Mannar - Dambulla</t>
  </si>
  <si>
    <t>Mannar - Deniyaya</t>
  </si>
  <si>
    <t>Mannar - Dickwella</t>
  </si>
  <si>
    <t>Mannar - Hiriketiya beach</t>
  </si>
  <si>
    <t>Mannar - Galle</t>
  </si>
  <si>
    <t>Mannar - Talpe</t>
  </si>
  <si>
    <t>Mannar - Habarana</t>
  </si>
  <si>
    <t>Mannar - Ella</t>
  </si>
  <si>
    <t>Mannar - Beragala</t>
  </si>
  <si>
    <t>Mannar - Dick oya</t>
  </si>
  <si>
    <t>Mannar - Dodanduwa</t>
  </si>
  <si>
    <t>Mannar - Induruwa</t>
  </si>
  <si>
    <t>Mannar - Jaffna</t>
  </si>
  <si>
    <t>Mannar - Kalapuwa</t>
  </si>
  <si>
    <t>Mannar - Ampitiya</t>
  </si>
  <si>
    <t>Mannar - Digana</t>
  </si>
  <si>
    <t>Mannar - Kataragama</t>
  </si>
  <si>
    <t>Mannar - Alawathupitiya</t>
  </si>
  <si>
    <t>Mannar - Pinnawala</t>
  </si>
  <si>
    <t>Mannar - Kitulgala</t>
  </si>
  <si>
    <t>Mannar - Habaraduwa</t>
  </si>
  <si>
    <t>Mannar - Kosgoda</t>
  </si>
  <si>
    <t>Mannar - Kuchchaveli</t>
  </si>
  <si>
    <t>Mannar - Kinigama</t>
  </si>
  <si>
    <t>Mannar - Kalamatiya</t>
  </si>
  <si>
    <t>Mannar - mirissa</t>
  </si>
  <si>
    <t>Mannar - Nanu Oya</t>
  </si>
  <si>
    <t>Mannar - Dalupotha</t>
  </si>
  <si>
    <t>Mannar - Waikkal</t>
  </si>
  <si>
    <t>Mannar - Nilaveli</t>
  </si>
  <si>
    <t>Mannar - Kotmale</t>
  </si>
  <si>
    <t>Mannar - Pasikuda</t>
  </si>
  <si>
    <t>Mannar - Galoya</t>
  </si>
  <si>
    <t>Mannar - Kalpitiya</t>
  </si>
  <si>
    <t>Mannar - Marawila</t>
  </si>
  <si>
    <t>Mannar - Kiriella</t>
  </si>
  <si>
    <t>Mannar - Pidurangala</t>
  </si>
  <si>
    <t>Mannar - Rekawa</t>
  </si>
  <si>
    <t>Mannar - Tissamaharama</t>
  </si>
  <si>
    <t>Mannar - Yala Park</t>
  </si>
  <si>
    <t>Mannar - Nilaweli</t>
  </si>
  <si>
    <t>Mannar - Udawalawa</t>
  </si>
  <si>
    <t>Mannar - Unawatuna</t>
  </si>
  <si>
    <t>Mannar - Attanagalla</t>
  </si>
  <si>
    <t>Mannar - Moronthuduwa</t>
  </si>
  <si>
    <t>Mannar - Waskaduwa</t>
  </si>
  <si>
    <t>Mannar - Weddagala</t>
  </si>
  <si>
    <t>Mannar - Weligatta</t>
  </si>
  <si>
    <t>Mannar - Akuressa</t>
  </si>
  <si>
    <t>Mannar - Wilpattu</t>
  </si>
  <si>
    <t>Kalamatiya - Adams Peak</t>
  </si>
  <si>
    <t>Kalamatiya - Ahangama</t>
  </si>
  <si>
    <t>Kalamatiya - Ahungalla</t>
  </si>
  <si>
    <t>Kalamatiya - Aluthgama</t>
  </si>
  <si>
    <t>Kalamatiya - Ambalangoda</t>
  </si>
  <si>
    <t>Kalamatiya - Ambalantota</t>
  </si>
  <si>
    <t>Kalamatiya - Anuradhapura</t>
  </si>
  <si>
    <t>Kalamatiya - Arugam bay</t>
  </si>
  <si>
    <t>Kalamatiya - balapitiya</t>
  </si>
  <si>
    <t>Kalamatiya - Batticaloa</t>
  </si>
  <si>
    <t>Kalamatiya - Bentota</t>
  </si>
  <si>
    <t>Kalamatiya - Beruwala</t>
  </si>
  <si>
    <t>Kalamatiya - Bundala</t>
  </si>
  <si>
    <t>Kalamatiya - Bandaranaike Airport</t>
  </si>
  <si>
    <t>Kalamatiya - Deniyaya</t>
  </si>
  <si>
    <t>Kalamatiya - Dickwella</t>
  </si>
  <si>
    <t>Kalamatiya - Hiriketiya beach</t>
  </si>
  <si>
    <t>Kalamatiya - Galle</t>
  </si>
  <si>
    <t>Kalamatiya - Talpe</t>
  </si>
  <si>
    <t>Matara - Galle</t>
  </si>
  <si>
    <t>Kalamatiya - Habarana</t>
  </si>
  <si>
    <t>Kalamatiya - Ella</t>
  </si>
  <si>
    <t>Kalamatiya - Beragala</t>
  </si>
  <si>
    <t>Kalamatiya - Dick oya</t>
  </si>
  <si>
    <t>Kalamatiya - Dodanduwa</t>
  </si>
  <si>
    <t>Kalamatiya - Induruwa</t>
  </si>
  <si>
    <t>Kalamatiya - Jaffna</t>
  </si>
  <si>
    <t>Kalamatiya - Kalapuwa</t>
  </si>
  <si>
    <t>Kalamatiya - Digana</t>
  </si>
  <si>
    <t>Kalamatiya - Kataragama</t>
  </si>
  <si>
    <t>Kalamatiya - Alawathupitiya</t>
  </si>
  <si>
    <t>Kalamatiya - Pinnawala</t>
  </si>
  <si>
    <t>Kalamatiya - Kitulgala</t>
  </si>
  <si>
    <t>Kalamatiya - Habaraduwa</t>
  </si>
  <si>
    <t>Kalamatiya - Kosgoda</t>
  </si>
  <si>
    <t>Kalamatiya - Kuchchaveli</t>
  </si>
  <si>
    <t>Kalamatiya - Mannar</t>
  </si>
  <si>
    <t>Kalamatiya - Kinigama</t>
  </si>
  <si>
    <t>Kalamatiya - mirissa</t>
  </si>
  <si>
    <t>Matara - Moratuwa</t>
  </si>
  <si>
    <t>Kalamatiya - Nanu Oya</t>
  </si>
  <si>
    <t>Kalamatiya - Waikkal</t>
  </si>
  <si>
    <t>Kalamatiya - Nilaveli</t>
  </si>
  <si>
    <t>Kalamatiya - Pasikuda</t>
  </si>
  <si>
    <t>Kalamatiya - Galoya</t>
  </si>
  <si>
    <t>Kalamatiya - Kalpitiya</t>
  </si>
  <si>
    <t>Kalamatiya - Marawila</t>
  </si>
  <si>
    <t>Kalamatiya - Kiriella</t>
  </si>
  <si>
    <t>Kalamatiya - Rekawa</t>
  </si>
  <si>
    <t>Kalamatiya - Tissamaharama</t>
  </si>
  <si>
    <t>Kalamatiya - Yala Park</t>
  </si>
  <si>
    <t>Kalamatiya - Nilaweli</t>
  </si>
  <si>
    <t>Kalamatiya - Udawalawa</t>
  </si>
  <si>
    <t>Kalamatiya - Unawatuna</t>
  </si>
  <si>
    <t>Kalamatiya - Attanagalla</t>
  </si>
  <si>
    <t>Kalamatiya - Moronthuduwa</t>
  </si>
  <si>
    <t>Kalamatiya - Waskaduwa</t>
  </si>
  <si>
    <t>Kalamatiya - Weddagala</t>
  </si>
  <si>
    <t>Kalamatiya - Weligatta</t>
  </si>
  <si>
    <t>Kalamatiya - Akuressa</t>
  </si>
  <si>
    <t>Kalamatiya - Wilpattu</t>
  </si>
  <si>
    <t>mirissa - Adams Peak</t>
  </si>
  <si>
    <t>mirissa - Ahangama</t>
  </si>
  <si>
    <t>mirissa - Ahungalla</t>
  </si>
  <si>
    <t>mirissa - Aluthgama</t>
  </si>
  <si>
    <t>mirissa - Ambalangoda</t>
  </si>
  <si>
    <t>mirissa - Ambalantota</t>
  </si>
  <si>
    <t>mirissa - Anuradhapura</t>
  </si>
  <si>
    <t>mirissa - Arugam bay</t>
  </si>
  <si>
    <t>mirissa - balapitiya</t>
  </si>
  <si>
    <t>mirissa - Batticaloa</t>
  </si>
  <si>
    <t>mirissa - Bentota</t>
  </si>
  <si>
    <t>mirissa - Beruwala</t>
  </si>
  <si>
    <t>mirissa - Bundala</t>
  </si>
  <si>
    <t>mirissa - Bambalapitiya</t>
  </si>
  <si>
    <t>mirissa - Bandaranaike Airport</t>
  </si>
  <si>
    <t>mirissa - Deniyaya</t>
  </si>
  <si>
    <t>mirissa - Dickwella</t>
  </si>
  <si>
    <t>mirissa - Hiriketiya beach</t>
  </si>
  <si>
    <t>mirissa - Galle</t>
  </si>
  <si>
    <t>mirissa - Talpe</t>
  </si>
  <si>
    <t>mirissa - Habarana</t>
  </si>
  <si>
    <t>mirissa - Ella</t>
  </si>
  <si>
    <t>mirissa - Beragala</t>
  </si>
  <si>
    <t>mirissa - Dick oya</t>
  </si>
  <si>
    <t>mirissa - Dodanduwa</t>
  </si>
  <si>
    <t>mirissa - Induruwa</t>
  </si>
  <si>
    <t>mirissa - Jaffna</t>
  </si>
  <si>
    <t>mirissa - Kalapuwa</t>
  </si>
  <si>
    <t>mirissa - Ampitiya</t>
  </si>
  <si>
    <t>mirissa - Digana</t>
  </si>
  <si>
    <t>mirissa - Kataragama</t>
  </si>
  <si>
    <t>mirissa - Alawathupitiya</t>
  </si>
  <si>
    <t>mirissa - Pinnawala</t>
  </si>
  <si>
    <t>mirissa - Kitulgala</t>
  </si>
  <si>
    <t>mirissa - Habaraduwa</t>
  </si>
  <si>
    <t>mirissa - Kosgoda</t>
  </si>
  <si>
    <t>mirissa - Kuchchaveli</t>
  </si>
  <si>
    <t>mirissa - Mannar</t>
  </si>
  <si>
    <t>mirissa - Kinigama</t>
  </si>
  <si>
    <t>mirissa - Kalamatiya</t>
  </si>
  <si>
    <t>Mirissa - Matara</t>
  </si>
  <si>
    <t>mirissa - Nanu Oya</t>
  </si>
  <si>
    <t>mirissa - Waikkal</t>
  </si>
  <si>
    <t>mirissa - Nilaveli</t>
  </si>
  <si>
    <t>mirissa - Kotmale</t>
  </si>
  <si>
    <t>mirissa - Pasikuda</t>
  </si>
  <si>
    <t>mirissa - Galoya</t>
  </si>
  <si>
    <t>mirissa - Kalpitiya</t>
  </si>
  <si>
    <t>mirissa - Marawila</t>
  </si>
  <si>
    <t>mirissa - Kiriella</t>
  </si>
  <si>
    <t>mirissa - Rekawa</t>
  </si>
  <si>
    <t>mirissa - Tissamaharama</t>
  </si>
  <si>
    <t>mirissa - Yala Park</t>
  </si>
  <si>
    <t>mirissa - Nilaweli</t>
  </si>
  <si>
    <t>mirissa - Udawalawa</t>
  </si>
  <si>
    <t>mirissa - Unawatuna</t>
  </si>
  <si>
    <t>mirissa - Attanagalla</t>
  </si>
  <si>
    <t>mirissa - Moronthuduwa</t>
  </si>
  <si>
    <t>mirissa - Waskaduwa</t>
  </si>
  <si>
    <t>mirissa - Weddagala</t>
  </si>
  <si>
    <t>mirissa - Weligatta</t>
  </si>
  <si>
    <t>mirissa - Akuressa</t>
  </si>
  <si>
    <t>mirissa - Wilpattu</t>
  </si>
  <si>
    <t>Moratuwa - Ahangama</t>
  </si>
  <si>
    <t>Moratuwa - Aluthgama</t>
  </si>
  <si>
    <t>Moratuwa - Ambalangoda</t>
  </si>
  <si>
    <t>Moratuwa - Bentota</t>
  </si>
  <si>
    <t>Moratuwa - Colombo Fort</t>
  </si>
  <si>
    <t>Moratuwa - Galle</t>
  </si>
  <si>
    <t>Moratuwa - Talpe</t>
  </si>
  <si>
    <t>Moratuwa - Dodanduwa</t>
  </si>
  <si>
    <t>Moratuwa - Hikkaduwa</t>
  </si>
  <si>
    <t>Moratuwa - Kalutara South</t>
  </si>
  <si>
    <t>Moratuwa - Koggala</t>
  </si>
  <si>
    <t>Moratuwa - Matara</t>
  </si>
  <si>
    <t>Moratuwa - Mirissa</t>
  </si>
  <si>
    <t>Moratuwa - Panadura</t>
  </si>
  <si>
    <t>Moratuwa - Wadduwa</t>
  </si>
  <si>
    <t>Moratuwa - Weligama</t>
  </si>
  <si>
    <t>Nanu Oya - Bandaranaike Airport</t>
  </si>
  <si>
    <t>Dalupotha - Adams Peak</t>
  </si>
  <si>
    <t>Waikkal - Adams Peak</t>
  </si>
  <si>
    <t>Waikkal - Ahangama</t>
  </si>
  <si>
    <t>Waikkal - Ahungalla</t>
  </si>
  <si>
    <t>Waikkal - Aluthgama</t>
  </si>
  <si>
    <t>Waikkal - Ambalangoda</t>
  </si>
  <si>
    <t>Waikkal - Ambalantota</t>
  </si>
  <si>
    <t>Waikkal - Anuradhapura</t>
  </si>
  <si>
    <t>Dalupotha - Arugam bay</t>
  </si>
  <si>
    <t>Waikkal - Arugam bay</t>
  </si>
  <si>
    <t>Waikkal - balapitiya</t>
  </si>
  <si>
    <t>Dalupotha - Batticaloa</t>
  </si>
  <si>
    <t>Waikkal - Batticaloa</t>
  </si>
  <si>
    <t>Waikkal - Bentota</t>
  </si>
  <si>
    <t>Waikkal - Beruwala</t>
  </si>
  <si>
    <t>Dalupotha - Bundala</t>
  </si>
  <si>
    <t>Waikkal - Bundala</t>
  </si>
  <si>
    <t>Negombo - Chilaw</t>
  </si>
  <si>
    <t>Negombo - Colombo Fort</t>
  </si>
  <si>
    <t>Waikkal - Bambalapitiya</t>
  </si>
  <si>
    <t>Dalupotha - Bandaranaike Airport</t>
  </si>
  <si>
    <t>Waikkal - Bandaranaike Airport</t>
  </si>
  <si>
    <t>Waikkal - Dambulla</t>
  </si>
  <si>
    <t>Dalupotha - Deniyaya</t>
  </si>
  <si>
    <t>Waikkal - Deniyaya</t>
  </si>
  <si>
    <t>Dalupotha - Dickwella</t>
  </si>
  <si>
    <t>Dalupotha - Hiriketiya beach</t>
  </si>
  <si>
    <t>Waikkal - Dickwella</t>
  </si>
  <si>
    <t>Waikkal - Hiriketiya beach</t>
  </si>
  <si>
    <t>Dalupotha - Talpe</t>
  </si>
  <si>
    <t>Waikkal - Galle</t>
  </si>
  <si>
    <t>Waikkal - Talpe</t>
  </si>
  <si>
    <t>Waikkal - Habarana</t>
  </si>
  <si>
    <t>Waikkal - Ella</t>
  </si>
  <si>
    <t>Waikkal - Beragala</t>
  </si>
  <si>
    <t>Dalupotha - Dick oya</t>
  </si>
  <si>
    <t>Waikkal - Dick oya</t>
  </si>
  <si>
    <t>Waikkal - Dodanduwa</t>
  </si>
  <si>
    <t>Waikkal - Induruwa</t>
  </si>
  <si>
    <t>Waikkal - Jaffna</t>
  </si>
  <si>
    <t>Dalupotha - Kalapuwa</t>
  </si>
  <si>
    <t>Waikkal - Kalapuwa</t>
  </si>
  <si>
    <t>Dalupotha - Digana</t>
  </si>
  <si>
    <t>Waikkal - Ampitiya</t>
  </si>
  <si>
    <t>Waikkal - Digana</t>
  </si>
  <si>
    <t>Waikkal - Kataragama</t>
  </si>
  <si>
    <t>Dalupotha - Alawathupitiya</t>
  </si>
  <si>
    <t>Waikkal - Alawathupitiya</t>
  </si>
  <si>
    <t>Dalupotha - Pinnawala</t>
  </si>
  <si>
    <t>Waikkal - Pinnawala</t>
  </si>
  <si>
    <t>Dalupotha - Kitulgala</t>
  </si>
  <si>
    <t>Waikkal - Kitulgala</t>
  </si>
  <si>
    <t>Dalupotha - Habaraduwa</t>
  </si>
  <si>
    <t>Waikkal - Habaraduwa</t>
  </si>
  <si>
    <t>Waikkal - Kosgoda</t>
  </si>
  <si>
    <t>Dalupotha - Kuchchaveli</t>
  </si>
  <si>
    <t>Waikkal - Kuchchaveli</t>
  </si>
  <si>
    <t>Dalupotha - Mannar</t>
  </si>
  <si>
    <t>Waikkal - Mannar</t>
  </si>
  <si>
    <t>Dalupotha - Kinigama</t>
  </si>
  <si>
    <t>Waikkal - Kinigama</t>
  </si>
  <si>
    <t>Waikkal - Kalamatiya</t>
  </si>
  <si>
    <t>Waikkal - mirissa</t>
  </si>
  <si>
    <t>Dalupotha - Nanu Oya</t>
  </si>
  <si>
    <t>Waikkal - Nanu Oya</t>
  </si>
  <si>
    <t>Dalupotha - Waikkal</t>
  </si>
  <si>
    <t>Waikkal - Dalupotha</t>
  </si>
  <si>
    <t>Dalupotha - Nilaveli</t>
  </si>
  <si>
    <t>Waikkal - Nilaveli</t>
  </si>
  <si>
    <t>Waikkal - Kotmale</t>
  </si>
  <si>
    <t>Dalupotha - Pasikuda</t>
  </si>
  <si>
    <t>Waikkal - Pasikuda</t>
  </si>
  <si>
    <t>Dalupotha - Galoya</t>
  </si>
  <si>
    <t>Waikkal - Galoya</t>
  </si>
  <si>
    <t>Dalupotha - Kalpitiya</t>
  </si>
  <si>
    <t>Dalupotha - Marawila</t>
  </si>
  <si>
    <t>Waikkal - Kalpitiya</t>
  </si>
  <si>
    <t>Waikkal - Marawila</t>
  </si>
  <si>
    <t>Dalupotha - Kiriella</t>
  </si>
  <si>
    <t>Waikkal - Kiriella</t>
  </si>
  <si>
    <t>Waikkal - Pidurangala</t>
  </si>
  <si>
    <t>Dalupotha - Rekawa</t>
  </si>
  <si>
    <t>Waikkal - Rekawa</t>
  </si>
  <si>
    <t>Dalupotha - Tissamaharama</t>
  </si>
  <si>
    <t>Dalupotha - Yala Park</t>
  </si>
  <si>
    <t>Waikkal - Tissamaharama</t>
  </si>
  <si>
    <t>Waikkal - Yala Park</t>
  </si>
  <si>
    <t>Waikkal - Nilaweli</t>
  </si>
  <si>
    <t>Dalupotha - Udawalawa</t>
  </si>
  <si>
    <t>Waikkal - Udawalawa</t>
  </si>
  <si>
    <t>Waikkal - Unawatuna</t>
  </si>
  <si>
    <t>Dalupotha - Attanagalla</t>
  </si>
  <si>
    <t>Waikkal - Attanagalla</t>
  </si>
  <si>
    <t>Dalupotha - Waskaduwa</t>
  </si>
  <si>
    <t>Waikkal - Moronthuduwa</t>
  </si>
  <si>
    <t>Waikkal - Waskaduwa</t>
  </si>
  <si>
    <t>Dalupotha - Weddagala</t>
  </si>
  <si>
    <t>Waikkal - Weddagala</t>
  </si>
  <si>
    <t>Dalupotha - Weligatta</t>
  </si>
  <si>
    <t>Waikkal - Weligatta</t>
  </si>
  <si>
    <t>Dalupotha - Akuressa</t>
  </si>
  <si>
    <t>Waikkal - Akuressa</t>
  </si>
  <si>
    <t>Dalupotha - Wilpattu</t>
  </si>
  <si>
    <t>Waikkal - Wilpattu</t>
  </si>
  <si>
    <t>Nilaveli - Bandaranaike Airport</t>
  </si>
  <si>
    <t>Nilaveli - Ampitiya</t>
  </si>
  <si>
    <t>Kotmale - Bandaranaike Airport</t>
  </si>
  <si>
    <t>Kotmale - Ampitiya</t>
  </si>
  <si>
    <t>Kotmale - Yala Park</t>
  </si>
  <si>
    <t>Kotmale - Akuressa</t>
  </si>
  <si>
    <t>Panadura - Colombo Fort</t>
  </si>
  <si>
    <t>Panadura - Galle</t>
  </si>
  <si>
    <t>Panadura - Matara</t>
  </si>
  <si>
    <t>Panadura - Moratuwa</t>
  </si>
  <si>
    <t>Pasikuda - Arugam bay</t>
  </si>
  <si>
    <t>Pasikuda - Bandaranaike Airport</t>
  </si>
  <si>
    <t>Kalpitiya - Adams Peak</t>
  </si>
  <si>
    <t>Marawila - Adams Peak</t>
  </si>
  <si>
    <t>Kalpitiya - Ahangama</t>
  </si>
  <si>
    <t>Marawila - Ahangama</t>
  </si>
  <si>
    <t>Kalpitiya - Ahungalla</t>
  </si>
  <si>
    <t>Marawila - Ahungalla</t>
  </si>
  <si>
    <t>Kalpitiya - Aluthgama</t>
  </si>
  <si>
    <t>Marawila - Aluthgama</t>
  </si>
  <si>
    <t>Kalpitiya - Ambalangoda</t>
  </si>
  <si>
    <t>Marawila - Ambalangoda</t>
  </si>
  <si>
    <t>Kalpitiya - Ambalantota</t>
  </si>
  <si>
    <t>Marawila - Ambalantota</t>
  </si>
  <si>
    <t>Kalpitiya - Anuradhapura</t>
  </si>
  <si>
    <t>Marawila - Anuradhapura</t>
  </si>
  <si>
    <t>Kalpitiya - Arugam bay</t>
  </si>
  <si>
    <t>Marawila - Arugam bay</t>
  </si>
  <si>
    <t>Kalpitiya - balapitiya</t>
  </si>
  <si>
    <t>Marawila - balapitiya</t>
  </si>
  <si>
    <t>Kalpitiya - Batticaloa</t>
  </si>
  <si>
    <t>Marawila - Batticaloa</t>
  </si>
  <si>
    <t>Kalpitiya - Bentota</t>
  </si>
  <si>
    <t>Marawila - Bentota</t>
  </si>
  <si>
    <t>Kalpitiya - Beruwala</t>
  </si>
  <si>
    <t>Marawila - Beruwala</t>
  </si>
  <si>
    <t>Kalpitiya - Bundala</t>
  </si>
  <si>
    <t>Marawila - Bundala</t>
  </si>
  <si>
    <t>Kalpitiya - Bambalapitiya</t>
  </si>
  <si>
    <t>Marawila - Bambalapitiya</t>
  </si>
  <si>
    <t>Kalpitiya - Bandaranaike Airport</t>
  </si>
  <si>
    <t>Marawila - Bandaranaike Airport</t>
  </si>
  <si>
    <t>Kalpitiya - Dambulla</t>
  </si>
  <si>
    <t>Marawila - Dambulla</t>
  </si>
  <si>
    <t>Kalpitiya - Deniyaya</t>
  </si>
  <si>
    <t>Marawila - Deniyaya</t>
  </si>
  <si>
    <t>Kalpitiya - Dickwella</t>
  </si>
  <si>
    <t>Kalpitiya - Hiriketiya beach</t>
  </si>
  <si>
    <t>Marawila - Dickwella</t>
  </si>
  <si>
    <t>Marawila - Hiriketiya beach</t>
  </si>
  <si>
    <t>Kalpitiya - Galle</t>
  </si>
  <si>
    <t>Kalpitiya - Talpe</t>
  </si>
  <si>
    <t>Marawila - Galle</t>
  </si>
  <si>
    <t>Marawila - Talpe</t>
  </si>
  <si>
    <t>Kalpitiya - Habarana</t>
  </si>
  <si>
    <t>Marawila - Habarana</t>
  </si>
  <si>
    <t>Kalpitiya - Ella</t>
  </si>
  <si>
    <t>Marawila - Ella</t>
  </si>
  <si>
    <t>Kalpitiya - Beragala</t>
  </si>
  <si>
    <t>Marawila - Beragala</t>
  </si>
  <si>
    <t>Kalpitiya - Dick oya</t>
  </si>
  <si>
    <t>Marawila - Dick oya</t>
  </si>
  <si>
    <t>Kalpitiya - Dodanduwa</t>
  </si>
  <si>
    <t>Marawila - Dodanduwa</t>
  </si>
  <si>
    <t>Kalpitiya - Induruwa</t>
  </si>
  <si>
    <t>Marawila - Induruwa</t>
  </si>
  <si>
    <t>Kalpitiya - Jaffna</t>
  </si>
  <si>
    <t>Marawila - Jaffna</t>
  </si>
  <si>
    <t>Kalpitiya - Kalapuwa</t>
  </si>
  <si>
    <t>Marawila - Kalapuwa</t>
  </si>
  <si>
    <t>Kalpitiya - Ampitiya</t>
  </si>
  <si>
    <t>Kalpitiya - Digana</t>
  </si>
  <si>
    <t>Marawila - Ampitiya</t>
  </si>
  <si>
    <t>Marawila - Digana</t>
  </si>
  <si>
    <t>Kalpitiya - Kataragama</t>
  </si>
  <si>
    <t>Marawila - Kataragama</t>
  </si>
  <si>
    <t>Marawila - Alawathupitiya</t>
  </si>
  <si>
    <t>Kalpitiya - Pinnawala</t>
  </si>
  <si>
    <t>Marawila - Pinnawala</t>
  </si>
  <si>
    <t>Kalpitiya - Kitulgala</t>
  </si>
  <si>
    <t>Marawila - Kitulgala</t>
  </si>
  <si>
    <t>Kalpitiya - Habaraduwa</t>
  </si>
  <si>
    <t>Marawila - Habaraduwa</t>
  </si>
  <si>
    <t>Kalpitiya - Kosgoda</t>
  </si>
  <si>
    <t>Marawila - Kosgoda</t>
  </si>
  <si>
    <t>Kalpitiya - Kuchchaveli</t>
  </si>
  <si>
    <t>Marawila - Kuchchaveli</t>
  </si>
  <si>
    <t>Kalpitiya - Mannar</t>
  </si>
  <si>
    <t>Marawila - Mannar</t>
  </si>
  <si>
    <t>Kalpitiya - Kinigama</t>
  </si>
  <si>
    <t>Marawila - Kinigama</t>
  </si>
  <si>
    <t>Kalpitiya - Kalamatiya</t>
  </si>
  <si>
    <t>Marawila - Kalamatiya</t>
  </si>
  <si>
    <t>Kalpitiya - mirissa</t>
  </si>
  <si>
    <t>Marawila - mirissa</t>
  </si>
  <si>
    <t>Kalpitiya - Nanu Oya</t>
  </si>
  <si>
    <t>Marawila - Nanu Oya</t>
  </si>
  <si>
    <t>Kalpitiya - Dalupotha</t>
  </si>
  <si>
    <t>Kalpitiya - Waikkal</t>
  </si>
  <si>
    <t>Marawila - Dalupotha</t>
  </si>
  <si>
    <t>Marawila - Waikkal</t>
  </si>
  <si>
    <t>Kalpitiya - Nilaveli</t>
  </si>
  <si>
    <t>Marawila - Nilaveli</t>
  </si>
  <si>
    <t>Kalpitiya - Kotmale</t>
  </si>
  <si>
    <t>Marawila - Kotmale</t>
  </si>
  <si>
    <t>Kalpitiya - Pasikuda</t>
  </si>
  <si>
    <t>Marawila - Pasikuda</t>
  </si>
  <si>
    <t>Kalpitiya - Galoya</t>
  </si>
  <si>
    <t>Marawila - Galoya</t>
  </si>
  <si>
    <t>Kalpitiya - Marawila</t>
  </si>
  <si>
    <t>Marawila - Chilaw</t>
  </si>
  <si>
    <t>Marawila - Kalpitiya</t>
  </si>
  <si>
    <t>Kalpitiya - Kiriella</t>
  </si>
  <si>
    <t>Marawila - Kiriella</t>
  </si>
  <si>
    <t>Kalpitiya - Pidurangala</t>
  </si>
  <si>
    <t>Marawila - Pidurangala</t>
  </si>
  <si>
    <t>Kalpitiya - Rekawa</t>
  </si>
  <si>
    <t>Marawila - Rekawa</t>
  </si>
  <si>
    <t>Kalpitiya - Tissamaharama</t>
  </si>
  <si>
    <t>Kalpitiya - Yala Park</t>
  </si>
  <si>
    <t>Marawila - Tissamaharama</t>
  </si>
  <si>
    <t>Marawila - Yala Park</t>
  </si>
  <si>
    <t>Kalpitiya - Nilaweli</t>
  </si>
  <si>
    <t>Marawila - Nilaweli</t>
  </si>
  <si>
    <t>Kalpitiya - Udawalawa</t>
  </si>
  <si>
    <t>Marawila - Udawalawa</t>
  </si>
  <si>
    <t>Kalpitiya - Unawatuna</t>
  </si>
  <si>
    <t>Marawila - Unawatuna</t>
  </si>
  <si>
    <t>Kalpitiya - Attanagalla</t>
  </si>
  <si>
    <t>Marawila - Attanagalla</t>
  </si>
  <si>
    <t>Kalpitiya - Moronthuduwa</t>
  </si>
  <si>
    <t>Kalpitiya - Waskaduwa</t>
  </si>
  <si>
    <t>Marawila - Moronthuduwa</t>
  </si>
  <si>
    <t>Marawila - Waskaduwa</t>
  </si>
  <si>
    <t>Kalpitiya - Weddagala</t>
  </si>
  <si>
    <t>Marawila - Weddagala</t>
  </si>
  <si>
    <t>Kalpitiya - Weligatta</t>
  </si>
  <si>
    <t>Marawila - Weligatta</t>
  </si>
  <si>
    <t>Kalpitiya - Akuressa</t>
  </si>
  <si>
    <t>Marawila - Akuressa</t>
  </si>
  <si>
    <t>Kalpitiya - Wilpattu</t>
  </si>
  <si>
    <t>Marawila - Wilpattu</t>
  </si>
  <si>
    <t>Kiriella - Adams Peak</t>
  </si>
  <si>
    <t>Kiriella - Ahangama</t>
  </si>
  <si>
    <t>Kiriella - Ahungalla</t>
  </si>
  <si>
    <t>Kiriella - Aluthgama</t>
  </si>
  <si>
    <t>Kiriella - Ambalangoda</t>
  </si>
  <si>
    <t>Kiriella - Ambalantota</t>
  </si>
  <si>
    <t>Kiriella - Anuradhapura</t>
  </si>
  <si>
    <t>Kiriella - Arugam bay</t>
  </si>
  <si>
    <t>Kiriella - balapitiya</t>
  </si>
  <si>
    <t>Kiriella - Batticaloa</t>
  </si>
  <si>
    <t>Kiriella - Bentota</t>
  </si>
  <si>
    <t>Kiriella - Beruwala</t>
  </si>
  <si>
    <t>Kiriella - Bundala</t>
  </si>
  <si>
    <t>Kiriella - Bambalapitiya</t>
  </si>
  <si>
    <t>Kiriella - Bandaranaike Airport</t>
  </si>
  <si>
    <t>Kiriella - Dambulla</t>
  </si>
  <si>
    <t>Kiriella - Deniyaya</t>
  </si>
  <si>
    <t>Kiriella - Dickwella</t>
  </si>
  <si>
    <t>Kiriella - Hiriketiya beach</t>
  </si>
  <si>
    <t>Kiriella - Galle</t>
  </si>
  <si>
    <t>Kiriella - Talpe</t>
  </si>
  <si>
    <t>Kiriella - Habarana</t>
  </si>
  <si>
    <t>Kiriella - Ella</t>
  </si>
  <si>
    <t>Kiriella - Beragala</t>
  </si>
  <si>
    <t>Kiriella - Dick oya</t>
  </si>
  <si>
    <t>Kiriella - Dodanduwa</t>
  </si>
  <si>
    <t>Kiriella - Induruwa</t>
  </si>
  <si>
    <t>Kiriella - Jaffna</t>
  </si>
  <si>
    <t>Kiriella - Kalapuwa</t>
  </si>
  <si>
    <t>Kiriella - Ampitiya</t>
  </si>
  <si>
    <t>Kiriella - Digana</t>
  </si>
  <si>
    <t>Kiriella - Kataragama</t>
  </si>
  <si>
    <t>Kiriella - Alawathupitiya</t>
  </si>
  <si>
    <t>Kiriella - Pinnawala</t>
  </si>
  <si>
    <t>Kiriella - Kitulgala</t>
  </si>
  <si>
    <t>Kiriella - Habaraduwa</t>
  </si>
  <si>
    <t>Kiriella - Kosgoda</t>
  </si>
  <si>
    <t>Kiriella - Kuchchaveli</t>
  </si>
  <si>
    <t>Kiriella - Mannar</t>
  </si>
  <si>
    <t>Kiriella - Kinigama</t>
  </si>
  <si>
    <t>Kiriella - Kalamatiya</t>
  </si>
  <si>
    <t>Kiriella - mirissa</t>
  </si>
  <si>
    <t>Kiriella - Nanu Oya</t>
  </si>
  <si>
    <t>Kiriella - Dalupotha</t>
  </si>
  <si>
    <t>Kiriella - Waikkal</t>
  </si>
  <si>
    <t>Kiriella - Nilaveli</t>
  </si>
  <si>
    <t>Kiriella - Kotmale</t>
  </si>
  <si>
    <t>Kiriella - Pasikuda</t>
  </si>
  <si>
    <t>Kiriella - Galoya</t>
  </si>
  <si>
    <t>Kiriella - Kalpitiya</t>
  </si>
  <si>
    <t>Kiriella - Marawila</t>
  </si>
  <si>
    <t>Kiriella - Pidurangala</t>
  </si>
  <si>
    <t>Kiriella - Rekawa</t>
  </si>
  <si>
    <t>Kiriella - Tissamaharama</t>
  </si>
  <si>
    <t>Kiriella - Yala Park</t>
  </si>
  <si>
    <t>Kiriella - Nilaweli</t>
  </si>
  <si>
    <t>Kiriella - Udawalawa</t>
  </si>
  <si>
    <t>Kiriella - Unawatuna</t>
  </si>
  <si>
    <t>Kiriella - Attanagalla</t>
  </si>
  <si>
    <t>Kiriella - Moronthuduwa</t>
  </si>
  <si>
    <t>Kiriella - Waskaduwa</t>
  </si>
  <si>
    <t>Kiriella - Weddagala</t>
  </si>
  <si>
    <t>Kiriella - Weligatta</t>
  </si>
  <si>
    <t>Kiriella - Akuressa</t>
  </si>
  <si>
    <t>Kiriella - Wilpattu</t>
  </si>
  <si>
    <t>Pidurangala - Adams Peak</t>
  </si>
  <si>
    <t>Pidurangala - Anuradhapura</t>
  </si>
  <si>
    <t>Pidurangala - Arugam bay</t>
  </si>
  <si>
    <t>Pidurangala - Batticaloa</t>
  </si>
  <si>
    <t>Pidurangala - Beruwala</t>
  </si>
  <si>
    <t>Pidurangala - Bundala</t>
  </si>
  <si>
    <t>Pidurangala - Bandaranaike Airport</t>
  </si>
  <si>
    <t>Pidurangala - Dambulla</t>
  </si>
  <si>
    <t>Pidurangala - Deniyaya</t>
  </si>
  <si>
    <t>Pidurangala - Dickwella</t>
  </si>
  <si>
    <t>Pidurangala - Hiriketiya beach</t>
  </si>
  <si>
    <t>Pidurangala - Ella</t>
  </si>
  <si>
    <t>Pidurangala - Talpe</t>
  </si>
  <si>
    <t>Pidurangala - Habarana</t>
  </si>
  <si>
    <t>Pidurangala - Beragala</t>
  </si>
  <si>
    <t>Pidurangala - Dick oya</t>
  </si>
  <si>
    <t>Pidurangala - Induruwa</t>
  </si>
  <si>
    <t>Pidurangala - Jaffna</t>
  </si>
  <si>
    <t>Pidurangala - Kalapuwa</t>
  </si>
  <si>
    <t>Pidurangala - Digana</t>
  </si>
  <si>
    <t>Pidurangala - Kataragama</t>
  </si>
  <si>
    <t>Pidurangala - Alawathupitiya</t>
  </si>
  <si>
    <t>Pidurangala - Pinnawala</t>
  </si>
  <si>
    <t>Pidurangala - Kitulgala</t>
  </si>
  <si>
    <t>Pidurangala - Habaraduwa</t>
  </si>
  <si>
    <t>Pidurangala - Kuchchaveli</t>
  </si>
  <si>
    <t>Pidurangala - Mannar</t>
  </si>
  <si>
    <t>Pidurangala - Kinigama</t>
  </si>
  <si>
    <t>Pidurangala - Nanu Oya</t>
  </si>
  <si>
    <t>Pidurangala - Dalupotha</t>
  </si>
  <si>
    <t>Pidurangala - Waikkal</t>
  </si>
  <si>
    <t>Pidurangala - Nilaveli</t>
  </si>
  <si>
    <t>Pidurangala - Galoya</t>
  </si>
  <si>
    <t>Pidurangala - Kalpitiya</t>
  </si>
  <si>
    <t>Pidurangala - Marawila</t>
  </si>
  <si>
    <t>Pidurangala - Kiriella</t>
  </si>
  <si>
    <t>Pidurangala - Rekawa</t>
  </si>
  <si>
    <t>Pidurangala - Tissamaharama</t>
  </si>
  <si>
    <t>Pidurangala - Yala Park</t>
  </si>
  <si>
    <t>Pidurangala - Nilaweli</t>
  </si>
  <si>
    <t>Pidurangala - Udawalawa</t>
  </si>
  <si>
    <t>Pidurangala - Attanagalla</t>
  </si>
  <si>
    <t>Pidurangala - Waskaduwa</t>
  </si>
  <si>
    <t>Pidurangala - Weddagala</t>
  </si>
  <si>
    <t>Pidurangala - Weligatta</t>
  </si>
  <si>
    <t>Pidurangala - Akuressa</t>
  </si>
  <si>
    <t>Pidurangala - Wilpattu</t>
  </si>
  <si>
    <t>Rekawa - Adams Peak</t>
  </si>
  <si>
    <t>Rekawa - Ahangama</t>
  </si>
  <si>
    <t>Rekawa - Ahungalla</t>
  </si>
  <si>
    <t>Rekawa - Aluthgama</t>
  </si>
  <si>
    <t>Rekawa - Ambalangoda</t>
  </si>
  <si>
    <t>Rekawa - Ambalantota</t>
  </si>
  <si>
    <t>Rekawa - Anuradhapura</t>
  </si>
  <si>
    <t>Rekawa - Arugam bay</t>
  </si>
  <si>
    <t>Rekawa - balapitiya</t>
  </si>
  <si>
    <t>Rekawa - Batticaloa</t>
  </si>
  <si>
    <t>Rekawa - Bentota</t>
  </si>
  <si>
    <t>Rekawa - Beruwala</t>
  </si>
  <si>
    <t>Rekawa - Bundala</t>
  </si>
  <si>
    <t>Rekawa - Bambalapitiya</t>
  </si>
  <si>
    <t>Rekawa - Bandaranaike Airport</t>
  </si>
  <si>
    <t>Rekawa - Dambulla</t>
  </si>
  <si>
    <t>Rekawa - Deniyaya</t>
  </si>
  <si>
    <t>Rekawa - Dickwella</t>
  </si>
  <si>
    <t>Rekawa - Hiriketiya beach</t>
  </si>
  <si>
    <t>Rekawa - Galle</t>
  </si>
  <si>
    <t>Rekawa - Talpe</t>
  </si>
  <si>
    <t>Rekawa - Habarana</t>
  </si>
  <si>
    <t>Rekawa - Ella</t>
  </si>
  <si>
    <t>Rekawa - Beragala</t>
  </si>
  <si>
    <t>Rekawa - Dick oya</t>
  </si>
  <si>
    <t>Rekawa - Dodanduwa</t>
  </si>
  <si>
    <t>Rekawa - Induruwa</t>
  </si>
  <si>
    <t>Rekawa - Jaffna</t>
  </si>
  <si>
    <t>Rekawa - Kalapuwa</t>
  </si>
  <si>
    <t>Rekawa - Ampitiya</t>
  </si>
  <si>
    <t>Rekawa - Digana</t>
  </si>
  <si>
    <t>Rekawa - Kataragama</t>
  </si>
  <si>
    <t>Rekawa - Alawathupitiya</t>
  </si>
  <si>
    <t>Rekawa - Pinnawala</t>
  </si>
  <si>
    <t>Rekawa - Kitulgala</t>
  </si>
  <si>
    <t>Rekawa - Habaraduwa</t>
  </si>
  <si>
    <t>Rekawa - Kosgoda</t>
  </si>
  <si>
    <t>Rekawa - Kuchchaveli</t>
  </si>
  <si>
    <t>Rekawa - Mannar</t>
  </si>
  <si>
    <t>Rekawa - Kinigama</t>
  </si>
  <si>
    <t>Rekawa - Kalamatiya</t>
  </si>
  <si>
    <t>Rekawa - mirissa</t>
  </si>
  <si>
    <t>Rekawa - Nanu Oya</t>
  </si>
  <si>
    <t>Rekawa - Dalupotha</t>
  </si>
  <si>
    <t>Rekawa - Waikkal</t>
  </si>
  <si>
    <t>Rekawa - Nilaveli</t>
  </si>
  <si>
    <t>Rekawa - Kotmale</t>
  </si>
  <si>
    <t>Rekawa - Pasikuda</t>
  </si>
  <si>
    <t>Rekawa - Galoya</t>
  </si>
  <si>
    <t>Rekawa - Kalpitiya</t>
  </si>
  <si>
    <t>Rekawa - Marawila</t>
  </si>
  <si>
    <t>Rekawa - Kiriella</t>
  </si>
  <si>
    <t>Rekawa - Pidurangala</t>
  </si>
  <si>
    <t>Rekawa - Rekawa</t>
  </si>
  <si>
    <t>Rekawa - Tissamaharama</t>
  </si>
  <si>
    <t>Rekawa - Yala Park</t>
  </si>
  <si>
    <t>Rekawa - Nilaweli</t>
  </si>
  <si>
    <t>Rekawa - Udawalawa</t>
  </si>
  <si>
    <t>Rekawa - Unawatuna</t>
  </si>
  <si>
    <t>Rekawa - Attanagalla</t>
  </si>
  <si>
    <t>Rekawa - Moronthuduwa</t>
  </si>
  <si>
    <t>Rekawa - Waskaduwa</t>
  </si>
  <si>
    <t>Rekawa - Weddagala</t>
  </si>
  <si>
    <t>Rekawa - Weligatta</t>
  </si>
  <si>
    <t>Rekawa - Akuressa</t>
  </si>
  <si>
    <t>Rekawa - Wilpattu</t>
  </si>
  <si>
    <t>Tissamaharama - Adams Peak</t>
  </si>
  <si>
    <t>Tissamaharama - Ahangama</t>
  </si>
  <si>
    <t>Tissamaharama - Ahungalla</t>
  </si>
  <si>
    <t>Tissamaharama - Aluthgama</t>
  </si>
  <si>
    <t>Tissamaharama - Ambalangoda</t>
  </si>
  <si>
    <t>Tissamaharama - Ambalantota</t>
  </si>
  <si>
    <t>Tissamaharama - Anuradhapura</t>
  </si>
  <si>
    <t>Tissamaharama - Arugam bay</t>
  </si>
  <si>
    <t>Tissamaharama - balapitiya</t>
  </si>
  <si>
    <t>Tissamaharama - Batticaloa</t>
  </si>
  <si>
    <t>Tissamaharama - Bentota</t>
  </si>
  <si>
    <t>Tissamaharama - Beruwala</t>
  </si>
  <si>
    <t>Tissamaharama - Bundala</t>
  </si>
  <si>
    <t>Tissamaharama - Bambalapitiya</t>
  </si>
  <si>
    <t>Yala Park - Bambalapitiya</t>
  </si>
  <si>
    <t>Tissamaharama - Bandaranaike Airport</t>
  </si>
  <si>
    <t>Yala Park - Bandaranaike Airport</t>
  </si>
  <si>
    <t>Tissamaharama - Dambulla</t>
  </si>
  <si>
    <t>Yala Park - Dambulla</t>
  </si>
  <si>
    <t>Tissamaharama - Deniyaya</t>
  </si>
  <si>
    <t>Tissamaharama - Dickwella</t>
  </si>
  <si>
    <t>Tissamaharama - Hiriketiya beach</t>
  </si>
  <si>
    <t>Yala Park - Ella</t>
  </si>
  <si>
    <t>Tissamaharama - Galle</t>
  </si>
  <si>
    <t>Tissamaharama - Talpe</t>
  </si>
  <si>
    <t>Tissamaharama - Habarana</t>
  </si>
  <si>
    <t>Tissamaharama - Ella</t>
  </si>
  <si>
    <t>Tissamaharama - Beragala</t>
  </si>
  <si>
    <t>Tissamaharama - Dick oya</t>
  </si>
  <si>
    <t>Tissamaharama - Dodanduwa</t>
  </si>
  <si>
    <t>Tissamaharama - Induruwa</t>
  </si>
  <si>
    <t>Tissamaharama - Jaffna</t>
  </si>
  <si>
    <t>Tissamaharama - Kalapuwa</t>
  </si>
  <si>
    <t>Tissamaharama - Ampitiya</t>
  </si>
  <si>
    <t>Tissamaharama - Digana</t>
  </si>
  <si>
    <t>Yala Park - Ampitiya</t>
  </si>
  <si>
    <t>Tissamaharama - Kataragama</t>
  </si>
  <si>
    <t>Yala Park - Kataragama</t>
  </si>
  <si>
    <t>Tissamaharama - Alawathupitiya</t>
  </si>
  <si>
    <t>Yala Park - Alawathupitiya</t>
  </si>
  <si>
    <t>Tissamaharama - Pinnawala</t>
  </si>
  <si>
    <t>Tissamaharama - Kitulgala</t>
  </si>
  <si>
    <t>Tissamaharama - Habaraduwa</t>
  </si>
  <si>
    <t>Tissamaharama - Kosgoda</t>
  </si>
  <si>
    <t>Tissamaharama - Kuchchaveli</t>
  </si>
  <si>
    <t>Tissamaharama - Mannar</t>
  </si>
  <si>
    <t>Tissamaharama - Kinigama</t>
  </si>
  <si>
    <t>Tissamaharama - Kalamatiya</t>
  </si>
  <si>
    <t>Tissamaharama - mirissa</t>
  </si>
  <si>
    <t>Tissamaharama - Nanu Oya</t>
  </si>
  <si>
    <t>Tissamaharama - Dalupotha</t>
  </si>
  <si>
    <t>Tissamaharama - Waikkal</t>
  </si>
  <si>
    <t>Yala Park - Dalupotha</t>
  </si>
  <si>
    <t>Tissamaharama - Nilaveli</t>
  </si>
  <si>
    <t>Tissamaharama - Kotmale</t>
  </si>
  <si>
    <t>Yala Park - Kotmale</t>
  </si>
  <si>
    <t>Tissamaharama - Pasikuda</t>
  </si>
  <si>
    <t>Tissamaharama - Galoya</t>
  </si>
  <si>
    <t>Tissamaharama - Kalpitiya</t>
  </si>
  <si>
    <t>Tissamaharama - Marawila</t>
  </si>
  <si>
    <t>Yala Park - Marawila</t>
  </si>
  <si>
    <t>Tissamaharama - Kiriella</t>
  </si>
  <si>
    <t>Tissamaharama - Pidurangala</t>
  </si>
  <si>
    <t>Yala Park - Pidurangala</t>
  </si>
  <si>
    <t>Tissamaharama - Rekawa</t>
  </si>
  <si>
    <t>Tissamaharama - Yala Park</t>
  </si>
  <si>
    <t>Yala Park - Tissamaharama</t>
  </si>
  <si>
    <t>Tissamaharama - Nilaweli</t>
  </si>
  <si>
    <t>Tissamaharama - Udawalawa</t>
  </si>
  <si>
    <t>Tissamaharama - Unawatuna</t>
  </si>
  <si>
    <t>Tissamaharama - Attanagalla</t>
  </si>
  <si>
    <t>Tissamaharama - Moronthuduwa</t>
  </si>
  <si>
    <t>Tissamaharama - Waskaduwa</t>
  </si>
  <si>
    <t>Tissamaharama - Weddagala</t>
  </si>
  <si>
    <t>Tissamaharama - Weligatta</t>
  </si>
  <si>
    <t>Tissamaharama - Akuressa</t>
  </si>
  <si>
    <t>Tissamaharama - Wilpattu</t>
  </si>
  <si>
    <t>Nilaweli - Bandaranaike Airport</t>
  </si>
  <si>
    <t>Nilaweli - Jaffna</t>
  </si>
  <si>
    <t>Udawalawa - mirissa</t>
  </si>
  <si>
    <t>Udawalawa - Dalupotha</t>
  </si>
  <si>
    <t>Unawatuna - Adams Peak</t>
  </si>
  <si>
    <t>Unawatuna - Ahangama</t>
  </si>
  <si>
    <t>Unawatuna - Ahungalla</t>
  </si>
  <si>
    <t>Unawatuna - Aluthgama</t>
  </si>
  <si>
    <t>Unawatuna - Ambalangoda</t>
  </si>
  <si>
    <t>Unawatuna - Ambalantota</t>
  </si>
  <si>
    <t>Unawatuna - Anuradhapura</t>
  </si>
  <si>
    <t>Unawatuna - Arugam bay</t>
  </si>
  <si>
    <t>Unawatuna - balapitiya</t>
  </si>
  <si>
    <t>Unawatuna - Batticaloa</t>
  </si>
  <si>
    <t>Unawatuna - Bentota</t>
  </si>
  <si>
    <t>Unawatuna - Beruwala</t>
  </si>
  <si>
    <t>Unawatuna - Bundala</t>
  </si>
  <si>
    <t>Unawatuna - Bandaranaike Airport</t>
  </si>
  <si>
    <t>Unawatuna - Deniyaya</t>
  </si>
  <si>
    <t>Unawatuna - Dickwella</t>
  </si>
  <si>
    <t>Unawatuna - Hiriketiya beach</t>
  </si>
  <si>
    <t>Unawatuna - Galle</t>
  </si>
  <si>
    <t>Unawatuna - Talpe</t>
  </si>
  <si>
    <t>Unawatuna - Habarana</t>
  </si>
  <si>
    <t>Unawatuna - Ella</t>
  </si>
  <si>
    <t>Unawatuna - Beragala</t>
  </si>
  <si>
    <t>Unawatuna - Dick oya</t>
  </si>
  <si>
    <t>Unawatuna - Dodanduwa</t>
  </si>
  <si>
    <t>Unawatuna - Induruwa</t>
  </si>
  <si>
    <t>Unawatuna - Jaffna</t>
  </si>
  <si>
    <t>Unawatuna - Kalapuwa</t>
  </si>
  <si>
    <t>Unawatuna - Ampitiya</t>
  </si>
  <si>
    <t>Unawatuna - Digana</t>
  </si>
  <si>
    <t>Unawatuna - Kataragama</t>
  </si>
  <si>
    <t>Unawatuna - Alawathupitiya</t>
  </si>
  <si>
    <t>Unawatuna - Pinnawala</t>
  </si>
  <si>
    <t>Unawatuna - Kitulgala</t>
  </si>
  <si>
    <t>Unawatuna - Habaraduwa</t>
  </si>
  <si>
    <t>Unawatuna - Kosgoda</t>
  </si>
  <si>
    <t>Unawatuna - Kuchchaveli</t>
  </si>
  <si>
    <t>Unawatuna - Mannar</t>
  </si>
  <si>
    <t>Unawatuna - Kinigama</t>
  </si>
  <si>
    <t>Unawatuna - Kalamatiya</t>
  </si>
  <si>
    <t>Unawatuna - mirissa</t>
  </si>
  <si>
    <t>Unawatuna - Nanu Oya</t>
  </si>
  <si>
    <t>Unawatuna - Waikkal</t>
  </si>
  <si>
    <t>Unawatuna - Nilaveli</t>
  </si>
  <si>
    <t>Unawatuna - Pasikuda</t>
  </si>
  <si>
    <t>Unawatuna - Galoya</t>
  </si>
  <si>
    <t>Unawatuna - Kalpitiya</t>
  </si>
  <si>
    <t>Unawatuna - Marawila</t>
  </si>
  <si>
    <t>Unawatuna - Kiriella</t>
  </si>
  <si>
    <t>Unawatuna - Rekawa</t>
  </si>
  <si>
    <t>Unawatuna - Tissamaharama</t>
  </si>
  <si>
    <t>Unawatuna - Yala Park</t>
  </si>
  <si>
    <t>Unawatuna - Nilaweli</t>
  </si>
  <si>
    <t>Unawatuna - Udawalawa</t>
  </si>
  <si>
    <t>Unawatuna - Attanagalla</t>
  </si>
  <si>
    <t>Unawatuna - Moronthuduwa</t>
  </si>
  <si>
    <t>Unawatuna - Waskaduwa</t>
  </si>
  <si>
    <t>Unawatuna - Weddagala</t>
  </si>
  <si>
    <t>Unawatuna - Weligatta</t>
  </si>
  <si>
    <t>Unawatuna - Akuressa</t>
  </si>
  <si>
    <t>Unawatuna - Wilpattu</t>
  </si>
  <si>
    <t>Attanagalla - Adams Peak</t>
  </si>
  <si>
    <t>Attanagalla - Ahangama</t>
  </si>
  <si>
    <t>Attanagalla - Ahungalla</t>
  </si>
  <si>
    <t>Attanagalla - Aluthgama</t>
  </si>
  <si>
    <t>Attanagalla - Ambalangoda</t>
  </si>
  <si>
    <t>Attanagalla - Ambalantota</t>
  </si>
  <si>
    <t>Attanagalla - Anuradhapura</t>
  </si>
  <si>
    <t>Attanagalla - Arugam bay</t>
  </si>
  <si>
    <t>Attanagalla - balapitiya</t>
  </si>
  <si>
    <t>Attanagalla - Batticaloa</t>
  </si>
  <si>
    <t>Attanagalla - Bentota</t>
  </si>
  <si>
    <t>Attanagalla - Beruwala</t>
  </si>
  <si>
    <t>Attanagalla - Bundala</t>
  </si>
  <si>
    <t>Attanagalla - Bambalapitiya</t>
  </si>
  <si>
    <t>Attanagalla - Bandaranaike Airport</t>
  </si>
  <si>
    <t>Attanagalla - Dambulla</t>
  </si>
  <si>
    <t>Attanagalla - Deniyaya</t>
  </si>
  <si>
    <t>Attanagalla - Dickwella</t>
  </si>
  <si>
    <t>Attanagalla - Hiriketiya beach</t>
  </si>
  <si>
    <t>Attanagalla - Galle</t>
  </si>
  <si>
    <t>Attanagalla - Talpe</t>
  </si>
  <si>
    <t>Attanagalla - Habarana</t>
  </si>
  <si>
    <t>Attanagalla - Ella</t>
  </si>
  <si>
    <t>Attanagalla - Beragala</t>
  </si>
  <si>
    <t>Attanagalla - Dick oya</t>
  </si>
  <si>
    <t>Attanagalla - Dodanduwa</t>
  </si>
  <si>
    <t>Attanagalla - Induruwa</t>
  </si>
  <si>
    <t>Attanagalla - Jaffna</t>
  </si>
  <si>
    <t>Attanagalla - Kalapuwa</t>
  </si>
  <si>
    <t>Attanagalla - Ampitiya</t>
  </si>
  <si>
    <t>Attanagalla - Digana</t>
  </si>
  <si>
    <t>Attanagalla - Kataragama</t>
  </si>
  <si>
    <t>Attanagalla - Alawathupitiya</t>
  </si>
  <si>
    <t>Attanagalla - Pinnawala</t>
  </si>
  <si>
    <t>Attanagalla - Kitulgala</t>
  </si>
  <si>
    <t>Attanagalla - Habaraduwa</t>
  </si>
  <si>
    <t>Attanagalla - Kosgoda</t>
  </si>
  <si>
    <t>Attanagalla - Kuchchaveli</t>
  </si>
  <si>
    <t>Attanagalla - Mannar</t>
  </si>
  <si>
    <t>Attanagalla - Kinigama</t>
  </si>
  <si>
    <t>Attanagalla - Kalamatiya</t>
  </si>
  <si>
    <t>Attanagalla - mirissa</t>
  </si>
  <si>
    <t>Attanagalla - Nanu Oya</t>
  </si>
  <si>
    <t>Attanagalla - Dalupotha</t>
  </si>
  <si>
    <t>Attanagalla - Waikkal</t>
  </si>
  <si>
    <t>Attanagalla - Nilaveli</t>
  </si>
  <si>
    <t>Attanagalla - Kotmale</t>
  </si>
  <si>
    <t>Attanagalla - Pasikuda</t>
  </si>
  <si>
    <t>Attanagalla - Galoya</t>
  </si>
  <si>
    <t>Attanagalla - Kalpitiya</t>
  </si>
  <si>
    <t>Attanagalla - Marawila</t>
  </si>
  <si>
    <t>Attanagalla - Kiriella</t>
  </si>
  <si>
    <t>Attanagalla - Pidurangala</t>
  </si>
  <si>
    <t>Attanagalla - Rekawa</t>
  </si>
  <si>
    <t>Attanagalla - Tissamaharama</t>
  </si>
  <si>
    <t>Attanagalla - Yala Park</t>
  </si>
  <si>
    <t>Attanagalla - Nilaweli</t>
  </si>
  <si>
    <t>Attanagalla - Udawalawa</t>
  </si>
  <si>
    <t>Attanagalla - Unawatuna</t>
  </si>
  <si>
    <t>Attanagalla - Moronthuduwa</t>
  </si>
  <si>
    <t>Attanagalla - Waskaduwa</t>
  </si>
  <si>
    <t>Attanagalla - Weddagala</t>
  </si>
  <si>
    <t>Attanagalla - Weligatta</t>
  </si>
  <si>
    <t>Attanagalla - Akuressa</t>
  </si>
  <si>
    <t>Attanagalla - Wilpattu</t>
  </si>
  <si>
    <t>Moronthuduwa - Adams Peak</t>
  </si>
  <si>
    <t>Waskaduwa - Adams Peak</t>
  </si>
  <si>
    <t>Moronthuduwa - Ahangama</t>
  </si>
  <si>
    <t>Waskaduwa - Ahangama</t>
  </si>
  <si>
    <t>Moronthuduwa - Ahungalla</t>
  </si>
  <si>
    <t>Waskaduwa - Ahungalla</t>
  </si>
  <si>
    <t>Moronthuduwa - Aluthgama</t>
  </si>
  <si>
    <t>Waskaduwa - Aluthgama</t>
  </si>
  <si>
    <t>Moronthuduwa - Ambalangoda</t>
  </si>
  <si>
    <t>Waskaduwa - Ambalangoda</t>
  </si>
  <si>
    <t>Moronthuduwa - Ambalantota</t>
  </si>
  <si>
    <t>Waskaduwa - Ambalantota</t>
  </si>
  <si>
    <t>Moronthuduwa - Anuradhapura</t>
  </si>
  <si>
    <t>Waskaduwa - Anuradhapura</t>
  </si>
  <si>
    <t>Moronthuduwa - Arugam bay</t>
  </si>
  <si>
    <t>Waskaduwa - Arugam bay</t>
  </si>
  <si>
    <t>Moronthuduwa - balapitiya</t>
  </si>
  <si>
    <t>Waskaduwa - balapitiya</t>
  </si>
  <si>
    <t>Moronthuduwa - Batticaloa</t>
  </si>
  <si>
    <t>Waskaduwa - Batticaloa</t>
  </si>
  <si>
    <t>Moronthuduwa - Bentota</t>
  </si>
  <si>
    <t>Waskaduwa - Bentota</t>
  </si>
  <si>
    <t>Moronthuduwa - Beruwala</t>
  </si>
  <si>
    <t>Waskaduwa - Beruwala</t>
  </si>
  <si>
    <t>Moronthuduwa - Bundala</t>
  </si>
  <si>
    <t>Waskaduwa - Bundala</t>
  </si>
  <si>
    <t>Waskaduwa - Bambalapitiya</t>
  </si>
  <si>
    <t>Moronthuduwa - Bandaranaike Airport</t>
  </si>
  <si>
    <t>Waskaduwa - Bandaranaike Airport</t>
  </si>
  <si>
    <t>Waskaduwa - Dambulla</t>
  </si>
  <si>
    <t>Moronthuduwa - Deniyaya</t>
  </si>
  <si>
    <t>Waskaduwa - Deniyaya</t>
  </si>
  <si>
    <t>Moronthuduwa - Dickwella</t>
  </si>
  <si>
    <t>Moronthuduwa - Hiriketiya beach</t>
  </si>
  <si>
    <t>Waskaduwa - Dickwella</t>
  </si>
  <si>
    <t>Waskaduwa - Hiriketiya beach</t>
  </si>
  <si>
    <t>Moronthuduwa - Galle</t>
  </si>
  <si>
    <t>Moronthuduwa - Talpe</t>
  </si>
  <si>
    <t>Wadduwa - Galle</t>
  </si>
  <si>
    <t>Waskaduwa - Galle</t>
  </si>
  <si>
    <t>Waskaduwa - Talpe</t>
  </si>
  <si>
    <t>Moronthuduwa - Habarana</t>
  </si>
  <si>
    <t>Waskaduwa - Habarana</t>
  </si>
  <si>
    <t>Moronthuduwa - Ella</t>
  </si>
  <si>
    <t>Waskaduwa - Ella</t>
  </si>
  <si>
    <t>Moronthuduwa - Beragala</t>
  </si>
  <si>
    <t>Waskaduwa - Beragala</t>
  </si>
  <si>
    <t>Moronthuduwa - Dick oya</t>
  </si>
  <si>
    <t>Waskaduwa - Dick oya</t>
  </si>
  <si>
    <t>Moronthuduwa - Dodanduwa</t>
  </si>
  <si>
    <t>Waskaduwa - Dodanduwa</t>
  </si>
  <si>
    <t>Moronthuduwa - Induruwa</t>
  </si>
  <si>
    <t>Waskaduwa - Induruwa</t>
  </si>
  <si>
    <t>Moronthuduwa - Jaffna</t>
  </si>
  <si>
    <t>Waskaduwa - Jaffna</t>
  </si>
  <si>
    <t>Moronthuduwa - Kalapuwa</t>
  </si>
  <si>
    <t>Waskaduwa - Kalapuwa</t>
  </si>
  <si>
    <t>Moronthuduwa - Digana</t>
  </si>
  <si>
    <t>Waskaduwa - Ampitiya</t>
  </si>
  <si>
    <t>Waskaduwa - Digana</t>
  </si>
  <si>
    <t>Waskaduwa - Kataragama</t>
  </si>
  <si>
    <t>Moronthuduwa - Alawathupitiya</t>
  </si>
  <si>
    <t>Waskaduwa - Alawathupitiya</t>
  </si>
  <si>
    <t>Moronthuduwa - Pinnawala</t>
  </si>
  <si>
    <t>Waskaduwa - Pinnawala</t>
  </si>
  <si>
    <t>Moronthuduwa - Kitulgala</t>
  </si>
  <si>
    <t>Waskaduwa - Kitulgala</t>
  </si>
  <si>
    <t>Moronthuduwa - Habaraduwa</t>
  </si>
  <si>
    <t>Waskaduwa - Habaraduwa</t>
  </si>
  <si>
    <t>Moronthuduwa - Kosgoda</t>
  </si>
  <si>
    <t>Waskaduwa - Kosgoda</t>
  </si>
  <si>
    <t>Moronthuduwa - Kuchchaveli</t>
  </si>
  <si>
    <t>Waskaduwa - Kuchchaveli</t>
  </si>
  <si>
    <t>Moronthuduwa - Mannar</t>
  </si>
  <si>
    <t>Waskaduwa - Mannar</t>
  </si>
  <si>
    <t>Moronthuduwa - Kinigama</t>
  </si>
  <si>
    <t>Waskaduwa - Kinigama</t>
  </si>
  <si>
    <t>Moronthuduwa - Kalamatiya</t>
  </si>
  <si>
    <t>Wadduwa - Matara</t>
  </si>
  <si>
    <t>Waskaduwa - Kalamatiya</t>
  </si>
  <si>
    <t>Moronthuduwa - mirissa</t>
  </si>
  <si>
    <t>Wadduwa - Mirissa</t>
  </si>
  <si>
    <t>Waskaduwa - mirissa</t>
  </si>
  <si>
    <t>Moronthuduwa - Nanu Oya</t>
  </si>
  <si>
    <t>Waskaduwa - Nanu Oya</t>
  </si>
  <si>
    <t>Moronthuduwa - Waikkal</t>
  </si>
  <si>
    <t>Waskaduwa - Dalupotha</t>
  </si>
  <si>
    <t>Waskaduwa - Waikkal</t>
  </si>
  <si>
    <t>Moronthuduwa - Nilaveli</t>
  </si>
  <si>
    <t>Waskaduwa - Nilaveli</t>
  </si>
  <si>
    <t>Waskaduwa - Kotmale</t>
  </si>
  <si>
    <t>Moronthuduwa - Pasikuda</t>
  </si>
  <si>
    <t>Waskaduwa - Pasikuda</t>
  </si>
  <si>
    <t>Moronthuduwa - Galoya</t>
  </si>
  <si>
    <t>Waskaduwa - Galoya</t>
  </si>
  <si>
    <t>Moronthuduwa - Kalpitiya</t>
  </si>
  <si>
    <t>Moronthuduwa - Marawila</t>
  </si>
  <si>
    <t>Waskaduwa - Kalpitiya</t>
  </si>
  <si>
    <t>Waskaduwa - Marawila</t>
  </si>
  <si>
    <t>Moronthuduwa - Kiriella</t>
  </si>
  <si>
    <t>Waskaduwa - Kiriella</t>
  </si>
  <si>
    <t>Waskaduwa - Pidurangala</t>
  </si>
  <si>
    <t>Moronthuduwa - Rekawa</t>
  </si>
  <si>
    <t>Waskaduwa - Rekawa</t>
  </si>
  <si>
    <t>Moronthuduwa - Tissamaharama</t>
  </si>
  <si>
    <t>Moronthuduwa - Yala Park</t>
  </si>
  <si>
    <t>Waskaduwa - Tissamaharama</t>
  </si>
  <si>
    <t>Waskaduwa - Yala Park</t>
  </si>
  <si>
    <t>Moronthuduwa - Nilaweli</t>
  </si>
  <si>
    <t>Waskaduwa - Nilaweli</t>
  </si>
  <si>
    <t>Moronthuduwa - Udawalawa</t>
  </si>
  <si>
    <t>Waskaduwa - Udawalawa</t>
  </si>
  <si>
    <t>Moronthuduwa - Unawatuna</t>
  </si>
  <si>
    <t>Waskaduwa - Unawatuna</t>
  </si>
  <si>
    <t>Moronthuduwa - Attanagalla</t>
  </si>
  <si>
    <t>Waskaduwa - Attanagalla</t>
  </si>
  <si>
    <t>Moronthuduwa - Waskaduwa</t>
  </si>
  <si>
    <t>Waskaduwa - Moronthuduwa</t>
  </si>
  <si>
    <t>Moronthuduwa - Weddagala</t>
  </si>
  <si>
    <t>Waskaduwa - Weddagala</t>
  </si>
  <si>
    <t>Moronthuduwa - Weligatta</t>
  </si>
  <si>
    <t>Waskaduwa - Weligatta</t>
  </si>
  <si>
    <t>Moronthuduwa - Akuressa</t>
  </si>
  <si>
    <t>Waskaduwa - Akuressa</t>
  </si>
  <si>
    <t>Moronthuduwa - Wilpattu</t>
  </si>
  <si>
    <t>Waskaduwa - Wilpattu</t>
  </si>
  <si>
    <t>Weddagala - Adams Peak</t>
  </si>
  <si>
    <t>Weddagala - Ahangama</t>
  </si>
  <si>
    <t>Weddagala - Ahungalla</t>
  </si>
  <si>
    <t>Weddagala - Aluthgama</t>
  </si>
  <si>
    <t>Weddagala - Ambalangoda</t>
  </si>
  <si>
    <t>Weddagala - Ambalantota</t>
  </si>
  <si>
    <t>Weddagala - Anuradhapura</t>
  </si>
  <si>
    <t>Weddagala - Arugam bay</t>
  </si>
  <si>
    <t>Weddagala - balapitiya</t>
  </si>
  <si>
    <t>Weddagala - Batticaloa</t>
  </si>
  <si>
    <t>Weddagala - Bentota</t>
  </si>
  <si>
    <t>Weddagala - Beruwala</t>
  </si>
  <si>
    <t>Weddagala - Bundala</t>
  </si>
  <si>
    <t>Weddagala - Bambalapitiya</t>
  </si>
  <si>
    <t>Weddagala - Bandaranaike Airport</t>
  </si>
  <si>
    <t>Weddagala - Dambulla</t>
  </si>
  <si>
    <t>Weddagala - Deniyaya</t>
  </si>
  <si>
    <t>Weddagala - Dickwella</t>
  </si>
  <si>
    <t>Weddagala - Hiriketiya beach</t>
  </si>
  <si>
    <t>Weddagala - Galle</t>
  </si>
  <si>
    <t>Weddagala - Talpe</t>
  </si>
  <si>
    <t>Weddagala - Habarana</t>
  </si>
  <si>
    <t>Weddagala - Ella</t>
  </si>
  <si>
    <t>Weddagala - Beragala</t>
  </si>
  <si>
    <t>Weddagala - Dick oya</t>
  </si>
  <si>
    <t>Weddagala - Dodanduwa</t>
  </si>
  <si>
    <t>Weddagala - Induruwa</t>
  </si>
  <si>
    <t>Weddagala - Jaffna</t>
  </si>
  <si>
    <t>Weddagala - Kalapuwa</t>
  </si>
  <si>
    <t>Weddagala - Ampitiya</t>
  </si>
  <si>
    <t>Weddagala - Digana</t>
  </si>
  <si>
    <t>Weddagala - Kataragama</t>
  </si>
  <si>
    <t>Weddagala - Alawathupitiya</t>
  </si>
  <si>
    <t>Weddagala - Pinnawala</t>
  </si>
  <si>
    <t>Weddagala - Kitulgala</t>
  </si>
  <si>
    <t>Weddagala - Habaraduwa</t>
  </si>
  <si>
    <t>Weddagala - Kosgoda</t>
  </si>
  <si>
    <t>Weddagala - Kuchchaveli</t>
  </si>
  <si>
    <t>Weddagala - Mannar</t>
  </si>
  <si>
    <t>Weddagala - Kinigama</t>
  </si>
  <si>
    <t>Weddagala - Kalamatiya</t>
  </si>
  <si>
    <t>Weddagala - mirissa</t>
  </si>
  <si>
    <t>Weddagala - Nanu Oya</t>
  </si>
  <si>
    <t>Weddagala - Dalupotha</t>
  </si>
  <si>
    <t>Weddagala - Waikkal</t>
  </si>
  <si>
    <t>Weddagala - Nilaveli</t>
  </si>
  <si>
    <t>Weddagala - Kotmale</t>
  </si>
  <si>
    <t>Weddagala - Pasikuda</t>
  </si>
  <si>
    <t>Weddagala - Galoya</t>
  </si>
  <si>
    <t>Weddagala - Kalpitiya</t>
  </si>
  <si>
    <t>Weddagala - Marawila</t>
  </si>
  <si>
    <t>Weddagala - Kiriella</t>
  </si>
  <si>
    <t>Weddagala - Pidurangala</t>
  </si>
  <si>
    <t>Weddagala - Rekawa</t>
  </si>
  <si>
    <t>Weddagala - Tissamaharama</t>
  </si>
  <si>
    <t>Weddagala - Yala Park</t>
  </si>
  <si>
    <t>Weddagala - Nilaweli</t>
  </si>
  <si>
    <t>Weddagala - Udawalawa</t>
  </si>
  <si>
    <t>Weddagala - Unawatuna</t>
  </si>
  <si>
    <t>Weddagala - Attanagalla</t>
  </si>
  <si>
    <t>Weddagala - Moronthuduwa</t>
  </si>
  <si>
    <t>Weddagala - Waskaduwa</t>
  </si>
  <si>
    <t>Weddagala - Weligatta</t>
  </si>
  <si>
    <t>Weddagala - Akuressa</t>
  </si>
  <si>
    <t>Weddagala - Wilpattu</t>
  </si>
  <si>
    <t>Akuressa - Adams Peak</t>
  </si>
  <si>
    <t>Akuressa - Ahangama</t>
  </si>
  <si>
    <t>Akuressa - Ahungalla</t>
  </si>
  <si>
    <t>Akuressa - Aluthgama</t>
  </si>
  <si>
    <t>Akuressa - Ambalangoda</t>
  </si>
  <si>
    <t>Akuressa - Ambalantota</t>
  </si>
  <si>
    <t>Akuressa - Anuradhapura</t>
  </si>
  <si>
    <t>Akuressa - Arugam bay</t>
  </si>
  <si>
    <t>Akuressa - balapitiya</t>
  </si>
  <si>
    <t>Akuressa - Batticaloa</t>
  </si>
  <si>
    <t>Akuressa - Bentota</t>
  </si>
  <si>
    <t>Akuressa - Beruwala</t>
  </si>
  <si>
    <t>Akuressa - Bundala</t>
  </si>
  <si>
    <t>Akuressa - Bambalapitiya</t>
  </si>
  <si>
    <t>Akuressa - Bandaranaike Airport</t>
  </si>
  <si>
    <t>Akuressa - Dambulla</t>
  </si>
  <si>
    <t>Akuressa - Deniyaya</t>
  </si>
  <si>
    <t>Akuressa - Dickwella</t>
  </si>
  <si>
    <t>Akuressa - Hiriketiya beach</t>
  </si>
  <si>
    <t>Akuressa - Galle</t>
  </si>
  <si>
    <t>Akuressa - Talpe</t>
  </si>
  <si>
    <t>Weligama - Galle</t>
  </si>
  <si>
    <t>Akuressa - Habarana</t>
  </si>
  <si>
    <t>Akuressa - Ella</t>
  </si>
  <si>
    <t>Akuressa - Beragala</t>
  </si>
  <si>
    <t>Akuressa - Dick oya</t>
  </si>
  <si>
    <t>Akuressa - Dodanduwa</t>
  </si>
  <si>
    <t>Akuressa - Induruwa</t>
  </si>
  <si>
    <t>Akuressa - Jaffna</t>
  </si>
  <si>
    <t>Akuressa - Kalapuwa</t>
  </si>
  <si>
    <t>Akuressa - Ampitiya</t>
  </si>
  <si>
    <t>Akuressa - Digana</t>
  </si>
  <si>
    <t>Akuressa - Kataragama</t>
  </si>
  <si>
    <t>Akuressa - Alawathupitiya</t>
  </si>
  <si>
    <t>Akuressa - Pinnawala</t>
  </si>
  <si>
    <t>Akuressa - Kitulgala</t>
  </si>
  <si>
    <t>Akuressa - Habaraduwa</t>
  </si>
  <si>
    <t>Akuressa - Kosgoda</t>
  </si>
  <si>
    <t>Akuressa - Kuchchaveli</t>
  </si>
  <si>
    <t>Akuressa - Mannar</t>
  </si>
  <si>
    <t>Akuressa - Kinigama</t>
  </si>
  <si>
    <t>Akuressa - Kalamatiya</t>
  </si>
  <si>
    <t>Weligama - Matara</t>
  </si>
  <si>
    <t>Akuressa - mirissa</t>
  </si>
  <si>
    <t>Weligama - Mirissa</t>
  </si>
  <si>
    <t>Weligama - Moratuwa</t>
  </si>
  <si>
    <t>Akuressa - Nanu Oya</t>
  </si>
  <si>
    <t>Akuressa - Dalupotha</t>
  </si>
  <si>
    <t>Akuressa - Waikkal</t>
  </si>
  <si>
    <t>Akuressa - Nilaveli</t>
  </si>
  <si>
    <t>Akuressa - Kotmale</t>
  </si>
  <si>
    <t>Akuressa - Pasikuda</t>
  </si>
  <si>
    <t>Akuressa - Galoya</t>
  </si>
  <si>
    <t>Akuressa - Kalpitiya</t>
  </si>
  <si>
    <t>Akuressa - Marawila</t>
  </si>
  <si>
    <t>Akuressa - Kiriella</t>
  </si>
  <si>
    <t>Akuressa - Pidurangala</t>
  </si>
  <si>
    <t>Akuressa - Rekawa</t>
  </si>
  <si>
    <t>Akuressa - Tissamaharama</t>
  </si>
  <si>
    <t>Akuressa - Yala Park</t>
  </si>
  <si>
    <t>Akuressa - Nilaweli</t>
  </si>
  <si>
    <t>Akuressa - Udawalawa</t>
  </si>
  <si>
    <t>Akuressa - Unawatuna</t>
  </si>
  <si>
    <t>Akuressa - Attanagalla</t>
  </si>
  <si>
    <t>Akuressa - Moronthuduwa</t>
  </si>
  <si>
    <t>Akuressa - Waskaduwa</t>
  </si>
  <si>
    <t>Akuressa - Weddagala</t>
  </si>
  <si>
    <t>Akuressa - Weligatta</t>
  </si>
  <si>
    <t>Akuressa - Wilpattu</t>
  </si>
  <si>
    <t>Wilpattu - Adams Peak</t>
  </si>
  <si>
    <t>Wilpattu - Ahangama</t>
  </si>
  <si>
    <t>Wilpattu - Ahungalla</t>
  </si>
  <si>
    <t>Wilpattu - Aluthgama</t>
  </si>
  <si>
    <t>Wilpattu - Ambalangoda</t>
  </si>
  <si>
    <t>Wilpattu - Ambalantota</t>
  </si>
  <si>
    <t>Wilpattu - Anuradhapura</t>
  </si>
  <si>
    <t>Wilpattu - Arugam bay</t>
  </si>
  <si>
    <t>Wilpattu - balapitiya</t>
  </si>
  <si>
    <t>Wilpattu - Batticaloa</t>
  </si>
  <si>
    <t>Wilpattu - Bentota</t>
  </si>
  <si>
    <t>Wilpattu - Beruwala</t>
  </si>
  <si>
    <t>Wilpattu - Bundala</t>
  </si>
  <si>
    <t>Wilpattu - Bambalapitiya</t>
  </si>
  <si>
    <t>Wilpattu - Bandaranaike Airport</t>
  </si>
  <si>
    <t>Wilpattu - Dambulla</t>
  </si>
  <si>
    <t>Wilpattu - Deniyaya</t>
  </si>
  <si>
    <t>Wilpattu - Dickwella</t>
  </si>
  <si>
    <t>Wilpattu - Hiriketiya beach</t>
  </si>
  <si>
    <t>Wilpattu - Galle</t>
  </si>
  <si>
    <t>Wilpattu - Talpe</t>
  </si>
  <si>
    <t>Wilpattu - Habarana</t>
  </si>
  <si>
    <t>Wilpattu - Ella</t>
  </si>
  <si>
    <t>Wilpattu - Beragala</t>
  </si>
  <si>
    <t>Wilpattu - Dick oya</t>
  </si>
  <si>
    <t>Wilpattu - Dodanduwa</t>
  </si>
  <si>
    <t>Wilpattu - Induruwa</t>
  </si>
  <si>
    <t>Wilpattu - Jaffna</t>
  </si>
  <si>
    <t>Wilpattu - Kalapuwa</t>
  </si>
  <si>
    <t>Wilpattu - Ampitiya</t>
  </si>
  <si>
    <t>Wilpattu - Digana</t>
  </si>
  <si>
    <t>Wilpattu - Kataragama</t>
  </si>
  <si>
    <t>Wilpattu - Alawathupitiya</t>
  </si>
  <si>
    <t>Wilpattu - Pinnawala</t>
  </si>
  <si>
    <t>Wilpattu - Kitulgala</t>
  </si>
  <si>
    <t>Wilpattu - Habaraduwa</t>
  </si>
  <si>
    <t>Wilpattu - Kosgoda</t>
  </si>
  <si>
    <t>Wilpattu - Kuchchaveli</t>
  </si>
  <si>
    <t>Wilpattu - Mannar</t>
  </si>
  <si>
    <t>Wilpattu - Kinigama</t>
  </si>
  <si>
    <t>Wilpattu - Kalamatiya</t>
  </si>
  <si>
    <t>Wilpattu - mirissa</t>
  </si>
  <si>
    <t>Wilpattu - Nanu Oya</t>
  </si>
  <si>
    <t>Wilpattu - Dalupotha</t>
  </si>
  <si>
    <t>Wilpattu - Waikkal</t>
  </si>
  <si>
    <t>Wilpattu - Nilaveli</t>
  </si>
  <si>
    <t>Wilpattu - Kotmale</t>
  </si>
  <si>
    <t>Wilpattu - Pasikuda</t>
  </si>
  <si>
    <t>Wilpattu - Galoya</t>
  </si>
  <si>
    <t>Wilpattu - Kalpitiya</t>
  </si>
  <si>
    <t>Wilpattu - Marawila</t>
  </si>
  <si>
    <t>Wilpattu - Kiriella</t>
  </si>
  <si>
    <t>Wilpattu - Pidurangala</t>
  </si>
  <si>
    <t>Wilpattu - Rekawa</t>
  </si>
  <si>
    <t>Wilpattu - Tissamaharama</t>
  </si>
  <si>
    <t>Wilpattu - Yala Park</t>
  </si>
  <si>
    <t>Wilpattu - Nilaweli</t>
  </si>
  <si>
    <t>Wilpattu - Udawalawa</t>
  </si>
  <si>
    <t>Wilpattu - Unawatuna</t>
  </si>
  <si>
    <t>Wilpattu - Attanagalla</t>
  </si>
  <si>
    <t>Wilpattu - Moronthuduwa</t>
  </si>
  <si>
    <t>Wilpattu - Waskaduwa</t>
  </si>
  <si>
    <t>Wilpattu - Weddagala</t>
  </si>
  <si>
    <t>Wilpattu - Weligatta</t>
  </si>
  <si>
    <t>Wilpattu - Akuressa</t>
  </si>
  <si>
    <t>Taiwan, Beigang</t>
  </si>
  <si>
    <t>Taiwan, Miaoli</t>
  </si>
  <si>
    <t>Beigang - Miaoli</t>
  </si>
  <si>
    <t>Taiwan, New Taipei</t>
  </si>
  <si>
    <t>Beigang - New Taipei</t>
  </si>
  <si>
    <t>Taiwan, Tainan</t>
  </si>
  <si>
    <t>Beigang - Tainan</t>
  </si>
  <si>
    <t>Taiwan, Hsinchu</t>
  </si>
  <si>
    <t>Taiwan, Douliou</t>
  </si>
  <si>
    <t>Hsinchu - Douliou</t>
  </si>
  <si>
    <t>Taiwan, Dounan</t>
  </si>
  <si>
    <t>Hsinchu - Dounan</t>
  </si>
  <si>
    <t>Taiwan, Huwei</t>
  </si>
  <si>
    <t>Hsinchu - Huwei</t>
  </si>
  <si>
    <t>Taiwan, Lukang</t>
  </si>
  <si>
    <t>Hsinchu - Lukang</t>
  </si>
  <si>
    <t>Taiwan, Tuku</t>
  </si>
  <si>
    <t>Hsinchu - Tuku</t>
  </si>
  <si>
    <t>Taiwan, Changhua</t>
  </si>
  <si>
    <t>Huwei - Changhua</t>
  </si>
  <si>
    <t>Huwei - Hsinchu</t>
  </si>
  <si>
    <t>Taiwan, Kaohsiung</t>
  </si>
  <si>
    <t>Huwei - Kaohsiung</t>
  </si>
  <si>
    <t>Huwei - Lukang</t>
  </si>
  <si>
    <t>Huwei - Miaoli</t>
  </si>
  <si>
    <t>Taiwan, Taichung</t>
  </si>
  <si>
    <t>Huwei - Taichung</t>
  </si>
  <si>
    <t>Huwei - Tainan</t>
  </si>
  <si>
    <t>Taiwan, Taoyuan City</t>
  </si>
  <si>
    <t>Huwei - Taoyuan City</t>
  </si>
  <si>
    <t>Taiwan, Zhubei</t>
  </si>
  <si>
    <t>Huwei - Zhubei</t>
  </si>
  <si>
    <t>Taiwan, Zuoying</t>
  </si>
  <si>
    <t>Huwei - Zuoying</t>
  </si>
  <si>
    <t>Taiwan, Taipei</t>
  </si>
  <si>
    <t>Taiwan, Taoyuan Airport</t>
  </si>
  <si>
    <t>Taipei - Taoyuan International Airport</t>
  </si>
  <si>
    <t>train | 24 Hr Pass</t>
  </si>
  <si>
    <t>train | 48 Hr Pass</t>
  </si>
  <si>
    <t>train | 72 Hr Pass</t>
  </si>
  <si>
    <t>Taoyuan International Airport - Taipei</t>
  </si>
  <si>
    <t>Taoyuan International Airport - Taipei Ezfly Ximending</t>
  </si>
  <si>
    <t>Taiwan, Yunlin</t>
  </si>
  <si>
    <t>Yunlin - Taoyuan Hsr</t>
  </si>
  <si>
    <t>Tanzania, Dar es Salaam</t>
  </si>
  <si>
    <t>Tanzania, Dodoma</t>
  </si>
  <si>
    <t>Dar es Salaam SGR - Dodoma SGR</t>
  </si>
  <si>
    <t>train | Royal</t>
  </si>
  <si>
    <t>Tanzania, Morogoro</t>
  </si>
  <si>
    <t>Dar es Salaam SGR - Morogoro SGR</t>
  </si>
  <si>
    <t>train | Business</t>
  </si>
  <si>
    <t>Dodoma SGR - Dar es Salaam SGR</t>
  </si>
  <si>
    <t>Morogoro SGR - Dar es Salaam SGR</t>
  </si>
  <si>
    <t>Thailand, Aranyaprathet</t>
  </si>
  <si>
    <t>Aranyaprathet - Ban Krut</t>
  </si>
  <si>
    <t>Thailand, Ayutthaya</t>
  </si>
  <si>
    <t>Ayutthaya - Ban Krut</t>
  </si>
  <si>
    <t>Thailand, Ban Hat Lek</t>
  </si>
  <si>
    <t>Ban Hat Lek - Ban Krut</t>
  </si>
  <si>
    <t>Emsamang Express Travel - Siem Reap Namo Angkor Travel</t>
  </si>
  <si>
    <t>van | Minivan + Bus</t>
  </si>
  <si>
    <t>Krung Thep Aphiwat Central Terminal Station - Chiang Mai</t>
  </si>
  <si>
    <t>train | 2nd Class Sleeper AC</t>
  </si>
  <si>
    <t>train | Class II Sleeper AC</t>
  </si>
  <si>
    <t>Bangkok Transfer - Ban Krut</t>
  </si>
  <si>
    <t>Thailand, Rayong</t>
  </si>
  <si>
    <t>Bangkok Transfer - Ban Phe</t>
  </si>
  <si>
    <t>Thailand, Surat Thani</t>
  </si>
  <si>
    <t>Khaosan The Twin 2000 Samsen Rd - Surat Thani</t>
  </si>
  <si>
    <t>Thailand, Trat</t>
  </si>
  <si>
    <t>Bangkok Transfer - Ao Thammachat pier</t>
  </si>
  <si>
    <t>Thailand, Chalong</t>
  </si>
  <si>
    <t>Thailand, Phuket</t>
  </si>
  <si>
    <t>Chalong Hotel Transfer - Phuket Airport</t>
  </si>
  <si>
    <t>Thailand, Chanthaburi</t>
  </si>
  <si>
    <t>Chanthaburi Transfer - Ban Krut</t>
  </si>
  <si>
    <t>CoolMuang Coffee - Luang Namtha Bus Terminal</t>
  </si>
  <si>
    <t>van | Van + Sleeper Bus</t>
  </si>
  <si>
    <t>CoolMuang Coffee - Sokprasert Bus Terminal</t>
  </si>
  <si>
    <t>Chiang Mai - Krung Thep Aphiwat Central Terminal Station</t>
  </si>
  <si>
    <t>Chiang Mai Town - Ban Krut</t>
  </si>
  <si>
    <t>Thailand, Chiang Rai</t>
  </si>
  <si>
    <t>Chiang Rai Transfer - Huay Xai Transfer</t>
  </si>
  <si>
    <t>bus | Taxi + Bus + Song Taew</t>
  </si>
  <si>
    <t>Chiang Rai Transfer - Luang Namtha Bus Terminal</t>
  </si>
  <si>
    <t>Chiang Rai Transfer - Ban Don Mai Slow Boat Terminal</t>
  </si>
  <si>
    <t>van | Van + Shuttle Bus + Slow Boat</t>
  </si>
  <si>
    <t>Chiang Rai Transfer - Sokprasert Bus Terminal</t>
  </si>
  <si>
    <t>van | Taxi + Minivan</t>
  </si>
  <si>
    <t>van | Van + Minivan</t>
  </si>
  <si>
    <t>Chiang Khong Border - Nateuy Train Station</t>
  </si>
  <si>
    <t>Chiang Rai - Nateuy Train Station</t>
  </si>
  <si>
    <t>Chiang Khong Transfer - Chiang Rai Hotel Transfer</t>
  </si>
  <si>
    <t>Chiang Rai Hotel Transfer - Ban Krut</t>
  </si>
  <si>
    <t>Pattaya Minivan Station - Siem Reap Namo Angkor Travel</t>
  </si>
  <si>
    <t>Thailand, Chumphon</t>
  </si>
  <si>
    <t>Thailand, Khao Lak</t>
  </si>
  <si>
    <t>Chumphon Hotel Transfer - Khao Lak Transfer</t>
  </si>
  <si>
    <t>Chumphon Hotel Transfer - Phuket Transfer</t>
  </si>
  <si>
    <t>Chumphon Hotel Transfer - Ban Krut</t>
  </si>
  <si>
    <t>Don Mueang Airport - Ban Krut</t>
  </si>
  <si>
    <t>Thailand, Donsak</t>
  </si>
  <si>
    <t>Donsak Hotel Transfer - Khao Lak Transfer</t>
  </si>
  <si>
    <t>Thailand, Krabi</t>
  </si>
  <si>
    <t>Seatran Donsak Pier - Krabi Bus Terminal</t>
  </si>
  <si>
    <t>Donsak Pier except Ferry to Samui - Phuket Transfer</t>
  </si>
  <si>
    <t>Donsak Seatran - Patong Kata Karon Transfer</t>
  </si>
  <si>
    <t>bus+charter</t>
  </si>
  <si>
    <t>Seatran Donsak Pier - Patong Kata Karon Transfer</t>
  </si>
  <si>
    <t>Seatran Donsak Pier - Phuket Bus Terminal 2</t>
  </si>
  <si>
    <t>bus+van</t>
  </si>
  <si>
    <t>Donsak Piers - Ban Krut</t>
  </si>
  <si>
    <t>Seatran Donsak Pier - Phantip Travel Surat Thani</t>
  </si>
  <si>
    <t>Thailand, Surat Thani Airport</t>
  </si>
  <si>
    <t>Seatran Donsak Pier - Surat Thani Airport</t>
  </si>
  <si>
    <t>Thailand, Surat Thani Train Station</t>
  </si>
  <si>
    <t>Seatran Donsak Pier - Surat Thani Train Station</t>
  </si>
  <si>
    <t>Thailand, Hat Yai</t>
  </si>
  <si>
    <t>Hat Yai Hotel Transfer - Phuket Transfer</t>
  </si>
  <si>
    <t>Thailand, Hua Hin</t>
  </si>
  <si>
    <t>Hua Hin - Ban Krut</t>
  </si>
  <si>
    <t>Thailand, Kanchanaburi</t>
  </si>
  <si>
    <t>Kanchanaburi Hotel Transfer - Ban Krut</t>
  </si>
  <si>
    <t>Thailand, Karon</t>
  </si>
  <si>
    <t>Karon Beach - Phuket Airport</t>
  </si>
  <si>
    <t>Khaolak except Bang Sak Bang Muang and Takua Pa - Phuket Airport</t>
  </si>
  <si>
    <t>Khaolak except Bang Sak Bang Muang and Takua Pa - Phuket Hotel Transfer</t>
  </si>
  <si>
    <t>Khaolak with Bang Sak Bang Muang and Takua Pa - Phuket Hotel Transfer</t>
  </si>
  <si>
    <t>Thailand, Khao Sok</t>
  </si>
  <si>
    <t>Khao Sok Hotel Transfer - Khao Lak Transfer</t>
  </si>
  <si>
    <t>Khao Sok Hotel Transfer - Phuket Transfer</t>
  </si>
  <si>
    <t>Khao Sok Hotel Transfer - Ban Krut</t>
  </si>
  <si>
    <t>Thailand, Khao Yai National Park</t>
  </si>
  <si>
    <t>Khao Yai - Ban Krut</t>
  </si>
  <si>
    <t>Thailand, Koh Chang</t>
  </si>
  <si>
    <t>Koh Chang - Ban Krut</t>
  </si>
  <si>
    <t>Thailand, Koh Lanta</t>
  </si>
  <si>
    <t>Koh Lanta Transfer - Khao Lak Transfer</t>
  </si>
  <si>
    <t>Thailand, Koh Ngai</t>
  </si>
  <si>
    <t>Koh Lanta Transfer - Koh Ngai</t>
  </si>
  <si>
    <t>Koh Lanta Hotel Transfer - Phuket Transfer</t>
  </si>
  <si>
    <t>Koh Lanta Hotel Transfer - Ban Krut</t>
  </si>
  <si>
    <t>Thailand, Koh Larn</t>
  </si>
  <si>
    <t>Koh Larn Hotel Transfer - Ban Krut</t>
  </si>
  <si>
    <t>Thailand, Koh Muk</t>
  </si>
  <si>
    <t>Koh Muk Pier - Koh Lanta Transfer</t>
  </si>
  <si>
    <t>Koh Ngai Transfer - Koh Lanta Transfer</t>
  </si>
  <si>
    <t>Thailand, Koh Phangan</t>
  </si>
  <si>
    <t>Koh Phangan Transfer - Ban Krut</t>
  </si>
  <si>
    <t>Thailand, Koh Phayam</t>
  </si>
  <si>
    <t>Thailand, Ranong</t>
  </si>
  <si>
    <t>Koh Phayam - Ranong Hotel Transfer</t>
  </si>
  <si>
    <t>Koh Phayam - Ranong Pier</t>
  </si>
  <si>
    <t>Koh Phayam Pier Ranong - Ranong Bus Station</t>
  </si>
  <si>
    <t>Thailand, Koh Phi Phi</t>
  </si>
  <si>
    <t>Ton Sai Pier Koh Phi Phi - Phuket Airport</t>
  </si>
  <si>
    <t>ferry | Ferry + Bus</t>
  </si>
  <si>
    <t>Thailand, Koh Samet</t>
  </si>
  <si>
    <t>Koh Samet - Ban Krut</t>
  </si>
  <si>
    <t>Thailand, Koh Samui</t>
  </si>
  <si>
    <t>Koh Samui Transfer - Ban Krut</t>
  </si>
  <si>
    <t>Thailand, Koh Tao</t>
  </si>
  <si>
    <t>Thailand, Ao Nang</t>
  </si>
  <si>
    <t>Mae Haad Koh Tao - Ao Nang Transfer except Krabi Town and Railay</t>
  </si>
  <si>
    <t>ferry | Speedboat + Minivan</t>
  </si>
  <si>
    <t>Mae Haad Koh Tao - Koh Lanta Saladan Pier</t>
  </si>
  <si>
    <t>ferry | Speedboat + Minivan + Minivan</t>
  </si>
  <si>
    <t>Mae Haad Koh Tao - Ton Sai Pier Koh Phi Phi</t>
  </si>
  <si>
    <t>ferry | Speedboat + Minivan + Ferry</t>
  </si>
  <si>
    <t>Mae Haad Koh Tao - Krabi Bus Terminal</t>
  </si>
  <si>
    <t>Krabi with Klong Muang Ao Nang Airport and Town - Khao Lak Transfer</t>
  </si>
  <si>
    <t>Krabi Airport - Krabi Hotel Transfer</t>
  </si>
  <si>
    <t>van | Van 11pax</t>
  </si>
  <si>
    <t>Krabi Hotel Transfer - Krabi Airport</t>
  </si>
  <si>
    <t>Krabi Hotel Transfer - Phuket Airport</t>
  </si>
  <si>
    <t>Krabi Hotel Transfer - Phuket Hotel Transfer</t>
  </si>
  <si>
    <t>Krabi Town Hotel Transfer - Ban Krut</t>
  </si>
  <si>
    <t>Thailand, Lopburi</t>
  </si>
  <si>
    <t>Lopburi - Ban Krut</t>
  </si>
  <si>
    <t>Thailand, Mae Sot</t>
  </si>
  <si>
    <t>Mae Sot Transfer - Ban Krut</t>
  </si>
  <si>
    <t>Thailand, Pai</t>
  </si>
  <si>
    <t>Pai Hotel Transfer - Chiang Rai Hotel Transfer</t>
  </si>
  <si>
    <t>Pai Hotel Transfer - Chiang Saen Border</t>
  </si>
  <si>
    <t>Thailand, Pattaya</t>
  </si>
  <si>
    <t>Pattaya Hotel Transfer - Ban Krut</t>
  </si>
  <si>
    <t>Thailand, Phang Nga</t>
  </si>
  <si>
    <t>Phang Nga Hotel Transfer - Khao Lak Transfer</t>
  </si>
  <si>
    <t>Thailand, Phitsanulok</t>
  </si>
  <si>
    <t>Phitsanulok Hotel Transfer - Ban Krut</t>
  </si>
  <si>
    <t>Phuket Town Transfer - Ton Sai Pier Koh Phi Phi</t>
  </si>
  <si>
    <t>Ao Makham - Phuket Airport</t>
  </si>
  <si>
    <t>Ao Por - Phuket Airport</t>
  </si>
  <si>
    <t>Bang Tao Beach - Phuket Airport</t>
  </si>
  <si>
    <t>Boat Lagoon Pier Phuket - Phuket Airport</t>
  </si>
  <si>
    <t>Kamala - Phuket Airport</t>
  </si>
  <si>
    <t>Kata Beach - Phuket Airport</t>
  </si>
  <si>
    <t>Koh Siray - Phuket Airport</t>
  </si>
  <si>
    <t>Laguna Phuket - Phuket Airport</t>
  </si>
  <si>
    <t>Layan Beach - Phuket Airport</t>
  </si>
  <si>
    <t>Mai Khao - Phuket Airport</t>
  </si>
  <si>
    <t>Nai Harn Beach Phuket - Phuket Airport</t>
  </si>
  <si>
    <t>Naithon Beach - Phuket Airport</t>
  </si>
  <si>
    <t>Naiyang Beach Hotel Transfer - Phuket Airport</t>
  </si>
  <si>
    <t>Panwa Cape Phuket - Phuket Airport</t>
  </si>
  <si>
    <t>Patong Beach Phuket - Phuket Airport</t>
  </si>
  <si>
    <t>Phuket Town Transfer - Phuket Airport</t>
  </si>
  <si>
    <t>Promthep Cape - Phuket Airport</t>
  </si>
  <si>
    <t>Rawai Beach Phuket - Phuket Airport</t>
  </si>
  <si>
    <t>Surin Beach - Phuket Airport</t>
  </si>
  <si>
    <t>Phuket Town Transfer - Ban Krut</t>
  </si>
  <si>
    <t>Ban Krut - Battambang Transfer</t>
  </si>
  <si>
    <t>Ban Krut - Phnom Penh Transfer</t>
  </si>
  <si>
    <t>Ban Krut - Siem Reap</t>
  </si>
  <si>
    <t>Ban Krut - Sihanoukville</t>
  </si>
  <si>
    <t>Ban Krut - Aranyaprathet</t>
  </si>
  <si>
    <t>Ban Krut - Ayutthaya</t>
  </si>
  <si>
    <t>Ban Krut - Ban Hat Lek</t>
  </si>
  <si>
    <t>Ban Krut - Bangkok Transfer</t>
  </si>
  <si>
    <t>Ban Krut - Chanthaburi Transfer</t>
  </si>
  <si>
    <t>Ban Krut - Chiang Mai Town</t>
  </si>
  <si>
    <t>Ban Krut - Chiang Rai Hotel Transfer</t>
  </si>
  <si>
    <t>Ban Krut - Chumphon Hotel Transfer</t>
  </si>
  <si>
    <t>Ban Krut - Don Mueang Airport</t>
  </si>
  <si>
    <t>Ban Krut - Donsak Piers</t>
  </si>
  <si>
    <t>Ban Krut - Hua Hin</t>
  </si>
  <si>
    <t>Prachuap Khiri Khan - Hua Hin Hotel Transfer</t>
  </si>
  <si>
    <t>charter | VIP Van 9pax</t>
  </si>
  <si>
    <t>Ban Krut - Kanchanaburi Hotel Transfer</t>
  </si>
  <si>
    <t>Ban Krut - Khao Sok Hotel Transfer</t>
  </si>
  <si>
    <t>Ban Krut - Khao Yai</t>
  </si>
  <si>
    <t>Ban Krut - Koh Chang</t>
  </si>
  <si>
    <t>Ban Krut - Koh Lanta Hotel Transfer</t>
  </si>
  <si>
    <t>Ban Krut - Koh Larn Hotel Transfer</t>
  </si>
  <si>
    <t>Ban Krut - Koh Phangan Transfer</t>
  </si>
  <si>
    <t>Ban Krut - Koh Samet</t>
  </si>
  <si>
    <t>Ban Krut - Koh Samui Transfer</t>
  </si>
  <si>
    <t>Ban Krut - Krabi Town Hotel Transfer</t>
  </si>
  <si>
    <t>Ban Krut - Lopburi</t>
  </si>
  <si>
    <t>Ban Krut - Mae Sot Transfer</t>
  </si>
  <si>
    <t>Ban Krut - Pattaya Hotel Transfer</t>
  </si>
  <si>
    <t>Ban Krut - Phitsanulok Hotel Transfer</t>
  </si>
  <si>
    <t>Ban Krut - Phuket Town Transfer</t>
  </si>
  <si>
    <t>Ban Krut - Ranong Hotel Transfer</t>
  </si>
  <si>
    <t>Thailand, Ratchaburi</t>
  </si>
  <si>
    <t>Ban Krut - Ratchaburi</t>
  </si>
  <si>
    <t>Ban Krut - Ban Phe</t>
  </si>
  <si>
    <t>Thailand, Samut Songkhram</t>
  </si>
  <si>
    <t>Ban Krut - Amphawa Floating Market</t>
  </si>
  <si>
    <t>Thailand, Sukhothai</t>
  </si>
  <si>
    <t>Ban Krut - Sukhothai Hotel Transfer</t>
  </si>
  <si>
    <t>Ban Krut - Surat Thani Town Transfer</t>
  </si>
  <si>
    <t>Thailand, Suvarnabhumi Airport</t>
  </si>
  <si>
    <t>Ban Krut - Suvarnabhumi Airport</t>
  </si>
  <si>
    <t>Ban Krut - Ao Thammachat pier</t>
  </si>
  <si>
    <t>Ban Krut - Laem Ngop Pier Trat</t>
  </si>
  <si>
    <t>Ban Krut - Laem Sok Pier</t>
  </si>
  <si>
    <t>Ban Krut - Trat Town Hotel Transfer</t>
  </si>
  <si>
    <t>Thailand, Railay</t>
  </si>
  <si>
    <t>Floating Pier East Railay - Krabi Hotel Transfer</t>
  </si>
  <si>
    <t>ferry | Longtail Boat + Taxi</t>
  </si>
  <si>
    <t>Floating Pier East Railay - River View Krabi</t>
  </si>
  <si>
    <t>ferry | Longtail Boat</t>
  </si>
  <si>
    <t>Ranong Hotel Transfer - Phuket Transfer</t>
  </si>
  <si>
    <t>Ranong Hotel Transfer - Ban Krut</t>
  </si>
  <si>
    <t>Ratchaburi - Ban Krut</t>
  </si>
  <si>
    <t>Ban Phe - Ban Krut</t>
  </si>
  <si>
    <t>Thailand, Sa Kaeo</t>
  </si>
  <si>
    <t>Poipet Border - Pattaya Town</t>
  </si>
  <si>
    <t>Amphawa Floating Market - Ban Krut</t>
  </si>
  <si>
    <t>Thailand, Satun</t>
  </si>
  <si>
    <t>Satun Hotel Transfer - Phuket Transfer</t>
  </si>
  <si>
    <t>Sukhothai Hotel Transfer - Ban Krut</t>
  </si>
  <si>
    <t>P Plus Express Surat Thani - TBS Kuala Lumpur</t>
  </si>
  <si>
    <t>Phantip Travel Surat Thani - Seatran Donsak Pier</t>
  </si>
  <si>
    <t>Surat Thani - Phuket Transfer</t>
  </si>
  <si>
    <t>Surat Thani Town Transfer - Ban Krut</t>
  </si>
  <si>
    <t>Surat Thani Airport - Seatran Donsak Pier</t>
  </si>
  <si>
    <t>Suvarnabhumi Airport - Ban Krut</t>
  </si>
  <si>
    <t>Suvarnabhumi Airport - Ban Phe</t>
  </si>
  <si>
    <t>Thailand, Trang</t>
  </si>
  <si>
    <t>Trang with Pakmeng and Sikhao - Khao Lak Transfer</t>
  </si>
  <si>
    <t>Trang with Pakmeng and Sikhao - Phuket Transfer</t>
  </si>
  <si>
    <t>Ao Thammachat pier - Ban Krut</t>
  </si>
  <si>
    <t>Laem Ngop Pier Trat - Ban Krut</t>
  </si>
  <si>
    <t>Laem Sok Pier - Ban Krut</t>
  </si>
  <si>
    <t>Trat Town Hotel Transfer - Ban Krut</t>
  </si>
  <si>
    <t xml:space="preserve">Ubon Ratchathani Transfer - Chong Mek Border </t>
  </si>
  <si>
    <t>Ubon Ratchathani Transfer - Pakse Hotel Transfer</t>
  </si>
  <si>
    <t>Turkey, Adakoy</t>
  </si>
  <si>
    <t>Turkey, Dalaman</t>
  </si>
  <si>
    <t>Adakoy Hotel Transfer - Dalaman Airport</t>
  </si>
  <si>
    <t>charter | Minibus 16pax</t>
  </si>
  <si>
    <t>charter | VIP Van 5pax</t>
  </si>
  <si>
    <t>Turkey, Adrasan</t>
  </si>
  <si>
    <t>Turkey, Antalya</t>
  </si>
  <si>
    <t>Adrasan Hotel Transfer - Antalya Airport</t>
  </si>
  <si>
    <t>Turkey, Akyaka</t>
  </si>
  <si>
    <t>Akyaka Hotel Transfer - Dalaman Airport</t>
  </si>
  <si>
    <t>Turkey, Alanya</t>
  </si>
  <si>
    <t>Alanya Hotel Transfer - Gazipasa Alanya Airport</t>
  </si>
  <si>
    <t>Gazipasa Alanya Airport - Alanya Hotel Transfer</t>
  </si>
  <si>
    <t>Gazipasa Alanya Airport - Yesiloz Transfer Alanya</t>
  </si>
  <si>
    <t>Yesiloz Transfer Alanya - Gazipasa Alanya Airport</t>
  </si>
  <si>
    <t>Alanya Hotel Transfer - Antalya Airport</t>
  </si>
  <si>
    <t>Gazipasa Alanya Airport - Titreyengol Hotel Transfer</t>
  </si>
  <si>
    <t>Turkey, Avsallar</t>
  </si>
  <si>
    <t>Gazipasa Alanya Airport - Avsallar Hotel Transfer</t>
  </si>
  <si>
    <t>Turkey, Cenger</t>
  </si>
  <si>
    <t>Gazipasa Alanya Airport - Cenger Hotel Transfer</t>
  </si>
  <si>
    <t>Turkey, Colakli</t>
  </si>
  <si>
    <t>Gazipasa Alanya Airport - Colakli Hotel Transfer</t>
  </si>
  <si>
    <t>Turkey, Gazipasa</t>
  </si>
  <si>
    <t>Gazipasa Alanya Airport - Gazipasa Hotel Transfer</t>
  </si>
  <si>
    <t>Turkey, Gundogdu</t>
  </si>
  <si>
    <t>Gazipasa Alanya Airport - Gundogdu Hotel Transfer</t>
  </si>
  <si>
    <t>Turkey, Incekum</t>
  </si>
  <si>
    <t>Gazipasa Alanya Airport - Incekum Hotel Transfer</t>
  </si>
  <si>
    <t>Turkey, Kargicak</t>
  </si>
  <si>
    <t>Gazipasa Alanya Airport - Kargicak Hotel Transfer</t>
  </si>
  <si>
    <t>Turkey, Kestel</t>
  </si>
  <si>
    <t>Gazipasa Alanya Airport - Kestel Hotel Transfer</t>
  </si>
  <si>
    <t>Turkey, Kizilagac</t>
  </si>
  <si>
    <t>Gazipasa Alanya Airport - Kizilagac Hotel Transfer</t>
  </si>
  <si>
    <t>Turkey, Kizilot</t>
  </si>
  <si>
    <t>Gazipasa Alanya Airport - Kizilot Hotel Transfer</t>
  </si>
  <si>
    <t>Turkey, Konakli</t>
  </si>
  <si>
    <t>Gazipasa Alanya Airport - Konakli Hotel Transfer</t>
  </si>
  <si>
    <t>Turkey, Mahmutlar</t>
  </si>
  <si>
    <t>Gazipasa Alanya Airport - Mahmutlar Hotel Transfer</t>
  </si>
  <si>
    <t>Turkey, Manavgat</t>
  </si>
  <si>
    <t>Gazipasa Alanya Airport - Manavgat Hotel Transfer</t>
  </si>
  <si>
    <t>Gazipasa Alanya Airport - Sorgun Hotel Transfer</t>
  </si>
  <si>
    <t>Turkey, Oba</t>
  </si>
  <si>
    <t>Gazipasa Alanya Airport - Oba Hotel Transfer</t>
  </si>
  <si>
    <t>Turkey, Okurcalar</t>
  </si>
  <si>
    <t>Gazipasa Alanya Airport - Okurcalar Hotel Transfer</t>
  </si>
  <si>
    <t>Turkey, Orensehir</t>
  </si>
  <si>
    <t>Gazipasa Alanya Airport - Orensehir Hotel Transfer</t>
  </si>
  <si>
    <t>Turkey, Payallar</t>
  </si>
  <si>
    <t>Gazipasa Alanya Airport - Payallar Hotel Transfer</t>
  </si>
  <si>
    <t>Turkey, Side</t>
  </si>
  <si>
    <t>Gazipasa Alanya Airport - Side Hotel Transfer</t>
  </si>
  <si>
    <t>Turkey, Tosmur</t>
  </si>
  <si>
    <t>Gazipasa Alanya Airport - Tosmur Hotel Transfer</t>
  </si>
  <si>
    <t>Turkey, Turkler</t>
  </si>
  <si>
    <t>Gazipasa Alanya Airport - Turkler Hotel Transfer</t>
  </si>
  <si>
    <t>Antalya Airport - Adrasan Hotel Transfer</t>
  </si>
  <si>
    <t>Antalya Airport - Alanya Hotel Transfer</t>
  </si>
  <si>
    <t>Titreyengol Hotel Transfer - Gazipasa Alanya Airport</t>
  </si>
  <si>
    <t>Antalya Airport - Antalya Hotel Transfer</t>
  </si>
  <si>
    <t>Antalya Hotel Transfer - Antalya Airport</t>
  </si>
  <si>
    <t>Antalya Airport - Avsallar Hotel Transfer</t>
  </si>
  <si>
    <t>Turkey, Beldibi</t>
  </si>
  <si>
    <t>Antalya Airport - Beldibi Hotel Transfer Antalya</t>
  </si>
  <si>
    <t>Turkey, Belek</t>
  </si>
  <si>
    <t>Antalya Airport - Belek Hotel Transfer</t>
  </si>
  <si>
    <t>Turkey, Bogazkent</t>
  </si>
  <si>
    <t>Antalya Airport - Bogazkent Hotel Transfer</t>
  </si>
  <si>
    <t>Antalya Hotel Transfer - Dalaman Airport</t>
  </si>
  <si>
    <t>charter | Van 16pax</t>
  </si>
  <si>
    <t>charter | Van 6pax</t>
  </si>
  <si>
    <t>Turkey, Fethiye</t>
  </si>
  <si>
    <t>Antalya Airport - Fethiye Hotel Transfer</t>
  </si>
  <si>
    <t>Avsallar Hotel Transfer - Gazipasa Alanya Airport</t>
  </si>
  <si>
    <t>Avsallar Hotel Transfer - Antalya Airport</t>
  </si>
  <si>
    <t>Turkey, Bayir</t>
  </si>
  <si>
    <t>Bayir Hotel Transfer - Dalaman Airport</t>
  </si>
  <si>
    <t>Beldibi Hotel Transfer Antalya - Antalya Airport</t>
  </si>
  <si>
    <t>Belek Hotel Transfer - Antalya Airport</t>
  </si>
  <si>
    <t>Turkey, Bodrum</t>
  </si>
  <si>
    <t>Bodrum Hotel Transfer - Dalaman Airport</t>
  </si>
  <si>
    <t>Bodrum Milas Airport - Dalaman Airport</t>
  </si>
  <si>
    <t>Bodrum City Center - Fethiye Hotel Transfer</t>
  </si>
  <si>
    <t>Bodrum Milas Airport - Fethiye Hotel Transfer</t>
  </si>
  <si>
    <t>Bogazkent Hotel Transfer - Antalya Airport</t>
  </si>
  <si>
    <t>Turkey, Bozburun</t>
  </si>
  <si>
    <t>Bozburun Hotel Transfer - Dalaman Airport</t>
  </si>
  <si>
    <t>Turkey, Bursa</t>
  </si>
  <si>
    <t>Turkey, Istanbul</t>
  </si>
  <si>
    <t>Bursa Hotel Transfer - Sabiha Gokcen Airport</t>
  </si>
  <si>
    <t>charter | Business Van 6pax</t>
  </si>
  <si>
    <t>Turkey, Istanbul Airport</t>
  </si>
  <si>
    <t>Bursa Hotel Transfer - Istanbul Airport</t>
  </si>
  <si>
    <t>Cenger Hotel Transfer - Gazipasa Alanya Airport</t>
  </si>
  <si>
    <t>Colakli Hotel Transfer - Gazipasa Alanya Airport</t>
  </si>
  <si>
    <t>Dalaman Airport - Adakoy Hotel Transfer</t>
  </si>
  <si>
    <t>Dalaman Airport - Akyaka Hotel Transfer</t>
  </si>
  <si>
    <t>Dalaman Airport - Antalya Hotel Transfer</t>
  </si>
  <si>
    <t>Dalaman Airport - Bayir Hotel Transfer</t>
  </si>
  <si>
    <t>Dalaman Airport - Bodrum Hotel Transfer</t>
  </si>
  <si>
    <t>Dalaman Airport - Bodrum Milas Airport</t>
  </si>
  <si>
    <t>Dalaman Airport - Bozburun Hotel Transfer</t>
  </si>
  <si>
    <t>Akkaya - Dalaman Airport</t>
  </si>
  <si>
    <t>Dalaman Airport - Akkaya</t>
  </si>
  <si>
    <t>Dalaman Airport - Karacaagac Transfer</t>
  </si>
  <si>
    <t>Karacaagac Transfer - Dalaman Airport</t>
  </si>
  <si>
    <t>Turkey, Dalyan</t>
  </si>
  <si>
    <t>Dalaman Airport - Dalyan Hotel Transfer</t>
  </si>
  <si>
    <t>Turkey, Datca</t>
  </si>
  <si>
    <t>Dalaman Airport - Datca Hotel Transfer</t>
  </si>
  <si>
    <t>Turkey, Faralya</t>
  </si>
  <si>
    <t>Dalaman Airport - Faralya Hotel Transfer</t>
  </si>
  <si>
    <t>Dalaman Airport - Calis Beach</t>
  </si>
  <si>
    <t>Dalaman Airport - Ciftlik Hotel Transfer</t>
  </si>
  <si>
    <t>Dalaman Airport - Fethiye Hotel Transfer</t>
  </si>
  <si>
    <t>Dalaman Airport - Fethiye Transfer</t>
  </si>
  <si>
    <t>Dalaman Airport - Karagozler Transfer</t>
  </si>
  <si>
    <t>Turkey, Gelemis</t>
  </si>
  <si>
    <t>Dalaman Airport - Patara Beach</t>
  </si>
  <si>
    <t>Turkey, Gocek</t>
  </si>
  <si>
    <t>Dalaman Airport - Gocek Hotel Transfer</t>
  </si>
  <si>
    <t>Dalaman Airport - Gocek Transfer</t>
  </si>
  <si>
    <t>Turkey, Hisaronu</t>
  </si>
  <si>
    <t>Dalaman Airport - Marmaris Hisaronu Hotel Transfer</t>
  </si>
  <si>
    <t>Turkey, Icmeler</t>
  </si>
  <si>
    <t>Dalaman Airport - Icmeler Hotel Transfer</t>
  </si>
  <si>
    <t>Turkey, Izmir</t>
  </si>
  <si>
    <t>Dalaman Airport - Izmir Hotel Transfer</t>
  </si>
  <si>
    <t>Turkey, Kabak</t>
  </si>
  <si>
    <t>Dalaman Airport - Kabak Hotel Transfer</t>
  </si>
  <si>
    <t>Turkey, Kalkan</t>
  </si>
  <si>
    <t>Dalaman Airport - Kalkan Hotel Transfer</t>
  </si>
  <si>
    <t>Turkey, Kapikargin</t>
  </si>
  <si>
    <t>Dalaman Airport - Sarsala Bay</t>
  </si>
  <si>
    <t>Turkey, Kas</t>
  </si>
  <si>
    <t>Dalaman Airport - Kas Hotel Transfer</t>
  </si>
  <si>
    <t>Turkey, Kayakoy</t>
  </si>
  <si>
    <t>Dalaman Airport - Kayakoy Hotel Transfer</t>
  </si>
  <si>
    <t>Turkey, Koycegiz</t>
  </si>
  <si>
    <t>Dalaman Airport - Koycegiz Hotel Transfer</t>
  </si>
  <si>
    <t>Turkey, Kusadasi</t>
  </si>
  <si>
    <t>Dalaman Airport - Kusadasi Hotel Transfer</t>
  </si>
  <si>
    <t>Turkey, Marmaris</t>
  </si>
  <si>
    <t>Dalaman Airport - Marmaris Hotel Transfer</t>
  </si>
  <si>
    <t>Turkey, Oludeniz</t>
  </si>
  <si>
    <t>Dalaman Airport - Fethiye Hisaronu Hotel Transfer</t>
  </si>
  <si>
    <t>Dalaman Airport - Hisaronu Hotel Transfer</t>
  </si>
  <si>
    <t>Dalaman Airport - Oludeniz Hotel Transfer</t>
  </si>
  <si>
    <t>Dalaman Airport - Oludeniz Transfer</t>
  </si>
  <si>
    <t>Dalaman Airport - Ovacik Hotel Transfer</t>
  </si>
  <si>
    <t>Turkey, Orhaniye</t>
  </si>
  <si>
    <t>Dalaman Airport - Orhaniye Hotel Transfer</t>
  </si>
  <si>
    <t>Turkey, Ortaca</t>
  </si>
  <si>
    <t>Dalaman Airport - Ortaca Hotel Transfer</t>
  </si>
  <si>
    <t>Turkey, Sarigerme</t>
  </si>
  <si>
    <t>Dalaman Airport - Sarigerme Hotel Transfer</t>
  </si>
  <si>
    <t>Turkey, Selimiye</t>
  </si>
  <si>
    <t>Dalaman Airport - Selimiye Hotel Transfer</t>
  </si>
  <si>
    <t>Turkey, Sogut</t>
  </si>
  <si>
    <t>Dalaman Airport - Sogut Hotel Transfer</t>
  </si>
  <si>
    <t>Turkey, Turgutkoy</t>
  </si>
  <si>
    <t>Dalaman Airport - Turgutkoy Hotel Transfer</t>
  </si>
  <si>
    <t>Turkey, Turunc</t>
  </si>
  <si>
    <t>Dalaman Airport - Turunc Hotel Transfer</t>
  </si>
  <si>
    <t>Turkey, Uzumlu</t>
  </si>
  <si>
    <t>Dalaman Airport - Yesiluzumlu Hotel Transfer</t>
  </si>
  <si>
    <t>Turkey, Uzunyurt</t>
  </si>
  <si>
    <t>Dalaman Airport - Uzunyurt Hotel Transfer</t>
  </si>
  <si>
    <t>Turkey, Yaniklar</t>
  </si>
  <si>
    <t>Dalaman Airport - Yaniklar Hotel Transfer</t>
  </si>
  <si>
    <t>Dalaman Airport - Yaniklar Transfer</t>
  </si>
  <si>
    <t>Dalyan Hotel Transfer - Dalaman Airport</t>
  </si>
  <si>
    <t>Dalyan Hotel Transfer - Fethiye Hotel Transfer</t>
  </si>
  <si>
    <t>Datca Hotel Transfer - Dalaman Airport</t>
  </si>
  <si>
    <t>Faralya Hotel Transfer - Dalaman Airport</t>
  </si>
  <si>
    <t>Fethiye Hotel Transfer - Antalya Airport</t>
  </si>
  <si>
    <t>Fethiye Hotel Transfer - Bodrum City Center</t>
  </si>
  <si>
    <t>Fethiye Hotel Transfer - Bodrum Milas Airport</t>
  </si>
  <si>
    <t>Calis Beach - Dalaman Airport</t>
  </si>
  <si>
    <t>Ciftlik Hotel Transfer - Dalaman Airport</t>
  </si>
  <si>
    <t>Fethiye Hotel Transfer - Dalaman Airport</t>
  </si>
  <si>
    <t>Fethiye Transfer - Dalaman Airport</t>
  </si>
  <si>
    <t>Karagozler Transfer - Dalaman Airport</t>
  </si>
  <si>
    <t>Fethiye Hotel Transfer - Dalyan Hotel Transfer</t>
  </si>
  <si>
    <t>Fethiye Hotel Transfer - Adnan Menderes Airport</t>
  </si>
  <si>
    <t>Fethiye Hotel Transfer - Marmaris Hotel Transfer</t>
  </si>
  <si>
    <t>Gazipasa Hotel Transfer - Gazipasa Alanya Airport</t>
  </si>
  <si>
    <t>Patara Beach - Dalaman Airport</t>
  </si>
  <si>
    <t>Gocek Hotel Transfer - Dalaman Airport</t>
  </si>
  <si>
    <t>Gocek Transfer - Dalaman Airport</t>
  </si>
  <si>
    <t>Turkey, Goreme</t>
  </si>
  <si>
    <t>Goreme Hotel Transfer - Goreme Hotel Transfer</t>
  </si>
  <si>
    <t>Gundogdu Hotel Transfer - Gazipasa Alanya Airport</t>
  </si>
  <si>
    <t>Marmaris Hisaronu Hotel Transfer - Dalaman Airport</t>
  </si>
  <si>
    <t>Icmeler Hotel Transfer - Dalaman Airport</t>
  </si>
  <si>
    <t>Incekum Hotel Transfer - Gazipasa Alanya Airport</t>
  </si>
  <si>
    <t>Sabiha Gokcen Airport - Bursa Hotel Transfer</t>
  </si>
  <si>
    <t>Arnavutkoy Hotel Transfer - Sabiha Gokcen Airport</t>
  </si>
  <si>
    <t>Atasehir Hotel Transfer - Sabiha Gokcen Airport</t>
  </si>
  <si>
    <t>Bakirkoy Hotel Transfer - Sabiha Gokcen Airport</t>
  </si>
  <si>
    <t>Besiktas Hotel Transfer - Sabiha Gokcen Airport</t>
  </si>
  <si>
    <t>Beyoglu Hotel Transfer - Sabiha Gokcen Airport</t>
  </si>
  <si>
    <t>Buyukcekmece Hotel Transfer - Sabiha Gokcen Airport</t>
  </si>
  <si>
    <t>Fatih Hotel Transfer - Sabiha Gokcen Airport</t>
  </si>
  <si>
    <t>Kadikoy Hotel Transfer - Sabiha Gokcen Airport</t>
  </si>
  <si>
    <t>Sabiha Gokcen Airport - Arnavutkoy Hotel Transfer</t>
  </si>
  <si>
    <t>Sabiha Gokcen Airport - Atasehir Hotel Transfer</t>
  </si>
  <si>
    <t>Sabiha Gokcen Airport - Bakirkoy Hotel Transfer</t>
  </si>
  <si>
    <t>Sabiha Gokcen Airport - Besiktas Hotel Transfer</t>
  </si>
  <si>
    <t>Sabiha Gokcen Airport - Beyoglu Hotel Transfer</t>
  </si>
  <si>
    <t>Sabiha Gokcen Airport - Buyukcekmece Hotel Transfer</t>
  </si>
  <si>
    <t>Sabiha Gokcen Airport - Fatih Hotel Transfer</t>
  </si>
  <si>
    <t>Sabiha Gokcen Airport - Kadikoy Hotel Transfer</t>
  </si>
  <si>
    <t>Sabiha Gokcen Airport - Tarabya Hotel Transfer</t>
  </si>
  <si>
    <t>Sabiha Gokcen Airport - Tayakadin Hotel Transfer</t>
  </si>
  <si>
    <t>Sabiha Gokcen Airport - Umraniye Hotel Transfer</t>
  </si>
  <si>
    <t>Sabiha Gokcen Airport - Uskudar Hotel Transfer</t>
  </si>
  <si>
    <t>Sabiha Gokcen Airport - Zeytinburnu Hotel Transfer</t>
  </si>
  <si>
    <t>Tarabya Hotel Transfer - Sabiha Gokcen Airport</t>
  </si>
  <si>
    <t>Tayakadin Hotel Transfer - Sabiha Gokcen Airport</t>
  </si>
  <si>
    <t>Umraniye Hotel Transfer - Sabiha Gokcen Airport</t>
  </si>
  <si>
    <t>Uskudar Hotel Transfer - Sabiha Gokcen Airport</t>
  </si>
  <si>
    <t>Zeytinburnu Hotel Transfer - Sabiha Gokcen Airport</t>
  </si>
  <si>
    <t>Arnavutkoy Hotel Transfer - Istanbul Airport</t>
  </si>
  <si>
    <t>Atasehir Hotel Transfer - Istanbul Airport</t>
  </si>
  <si>
    <t>Bakirkoy Hotel Transfer - Istanbul Airport</t>
  </si>
  <si>
    <t>Besiktas Hotel Transfer - Istanbul Airport</t>
  </si>
  <si>
    <t>Beyoglu Hotel Transfer - Istanbul Airport</t>
  </si>
  <si>
    <t>Buyukcekmece Hotel Transfer - Istanbul Airport</t>
  </si>
  <si>
    <t>Fatih Hotel Transfer - Istanbul Airport</t>
  </si>
  <si>
    <t>Kadikoy Hotel Transfer - Istanbul Airport</t>
  </si>
  <si>
    <t>Sabiha Gokcen Airport - Istanbul Airport</t>
  </si>
  <si>
    <t>Tarabya Hotel Transfer - Istanbul Airport</t>
  </si>
  <si>
    <t>Tayakadin Hotel Transfer - Istanbul Airport</t>
  </si>
  <si>
    <t>Umraniye Hotel Transfer - Istanbul Airport</t>
  </si>
  <si>
    <t>Uskudar Hotel Transfer - Istanbul Airport</t>
  </si>
  <si>
    <t>Zeytinburnu Hotel Transfer - Istanbul Airport</t>
  </si>
  <si>
    <t>Turkey, Sapanca</t>
  </si>
  <si>
    <t>Sabiha Gokcen Airport - Sapanca Hotel Transfer</t>
  </si>
  <si>
    <t>Turkey, Yalova</t>
  </si>
  <si>
    <t>Sabiha Gokcen Airport - Yalova Hotel Transfer</t>
  </si>
  <si>
    <t>Istanbul Airport - Bursa Hotel Transfer</t>
  </si>
  <si>
    <t>Istanbul Airport - Arnavutkoy Hotel Transfer</t>
  </si>
  <si>
    <t>Istanbul Airport - Atasehir Hotel Transfer</t>
  </si>
  <si>
    <t>Istanbul Airport - Bakirkoy Hotel Transfer</t>
  </si>
  <si>
    <t>Istanbul Airport - Besiktas Hotel Transfer</t>
  </si>
  <si>
    <t>Istanbul Airport - Beyoglu Hotel Transfer</t>
  </si>
  <si>
    <t>Istanbul Airport - Buyukcekmece Hotel Transfer</t>
  </si>
  <si>
    <t>Istanbul Airport - Fatih Hotel Transfer</t>
  </si>
  <si>
    <t>Istanbul Airport - Kadikoy Hotel Transfer</t>
  </si>
  <si>
    <t>Istanbul Airport - Sabiha Gokcen Airport</t>
  </si>
  <si>
    <t>Istanbul Airport - Tarabya Hotel Transfer</t>
  </si>
  <si>
    <t>Istanbul Airport - Tayakadin Hotel Transfer</t>
  </si>
  <si>
    <t>Istanbul Airport - Umraniye Hotel Transfer</t>
  </si>
  <si>
    <t>Istanbul Airport - Uskudar Hotel Transfer</t>
  </si>
  <si>
    <t>Istanbul Airport - Zeytinburnu Hotel Transfer</t>
  </si>
  <si>
    <t>Istanbul Airport - Sapanca Hotel Transfer</t>
  </si>
  <si>
    <t>Istanbul Airport - Yalova Hotel Transfer</t>
  </si>
  <si>
    <t>Izmir Hotel Transfer - Dalaman Airport</t>
  </si>
  <si>
    <t>Adnan Menderes Airport - Fethiye Hotel Transfer</t>
  </si>
  <si>
    <t>Kabak Hotel Transfer - Dalaman Airport</t>
  </si>
  <si>
    <t>Kalkan Hotel Transfer - Dalaman Airport</t>
  </si>
  <si>
    <t>Sarsala Bay - Dalaman Airport</t>
  </si>
  <si>
    <t>Kargicak Hotel Transfer - Gazipasa Alanya Airport</t>
  </si>
  <si>
    <t>Kas Hotel Transfer - Dalaman Airport</t>
  </si>
  <si>
    <t>Kayakoy Hotel Transfer - Dalaman Airport</t>
  </si>
  <si>
    <t>Kestel Hotel Transfer - Gazipasa Alanya Airport</t>
  </si>
  <si>
    <t>Kizilagac Hotel Transfer - Gazipasa Alanya Airport</t>
  </si>
  <si>
    <t>Kizilot Hotel Transfer - Gazipasa Alanya Airport</t>
  </si>
  <si>
    <t>Konakli Hotel Transfer - Gazipasa Alanya Airport</t>
  </si>
  <si>
    <t>Kusadasi Hotel Transfer - Dalaman Airport</t>
  </si>
  <si>
    <t>Mahmutlar Hotel Transfer - Gazipasa Alanya Airport</t>
  </si>
  <si>
    <t>Manavgat Hotel Transfer - Gazipasa Alanya Airport</t>
  </si>
  <si>
    <t>Sorgun Hotel Transfer - Gazipasa Alanya Airport</t>
  </si>
  <si>
    <t>Marmaris Hotel Transfer - Dalaman Airport</t>
  </si>
  <si>
    <t>Marmaris Hotel Transfer - Fethiye Hotel Transfer</t>
  </si>
  <si>
    <t>Oba Hotel Transfer - Gazipasa Alanya Airport</t>
  </si>
  <si>
    <t>Okurcalar Hotel Transfer - Gazipasa Alanya Airport</t>
  </si>
  <si>
    <t>Fethiye Hisaronu Hotel Transfer - Dalaman Airport</t>
  </si>
  <si>
    <t>Hisaronu Hotel Transfer - Dalaman Airport</t>
  </si>
  <si>
    <t>Oludeniz Hotel Transfer - Dalaman Airport</t>
  </si>
  <si>
    <t>Oludeniz Transfer - Dalaman Airport</t>
  </si>
  <si>
    <t>Ovacik Hotel Transfer - Dalaman Airport</t>
  </si>
  <si>
    <t>Orensehir Hotel Transfer - Gazipasa Alanya Airport</t>
  </si>
  <si>
    <t>Orhaniye Hotel Transfer - Dalaman Airport</t>
  </si>
  <si>
    <t>Ortaca Hotel Transfer - Dalaman Airport</t>
  </si>
  <si>
    <t>Payallar Hotel Transfer - Gazipasa Alanya Airport</t>
  </si>
  <si>
    <t>Sapanca Hotel Transfer - Sabiha Gokcen Airport</t>
  </si>
  <si>
    <t>Sapanca Hotel Transfer - Istanbul Airport</t>
  </si>
  <si>
    <t>Sarigerme Hotel Transfer - Dalaman Airport</t>
  </si>
  <si>
    <t>Selimiye Hotel Transfer - Dalaman Airport</t>
  </si>
  <si>
    <t>Side Hotel Transfer - Gazipasa Alanya Airport</t>
  </si>
  <si>
    <t>Tosmur Hotel Transfer - Gazipasa Alanya Airport</t>
  </si>
  <si>
    <t>Turgutkoy Hotel Transfer - Dalaman Airport</t>
  </si>
  <si>
    <t>Turkler Hotel Transfer - Gazipasa Alanya Airport</t>
  </si>
  <si>
    <t>Turunc Hotel Transfer - Dalaman Airport</t>
  </si>
  <si>
    <t>Yesiluzumlu Hotel Transfer - Dalaman Airport</t>
  </si>
  <si>
    <t>Uzunyurt Hotel Transfer - Dalaman Airport</t>
  </si>
  <si>
    <t>Yalova Hotel Transfer - Sabiha Gokcen Airport</t>
  </si>
  <si>
    <t>Yalova Hotel Transfer - Istanbul Airport</t>
  </si>
  <si>
    <t>Yaniklar Hotel Transfer - Dalaman Airport</t>
  </si>
  <si>
    <t>Yaniklar Transfer - Dalaman Airport</t>
  </si>
  <si>
    <t>UK, Southport</t>
  </si>
  <si>
    <t>Southport - Byron Bay</t>
  </si>
  <si>
    <t>United Arab Emirates, Dubai</t>
  </si>
  <si>
    <t>Saudi Arabia, Al Ahsa</t>
  </si>
  <si>
    <t>Dubai - Al Ahsa</t>
  </si>
  <si>
    <t>Saudi Arabia, Al Mubarraz</t>
  </si>
  <si>
    <t>Dubai - Al Mubarraz</t>
  </si>
  <si>
    <t>United Arab Emirates, Dubai Airport</t>
  </si>
  <si>
    <t>Saudi Arabia, Khamis Mushayt</t>
  </si>
  <si>
    <t>Dubai Airport - Khamis Mushayt</t>
  </si>
  <si>
    <t>USA, Houston</t>
  </si>
  <si>
    <t>Houston - Burns Lake</t>
  </si>
  <si>
    <t>Vietnam, Binh Thuan</t>
  </si>
  <si>
    <t>75 Nguyen Dinh Chieu - Da Nang Hanh Cafe Office</t>
  </si>
  <si>
    <t>bus | Sleeper 41</t>
  </si>
  <si>
    <t>Vietnam, Ho Chi Minh City</t>
  </si>
  <si>
    <t>75 Nguyen Dinh Chieu - 273 Pham Ngu Lao</t>
  </si>
  <si>
    <t>bus | Luxury 19</t>
  </si>
  <si>
    <t>bus | Luxury Sleeper 24</t>
  </si>
  <si>
    <t>bus | Luxury Sleeper 34</t>
  </si>
  <si>
    <t>bus | Sleeper 36</t>
  </si>
  <si>
    <t>Phan Thiet South Bus Station - 121 Co Giang</t>
  </si>
  <si>
    <t>bus | VIP Limousine</t>
  </si>
  <si>
    <t>Phan Thiet South Bus Station - 579 Vo Chi Cong</t>
  </si>
  <si>
    <t>Phan Thiet South Bus Station - Mien Dong Moi</t>
  </si>
  <si>
    <t>Vietnam, Hoi An</t>
  </si>
  <si>
    <t>75 Nguyen Dinh Chieu - Hoi An Hanh Cafe</t>
  </si>
  <si>
    <t>Vietnam, Hue</t>
  </si>
  <si>
    <t>75 Nguyen Dinh Chieu - 28 Chu Van An</t>
  </si>
  <si>
    <t>Vietnam, Buon Ma Thuot</t>
  </si>
  <si>
    <t>Vietnam, Da Lat</t>
  </si>
  <si>
    <t>Buon Ma Thuot Bus Station - Provincial Bus Station Da Lat</t>
  </si>
  <si>
    <t>bus | Cabin 34</t>
  </si>
  <si>
    <t>Vietnam, Cao Bang</t>
  </si>
  <si>
    <t>Vietnam, Ha Giang</t>
  </si>
  <si>
    <t>Cao Bang Bus Station - To 1 Cau Me</t>
  </si>
  <si>
    <t>bus | Sleeper Bus + Van</t>
  </si>
  <si>
    <t>bus | Van</t>
  </si>
  <si>
    <t>Provincial Bus Station Da Lat - Buon Ma Thuot Bus Station</t>
  </si>
  <si>
    <t>55 Phan Boi Chau - 258 Le Hong Phong</t>
  </si>
  <si>
    <t>bus | Sleeper 34</t>
  </si>
  <si>
    <t>55 Phan Boi Chau - 266 Le Hong Phong</t>
  </si>
  <si>
    <t>bus | Cabin</t>
  </si>
  <si>
    <t>Da Lat ThanhBuoi - 258 Le Hong Phong</t>
  </si>
  <si>
    <t>Da Lat ThanhBuoi - 266 Le Hong Phong</t>
  </si>
  <si>
    <t>Da Nang Airport - Da Nang Airport</t>
  </si>
  <si>
    <t>97 Vo Van Kiet - 70 Nguyen Huu Huan</t>
  </si>
  <si>
    <t>bus | Royal Cabin</t>
  </si>
  <si>
    <t>Da Nang - Hanoi</t>
  </si>
  <si>
    <t>train | VIP Sleeper 4x</t>
  </si>
  <si>
    <t>Danava Travel 16 Road 32 - Parking Lot Tran Vy</t>
  </si>
  <si>
    <t>bus | VIP 34</t>
  </si>
  <si>
    <t>Da Nang City - Hoi An Office</t>
  </si>
  <si>
    <t>charter | SUV 7pax</t>
  </si>
  <si>
    <t>charter | Van + Private Speedboat 4 pax</t>
  </si>
  <si>
    <t>Thanh Khe District - Hue city Vietnam</t>
  </si>
  <si>
    <t>charter | Van + Bus</t>
  </si>
  <si>
    <t>Vietnam, Lam Dong</t>
  </si>
  <si>
    <t>Da Nang Hanh Cafe Office - 4 Hoang Dieu</t>
  </si>
  <si>
    <t>bus | Sleeper 41 + Luxury 19</t>
  </si>
  <si>
    <t>Vietnam, Nha Trang</t>
  </si>
  <si>
    <t>Da Nang - Nha Trang</t>
  </si>
  <si>
    <t>Vietnam, Ninh Binh</t>
  </si>
  <si>
    <t>Danava Travel 16 Road 32 - Mr Khanh Travel Agency Ninh Binh</t>
  </si>
  <si>
    <t>Danava Travel 16 Road 32 - Tam Coc NinhBinh</t>
  </si>
  <si>
    <t>Queen Cafe Bus Da Nang - Mikes Travel Agency</t>
  </si>
  <si>
    <t>bus | Upper Cabin 22</t>
  </si>
  <si>
    <t>Vietnam, Phong Nha</t>
  </si>
  <si>
    <t>Danava Travel 16 Road 32 - Nam Anh Hotel</t>
  </si>
  <si>
    <t>97 Vo Van Kiet - 100A Dien Bien Phu</t>
  </si>
  <si>
    <t>Vietnam, Tam Coc</t>
  </si>
  <si>
    <t>97 Vo Van Kiet - Tam Coc Bus Station</t>
  </si>
  <si>
    <t>Vietnam, Dao Cat Ba</t>
  </si>
  <si>
    <t>178 Nui Ngoc - 132 Duong Hien Giang</t>
  </si>
  <si>
    <t>bus | VIP 18 + VIP 11</t>
  </si>
  <si>
    <t>bus | VIP 18 + VIP 22</t>
  </si>
  <si>
    <t>178 Nui Ngoc - 90 Hoang Thi Loan</t>
  </si>
  <si>
    <t>bus | Tourist AC + VIP 22</t>
  </si>
  <si>
    <t>Vietnam, Dong Hoi</t>
  </si>
  <si>
    <t>178 Nui Ngoc - 122 Ha Huy Tap</t>
  </si>
  <si>
    <t>178 Nui Ngoc - Ha Giang City Hostel</t>
  </si>
  <si>
    <t>Gia Cat Long Hotel - To 1 Cau Me</t>
  </si>
  <si>
    <t>bus | Sleeper</t>
  </si>
  <si>
    <t>178 Nui Ngoc - 20 Hang Muoi</t>
  </si>
  <si>
    <t>bus | VIP 18</t>
  </si>
  <si>
    <t>Vietnam, Hoa Binh</t>
  </si>
  <si>
    <t>178 Nui Ngoc - Little Mai Chau Homestay</t>
  </si>
  <si>
    <t>bus | Tourist AC</t>
  </si>
  <si>
    <t>178 Nui Ngoc - Pool Side Villa</t>
  </si>
  <si>
    <t>178 Nui Ngoc - 26 Nguyen Hue</t>
  </si>
  <si>
    <t>178 Nui Ngoc - Phong Nha Midtown Hotel</t>
  </si>
  <si>
    <t>178 Nui Ngoc - Sapa Garden Bungalow</t>
  </si>
  <si>
    <t>Gia Cat Long Hotel - 100A Dien Bien Phu</t>
  </si>
  <si>
    <t>178 Nui Ngoc - Tam Coc Sunshine Hostel</t>
  </si>
  <si>
    <t>Vietnam, Thanh Hoa</t>
  </si>
  <si>
    <t>178 Nui Ngoc - OH Pu Luong Homestay</t>
  </si>
  <si>
    <t>A Thia Homestay Villa - Luang Prabang Railway Station</t>
  </si>
  <si>
    <t>bus | Van + Train</t>
  </si>
  <si>
    <t>Pha Din Hotel - Ing Ing Mountain View</t>
  </si>
  <si>
    <t>A Thia Homestay Villa - Lao Viet Restaurant</t>
  </si>
  <si>
    <t>A Thia Homestay Villa - Muang Khua</t>
  </si>
  <si>
    <t>A Thia Homestay Villa - Vang Vieng Railway Station</t>
  </si>
  <si>
    <t>A Thia Homestay Villa - Vientiane Railway Station</t>
  </si>
  <si>
    <t>A Thia Homestay Villa - Hanoi My Dinh Bus Station</t>
  </si>
  <si>
    <t>A Thia Homestay Villa - 100A Dien Bien Phu</t>
  </si>
  <si>
    <t>Dong Hoi - Ninh Binh</t>
  </si>
  <si>
    <t>To 1 Cau Me - Cao Bang Bus Station</t>
  </si>
  <si>
    <t>To 1 Cau Me - Gia Cat Long Hotel</t>
  </si>
  <si>
    <t>Ha Giang Bus Station - My Dinh Bus Station</t>
  </si>
  <si>
    <t>bus | Single Royal Cabin</t>
  </si>
  <si>
    <t>To 1 Cau Me - 204 Tran Quang Khai</t>
  </si>
  <si>
    <t>bus | Limousine 18</t>
  </si>
  <si>
    <t>Vietnam, Quang Ninh</t>
  </si>
  <si>
    <t>To 1 Cau Me - Toyota Quang Ninh</t>
  </si>
  <si>
    <t>32 Nguyen Trai Street - 599 Dien Bien Phu</t>
  </si>
  <si>
    <t>bus | Limousine 11</t>
  </si>
  <si>
    <t>To 1 Cau Me - 100A Dien Bien Phu</t>
  </si>
  <si>
    <t>bus | VIP Cabin 34</t>
  </si>
  <si>
    <t>To 1 Cau Me - Tam Coc Bus Station</t>
  </si>
  <si>
    <t>Vietnam, Ha Nam</t>
  </si>
  <si>
    <t>Ha Nam - Phong Nha</t>
  </si>
  <si>
    <t>Vietnam, Ha Tien</t>
  </si>
  <si>
    <t>Ha Tien Town - Kampot</t>
  </si>
  <si>
    <t>van | Van 16pax</t>
  </si>
  <si>
    <t>Ha Tien Town - Kep</t>
  </si>
  <si>
    <t>Ha Tien Town - Siem Reap</t>
  </si>
  <si>
    <t>van | Van 16pax + Bus</t>
  </si>
  <si>
    <t>Ha Tien Town - Sihanoukville</t>
  </si>
  <si>
    <t>Vietnam, Hai Phong</t>
  </si>
  <si>
    <t>Cai Beo Ferry Terminal and Dock - Daily Limousine Office</t>
  </si>
  <si>
    <t>bus | Seater 28</t>
  </si>
  <si>
    <t>bus | Seater 34</t>
  </si>
  <si>
    <t>bus | VIP 9 Front or Back Seat</t>
  </si>
  <si>
    <t>bus | VIP 9 Middle Seat</t>
  </si>
  <si>
    <t>Cat Ba New Horizon Hotel - 206 Co Linh</t>
  </si>
  <si>
    <t>Cat Ba Transfer - Hanoi Old Quarter Transfer</t>
  </si>
  <si>
    <t>Oasis Coffee Bungalow Restaurant - Hanoi Opera House</t>
  </si>
  <si>
    <t>Vinh Niem Bus Station - 100A Dien Bien Phu</t>
  </si>
  <si>
    <t>186 April 1st Cat Ba - OH Pu Luong Homestay</t>
  </si>
  <si>
    <t>bus | Limousine 9</t>
  </si>
  <si>
    <t>Hanoi My Dinh Bus Station - Luang Prabang Railway Station</t>
  </si>
  <si>
    <t>bus | Royal Cabin + Van + Train</t>
  </si>
  <si>
    <t>1P Le Lai - Ing Ing Mountain View</t>
  </si>
  <si>
    <t>Hanoi My Dinh Bus Station - Lao Viet Restaurant</t>
  </si>
  <si>
    <t>bus | Royal Cabin + Van</t>
  </si>
  <si>
    <t>Hanoi My Dinh Bus Station - Muang Khua</t>
  </si>
  <si>
    <t>Hanoi My Dinh Bus Station - Vang Vieng Railway Station</t>
  </si>
  <si>
    <t>Hanoi My Dinh Bus Station - Vientiane Railway Station</t>
  </si>
  <si>
    <t>1 Nguyen Hoang My Dinh - Danava Travel 16 Road 32</t>
  </si>
  <si>
    <t>15A Bat Su - Danava Travel 16 Road 32</t>
  </si>
  <si>
    <t>70 Nguyen Huu Huan - 97 Vo Van Kiet</t>
  </si>
  <si>
    <t>Hanoi - Da Nang</t>
  </si>
  <si>
    <t>Parking Lot Tran Vy - Danava Travel 16 Road 32</t>
  </si>
  <si>
    <t>20 Hang Muoi - 178 Nui Ngoc</t>
  </si>
  <si>
    <t>Hanoi My Dinh Bus Station - A Thia Homestay Villa</t>
  </si>
  <si>
    <t>204 Tran Quang Khai - To 1 Cau Me</t>
  </si>
  <si>
    <t>57 Cua Dong Street - Ha Giang</t>
  </si>
  <si>
    <t>bus | VIP Sleeper 41</t>
  </si>
  <si>
    <t>206 Co Linh - Cat Ba New Horizon Hotel</t>
  </si>
  <si>
    <t>Daily Limousine Office - Cai Beo Ferry Terminal and Dock</t>
  </si>
  <si>
    <t>Hanoi Old Quarter Transfer - Cat Ba Transfer</t>
  </si>
  <si>
    <t>Hanoi Opera House - Oasis Coffee Bungalow Restaurant</t>
  </si>
  <si>
    <t>1 Nguyen Hoang My Dinh - 23 Nguyen Tat Thanh</t>
  </si>
  <si>
    <t>15A Bat Su - 23 Nguyen Tat Thanh</t>
  </si>
  <si>
    <t>70 Nguyen Huu Huan - 107 Ton Duc Thang</t>
  </si>
  <si>
    <t>Parking Lot Tran Vy - 23 Nguyen Tat Thanh</t>
  </si>
  <si>
    <t>1 Nguyen Hoang My Dinh - 3 Doi Cung</t>
  </si>
  <si>
    <t>1 Nguyen Hoang My Dinh - Toa Kham Marina</t>
  </si>
  <si>
    <t>15A Bat Su - 3 Doi Cung</t>
  </si>
  <si>
    <t>15A Bat Su - Toa Kham Marina</t>
  </si>
  <si>
    <t>70 Nguyen Huu Huan - 26 Nguyen Hue</t>
  </si>
  <si>
    <t>Hanoi - Hue</t>
  </si>
  <si>
    <t>Parking Lot Tran Vy - 3 Doi Cung</t>
  </si>
  <si>
    <t>Parking Lot Tran Vy - Toa Kham Marina</t>
  </si>
  <si>
    <t>Vietnam, Lao Cai</t>
  </si>
  <si>
    <t>70 Nguyen Huu Huan - 63 Phan Dinh Phung</t>
  </si>
  <si>
    <t>70 Nguyen Huu Huan - Tram dung nghi Coc San</t>
  </si>
  <si>
    <t>Hanoi - Sapa Lao Cai</t>
  </si>
  <si>
    <t>208 Tran Quang Khai - Mikes Travel Agency</t>
  </si>
  <si>
    <t>bus | Sleeper 38</t>
  </si>
  <si>
    <t>bus | VIP 32 Cabin</t>
  </si>
  <si>
    <t>208 Tran Quang Khai - Mr Khanh Travel Agency Ninh Binh</t>
  </si>
  <si>
    <t>3 Tran Phu - Trang An Boat Station</t>
  </si>
  <si>
    <t>64 Tran Nhat Duat - Tam Coc Boat Station</t>
  </si>
  <si>
    <t>bus | VIP 12</t>
  </si>
  <si>
    <t>Daily Limousine Office - Hang Mua Green Retreat</t>
  </si>
  <si>
    <t>Daily Limousine Office - Tam Coc Boat Station</t>
  </si>
  <si>
    <t>Ha Noi Railway Station - Ninh Binh Railway Station</t>
  </si>
  <si>
    <t>1 Nguyen Hoang My Dinh - Nam Anh Hotel</t>
  </si>
  <si>
    <t>15A Bat Su - Nam Anh Hotel</t>
  </si>
  <si>
    <t>70 Nguyen Huu Huan - 73 Duong Phong Nha</t>
  </si>
  <si>
    <t>Parking Lot Tran Vy - Nam Anh Hotel</t>
  </si>
  <si>
    <t>206 Co Linh - Halong International Cruise Port</t>
  </si>
  <si>
    <t>Daily Limousine Office - Tuan Chau Harbour</t>
  </si>
  <si>
    <t>Daily Limousine Office - Tuan Chau International Port</t>
  </si>
  <si>
    <t>Hanoi Old Quarter Transfer - Highlands Coffee Muong Thanh</t>
  </si>
  <si>
    <t>Hanoi Opera House - Halong International Cruise Port</t>
  </si>
  <si>
    <t>Hanoi Opera House - Tuan Chau International Port</t>
  </si>
  <si>
    <t>70 Nguyen Huu Huan - 100A Dien Bien Phu</t>
  </si>
  <si>
    <t>Daily Limousine Office - The Long Restaurant</t>
  </si>
  <si>
    <t>40 Bat Dan - OH Pu Luong Homestay</t>
  </si>
  <si>
    <t>Big C Thang Long - OH Pu Luong Homestay</t>
  </si>
  <si>
    <t>121 Co Giang - Phan Thiet South Bus Station</t>
  </si>
  <si>
    <t>579 Vo Chi Cong - Phan Thiet South Bus Station</t>
  </si>
  <si>
    <t>Mien Dong Moi - Phan Thiet South Bus Station</t>
  </si>
  <si>
    <t>258 Le Hong Phong - Da Lat ThanhBuoi</t>
  </si>
  <si>
    <t>266 Le Hong Phong - Da Lat ThanhBuoi</t>
  </si>
  <si>
    <t>630 Dien Bien Phu - Da Lat ThanhBuoi</t>
  </si>
  <si>
    <t>Vietnam, Mui Ne</t>
  </si>
  <si>
    <t>121 Co Giang - Phan Thiet Mui Ne Bus Station</t>
  </si>
  <si>
    <t>229 Pham Ngu Lao - 356 Huynh Thuc Khang</t>
  </si>
  <si>
    <t>bus | Express 21</t>
  </si>
  <si>
    <t>229 Pham Ngu Lao - 371 Huynh Thuc Khang Mui Ne</t>
  </si>
  <si>
    <t>579 Vo Chi Cong - Phan Thiet Mui Ne Bus Station</t>
  </si>
  <si>
    <t>Mien Dong Moi - Phan Thiet Mui Ne Bus Station</t>
  </si>
  <si>
    <t>Ho Chi Minh City - Nha Trang</t>
  </si>
  <si>
    <t>Vietnam, Quy Nhon</t>
  </si>
  <si>
    <t>34 Tay Lan - Quy Nhon</t>
  </si>
  <si>
    <t>bus | VIP Bus</t>
  </si>
  <si>
    <t>An Suong Bus Station - GO Quy Nhon</t>
  </si>
  <si>
    <t>bus | Sleeper 40</t>
  </si>
  <si>
    <t>Ben xe Mien Dong Cu - Quy Nhon</t>
  </si>
  <si>
    <t>bus | Sleeper 44 Express</t>
  </si>
  <si>
    <t>Mien Dong Moi - Quy Nhon</t>
  </si>
  <si>
    <t>Mien Tay Bus Station - GO Quy Nhon</t>
  </si>
  <si>
    <t>Mac Thanh Honstay - 90 Hoang Thi Loan</t>
  </si>
  <si>
    <t>Mac Thanh Honstay - 122 Ha Huy Tap</t>
  </si>
  <si>
    <t>Mac Thanh Honstay - Pool Side Villa</t>
  </si>
  <si>
    <t>Mac Thanh Honstay - 26 Nguyen Hue</t>
  </si>
  <si>
    <t>Mac Thanh Honstay - Phong Nha Midtown Hotel</t>
  </si>
  <si>
    <t>Mac Thanh Honstay - Tam Coc Sunshine Hostel</t>
  </si>
  <si>
    <t>bus | Express 16</t>
  </si>
  <si>
    <t>Hoi An Office - Da Nang City</t>
  </si>
  <si>
    <t>107 Ton Duc Thang - 70 Nguyen Huu Huan</t>
  </si>
  <si>
    <t>23 Nguyen Tat Thanh - Parking Lot Tran Vy</t>
  </si>
  <si>
    <t>Hoi An Hanh Cafe - 4 Hoang Dieu</t>
  </si>
  <si>
    <t>23 Nguyen Tat Thanh - Mr Khanh Travel Agency Ninh Binh</t>
  </si>
  <si>
    <t>23 Nguyen Tat Thanh - Tam Coc NinhBinh</t>
  </si>
  <si>
    <t>23 Nguyen Tat Thanh - Nam Anh Hotel</t>
  </si>
  <si>
    <t>107 Ton Duc Thang - 100A Dien Bien Phu</t>
  </si>
  <si>
    <t>107 Ton Duc Thang - Tam Coc Bus Station</t>
  </si>
  <si>
    <t>26 Nguyen Hue - 70 Nguyen Huu Huan</t>
  </si>
  <si>
    <t>3 Doi Cung - Parking Lot Tran Vy</t>
  </si>
  <si>
    <t>Hue - Hanoi</t>
  </si>
  <si>
    <t>Toa Kham Marina - Parking Lot Tran Vy</t>
  </si>
  <si>
    <t>28 Chu Van An - 4 Hoang Dieu</t>
  </si>
  <si>
    <t>3 Doi Cung - Mr Khanh Travel Agency Ninh Binh</t>
  </si>
  <si>
    <t>3 Doi Cung - Tam Coc NinhBinh</t>
  </si>
  <si>
    <t>Toa Kham Marina - Mr Khanh Travel Agency Ninh Binh</t>
  </si>
  <si>
    <t>Toa Kham Marina - Tam Coc NinhBinh</t>
  </si>
  <si>
    <t>2 Lam Hoang Vy Da - Thien Phu Hostel</t>
  </si>
  <si>
    <t>bus | Cabin 22</t>
  </si>
  <si>
    <t>3 Doi Cung - Nam Anh Hotel</t>
  </si>
  <si>
    <t>7 Doi Cung Hue - Central Backpackers Hostel Phong Nha</t>
  </si>
  <si>
    <t>Toa Kham Marina - Nam Anh Hotel</t>
  </si>
  <si>
    <t>26 Nguyen Hue - 100A Dien Bien Phu</t>
  </si>
  <si>
    <t>26 Nguyen Hue - Tam Coc Bus Station</t>
  </si>
  <si>
    <t>4 Hoang Dieu - Da Nang Hanh Cafe Office</t>
  </si>
  <si>
    <t>bus | Luxury 19 + Sleeper 41</t>
  </si>
  <si>
    <t>4 Hoang Dieu - Hoi An Hanh Cafe</t>
  </si>
  <si>
    <t>4 Hoang Dieu - 28 Chu Van An</t>
  </si>
  <si>
    <t>4 Hoang Dieu - 106 Phong Chau</t>
  </si>
  <si>
    <t>4 Hoang Dieu - 53 Le Thanh Phuong</t>
  </si>
  <si>
    <t>4 Hoang Dieu - Panorama Nha Trang Hotel</t>
  </si>
  <si>
    <t>63 Phan Dinh Phung - 70 Nguyen Huu Huan</t>
  </si>
  <si>
    <t>Sapa Lao Cai - Hanoi</t>
  </si>
  <si>
    <t>Lao Cai Railway Station - 100A Dien Bien Phu</t>
  </si>
  <si>
    <t>bus | Standard Car</t>
  </si>
  <si>
    <t>Vietnam, Mai Chau</t>
  </si>
  <si>
    <t>Mai Chau 4 Seasons - Pu Luong Cuisine Garden Homestay</t>
  </si>
  <si>
    <t>bus | Shared Car</t>
  </si>
  <si>
    <t>Wooden Homestay - Pu Luong Cuisine Garden Homestay</t>
  </si>
  <si>
    <t>356 Huynh Thuc Khang - 229 Pham Ngu Lao</t>
  </si>
  <si>
    <t>371 Huynh Thuc Khang Mui Ne - 229 Pham Ngu Lao</t>
  </si>
  <si>
    <t>Phan Thiet Mui Ne Bus Station - 121 Co Giang</t>
  </si>
  <si>
    <t>Phan Thiet Mui Ne Bus Station - 579 Vo Chi Cong</t>
  </si>
  <si>
    <t>Phan Thiet Mui Ne Bus Station - Mien Dong Moi</t>
  </si>
  <si>
    <t>Nha Trang - Da Nang</t>
  </si>
  <si>
    <t>Nha Trang - Ho Chi Minh City</t>
  </si>
  <si>
    <t>106 Phong Chau - 4 Hoang Dieu</t>
  </si>
  <si>
    <t>53 Le Thanh Phuong - 4 Hoang Dieu</t>
  </si>
  <si>
    <t>Ninh Hoa - Thanh Hoa</t>
  </si>
  <si>
    <t>Go Asia Restaurant - Ing Ing Mountain View</t>
  </si>
  <si>
    <t>Mr Khanh Travel Agency Ninh Binh - Danava Travel 16 Road 32</t>
  </si>
  <si>
    <t>Tam Coc NinhBinh - Danava Travel 16 Road 32</t>
  </si>
  <si>
    <t>Ninh Binh - Dong Hoi</t>
  </si>
  <si>
    <t>Hang Mua Green Retreat - Daily Limousine Office</t>
  </si>
  <si>
    <t>Ninh Binh Railway Station - Ha Noi Railway Station</t>
  </si>
  <si>
    <t>Tam Coc Boat Station - 64 Tran Nhat Duat</t>
  </si>
  <si>
    <t>Tam Coc Boat Station - Daily Limousine Office</t>
  </si>
  <si>
    <t>Trang An Boat Station - 3 Tran Phu</t>
  </si>
  <si>
    <t>Mr Khanh Travel Agency Ninh Binh - 23 Nguyen Tat Thanh</t>
  </si>
  <si>
    <t>Tam Coc NinhBinh - 23 Nguyen Tat Thanh</t>
  </si>
  <si>
    <t>Mr Khanh Travel Agency Ninh Binh - 3 Doi Cung</t>
  </si>
  <si>
    <t>Mr Khanh Travel Agency Ninh Binh - Toa Kham Marina</t>
  </si>
  <si>
    <t>Tam Coc NinhBinh - 3 Doi Cung</t>
  </si>
  <si>
    <t>Tam Coc NinhBinh - Toa Kham Marina</t>
  </si>
  <si>
    <t>Vietnam, Noi Bai Airport</t>
  </si>
  <si>
    <t>Tam Coc Boat Station - Hanoi Airport</t>
  </si>
  <si>
    <t>Mr Khanh Travel Agency Ninh Binh - Nam Anh Hotel</t>
  </si>
  <si>
    <t>Tam Coc NinhBinh - Nam Anh Hotel</t>
  </si>
  <si>
    <t>Hanoi Airport - Ha Noi City</t>
  </si>
  <si>
    <t>Hanoi Airport - Tam Coc Boat Station</t>
  </si>
  <si>
    <t>Hanoi Airport - 100A Dien Bien Phu</t>
  </si>
  <si>
    <t>Nam Anh Hotel - Danava Travel 16 Road 32</t>
  </si>
  <si>
    <t>73 Duong Phong Nha - 70 Nguyen Huu Huan</t>
  </si>
  <si>
    <t>Nam Anh Hotel - Parking Lot Tran Vy</t>
  </si>
  <si>
    <t>Nam Anh Hotel - 23 Nguyen Tat Thanh</t>
  </si>
  <si>
    <t>Central Backpackers Hostel Phong Nha - 7 Doi Cung Hue</t>
  </si>
  <si>
    <t>Nam Anh Hotel - 3 Doi Cung</t>
  </si>
  <si>
    <t>Nam Anh Hotel - Toa Kham Marina</t>
  </si>
  <si>
    <t>Nam Anh Hotel - Mr Khanh Travel Agency Ninh Binh</t>
  </si>
  <si>
    <t>Nam Anh Hotel - Tam Coc NinhBinh</t>
  </si>
  <si>
    <t>73 Duong Phong Nha - 100A Dien Bien Phu</t>
  </si>
  <si>
    <t>73 Duong Phong Nha - Tam Coc Bus Station</t>
  </si>
  <si>
    <t>Ha Long Happy Travel Tuan Chau - 90 Hoang Thi Loan</t>
  </si>
  <si>
    <t>bus | VIP11 + VIP22</t>
  </si>
  <si>
    <t>Ha Long Happy Travel Tuan Chau - 122 Ha Huy Tap</t>
  </si>
  <si>
    <t>Toyota Quang Ninh - To 1 Cau Me</t>
  </si>
  <si>
    <t>Halong International Cruise Port - 206 Co Linh</t>
  </si>
  <si>
    <t>Halong International Cruise Port - Hanoi Opera House</t>
  </si>
  <si>
    <t>Highlands Coffee Muong Thanh - Hanoi Old Quarter Transfer</t>
  </si>
  <si>
    <t>Tuan Chau Harbour - Daily Limousine Office</t>
  </si>
  <si>
    <t>Tuan Chau International Port - Daily Limousine Office</t>
  </si>
  <si>
    <t>Tuan Chau International Port - Hanoi Opera House</t>
  </si>
  <si>
    <t>Ha Long Happy Travel Tuan Chau - Little Mai Chau Homestay</t>
  </si>
  <si>
    <t>bus | VIP 11 + Tourist AC</t>
  </si>
  <si>
    <t>Ha Long Happy Travel Tuan Chau - Pool Side Villa</t>
  </si>
  <si>
    <t>Ha Long Happy Travel Tuan Chau - 26 Nguyen Hue</t>
  </si>
  <si>
    <t>Ha Long Happy Travel Tuan Chau - Phong Nha Midtown Hotel</t>
  </si>
  <si>
    <t>Toyota Quang Ninh - 100A Dien Bien Phu</t>
  </si>
  <si>
    <t>Aqua Of The Seas Cruise - Tam Coc Sunshine Hostel</t>
  </si>
  <si>
    <t>Ha Long Happy Travel Tuan Chau - OH Pu Luong Homestay</t>
  </si>
  <si>
    <t>Vietnam, Bien Hoa</t>
  </si>
  <si>
    <t>Quy Nhon - Linh Xuan intersection</t>
  </si>
  <si>
    <t>Vietnam, Binh Duong</t>
  </si>
  <si>
    <t>Quy Nhon - Song Than Overpass</t>
  </si>
  <si>
    <t>GO Quy Nhon - An Suong Bus Station</t>
  </si>
  <si>
    <t>bus | Local Cabin</t>
  </si>
  <si>
    <t>GO Quy Nhon - An Suong Office</t>
  </si>
  <si>
    <t>GO Quy Nhon - Mien Tay Bus Station</t>
  </si>
  <si>
    <t>Quy Nhon - 34 Tay Lan</t>
  </si>
  <si>
    <t>Quy Nhon - Ben xe Mien Dong Cu</t>
  </si>
  <si>
    <t>Quy Nhon - Binh Phuoc intersection</t>
  </si>
  <si>
    <t>Quy Nhon - Mien Dong Moi</t>
  </si>
  <si>
    <t>100A Dien Bien Phu - Luang Prabang Railway Station</t>
  </si>
  <si>
    <t>bus | Sleeper bus + Van + Train</t>
  </si>
  <si>
    <t>Sapa Garden Bungalow - Ing Ing Mountain View</t>
  </si>
  <si>
    <t>100A Dien Bien Phu - Lao Viet Restaurant</t>
  </si>
  <si>
    <t>100A Dien Bien Phu - Muang Khua</t>
  </si>
  <si>
    <t>100A Dien Bien Phu - Vang Vieng Railway Station</t>
  </si>
  <si>
    <t>100A Dien Bien Phu - Vientiane Railway Station</t>
  </si>
  <si>
    <t>100A Dien Bien Phu - 97 Vo Van Kiet</t>
  </si>
  <si>
    <t>100A Dien Bien Phu - Gia Cat Long Hotel</t>
  </si>
  <si>
    <t>100A Dien Bien Phu - A Thia Homestay Villa</t>
  </si>
  <si>
    <t>100A Dien Bien Phu - To 1 Cau Me</t>
  </si>
  <si>
    <t>599 Dien Bien Phu - 32 Nguyen Trai Street</t>
  </si>
  <si>
    <t>100A Dien Bien Phu - Vinh Niem Bus Station</t>
  </si>
  <si>
    <t>100A Dien Bien Phu - 70 Nguyen Huu Huan</t>
  </si>
  <si>
    <t>100A Dien Bien Phu - 107 Ton Duc Thang</t>
  </si>
  <si>
    <t>100A Dien Bien Phu - 26 Nguyen Hue</t>
  </si>
  <si>
    <t>100A Dien Bien Phu - Lao Cai Railway Station</t>
  </si>
  <si>
    <t>Vietnam, Mu Cang Chai</t>
  </si>
  <si>
    <t>100A Dien Bien Phu - Mu Cang Chai</t>
  </si>
  <si>
    <t>100A Dien Bien Phu - Hanoi Airport</t>
  </si>
  <si>
    <t>100A Dien Bien Phu - 73 Duong Phong Nha</t>
  </si>
  <si>
    <t>100A Dien Bien Phu - Toyota Quang Ninh</t>
  </si>
  <si>
    <t>100A Dien Bien Phu - Tam Coc Bus Station</t>
  </si>
  <si>
    <t>Tam Coc Bus Station - 97 Vo Van Kiet</t>
  </si>
  <si>
    <t>Tam Coc Sunshine Hostel - 178 Nui Ngoc</t>
  </si>
  <si>
    <t>Tam Coc Bus Station - To 1 Cau Me</t>
  </si>
  <si>
    <t>The Long Restaurant - Daily Limousine Office</t>
  </si>
  <si>
    <t>Tam Coc Sunshine Hostel - Little Mai Chau Homestay</t>
  </si>
  <si>
    <t>Tam Coc Bus Station - 107 Ton Duc Thang</t>
  </si>
  <si>
    <t>Tam Coc Bus Station - 26 Nguyen Hue</t>
  </si>
  <si>
    <t>Lapis Tam Coc Restaurant - Hanoi Airport</t>
  </si>
  <si>
    <t>Tam Coc Bus Station - 73 Duong Phong Nha</t>
  </si>
  <si>
    <t>Tam Coc Sunshine Hostel - Aqua Of The Seas Cruise</t>
  </si>
  <si>
    <t>Tam Coc Bus Station - 100A Dien Bien Phu</t>
  </si>
  <si>
    <t>Tam Coc Sunshine Hostel - OH Pu Luong Homestay</t>
  </si>
  <si>
    <t>bus | VIP 11</t>
  </si>
  <si>
    <t>OH Pu Luong Homestay - 90 Hoang Thi Loan</t>
  </si>
  <si>
    <t>OH Pu Luong Homestay - 122 Ha Huy Tap</t>
  </si>
  <si>
    <t>OH Pu Luong Homestay - 186 April 1st Cat Ba</t>
  </si>
  <si>
    <t>OH Pu Luong Homestay - 40 Bat Dan</t>
  </si>
  <si>
    <t>OH Pu Luong Homestay - Big C Thang Long</t>
  </si>
  <si>
    <t>OH Pu Luong Homestay - Pool Side Villa</t>
  </si>
  <si>
    <t>OH Pu Luong Homestay - 26 Nguyen Hue</t>
  </si>
  <si>
    <t>Pu Luong Cuisine Garden Homestay - Mai Chau 4 Seasons</t>
  </si>
  <si>
    <t>Pu Luong Cuisine Garden Homestay - Wooden Homestay</t>
  </si>
  <si>
    <t>OH Pu Luong Homestay - Phong Nha Midtown Hotel</t>
  </si>
  <si>
    <t>OH Pu Luong Homestay - Tam Coc Sunshine Hostel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</si>
</sst>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76A5AF"/>
        <bgColor rgb="FF76A5AF"/>
      </patternFill>
    </fill>
    <fill>
      <patternFill patternType="solid">
        <fgColor rgb="FFB6D7A8"/>
        <bgColor rgb="FFB6D7A8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3" fontId="2" numFmtId="0" xfId="0" applyAlignment="1" applyFill="1" applyFont="1">
      <alignment vertical="bottom"/>
    </xf>
    <xf borderId="0" fillId="3" fontId="3" numFmtId="0" xfId="0" applyAlignment="1" applyFont="1">
      <alignment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25.5"/>
    <col customWidth="1" min="3" max="3" width="46.0"/>
    <col customWidth="1" min="5" max="5" width="20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 t="s">
        <v>7</v>
      </c>
      <c r="D2" s="3" t="str">
        <f>HYPERLINK("https://12go.asia/en/travel/Travel-North-Albania-Office/Theth-National-Park", "12Go Link")</f>
        <v>12Go Link</v>
      </c>
      <c r="E2" s="2" t="s">
        <v>8</v>
      </c>
    </row>
    <row r="3">
      <c r="A3" s="2" t="s">
        <v>5</v>
      </c>
      <c r="B3" s="2" t="s">
        <v>9</v>
      </c>
      <c r="C3" s="2" t="s">
        <v>10</v>
      </c>
      <c r="D3" s="3" t="str">
        <f>HYPERLINK("https://12go.asia/en/travel/Travel-North-Albania-Office/Camping-Demushi-Valbone", "12Go Link")</f>
        <v>12Go Link</v>
      </c>
      <c r="E3" s="2" t="s">
        <v>11</v>
      </c>
    </row>
    <row r="4">
      <c r="A4" s="2" t="s">
        <v>6</v>
      </c>
      <c r="B4" s="2" t="s">
        <v>5</v>
      </c>
      <c r="C4" s="2" t="s">
        <v>12</v>
      </c>
      <c r="D4" s="3" t="str">
        <f>HYPERLINK("https://12go.asia/en/travel/Theth-National-Park/Travel-North-Albania-Office", "12Go Link")</f>
        <v>12Go Link</v>
      </c>
      <c r="E4" s="2" t="s">
        <v>8</v>
      </c>
    </row>
    <row r="5">
      <c r="A5" s="2" t="s">
        <v>9</v>
      </c>
      <c r="B5" s="2" t="s">
        <v>5</v>
      </c>
      <c r="C5" s="2" t="s">
        <v>13</v>
      </c>
      <c r="D5" s="3" t="str">
        <f>HYPERLINK("https://12go.asia/en/travel/Camping-Demushi-Valbone/Travel-North-Albania-Office", "12Go Link")</f>
        <v>12Go Link</v>
      </c>
      <c r="E5" s="2" t="s">
        <v>11</v>
      </c>
    </row>
    <row r="6">
      <c r="A6" s="2" t="s">
        <v>14</v>
      </c>
      <c r="B6" s="2" t="s">
        <v>15</v>
      </c>
      <c r="C6" s="2" t="s">
        <v>16</v>
      </c>
      <c r="D6" s="3" t="str">
        <f>HYPERLINK("https://12go.asia/en/travel/Abovyan-Shangri-La-Casino/Bagratashen-Sadakhlo-Border", "12Go Link")</f>
        <v>12Go Link</v>
      </c>
      <c r="E6" s="2" t="s">
        <v>17</v>
      </c>
    </row>
    <row r="7">
      <c r="A7" s="2" t="s">
        <v>14</v>
      </c>
      <c r="B7" s="2" t="s">
        <v>18</v>
      </c>
      <c r="C7" s="2" t="s">
        <v>19</v>
      </c>
      <c r="D7" s="3" t="str">
        <f>HYPERLINK("https://12go.asia/en/travel/Abovyan-Shangri-La-Casino/Marneuli", "12Go Link")</f>
        <v>12Go Link</v>
      </c>
      <c r="E7" s="2" t="s">
        <v>17</v>
      </c>
    </row>
    <row r="8">
      <c r="A8" s="2" t="s">
        <v>14</v>
      </c>
      <c r="B8" s="2" t="s">
        <v>20</v>
      </c>
      <c r="C8" s="2" t="s">
        <v>21</v>
      </c>
      <c r="D8" s="3" t="str">
        <f>HYPERLINK("https://12go.asia/en/travel/Abovyan-Shangri-La-Casino/Avlabari-Metro-Station", "12Go Link")</f>
        <v>12Go Link</v>
      </c>
      <c r="E8" s="2" t="s">
        <v>17</v>
      </c>
    </row>
    <row r="9">
      <c r="A9" s="2" t="s">
        <v>14</v>
      </c>
      <c r="B9" s="2" t="s">
        <v>20</v>
      </c>
      <c r="C9" s="2" t="s">
        <v>22</v>
      </c>
      <c r="D9" s="3" t="str">
        <f>HYPERLINK("https://12go.asia/en/travel/Abovyan-Shangri-La-Casino/Ortachala-Bus-Station", "12Go Link")</f>
        <v>12Go Link</v>
      </c>
      <c r="E9" s="2" t="s">
        <v>17</v>
      </c>
    </row>
    <row r="10">
      <c r="A10" s="2" t="s">
        <v>23</v>
      </c>
      <c r="B10" s="2" t="s">
        <v>15</v>
      </c>
      <c r="C10" s="2" t="s">
        <v>24</v>
      </c>
      <c r="D10" s="3" t="str">
        <f>HYPERLINK("https://12go.asia/en/travel/Dilijan/Bagratashen-Sadakhlo-Border", "12Go Link")</f>
        <v>12Go Link</v>
      </c>
      <c r="E10" s="2" t="s">
        <v>17</v>
      </c>
    </row>
    <row r="11">
      <c r="A11" s="2" t="s">
        <v>23</v>
      </c>
      <c r="B11" s="2" t="s">
        <v>18</v>
      </c>
      <c r="C11" s="2" t="s">
        <v>25</v>
      </c>
      <c r="D11" s="3" t="str">
        <f>HYPERLINK("https://12go.asia/en/travel/Dilijan/Marneuli", "12Go Link")</f>
        <v>12Go Link</v>
      </c>
      <c r="E11" s="2" t="s">
        <v>17</v>
      </c>
    </row>
    <row r="12">
      <c r="A12" s="2" t="s">
        <v>23</v>
      </c>
      <c r="B12" s="2" t="s">
        <v>20</v>
      </c>
      <c r="C12" s="2" t="s">
        <v>26</v>
      </c>
      <c r="D12" s="3" t="str">
        <f>HYPERLINK("https://12go.asia/en/travel/Dilijan/Avlabari-Metro-Station", "12Go Link")</f>
        <v>12Go Link</v>
      </c>
      <c r="E12" s="2" t="s">
        <v>17</v>
      </c>
    </row>
    <row r="13">
      <c r="A13" s="2" t="s">
        <v>23</v>
      </c>
      <c r="B13" s="2" t="s">
        <v>20</v>
      </c>
      <c r="C13" s="2" t="s">
        <v>27</v>
      </c>
      <c r="D13" s="3" t="str">
        <f>HYPERLINK("https://12go.asia/en/travel/Dilijan/Ortachala-Bus-Station", "12Go Link")</f>
        <v>12Go Link</v>
      </c>
      <c r="E13" s="2" t="s">
        <v>17</v>
      </c>
    </row>
    <row r="14">
      <c r="A14" s="2" t="s">
        <v>28</v>
      </c>
      <c r="B14" s="2" t="s">
        <v>15</v>
      </c>
      <c r="C14" s="2" t="s">
        <v>29</v>
      </c>
      <c r="D14" s="3" t="str">
        <f>HYPERLINK("https://12go.asia/en/travel/Ijevan/Bagratashen-Sadakhlo-Border", "12Go Link")</f>
        <v>12Go Link</v>
      </c>
      <c r="E14" s="2" t="s">
        <v>17</v>
      </c>
    </row>
    <row r="15">
      <c r="A15" s="2" t="s">
        <v>28</v>
      </c>
      <c r="B15" s="2" t="s">
        <v>18</v>
      </c>
      <c r="C15" s="2" t="s">
        <v>30</v>
      </c>
      <c r="D15" s="3" t="str">
        <f>HYPERLINK("https://12go.asia/en/travel/Ijevan/Marneuli", "12Go Link")</f>
        <v>12Go Link</v>
      </c>
      <c r="E15" s="2" t="s">
        <v>17</v>
      </c>
    </row>
    <row r="16">
      <c r="A16" s="2" t="s">
        <v>28</v>
      </c>
      <c r="B16" s="2" t="s">
        <v>20</v>
      </c>
      <c r="C16" s="2" t="s">
        <v>31</v>
      </c>
      <c r="D16" s="3" t="str">
        <f>HYPERLINK("https://12go.asia/en/travel/Ijevan/Avlabari-Metro-Station", "12Go Link")</f>
        <v>12Go Link</v>
      </c>
      <c r="E16" s="2" t="s">
        <v>17</v>
      </c>
    </row>
    <row r="17">
      <c r="A17" s="2" t="s">
        <v>28</v>
      </c>
      <c r="B17" s="2" t="s">
        <v>20</v>
      </c>
      <c r="C17" s="2" t="s">
        <v>32</v>
      </c>
      <c r="D17" s="3" t="str">
        <f>HYPERLINK("https://12go.asia/en/travel/Ijevan/Ortachala-Bus-Station", "12Go Link")</f>
        <v>12Go Link</v>
      </c>
      <c r="E17" s="2" t="s">
        <v>17</v>
      </c>
    </row>
    <row r="18">
      <c r="A18" s="2" t="s">
        <v>33</v>
      </c>
      <c r="B18" s="2" t="s">
        <v>15</v>
      </c>
      <c r="C18" s="2" t="s">
        <v>34</v>
      </c>
      <c r="D18" s="3" t="str">
        <f>HYPERLINK("https://12go.asia/en/travel/Sevan/Bagratashen-Sadakhlo-Border", "12Go Link")</f>
        <v>12Go Link</v>
      </c>
      <c r="E18" s="2" t="s">
        <v>17</v>
      </c>
    </row>
    <row r="19">
      <c r="A19" s="2" t="s">
        <v>33</v>
      </c>
      <c r="B19" s="2" t="s">
        <v>18</v>
      </c>
      <c r="C19" s="2" t="s">
        <v>35</v>
      </c>
      <c r="D19" s="3" t="str">
        <f>HYPERLINK("https://12go.asia/en/travel/Sevan/Marneuli", "12Go Link")</f>
        <v>12Go Link</v>
      </c>
      <c r="E19" s="2" t="s">
        <v>17</v>
      </c>
    </row>
    <row r="20">
      <c r="A20" s="2" t="s">
        <v>33</v>
      </c>
      <c r="B20" s="2" t="s">
        <v>20</v>
      </c>
      <c r="C20" s="2" t="s">
        <v>36</v>
      </c>
      <c r="D20" s="3" t="str">
        <f>HYPERLINK("https://12go.asia/en/travel/Sevan/Avlabari-Metro-Station", "12Go Link")</f>
        <v>12Go Link</v>
      </c>
      <c r="E20" s="2" t="s">
        <v>17</v>
      </c>
    </row>
    <row r="21">
      <c r="A21" s="2" t="s">
        <v>33</v>
      </c>
      <c r="B21" s="2" t="s">
        <v>20</v>
      </c>
      <c r="C21" s="2" t="s">
        <v>37</v>
      </c>
      <c r="D21" s="3" t="str">
        <f>HYPERLINK("https://12go.asia/en/travel/Sevan/Ortachala-Bus-Station", "12Go Link")</f>
        <v>12Go Link</v>
      </c>
      <c r="E21" s="2" t="s">
        <v>17</v>
      </c>
    </row>
    <row r="22">
      <c r="A22" s="2" t="s">
        <v>15</v>
      </c>
      <c r="B22" s="2" t="s">
        <v>15</v>
      </c>
      <c r="C22" s="2" t="s">
        <v>38</v>
      </c>
      <c r="D22" s="3" t="str">
        <f>HYPERLINK("https://12go.asia/en/travel/Noyemberyan/Bagratashen-Sadakhlo-Border", "12Go Link")</f>
        <v>12Go Link</v>
      </c>
      <c r="E22" s="2" t="s">
        <v>17</v>
      </c>
    </row>
    <row r="23">
      <c r="A23" s="2" t="s">
        <v>15</v>
      </c>
      <c r="B23" s="2" t="s">
        <v>18</v>
      </c>
      <c r="C23" s="2" t="s">
        <v>39</v>
      </c>
      <c r="D23" s="3" t="str">
        <f>HYPERLINK("https://12go.asia/en/travel/Noyemberyan/Marneuli", "12Go Link")</f>
        <v>12Go Link</v>
      </c>
      <c r="E23" s="2" t="s">
        <v>17</v>
      </c>
    </row>
    <row r="24">
      <c r="A24" s="2" t="s">
        <v>15</v>
      </c>
      <c r="B24" s="2" t="s">
        <v>20</v>
      </c>
      <c r="C24" s="2" t="s">
        <v>40</v>
      </c>
      <c r="D24" s="3" t="str">
        <f>HYPERLINK("https://12go.asia/en/travel/Noyemberyan/Avlabari-Metro-Station", "12Go Link")</f>
        <v>12Go Link</v>
      </c>
      <c r="E24" s="2" t="s">
        <v>17</v>
      </c>
    </row>
    <row r="25">
      <c r="A25" s="2" t="s">
        <v>15</v>
      </c>
      <c r="B25" s="2" t="s">
        <v>20</v>
      </c>
      <c r="C25" s="2" t="s">
        <v>41</v>
      </c>
      <c r="D25" s="3" t="str">
        <f>HYPERLINK("https://12go.asia/en/travel/Noyemberyan/Ortachala-Bus-Station", "12Go Link")</f>
        <v>12Go Link</v>
      </c>
      <c r="E25" s="2" t="s">
        <v>17</v>
      </c>
    </row>
    <row r="26">
      <c r="A26" s="2" t="s">
        <v>42</v>
      </c>
      <c r="B26" s="2" t="s">
        <v>15</v>
      </c>
      <c r="C26" s="2" t="s">
        <v>43</v>
      </c>
      <c r="D26" s="3" t="str">
        <f>HYPERLINK("https://12go.asia/en/travel/Yerevan-Hayreniq-Tour-Office/Bagratashen-Sadakhlo-Border", "12Go Link")</f>
        <v>12Go Link</v>
      </c>
      <c r="E26" s="2" t="s">
        <v>17</v>
      </c>
    </row>
    <row r="27">
      <c r="A27" s="2" t="s">
        <v>42</v>
      </c>
      <c r="B27" s="2" t="s">
        <v>18</v>
      </c>
      <c r="C27" s="2" t="s">
        <v>44</v>
      </c>
      <c r="D27" s="3" t="str">
        <f>HYPERLINK("https://12go.asia/en/travel/Yerevan-Hayreniq-Tour-Office/Marneuli", "12Go Link")</f>
        <v>12Go Link</v>
      </c>
      <c r="E27" s="2" t="s">
        <v>17</v>
      </c>
    </row>
    <row r="28">
      <c r="A28" s="2" t="s">
        <v>42</v>
      </c>
      <c r="B28" s="2" t="s">
        <v>20</v>
      </c>
      <c r="C28" s="2" t="s">
        <v>45</v>
      </c>
      <c r="D28" s="3" t="str">
        <f>HYPERLINK("https://12go.asia/en/travel/Yerevan-Hayreniq-Tour-Office/Avlabari-Metro-Station", "12Go Link")</f>
        <v>12Go Link</v>
      </c>
      <c r="E28" s="2" t="s">
        <v>17</v>
      </c>
    </row>
    <row r="29">
      <c r="A29" s="2" t="s">
        <v>42</v>
      </c>
      <c r="B29" s="2" t="s">
        <v>20</v>
      </c>
      <c r="C29" s="2" t="s">
        <v>46</v>
      </c>
      <c r="D29" s="3" t="str">
        <f>HYPERLINK("https://12go.asia/en/travel/Yerevan-Hayreniq-Tour-Office/Ortachala-Bus-Station", "12Go Link")</f>
        <v>12Go Link</v>
      </c>
      <c r="E29" s="2" t="s">
        <v>17</v>
      </c>
    </row>
    <row r="30">
      <c r="A30" s="2" t="s">
        <v>47</v>
      </c>
      <c r="B30" s="2" t="s">
        <v>48</v>
      </c>
      <c r="C30" s="2" t="s">
        <v>49</v>
      </c>
      <c r="D30" s="3" t="str">
        <f t="shared" ref="D30:D33" si="1">HYPERLINK("https://12go.asia/en/travel/Adelaide-Parklands-Terminal/East-Perth-Terminal", "12Go Link")</f>
        <v>12Go Link</v>
      </c>
      <c r="E30" s="2" t="s">
        <v>50</v>
      </c>
    </row>
    <row r="31">
      <c r="A31" s="2" t="s">
        <v>47</v>
      </c>
      <c r="B31" s="2" t="s">
        <v>48</v>
      </c>
      <c r="C31" s="2" t="s">
        <v>49</v>
      </c>
      <c r="D31" s="3" t="str">
        <f t="shared" si="1"/>
        <v>12Go Link</v>
      </c>
      <c r="E31" s="2" t="s">
        <v>51</v>
      </c>
    </row>
    <row r="32">
      <c r="A32" s="2" t="s">
        <v>47</v>
      </c>
      <c r="B32" s="2" t="s">
        <v>48</v>
      </c>
      <c r="C32" s="2" t="s">
        <v>49</v>
      </c>
      <c r="D32" s="3" t="str">
        <f t="shared" si="1"/>
        <v>12Go Link</v>
      </c>
      <c r="E32" s="2" t="s">
        <v>52</v>
      </c>
    </row>
    <row r="33">
      <c r="A33" s="2" t="s">
        <v>47</v>
      </c>
      <c r="B33" s="2" t="s">
        <v>48</v>
      </c>
      <c r="C33" s="2" t="s">
        <v>49</v>
      </c>
      <c r="D33" s="3" t="str">
        <f t="shared" si="1"/>
        <v>12Go Link</v>
      </c>
      <c r="E33" s="2" t="s">
        <v>53</v>
      </c>
    </row>
    <row r="34">
      <c r="A34" s="2" t="s">
        <v>47</v>
      </c>
      <c r="B34" s="2" t="s">
        <v>54</v>
      </c>
      <c r="C34" s="2" t="s">
        <v>55</v>
      </c>
      <c r="D34" s="3" t="str">
        <f t="shared" ref="D34:D37" si="2">HYPERLINK("https://12go.asia/en/travel/Adelaide-Parklands-Terminal/Sydney-Central-Station", "12Go Link")</f>
        <v>12Go Link</v>
      </c>
      <c r="E34" s="2" t="s">
        <v>50</v>
      </c>
    </row>
    <row r="35">
      <c r="A35" s="2" t="s">
        <v>47</v>
      </c>
      <c r="B35" s="2" t="s">
        <v>54</v>
      </c>
      <c r="C35" s="2" t="s">
        <v>55</v>
      </c>
      <c r="D35" s="3" t="str">
        <f t="shared" si="2"/>
        <v>12Go Link</v>
      </c>
      <c r="E35" s="2" t="s">
        <v>51</v>
      </c>
    </row>
    <row r="36">
      <c r="A36" s="2" t="s">
        <v>47</v>
      </c>
      <c r="B36" s="2" t="s">
        <v>54</v>
      </c>
      <c r="C36" s="2" t="s">
        <v>55</v>
      </c>
      <c r="D36" s="3" t="str">
        <f t="shared" si="2"/>
        <v>12Go Link</v>
      </c>
      <c r="E36" s="2" t="s">
        <v>52</v>
      </c>
    </row>
    <row r="37">
      <c r="A37" s="2" t="s">
        <v>47</v>
      </c>
      <c r="B37" s="2" t="s">
        <v>54</v>
      </c>
      <c r="C37" s="2" t="s">
        <v>55</v>
      </c>
      <c r="D37" s="3" t="str">
        <f t="shared" si="2"/>
        <v>12Go Link</v>
      </c>
      <c r="E37" s="2" t="s">
        <v>53</v>
      </c>
    </row>
    <row r="38">
      <c r="A38" s="2" t="s">
        <v>56</v>
      </c>
      <c r="B38" s="2" t="s">
        <v>57</v>
      </c>
      <c r="C38" s="2" t="s">
        <v>58</v>
      </c>
      <c r="D38" s="3" t="str">
        <f>HYPERLINK("https://12go.asia/en/travel/agnes-water/mackay", "12Go Link")</f>
        <v>12Go Link</v>
      </c>
      <c r="E38" s="2" t="s">
        <v>59</v>
      </c>
    </row>
    <row r="39">
      <c r="A39" s="2" t="s">
        <v>56</v>
      </c>
      <c r="B39" s="2" t="s">
        <v>57</v>
      </c>
      <c r="C39" s="2" t="s">
        <v>60</v>
      </c>
      <c r="D39" s="3" t="str">
        <f>HYPERLINK("https://12go.asia/en/travel/agnes-water/mackay-queensland", "12Go Link")</f>
        <v>12Go Link</v>
      </c>
      <c r="E39" s="2" t="s">
        <v>59</v>
      </c>
    </row>
    <row r="40">
      <c r="A40" s="2" t="s">
        <v>61</v>
      </c>
      <c r="B40" s="2" t="s">
        <v>62</v>
      </c>
      <c r="C40" s="2" t="s">
        <v>63</v>
      </c>
      <c r="D40" s="3" t="str">
        <f>HYPERLINK("https://12go.asia/en/travel/Port-of-Airlie/Daydream-Island", "12Go Link")</f>
        <v>12Go Link</v>
      </c>
      <c r="E40" s="2" t="s">
        <v>64</v>
      </c>
    </row>
    <row r="41">
      <c r="A41" s="2" t="s">
        <v>61</v>
      </c>
      <c r="B41" s="2" t="s">
        <v>65</v>
      </c>
      <c r="C41" s="2" t="s">
        <v>66</v>
      </c>
      <c r="D41" s="3" t="str">
        <f>HYPERLINK("https://12go.asia/en/travel/Port-of-Airlie/Hamilton-Island-Airport", "12Go Link")</f>
        <v>12Go Link</v>
      </c>
      <c r="E41" s="2" t="s">
        <v>64</v>
      </c>
    </row>
    <row r="42">
      <c r="A42" s="2" t="s">
        <v>61</v>
      </c>
      <c r="B42" s="2" t="s">
        <v>65</v>
      </c>
      <c r="C42" s="2" t="s">
        <v>67</v>
      </c>
      <c r="D42" s="3" t="str">
        <f>HYPERLINK("https://12go.asia/en/travel/Port-of-Airlie/Hamilton-Island-Marina", "12Go Link")</f>
        <v>12Go Link</v>
      </c>
      <c r="E42" s="2" t="s">
        <v>64</v>
      </c>
    </row>
    <row r="43">
      <c r="A43" s="2" t="s">
        <v>68</v>
      </c>
      <c r="B43" s="2" t="s">
        <v>69</v>
      </c>
      <c r="C43" s="2" t="s">
        <v>70</v>
      </c>
      <c r="D43" s="3" t="str">
        <f>HYPERLINK("https://12go.asia/en/travel/albury/mascot", "12Go Link")</f>
        <v>12Go Link</v>
      </c>
      <c r="E43" s="2" t="s">
        <v>59</v>
      </c>
    </row>
    <row r="44">
      <c r="A44" s="2" t="s">
        <v>68</v>
      </c>
      <c r="B44" s="2" t="s">
        <v>71</v>
      </c>
      <c r="C44" s="2" t="s">
        <v>72</v>
      </c>
      <c r="D44" s="3" t="str">
        <f>HYPERLINK("https://12go.asia/en/travel/albury/tempe", "12Go Link")</f>
        <v>12Go Link</v>
      </c>
      <c r="E44" s="2" t="s">
        <v>59</v>
      </c>
    </row>
    <row r="45">
      <c r="A45" s="2" t="s">
        <v>68</v>
      </c>
      <c r="B45" s="2" t="s">
        <v>73</v>
      </c>
      <c r="C45" s="2" t="s">
        <v>74</v>
      </c>
      <c r="D45" s="3" t="str">
        <f>HYPERLINK("https://12go.asia/en/travel/albury/wolli-creek", "12Go Link")</f>
        <v>12Go Link</v>
      </c>
      <c r="E45" s="2" t="s">
        <v>59</v>
      </c>
    </row>
    <row r="46">
      <c r="A46" s="2" t="s">
        <v>75</v>
      </c>
      <c r="B46" s="2" t="s">
        <v>76</v>
      </c>
      <c r="C46" s="2" t="s">
        <v>77</v>
      </c>
      <c r="D46" s="3" t="str">
        <f>HYPERLINK("https://12go.asia/en/travel/alice-springs/erldunda", "12Go Link")</f>
        <v>12Go Link</v>
      </c>
      <c r="E46" s="2" t="s">
        <v>59</v>
      </c>
    </row>
    <row r="47">
      <c r="A47" s="2" t="s">
        <v>75</v>
      </c>
      <c r="B47" s="2" t="s">
        <v>76</v>
      </c>
      <c r="C47" s="2" t="s">
        <v>78</v>
      </c>
      <c r="D47" s="3" t="str">
        <f>HYPERLINK("https://12go.asia/en/travel/alice-springs/ghan", "12Go Link")</f>
        <v>12Go Link</v>
      </c>
      <c r="E47" s="2" t="s">
        <v>59</v>
      </c>
    </row>
    <row r="48">
      <c r="A48" s="2" t="s">
        <v>75</v>
      </c>
      <c r="B48" s="2" t="s">
        <v>79</v>
      </c>
      <c r="C48" s="2" t="s">
        <v>80</v>
      </c>
      <c r="D48" s="3" t="str">
        <f>HYPERLINK("https://12go.asia/en/travel/alice-springs/macdonnell-shire", "12Go Link")</f>
        <v>12Go Link</v>
      </c>
      <c r="E48" s="2" t="s">
        <v>59</v>
      </c>
    </row>
    <row r="49">
      <c r="A49" s="2" t="s">
        <v>81</v>
      </c>
      <c r="B49" s="2" t="s">
        <v>82</v>
      </c>
      <c r="C49" s="2" t="s">
        <v>83</v>
      </c>
      <c r="D49" s="3" t="str">
        <f>HYPERLINK("https://12go.asia/en/travel/Ballina-Airport/Byron-Bay", "12Go Link")</f>
        <v>12Go Link</v>
      </c>
      <c r="E49" s="2" t="s">
        <v>84</v>
      </c>
    </row>
    <row r="50">
      <c r="A50" s="2" t="s">
        <v>85</v>
      </c>
      <c r="B50" s="2" t="s">
        <v>86</v>
      </c>
      <c r="C50" s="2" t="s">
        <v>87</v>
      </c>
      <c r="D50" s="3" t="str">
        <f>HYPERLINK("https://12go.asia/en/travel/Brisbane-Roma-Street/Brisbane-Domestic-Airport", "12Go Link")</f>
        <v>12Go Link</v>
      </c>
      <c r="E50" s="2" t="s">
        <v>88</v>
      </c>
    </row>
    <row r="51">
      <c r="A51" s="2" t="s">
        <v>85</v>
      </c>
      <c r="B51" s="2" t="s">
        <v>86</v>
      </c>
      <c r="C51" s="2" t="s">
        <v>89</v>
      </c>
      <c r="D51" s="3" t="str">
        <f>HYPERLINK("https://12go.asia/en/travel/Brisbane-Roma-Street/Brisbane-International-Airport", "12Go Link")</f>
        <v>12Go Link</v>
      </c>
      <c r="E51" s="2" t="s">
        <v>88</v>
      </c>
    </row>
    <row r="52">
      <c r="A52" s="2" t="s">
        <v>86</v>
      </c>
      <c r="B52" s="2" t="s">
        <v>85</v>
      </c>
      <c r="C52" s="2" t="s">
        <v>90</v>
      </c>
      <c r="D52" s="3" t="str">
        <f>HYPERLINK("https://12go.asia/en/travel/Brisbane-Domestic-Airport/Brisbane-Bowen-Hills", "12Go Link")</f>
        <v>12Go Link</v>
      </c>
      <c r="E52" s="2" t="s">
        <v>88</v>
      </c>
    </row>
    <row r="53">
      <c r="A53" s="2" t="s">
        <v>86</v>
      </c>
      <c r="B53" s="2" t="s">
        <v>85</v>
      </c>
      <c r="C53" s="2" t="s">
        <v>91</v>
      </c>
      <c r="D53" s="3" t="str">
        <f>HYPERLINK("https://12go.asia/en/travel/Brisbane-Domestic-Airport/Brisbane-Roma-Street", "12Go Link")</f>
        <v>12Go Link</v>
      </c>
      <c r="E53" s="2" t="s">
        <v>88</v>
      </c>
    </row>
    <row r="54">
      <c r="A54" s="2" t="s">
        <v>86</v>
      </c>
      <c r="B54" s="2" t="s">
        <v>85</v>
      </c>
      <c r="C54" s="2" t="s">
        <v>92</v>
      </c>
      <c r="D54" s="3" t="str">
        <f>HYPERLINK("https://12go.asia/en/travel/Brisbane-International-Airport/Brisbane-Bowen-Hills", "12Go Link")</f>
        <v>12Go Link</v>
      </c>
      <c r="E54" s="2" t="s">
        <v>88</v>
      </c>
    </row>
    <row r="55">
      <c r="A55" s="2" t="s">
        <v>86</v>
      </c>
      <c r="B55" s="2" t="s">
        <v>85</v>
      </c>
      <c r="C55" s="2" t="s">
        <v>93</v>
      </c>
      <c r="D55" s="3" t="str">
        <f>HYPERLINK("https://12go.asia/en/travel/Brisbane-International-Airport/Brisbane-Roma-Street", "12Go Link")</f>
        <v>12Go Link</v>
      </c>
      <c r="E55" s="2" t="s">
        <v>88</v>
      </c>
    </row>
    <row r="56">
      <c r="A56" s="2" t="s">
        <v>86</v>
      </c>
      <c r="B56" s="2" t="s">
        <v>82</v>
      </c>
      <c r="C56" s="2" t="s">
        <v>94</v>
      </c>
      <c r="D56" s="3" t="str">
        <f>HYPERLINK("https://12go.asia/en/travel/brisbane-airport/byron-bay", "12Go Link")</f>
        <v>12Go Link</v>
      </c>
      <c r="E56" s="2" t="s">
        <v>59</v>
      </c>
    </row>
    <row r="57">
      <c r="A57" s="2" t="s">
        <v>82</v>
      </c>
      <c r="B57" s="2" t="s">
        <v>81</v>
      </c>
      <c r="C57" s="2" t="s">
        <v>95</v>
      </c>
      <c r="D57" s="3" t="str">
        <f>HYPERLINK("https://12go.asia/en/travel/Byron-Bay/Ballina-Airport", "12Go Link")</f>
        <v>12Go Link</v>
      </c>
      <c r="E57" s="2" t="s">
        <v>84</v>
      </c>
    </row>
    <row r="58">
      <c r="A58" s="2" t="s">
        <v>82</v>
      </c>
      <c r="B58" s="2" t="s">
        <v>86</v>
      </c>
      <c r="C58" s="2" t="s">
        <v>96</v>
      </c>
      <c r="D58" s="3" t="str">
        <f>HYPERLINK("https://12go.asia/en/travel/byron-bay/brisbane-airport", "12Go Link")</f>
        <v>12Go Link</v>
      </c>
      <c r="E58" s="2" t="s">
        <v>59</v>
      </c>
    </row>
    <row r="59">
      <c r="A59" s="2" t="s">
        <v>82</v>
      </c>
      <c r="B59" s="2" t="s">
        <v>97</v>
      </c>
      <c r="C59" s="2" t="s">
        <v>98</v>
      </c>
      <c r="D59" s="3" t="str">
        <f>HYPERLINK("https://12go.asia/en/travel/byron-bay/canterbury-nsw", "12Go Link")</f>
        <v>12Go Link</v>
      </c>
      <c r="E59" s="2" t="s">
        <v>59</v>
      </c>
    </row>
    <row r="60">
      <c r="A60" s="2" t="s">
        <v>82</v>
      </c>
      <c r="B60" s="2" t="s">
        <v>99</v>
      </c>
      <c r="C60" s="2" t="s">
        <v>100</v>
      </c>
      <c r="D60" s="3" t="str">
        <f>HYPERLINK("https://12go.asia/en/travel/byron-bay/clarence-valley", "12Go Link")</f>
        <v>12Go Link</v>
      </c>
      <c r="E60" s="2" t="s">
        <v>59</v>
      </c>
    </row>
    <row r="61">
      <c r="A61" s="2" t="s">
        <v>82</v>
      </c>
      <c r="B61" s="2" t="s">
        <v>101</v>
      </c>
      <c r="C61" s="2" t="s">
        <v>102</v>
      </c>
      <c r="D61" s="3" t="str">
        <f>HYPERLINK("https://12go.asia/en/travel/byron-bay/coolangatta", "12Go Link")</f>
        <v>12Go Link</v>
      </c>
      <c r="E61" s="2" t="s">
        <v>59</v>
      </c>
    </row>
    <row r="62">
      <c r="A62" s="2" t="s">
        <v>82</v>
      </c>
      <c r="B62" s="2" t="s">
        <v>103</v>
      </c>
      <c r="C62" s="2" t="s">
        <v>104</v>
      </c>
      <c r="D62" s="3" t="str">
        <f>HYPERLINK("https://12go.asia/en/travel/byron-bay/erskineville", "12Go Link")</f>
        <v>12Go Link</v>
      </c>
      <c r="E62" s="2" t="s">
        <v>59</v>
      </c>
    </row>
    <row r="63">
      <c r="A63" s="2" t="s">
        <v>82</v>
      </c>
      <c r="B63" s="2" t="s">
        <v>105</v>
      </c>
      <c r="C63" s="2" t="s">
        <v>106</v>
      </c>
      <c r="D63" s="3" t="str">
        <f>HYPERLINK("https://12go.asia/en/travel/byron-bay/hastings-shire", "12Go Link")</f>
        <v>12Go Link</v>
      </c>
      <c r="E63" s="2" t="s">
        <v>59</v>
      </c>
    </row>
    <row r="64">
      <c r="A64" s="2" t="s">
        <v>82</v>
      </c>
      <c r="B64" s="2" t="s">
        <v>107</v>
      </c>
      <c r="C64" s="2" t="s">
        <v>108</v>
      </c>
      <c r="D64" s="3" t="str">
        <f>HYPERLINK("https://12go.asia/en/travel/byron-bay/iluka", "12Go Link")</f>
        <v>12Go Link</v>
      </c>
      <c r="E64" s="2" t="s">
        <v>59</v>
      </c>
    </row>
    <row r="65">
      <c r="A65" s="2" t="s">
        <v>82</v>
      </c>
      <c r="B65" s="2" t="s">
        <v>109</v>
      </c>
      <c r="C65" s="2" t="s">
        <v>110</v>
      </c>
      <c r="D65" s="3" t="str">
        <f>HYPERLINK("https://12go.asia/en/travel/byron-bay/maclean", "12Go Link")</f>
        <v>12Go Link</v>
      </c>
      <c r="E65" s="2" t="s">
        <v>59</v>
      </c>
    </row>
    <row r="66">
      <c r="A66" s="2" t="s">
        <v>82</v>
      </c>
      <c r="B66" s="2" t="s">
        <v>111</v>
      </c>
      <c r="C66" s="2" t="s">
        <v>112</v>
      </c>
      <c r="D66" s="3" t="str">
        <f>HYPERLINK("https://12go.asia/en/travel/byron-bay/mid-coast", "12Go Link")</f>
        <v>12Go Link</v>
      </c>
      <c r="E66" s="2" t="s">
        <v>59</v>
      </c>
    </row>
    <row r="67">
      <c r="A67" s="2" t="s">
        <v>82</v>
      </c>
      <c r="B67" s="2" t="s">
        <v>113</v>
      </c>
      <c r="C67" s="2" t="s">
        <v>114</v>
      </c>
      <c r="D67" s="3" t="str">
        <f>HYPERLINK("https://12go.asia/en/travel/byron-bay/newcastle-nsw", "12Go Link")</f>
        <v>12Go Link</v>
      </c>
      <c r="E67" s="2" t="s">
        <v>59</v>
      </c>
    </row>
    <row r="68">
      <c r="A68" s="2" t="s">
        <v>82</v>
      </c>
      <c r="B68" s="2" t="s">
        <v>115</v>
      </c>
      <c r="C68" s="2" t="s">
        <v>116</v>
      </c>
      <c r="D68" s="3" t="str">
        <f>HYPERLINK("https://12go.asia/en/travel/byron-bay/potts-point-nsw", "12Go Link")</f>
        <v>12Go Link</v>
      </c>
      <c r="E68" s="2" t="s">
        <v>59</v>
      </c>
    </row>
    <row r="69">
      <c r="A69" s="2" t="s">
        <v>82</v>
      </c>
      <c r="B69" s="2" t="s">
        <v>117</v>
      </c>
      <c r="C69" s="2" t="s">
        <v>118</v>
      </c>
      <c r="D69" s="3" t="str">
        <f>HYPERLINK("https://12go.asia/en/travel/byron-bay/southport-gold-coast", "12Go Link")</f>
        <v>12Go Link</v>
      </c>
      <c r="E69" s="2" t="s">
        <v>59</v>
      </c>
    </row>
    <row r="70">
      <c r="A70" s="2" t="s">
        <v>82</v>
      </c>
      <c r="B70" s="2" t="s">
        <v>119</v>
      </c>
      <c r="C70" s="2" t="s">
        <v>120</v>
      </c>
      <c r="D70" s="3" t="str">
        <f>HYPERLINK("https://12go.asia/en/travel/byron-bay/surfers-paradise", "12Go Link")</f>
        <v>12Go Link</v>
      </c>
      <c r="E70" s="2" t="s">
        <v>59</v>
      </c>
    </row>
    <row r="71">
      <c r="A71" s="2" t="s">
        <v>82</v>
      </c>
      <c r="B71" s="2" t="s">
        <v>121</v>
      </c>
      <c r="C71" s="2" t="s">
        <v>122</v>
      </c>
      <c r="D71" s="3" t="str">
        <f>HYPERLINK("https://12go.asia/en/travel/byron-bay/west-ballina", "12Go Link")</f>
        <v>12Go Link</v>
      </c>
      <c r="E71" s="2" t="s">
        <v>59</v>
      </c>
    </row>
    <row r="72">
      <c r="A72" s="2" t="s">
        <v>123</v>
      </c>
      <c r="B72" s="2" t="s">
        <v>103</v>
      </c>
      <c r="C72" s="2" t="s">
        <v>124</v>
      </c>
      <c r="D72" s="3" t="str">
        <f>HYPERLINK("https://12go.asia/en/travel/canberra/erskineville", "12Go Link")</f>
        <v>12Go Link</v>
      </c>
      <c r="E72" s="2" t="s">
        <v>59</v>
      </c>
    </row>
    <row r="73">
      <c r="A73" s="2" t="s">
        <v>123</v>
      </c>
      <c r="B73" s="2" t="s">
        <v>69</v>
      </c>
      <c r="C73" s="2" t="s">
        <v>125</v>
      </c>
      <c r="D73" s="3" t="str">
        <f>HYPERLINK("https://12go.asia/en/travel/canberra/mascot", "12Go Link")</f>
        <v>12Go Link</v>
      </c>
      <c r="E73" s="2" t="s">
        <v>59</v>
      </c>
    </row>
    <row r="74">
      <c r="A74" s="2" t="s">
        <v>123</v>
      </c>
      <c r="B74" s="2" t="s">
        <v>115</v>
      </c>
      <c r="C74" s="2" t="s">
        <v>126</v>
      </c>
      <c r="D74" s="3" t="str">
        <f>HYPERLINK("https://12go.asia/en/travel/canberra/potts-point-nsw", "12Go Link")</f>
        <v>12Go Link</v>
      </c>
      <c r="E74" s="2" t="s">
        <v>59</v>
      </c>
    </row>
    <row r="75">
      <c r="A75" s="2" t="s">
        <v>123</v>
      </c>
      <c r="B75" s="2" t="s">
        <v>71</v>
      </c>
      <c r="C75" s="2" t="s">
        <v>127</v>
      </c>
      <c r="D75" s="3" t="str">
        <f>HYPERLINK("https://12go.asia/en/travel/canberra/tempe", "12Go Link")</f>
        <v>12Go Link</v>
      </c>
      <c r="E75" s="2" t="s">
        <v>59</v>
      </c>
    </row>
    <row r="76">
      <c r="A76" s="2" t="s">
        <v>123</v>
      </c>
      <c r="B76" s="2" t="s">
        <v>73</v>
      </c>
      <c r="C76" s="2" t="s">
        <v>128</v>
      </c>
      <c r="D76" s="3" t="str">
        <f>HYPERLINK("https://12go.asia/en/travel/canberra/wolli-creek", "12Go Link")</f>
        <v>12Go Link</v>
      </c>
      <c r="E76" s="2" t="s">
        <v>59</v>
      </c>
    </row>
    <row r="77">
      <c r="A77" s="2" t="s">
        <v>97</v>
      </c>
      <c r="B77" s="2" t="s">
        <v>68</v>
      </c>
      <c r="C77" s="2" t="s">
        <v>129</v>
      </c>
      <c r="D77" s="3" t="str">
        <f>HYPERLINK("https://12go.asia/en/travel/canterbury-nsw/albury", "12Go Link")</f>
        <v>12Go Link</v>
      </c>
      <c r="E77" s="2" t="s">
        <v>59</v>
      </c>
    </row>
    <row r="78">
      <c r="A78" s="2" t="s">
        <v>97</v>
      </c>
      <c r="B78" s="2" t="s">
        <v>81</v>
      </c>
      <c r="C78" s="2" t="s">
        <v>130</v>
      </c>
      <c r="D78" s="3" t="str">
        <f>HYPERLINK("https://12go.asia/en/travel/canterbury-nsw/ballina", "12Go Link")</f>
        <v>12Go Link</v>
      </c>
      <c r="E78" s="2" t="s">
        <v>59</v>
      </c>
    </row>
    <row r="79">
      <c r="A79" s="2" t="s">
        <v>97</v>
      </c>
      <c r="B79" s="2" t="s">
        <v>82</v>
      </c>
      <c r="C79" s="2" t="s">
        <v>131</v>
      </c>
      <c r="D79" s="3" t="str">
        <f>HYPERLINK("https://12go.asia/en/travel/canterbury-nsw/byron-bay", "12Go Link")</f>
        <v>12Go Link</v>
      </c>
      <c r="E79" s="2" t="s">
        <v>59</v>
      </c>
    </row>
    <row r="80">
      <c r="A80" s="2" t="s">
        <v>97</v>
      </c>
      <c r="B80" s="2" t="s">
        <v>99</v>
      </c>
      <c r="C80" s="2" t="s">
        <v>132</v>
      </c>
      <c r="D80" s="3" t="str">
        <f>HYPERLINK("https://12go.asia/en/travel/canterbury-nsw/clarence-valley", "12Go Link")</f>
        <v>12Go Link</v>
      </c>
      <c r="E80" s="2" t="s">
        <v>59</v>
      </c>
    </row>
    <row r="81">
      <c r="A81" s="2" t="s">
        <v>97</v>
      </c>
      <c r="B81" s="2" t="s">
        <v>133</v>
      </c>
      <c r="C81" s="2" t="s">
        <v>134</v>
      </c>
      <c r="D81" s="3" t="str">
        <f>HYPERLINK("https://12go.asia/en/travel/canterbury-nsw/grafton", "12Go Link")</f>
        <v>12Go Link</v>
      </c>
      <c r="E81" s="2" t="s">
        <v>59</v>
      </c>
    </row>
    <row r="82">
      <c r="A82" s="2" t="s">
        <v>97</v>
      </c>
      <c r="B82" s="2" t="s">
        <v>107</v>
      </c>
      <c r="C82" s="2" t="s">
        <v>135</v>
      </c>
      <c r="D82" s="3" t="str">
        <f>HYPERLINK("https://12go.asia/en/travel/canterbury-nsw/iluka", "12Go Link")</f>
        <v>12Go Link</v>
      </c>
      <c r="E82" s="2" t="s">
        <v>59</v>
      </c>
    </row>
    <row r="83">
      <c r="A83" s="2" t="s">
        <v>97</v>
      </c>
      <c r="B83" s="2" t="s">
        <v>136</v>
      </c>
      <c r="C83" s="2" t="s">
        <v>137</v>
      </c>
      <c r="D83" s="3" t="str">
        <f>HYPERLINK("https://12go.asia/en/travel/canterbury-nsw/kempsey", "12Go Link")</f>
        <v>12Go Link</v>
      </c>
      <c r="E83" s="2" t="s">
        <v>59</v>
      </c>
    </row>
    <row r="84">
      <c r="A84" s="2" t="s">
        <v>97</v>
      </c>
      <c r="B84" s="2" t="s">
        <v>109</v>
      </c>
      <c r="C84" s="2" t="s">
        <v>138</v>
      </c>
      <c r="D84" s="3" t="str">
        <f>HYPERLINK("https://12go.asia/en/travel/canterbury-nsw/maclean", "12Go Link")</f>
        <v>12Go Link</v>
      </c>
      <c r="E84" s="2" t="s">
        <v>59</v>
      </c>
    </row>
    <row r="85">
      <c r="A85" s="2" t="s">
        <v>97</v>
      </c>
      <c r="B85" s="2" t="s">
        <v>111</v>
      </c>
      <c r="C85" s="2" t="s">
        <v>139</v>
      </c>
      <c r="D85" s="3" t="str">
        <f>HYPERLINK("https://12go.asia/en/travel/canterbury-nsw/mid-coast", "12Go Link")</f>
        <v>12Go Link</v>
      </c>
      <c r="E85" s="2" t="s">
        <v>59</v>
      </c>
    </row>
    <row r="86">
      <c r="A86" s="2" t="s">
        <v>97</v>
      </c>
      <c r="B86" s="2" t="s">
        <v>140</v>
      </c>
      <c r="C86" s="2" t="s">
        <v>141</v>
      </c>
      <c r="D86" s="3" t="str">
        <f>HYPERLINK("https://12go.asia/en/travel/canterbury-nsw/nambucca-heads", "12Go Link")</f>
        <v>12Go Link</v>
      </c>
      <c r="E86" s="2" t="s">
        <v>59</v>
      </c>
    </row>
    <row r="87">
      <c r="A87" s="2" t="s">
        <v>97</v>
      </c>
      <c r="B87" s="2" t="s">
        <v>142</v>
      </c>
      <c r="C87" s="2" t="s">
        <v>143</v>
      </c>
      <c r="D87" s="3" t="str">
        <f>HYPERLINK("https://12go.asia/en/travel/canterbury-nsw/port-macquarie", "12Go Link")</f>
        <v>12Go Link</v>
      </c>
      <c r="E87" s="2" t="s">
        <v>59</v>
      </c>
    </row>
    <row r="88">
      <c r="A88" s="2" t="s">
        <v>97</v>
      </c>
      <c r="B88" s="2" t="s">
        <v>144</v>
      </c>
      <c r="C88" s="2" t="s">
        <v>145</v>
      </c>
      <c r="D88" s="3" t="str">
        <f>HYPERLINK("https://12go.asia/en/travel/canterbury-nsw/southern-cross", "12Go Link")</f>
        <v>12Go Link</v>
      </c>
      <c r="E88" s="2" t="s">
        <v>59</v>
      </c>
    </row>
    <row r="89">
      <c r="A89" s="2" t="s">
        <v>97</v>
      </c>
      <c r="B89" s="2" t="s">
        <v>146</v>
      </c>
      <c r="C89" s="2" t="s">
        <v>147</v>
      </c>
      <c r="D89" s="3" t="str">
        <f>HYPERLINK("https://12go.asia/en/travel/canterbury-nsw/taree", "12Go Link")</f>
        <v>12Go Link</v>
      </c>
      <c r="E89" s="2" t="s">
        <v>59</v>
      </c>
    </row>
    <row r="90">
      <c r="A90" s="2" t="s">
        <v>97</v>
      </c>
      <c r="B90" s="2" t="s">
        <v>121</v>
      </c>
      <c r="C90" s="2" t="s">
        <v>148</v>
      </c>
      <c r="D90" s="3" t="str">
        <f>HYPERLINK("https://12go.asia/en/travel/canterbury-nsw/west-ballina", "12Go Link")</f>
        <v>12Go Link</v>
      </c>
      <c r="E90" s="2" t="s">
        <v>59</v>
      </c>
    </row>
    <row r="91">
      <c r="A91" s="2" t="s">
        <v>97</v>
      </c>
      <c r="B91" s="2" t="s">
        <v>149</v>
      </c>
      <c r="C91" s="2" t="s">
        <v>150</v>
      </c>
      <c r="D91" s="3" t="str">
        <f>HYPERLINK("https://12go.asia/en/travel/canterbury-nsw/woolgoolga", "12Go Link")</f>
        <v>12Go Link</v>
      </c>
      <c r="E91" s="2" t="s">
        <v>59</v>
      </c>
    </row>
    <row r="92">
      <c r="A92" s="2" t="s">
        <v>97</v>
      </c>
      <c r="B92" s="2" t="s">
        <v>151</v>
      </c>
      <c r="C92" s="2" t="s">
        <v>152</v>
      </c>
      <c r="D92" s="3" t="str">
        <f>HYPERLINK("https://12go.asia/en/travel/canterbury-nsw/yamba", "12Go Link")</f>
        <v>12Go Link</v>
      </c>
      <c r="E92" s="2" t="s">
        <v>59</v>
      </c>
    </row>
    <row r="93">
      <c r="A93" s="2" t="s">
        <v>97</v>
      </c>
      <c r="B93" s="2" t="s">
        <v>153</v>
      </c>
      <c r="C93" s="2" t="s">
        <v>154</v>
      </c>
      <c r="D93" s="3" t="str">
        <f>HYPERLINK("https://12go.asia/en/travel/canterbury-nsw/bali", "12Go Link")</f>
        <v>12Go Link</v>
      </c>
      <c r="E93" s="2" t="s">
        <v>155</v>
      </c>
    </row>
    <row r="94">
      <c r="A94" s="2" t="s">
        <v>97</v>
      </c>
      <c r="B94" s="2" t="s">
        <v>156</v>
      </c>
      <c r="C94" s="2" t="s">
        <v>157</v>
      </c>
      <c r="D94" s="3" t="str">
        <f>HYPERLINK("https://12go.asia/en/travel/canterbury-nsw/canggu", "12Go Link")</f>
        <v>12Go Link</v>
      </c>
      <c r="E94" s="2" t="s">
        <v>155</v>
      </c>
    </row>
    <row r="95">
      <c r="A95" s="2" t="s">
        <v>97</v>
      </c>
      <c r="B95" s="2" t="s">
        <v>158</v>
      </c>
      <c r="C95" s="2" t="s">
        <v>159</v>
      </c>
      <c r="D95" s="3" t="str">
        <f>HYPERLINK("https://12go.asia/en/travel/canterbury-nsw/denpasar", "12Go Link")</f>
        <v>12Go Link</v>
      </c>
      <c r="E95" s="2" t="s">
        <v>155</v>
      </c>
    </row>
    <row r="96">
      <c r="A96" s="2" t="s">
        <v>97</v>
      </c>
      <c r="B96" s="2" t="s">
        <v>160</v>
      </c>
      <c r="C96" s="2" t="s">
        <v>161</v>
      </c>
      <c r="D96" s="3" t="str">
        <f>HYPERLINK("https://12go.asia/en/travel/canterbury-nsw/east-bali", "12Go Link")</f>
        <v>12Go Link</v>
      </c>
      <c r="E96" s="2" t="s">
        <v>155</v>
      </c>
    </row>
    <row r="97">
      <c r="A97" s="2" t="s">
        <v>97</v>
      </c>
      <c r="B97" s="2" t="s">
        <v>162</v>
      </c>
      <c r="C97" s="2" t="s">
        <v>163</v>
      </c>
      <c r="D97" s="3" t="str">
        <f>HYPERLINK("https://12go.asia/en/travel/canterbury-nsw/kintamani", "12Go Link")</f>
        <v>12Go Link</v>
      </c>
      <c r="E97" s="2" t="s">
        <v>155</v>
      </c>
    </row>
    <row r="98">
      <c r="A98" s="2" t="s">
        <v>97</v>
      </c>
      <c r="B98" s="2" t="s">
        <v>164</v>
      </c>
      <c r="C98" s="2" t="s">
        <v>165</v>
      </c>
      <c r="D98" s="3" t="str">
        <f>HYPERLINK("https://12go.asia/en/travel/canterbury-nsw/kuta", "12Go Link")</f>
        <v>12Go Link</v>
      </c>
      <c r="E98" s="2" t="s">
        <v>155</v>
      </c>
    </row>
    <row r="99">
      <c r="A99" s="2" t="s">
        <v>97</v>
      </c>
      <c r="B99" s="2" t="s">
        <v>166</v>
      </c>
      <c r="C99" s="2" t="s">
        <v>167</v>
      </c>
      <c r="D99" s="3" t="str">
        <f>HYPERLINK("https://12go.asia/en/travel/canterbury-nsw/nusa-ceningan", "12Go Link")</f>
        <v>12Go Link</v>
      </c>
      <c r="E99" s="2" t="s">
        <v>155</v>
      </c>
    </row>
    <row r="100">
      <c r="A100" s="2" t="s">
        <v>97</v>
      </c>
      <c r="B100" s="2" t="s">
        <v>168</v>
      </c>
      <c r="C100" s="2" t="s">
        <v>169</v>
      </c>
      <c r="D100" s="3" t="str">
        <f>HYPERLINK("https://12go.asia/en/travel/canterbury-nsw/nusa-penida", "12Go Link")</f>
        <v>12Go Link</v>
      </c>
      <c r="E100" s="2" t="s">
        <v>155</v>
      </c>
    </row>
    <row r="101">
      <c r="A101" s="2" t="s">
        <v>97</v>
      </c>
      <c r="B101" s="2" t="s">
        <v>170</v>
      </c>
      <c r="C101" s="2" t="s">
        <v>171</v>
      </c>
      <c r="D101" s="3" t="str">
        <f>HYPERLINK("https://12go.asia/en/travel/canterbury-nsw/padang-bai", "12Go Link")</f>
        <v>12Go Link</v>
      </c>
      <c r="E101" s="2" t="s">
        <v>155</v>
      </c>
    </row>
    <row r="102">
      <c r="A102" s="2" t="s">
        <v>97</v>
      </c>
      <c r="B102" s="2" t="s">
        <v>172</v>
      </c>
      <c r="C102" s="2" t="s">
        <v>173</v>
      </c>
      <c r="D102" s="3" t="str">
        <f>HYPERLINK("https://12go.asia/en/travel/canterbury-nsw/sanur", "12Go Link")</f>
        <v>12Go Link</v>
      </c>
      <c r="E102" s="2" t="s">
        <v>155</v>
      </c>
    </row>
    <row r="103">
      <c r="A103" s="2" t="s">
        <v>97</v>
      </c>
      <c r="B103" s="2" t="s">
        <v>174</v>
      </c>
      <c r="C103" s="2" t="s">
        <v>175</v>
      </c>
      <c r="D103" s="3" t="str">
        <f>HYPERLINK("https://12go.asia/en/travel/canterbury-nsw/singaraja", "12Go Link")</f>
        <v>12Go Link</v>
      </c>
      <c r="E103" s="2" t="s">
        <v>155</v>
      </c>
    </row>
    <row r="104">
      <c r="A104" s="2" t="s">
        <v>176</v>
      </c>
      <c r="B104" s="2" t="s">
        <v>177</v>
      </c>
      <c r="C104" s="2" t="s">
        <v>178</v>
      </c>
      <c r="D104" s="3" t="str">
        <f>HYPERLINK("https://12go.asia/en/travel/carmila/gladstone", "12Go Link")</f>
        <v>12Go Link</v>
      </c>
      <c r="E104" s="2" t="s">
        <v>59</v>
      </c>
    </row>
    <row r="105">
      <c r="A105" s="2" t="s">
        <v>176</v>
      </c>
      <c r="B105" s="2" t="s">
        <v>179</v>
      </c>
      <c r="C105" s="2" t="s">
        <v>180</v>
      </c>
      <c r="D105" s="3" t="str">
        <f>HYPERLINK("https://12go.asia/en/travel/carmila/rockhampton", "12Go Link")</f>
        <v>12Go Link</v>
      </c>
      <c r="E105" s="2" t="s">
        <v>59</v>
      </c>
    </row>
    <row r="106">
      <c r="A106" s="2" t="s">
        <v>62</v>
      </c>
      <c r="B106" s="2" t="s">
        <v>61</v>
      </c>
      <c r="C106" s="2" t="s">
        <v>181</v>
      </c>
      <c r="D106" s="3" t="str">
        <f>HYPERLINK("https://12go.asia/en/travel/Daydream-Island/Port-of-Airlie", "12Go Link")</f>
        <v>12Go Link</v>
      </c>
      <c r="E106" s="2" t="s">
        <v>64</v>
      </c>
    </row>
    <row r="107">
      <c r="A107" s="2" t="s">
        <v>62</v>
      </c>
      <c r="B107" s="2" t="s">
        <v>65</v>
      </c>
      <c r="C107" s="2" t="s">
        <v>182</v>
      </c>
      <c r="D107" s="3" t="str">
        <f>HYPERLINK("https://12go.asia/en/travel/Daydream-Island/Hamilton-Island-Airport", "12Go Link")</f>
        <v>12Go Link</v>
      </c>
      <c r="E107" s="2" t="s">
        <v>64</v>
      </c>
    </row>
    <row r="108">
      <c r="A108" s="2" t="s">
        <v>62</v>
      </c>
      <c r="B108" s="2" t="s">
        <v>65</v>
      </c>
      <c r="C108" s="2" t="s">
        <v>183</v>
      </c>
      <c r="D108" s="3" t="str">
        <f>HYPERLINK("https://12go.asia/en/travel/Daydream-Island/Hamilton-Island-Marina", "12Go Link")</f>
        <v>12Go Link</v>
      </c>
      <c r="E108" s="2" t="s">
        <v>64</v>
      </c>
    </row>
    <row r="109">
      <c r="A109" s="2" t="s">
        <v>62</v>
      </c>
      <c r="B109" s="2" t="s">
        <v>184</v>
      </c>
      <c r="C109" s="2" t="s">
        <v>185</v>
      </c>
      <c r="D109" s="3" t="str">
        <f>HYPERLINK("https://12go.asia/en/travel/Daydream-Island/Shute-Harbour", "12Go Link")</f>
        <v>12Go Link</v>
      </c>
      <c r="E109" s="2" t="s">
        <v>64</v>
      </c>
    </row>
    <row r="110">
      <c r="A110" s="2" t="s">
        <v>186</v>
      </c>
      <c r="B110" s="2" t="s">
        <v>187</v>
      </c>
      <c r="C110" s="2" t="s">
        <v>188</v>
      </c>
      <c r="D110" s="3" t="str">
        <f>HYPERLINK("https://12go.asia/en/travel/halls-creek/top-end", "12Go Link")</f>
        <v>12Go Link</v>
      </c>
      <c r="E110" s="2" t="s">
        <v>59</v>
      </c>
    </row>
    <row r="111">
      <c r="A111" s="2" t="s">
        <v>65</v>
      </c>
      <c r="B111" s="2" t="s">
        <v>61</v>
      </c>
      <c r="C111" s="2" t="s">
        <v>189</v>
      </c>
      <c r="D111" s="3" t="str">
        <f>HYPERLINK("https://12go.asia/en/travel/Hamilton-Island-Airport/Port-of-Airlie", "12Go Link")</f>
        <v>12Go Link</v>
      </c>
      <c r="E111" s="2" t="s">
        <v>64</v>
      </c>
    </row>
    <row r="112">
      <c r="A112" s="2" t="s">
        <v>65</v>
      </c>
      <c r="B112" s="2" t="s">
        <v>61</v>
      </c>
      <c r="C112" s="2" t="s">
        <v>190</v>
      </c>
      <c r="D112" s="3" t="str">
        <f>HYPERLINK("https://12go.asia/en/travel/Hamilton-Island-Marina/Port-of-Airlie", "12Go Link")</f>
        <v>12Go Link</v>
      </c>
      <c r="E112" s="2" t="s">
        <v>64</v>
      </c>
    </row>
    <row r="113">
      <c r="A113" s="2" t="s">
        <v>65</v>
      </c>
      <c r="B113" s="2" t="s">
        <v>62</v>
      </c>
      <c r="C113" s="2" t="s">
        <v>191</v>
      </c>
      <c r="D113" s="3" t="str">
        <f>HYPERLINK("https://12go.asia/en/travel/Hamilton-Island-Airport/Daydream-Island", "12Go Link")</f>
        <v>12Go Link</v>
      </c>
      <c r="E113" s="2" t="s">
        <v>64</v>
      </c>
    </row>
    <row r="114">
      <c r="A114" s="2" t="s">
        <v>65</v>
      </c>
      <c r="B114" s="2" t="s">
        <v>62</v>
      </c>
      <c r="C114" s="2" t="s">
        <v>192</v>
      </c>
      <c r="D114" s="3" t="str">
        <f>HYPERLINK("https://12go.asia/en/travel/Hamilton-Island-Marina/Daydream-Island", "12Go Link")</f>
        <v>12Go Link</v>
      </c>
      <c r="E114" s="2" t="s">
        <v>64</v>
      </c>
    </row>
    <row r="115">
      <c r="A115" s="2" t="s">
        <v>65</v>
      </c>
      <c r="B115" s="2" t="s">
        <v>184</v>
      </c>
      <c r="C115" s="2" t="s">
        <v>193</v>
      </c>
      <c r="D115" s="3" t="str">
        <f>HYPERLINK("https://12go.asia/en/travel/Hamilton-Island-Marina/Shute-Harbour", "12Go Link")</f>
        <v>12Go Link</v>
      </c>
      <c r="E115" s="2" t="s">
        <v>64</v>
      </c>
    </row>
    <row r="116">
      <c r="A116" s="2" t="s">
        <v>105</v>
      </c>
      <c r="B116" s="2" t="s">
        <v>82</v>
      </c>
      <c r="C116" s="2" t="s">
        <v>194</v>
      </c>
      <c r="D116" s="3" t="str">
        <f>HYPERLINK("https://12go.asia/en/travel/hastings-shire/byron-bay", "12Go Link")</f>
        <v>12Go Link</v>
      </c>
      <c r="E116" s="2" t="s">
        <v>59</v>
      </c>
    </row>
    <row r="117">
      <c r="A117" s="2" t="s">
        <v>105</v>
      </c>
      <c r="B117" s="2" t="s">
        <v>113</v>
      </c>
      <c r="C117" s="2" t="s">
        <v>195</v>
      </c>
      <c r="D117" s="3" t="str">
        <f>HYPERLINK("https://12go.asia/en/travel/hastings-shire/newcastle-nsw", "12Go Link")</f>
        <v>12Go Link</v>
      </c>
      <c r="E117" s="2" t="s">
        <v>59</v>
      </c>
    </row>
    <row r="118">
      <c r="A118" s="2" t="s">
        <v>111</v>
      </c>
      <c r="B118" s="2" t="s">
        <v>113</v>
      </c>
      <c r="C118" s="2" t="s">
        <v>196</v>
      </c>
      <c r="D118" s="3" t="str">
        <f>HYPERLINK("https://12go.asia/en/travel/mid-coast/newcastle-nsw", "12Go Link")</f>
        <v>12Go Link</v>
      </c>
      <c r="E118" s="2" t="s">
        <v>59</v>
      </c>
    </row>
    <row r="119">
      <c r="A119" s="2" t="s">
        <v>111</v>
      </c>
      <c r="B119" s="2" t="s">
        <v>119</v>
      </c>
      <c r="C119" s="2" t="s">
        <v>197</v>
      </c>
      <c r="D119" s="3" t="str">
        <f>HYPERLINK("https://12go.asia/en/travel/mid-coast/surfers-paradise", "12Go Link")</f>
        <v>12Go Link</v>
      </c>
      <c r="E119" s="2" t="s">
        <v>59</v>
      </c>
    </row>
    <row r="120">
      <c r="A120" s="2" t="s">
        <v>198</v>
      </c>
      <c r="B120" s="2" t="s">
        <v>199</v>
      </c>
      <c r="C120" s="2" t="s">
        <v>200</v>
      </c>
      <c r="D120" s="3" t="str">
        <f>HYPERLINK("https://12go.asia/en/travel/miles-queensland/toowoomba", "12Go Link")</f>
        <v>12Go Link</v>
      </c>
      <c r="E120" s="2" t="s">
        <v>59</v>
      </c>
    </row>
    <row r="121">
      <c r="A121" s="2" t="s">
        <v>198</v>
      </c>
      <c r="B121" s="2" t="s">
        <v>199</v>
      </c>
      <c r="C121" s="2" t="s">
        <v>201</v>
      </c>
      <c r="D121" s="3" t="str">
        <f>HYPERLINK("https://12go.asia/en/travel/miles/toowoomba", "12Go Link")</f>
        <v>12Go Link</v>
      </c>
      <c r="E121" s="2" t="s">
        <v>59</v>
      </c>
    </row>
    <row r="122">
      <c r="A122" s="2" t="s">
        <v>202</v>
      </c>
      <c r="B122" s="2" t="s">
        <v>61</v>
      </c>
      <c r="C122" s="2" t="s">
        <v>203</v>
      </c>
      <c r="D122" s="3" t="str">
        <f>HYPERLINK("https://12go.asia/en/travel/mooloolaba/airlie-beach", "12Go Link")</f>
        <v>12Go Link</v>
      </c>
      <c r="E122" s="2" t="s">
        <v>59</v>
      </c>
    </row>
    <row r="123">
      <c r="A123" s="2" t="s">
        <v>202</v>
      </c>
      <c r="B123" s="2" t="s">
        <v>86</v>
      </c>
      <c r="C123" s="2" t="s">
        <v>204</v>
      </c>
      <c r="D123" s="3" t="str">
        <f>HYPERLINK("https://12go.asia/en/travel/mooloolaba/brisbane-airport", "12Go Link")</f>
        <v>12Go Link</v>
      </c>
      <c r="E123" s="2" t="s">
        <v>59</v>
      </c>
    </row>
    <row r="124">
      <c r="A124" s="2" t="s">
        <v>202</v>
      </c>
      <c r="B124" s="2" t="s">
        <v>205</v>
      </c>
      <c r="C124" s="2" t="s">
        <v>206</v>
      </c>
      <c r="D124" s="3" t="str">
        <f>HYPERLINK("https://12go.asia/en/travel/mooloolaba/fraser-coast", "12Go Link")</f>
        <v>12Go Link</v>
      </c>
      <c r="E124" s="2" t="s">
        <v>59</v>
      </c>
    </row>
    <row r="125">
      <c r="A125" s="2" t="s">
        <v>207</v>
      </c>
      <c r="B125" s="2" t="s">
        <v>85</v>
      </c>
      <c r="C125" s="2" t="s">
        <v>208</v>
      </c>
      <c r="D125" s="3" t="str">
        <f>HYPERLINK("https://12go.asia/en/travel/morven-queensland/brisbane", "12Go Link")</f>
        <v>12Go Link</v>
      </c>
      <c r="E125" s="2" t="s">
        <v>59</v>
      </c>
    </row>
    <row r="126">
      <c r="A126" s="2" t="s">
        <v>140</v>
      </c>
      <c r="B126" s="2" t="s">
        <v>82</v>
      </c>
      <c r="C126" s="2" t="s">
        <v>209</v>
      </c>
      <c r="D126" s="3" t="str">
        <f>HYPERLINK("https://12go.asia/en/travel/nambucca-heads/byron-bay", "12Go Link")</f>
        <v>12Go Link</v>
      </c>
      <c r="E126" s="2" t="s">
        <v>59</v>
      </c>
    </row>
    <row r="127">
      <c r="A127" s="2" t="s">
        <v>140</v>
      </c>
      <c r="B127" s="2" t="s">
        <v>119</v>
      </c>
      <c r="C127" s="2" t="s">
        <v>210</v>
      </c>
      <c r="D127" s="3" t="str">
        <f>HYPERLINK("https://12go.asia/en/travel/nambucca-heads/surfers-paradise", "12Go Link")</f>
        <v>12Go Link</v>
      </c>
      <c r="E127" s="2" t="s">
        <v>59</v>
      </c>
    </row>
    <row r="128">
      <c r="A128" s="2" t="s">
        <v>113</v>
      </c>
      <c r="B128" s="2" t="s">
        <v>81</v>
      </c>
      <c r="C128" s="2" t="s">
        <v>211</v>
      </c>
      <c r="D128" s="3" t="str">
        <f>HYPERLINK("https://12go.asia/en/travel/newcastle-nsw/ballina", "12Go Link")</f>
        <v>12Go Link</v>
      </c>
      <c r="E128" s="2" t="s">
        <v>59</v>
      </c>
    </row>
    <row r="129">
      <c r="A129" s="2" t="s">
        <v>113</v>
      </c>
      <c r="B129" s="2" t="s">
        <v>99</v>
      </c>
      <c r="C129" s="2" t="s">
        <v>212</v>
      </c>
      <c r="D129" s="3" t="str">
        <f>HYPERLINK("https://12go.asia/en/travel/newcastle-nsw/clarence-valley", "12Go Link")</f>
        <v>12Go Link</v>
      </c>
      <c r="E129" s="2" t="s">
        <v>59</v>
      </c>
    </row>
    <row r="130">
      <c r="A130" s="2" t="s">
        <v>113</v>
      </c>
      <c r="B130" s="2" t="s">
        <v>213</v>
      </c>
      <c r="C130" s="2" t="s">
        <v>214</v>
      </c>
      <c r="D130" s="3" t="str">
        <f>HYPERLINK("https://12go.asia/en/travel/newcastle-nsw/coffs-harbour", "12Go Link")</f>
        <v>12Go Link</v>
      </c>
      <c r="E130" s="2" t="s">
        <v>59</v>
      </c>
    </row>
    <row r="131">
      <c r="A131" s="2" t="s">
        <v>113</v>
      </c>
      <c r="B131" s="2" t="s">
        <v>103</v>
      </c>
      <c r="C131" s="2" t="s">
        <v>215</v>
      </c>
      <c r="D131" s="3" t="str">
        <f>HYPERLINK("https://12go.asia/en/travel/newcastle-nsw/erskineville", "12Go Link")</f>
        <v>12Go Link</v>
      </c>
      <c r="E131" s="2" t="s">
        <v>59</v>
      </c>
    </row>
    <row r="132">
      <c r="A132" s="2" t="s">
        <v>113</v>
      </c>
      <c r="B132" s="2" t="s">
        <v>133</v>
      </c>
      <c r="C132" s="2" t="s">
        <v>216</v>
      </c>
      <c r="D132" s="3" t="str">
        <f>HYPERLINK("https://12go.asia/en/travel/newcastle-nsw/grafton", "12Go Link")</f>
        <v>12Go Link</v>
      </c>
      <c r="E132" s="2" t="s">
        <v>59</v>
      </c>
    </row>
    <row r="133">
      <c r="A133" s="2" t="s">
        <v>113</v>
      </c>
      <c r="B133" s="2" t="s">
        <v>105</v>
      </c>
      <c r="C133" s="2" t="s">
        <v>217</v>
      </c>
      <c r="D133" s="3" t="str">
        <f>HYPERLINK("https://12go.asia/en/travel/newcastle-nsw/hastings-shire", "12Go Link")</f>
        <v>12Go Link</v>
      </c>
      <c r="E133" s="2" t="s">
        <v>59</v>
      </c>
    </row>
    <row r="134">
      <c r="A134" s="2" t="s">
        <v>113</v>
      </c>
      <c r="B134" s="2" t="s">
        <v>111</v>
      </c>
      <c r="C134" s="2" t="s">
        <v>218</v>
      </c>
      <c r="D134" s="3" t="str">
        <f>HYPERLINK("https://12go.asia/en/travel/newcastle-nsw/mid-coast", "12Go Link")</f>
        <v>12Go Link</v>
      </c>
      <c r="E134" s="2" t="s">
        <v>59</v>
      </c>
    </row>
    <row r="135">
      <c r="A135" s="2" t="s">
        <v>113</v>
      </c>
      <c r="B135" s="2" t="s">
        <v>142</v>
      </c>
      <c r="C135" s="2" t="s">
        <v>219</v>
      </c>
      <c r="D135" s="3" t="str">
        <f>HYPERLINK("https://12go.asia/en/travel/newcastle-nsw/port-macquarie", "12Go Link")</f>
        <v>12Go Link</v>
      </c>
      <c r="E135" s="2" t="s">
        <v>59</v>
      </c>
    </row>
    <row r="136">
      <c r="A136" s="2" t="s">
        <v>113</v>
      </c>
      <c r="B136" s="2" t="s">
        <v>115</v>
      </c>
      <c r="C136" s="2" t="s">
        <v>220</v>
      </c>
      <c r="D136" s="3" t="str">
        <f>HYPERLINK("https://12go.asia/en/travel/newcastle-nsw/potts-point-nsw", "12Go Link")</f>
        <v>12Go Link</v>
      </c>
      <c r="E136" s="2" t="s">
        <v>59</v>
      </c>
    </row>
    <row r="137">
      <c r="A137" s="2" t="s">
        <v>113</v>
      </c>
      <c r="B137" s="2" t="s">
        <v>54</v>
      </c>
      <c r="C137" s="2" t="s">
        <v>221</v>
      </c>
      <c r="D137" s="3" t="str">
        <f>HYPERLINK("https://12go.asia/en/travel/newcastle-nsw/sydney", "12Go Link")</f>
        <v>12Go Link</v>
      </c>
      <c r="E137" s="2" t="s">
        <v>59</v>
      </c>
    </row>
    <row r="138">
      <c r="A138" s="2" t="s">
        <v>113</v>
      </c>
      <c r="B138" s="2" t="s">
        <v>146</v>
      </c>
      <c r="C138" s="2" t="s">
        <v>222</v>
      </c>
      <c r="D138" s="3" t="str">
        <f>HYPERLINK("https://12go.asia/en/travel/newcastle-nsw/taree", "12Go Link")</f>
        <v>12Go Link</v>
      </c>
      <c r="E138" s="2" t="s">
        <v>59</v>
      </c>
    </row>
    <row r="139">
      <c r="A139" s="2" t="s">
        <v>113</v>
      </c>
      <c r="B139" s="2" t="s">
        <v>121</v>
      </c>
      <c r="C139" s="2" t="s">
        <v>223</v>
      </c>
      <c r="D139" s="3" t="str">
        <f>HYPERLINK("https://12go.asia/en/travel/newcastle-nsw/west-ballina", "12Go Link")</f>
        <v>12Go Link</v>
      </c>
      <c r="E139" s="2" t="s">
        <v>59</v>
      </c>
    </row>
    <row r="140">
      <c r="A140" s="2" t="s">
        <v>113</v>
      </c>
      <c r="B140" s="2" t="s">
        <v>224</v>
      </c>
      <c r="C140" s="2" t="s">
        <v>225</v>
      </c>
      <c r="D140" s="3" t="str">
        <f>HYPERLINK("https://12go.asia/en/travel/newcastle-nsw/anantapur", "12Go Link")</f>
        <v>12Go Link</v>
      </c>
      <c r="E140" s="2" t="s">
        <v>226</v>
      </c>
    </row>
    <row r="141">
      <c r="A141" s="2" t="s">
        <v>113</v>
      </c>
      <c r="B141" s="2" t="s">
        <v>227</v>
      </c>
      <c r="C141" s="2" t="s">
        <v>228</v>
      </c>
      <c r="D141" s="3" t="str">
        <f>HYPERLINK("https://12go.asia/en/travel/newcastle-nsw/bangalore", "12Go Link")</f>
        <v>12Go Link</v>
      </c>
      <c r="E141" s="2" t="s">
        <v>226</v>
      </c>
    </row>
    <row r="142">
      <c r="A142" s="2" t="s">
        <v>113</v>
      </c>
      <c r="B142" s="2" t="s">
        <v>229</v>
      </c>
      <c r="C142" s="2" t="s">
        <v>230</v>
      </c>
      <c r="D142" s="3" t="str">
        <f>HYPERLINK("https://12go.asia/en/travel/newcastle-nsw/belagavi", "12Go Link")</f>
        <v>12Go Link</v>
      </c>
      <c r="E142" s="2" t="s">
        <v>226</v>
      </c>
    </row>
    <row r="143">
      <c r="A143" s="2" t="s">
        <v>113</v>
      </c>
      <c r="B143" s="2" t="s">
        <v>231</v>
      </c>
      <c r="C143" s="2" t="s">
        <v>232</v>
      </c>
      <c r="D143" s="3" t="str">
        <f>HYPERLINK("https://12go.asia/en/travel/newcastle-nsw/dharwad", "12Go Link")</f>
        <v>12Go Link</v>
      </c>
      <c r="E143" s="2" t="s">
        <v>226</v>
      </c>
    </row>
    <row r="144">
      <c r="A144" s="2" t="s">
        <v>113</v>
      </c>
      <c r="B144" s="2" t="s">
        <v>233</v>
      </c>
      <c r="C144" s="2" t="s">
        <v>234</v>
      </c>
      <c r="D144" s="3" t="str">
        <f>HYPERLINK("https://12go.asia/en/travel/broadmeadow/harihar", "12Go Link")</f>
        <v>12Go Link</v>
      </c>
      <c r="E144" s="2" t="s">
        <v>226</v>
      </c>
    </row>
    <row r="145">
      <c r="A145" s="2" t="s">
        <v>113</v>
      </c>
      <c r="B145" s="2" t="s">
        <v>233</v>
      </c>
      <c r="C145" s="2" t="s">
        <v>235</v>
      </c>
      <c r="D145" s="3" t="str">
        <f>HYPERLINK("https://12go.asia/en/travel/newcastle-nsw/harihar", "12Go Link")</f>
        <v>12Go Link</v>
      </c>
      <c r="E145" s="2" t="s">
        <v>226</v>
      </c>
    </row>
    <row r="146">
      <c r="A146" s="2" t="s">
        <v>113</v>
      </c>
      <c r="B146" s="2" t="s">
        <v>236</v>
      </c>
      <c r="C146" s="2" t="s">
        <v>237</v>
      </c>
      <c r="D146" s="3" t="str">
        <f>HYPERLINK("https://12go.asia/en/travel/newcastle-nsw/hindupur", "12Go Link")</f>
        <v>12Go Link</v>
      </c>
      <c r="E146" s="2" t="s">
        <v>226</v>
      </c>
    </row>
    <row r="147">
      <c r="A147" s="2" t="s">
        <v>113</v>
      </c>
      <c r="B147" s="2" t="s">
        <v>238</v>
      </c>
      <c r="C147" s="2" t="s">
        <v>239</v>
      </c>
      <c r="D147" s="3" t="str">
        <f>HYPERLINK("https://12go.asia/en/travel/newcastle-nsw/hubballi-dharwad", "12Go Link")</f>
        <v>12Go Link</v>
      </c>
      <c r="E147" s="2" t="s">
        <v>226</v>
      </c>
    </row>
    <row r="148">
      <c r="A148" s="2" t="s">
        <v>113</v>
      </c>
      <c r="B148" s="2" t="s">
        <v>240</v>
      </c>
      <c r="C148" s="2" t="s">
        <v>241</v>
      </c>
      <c r="D148" s="3" t="str">
        <f>HYPERLINK("https://12go.asia/en/travel/newcastle-nsw/kalaburagi", "12Go Link")</f>
        <v>12Go Link</v>
      </c>
      <c r="E148" s="2" t="s">
        <v>226</v>
      </c>
    </row>
    <row r="149">
      <c r="A149" s="2" t="s">
        <v>113</v>
      </c>
      <c r="B149" s="2" t="s">
        <v>242</v>
      </c>
      <c r="C149" s="2" t="s">
        <v>243</v>
      </c>
      <c r="D149" s="3" t="str">
        <f>HYPERLINK("https://12go.asia/en/travel/newcastle-nsw/kalyan", "12Go Link")</f>
        <v>12Go Link</v>
      </c>
      <c r="E149" s="2" t="s">
        <v>226</v>
      </c>
    </row>
    <row r="150">
      <c r="A150" s="2" t="s">
        <v>113</v>
      </c>
      <c r="B150" s="2" t="s">
        <v>244</v>
      </c>
      <c r="C150" s="2" t="s">
        <v>245</v>
      </c>
      <c r="D150" s="3" t="str">
        <f>HYPERLINK("https://12go.asia/en/travel/newcastle-nsw/karnataka", "12Go Link")</f>
        <v>12Go Link</v>
      </c>
      <c r="E150" s="2" t="s">
        <v>226</v>
      </c>
    </row>
    <row r="151">
      <c r="A151" s="2" t="s">
        <v>113</v>
      </c>
      <c r="B151" s="2" t="s">
        <v>246</v>
      </c>
      <c r="C151" s="2" t="s">
        <v>247</v>
      </c>
      <c r="D151" s="3" t="str">
        <f>HYPERLINK("https://12go.asia/en/travel/newcastle-nsw/puttaparthi", "12Go Link")</f>
        <v>12Go Link</v>
      </c>
      <c r="E151" s="2" t="s">
        <v>226</v>
      </c>
    </row>
    <row r="152">
      <c r="A152" s="2" t="s">
        <v>113</v>
      </c>
      <c r="B152" s="2" t="s">
        <v>248</v>
      </c>
      <c r="C152" s="2" t="s">
        <v>249</v>
      </c>
      <c r="D152" s="3" t="str">
        <f>HYPERLINK("https://12go.asia/en/travel/newcastle-nsw/raichur", "12Go Link")</f>
        <v>12Go Link</v>
      </c>
      <c r="E152" s="2" t="s">
        <v>226</v>
      </c>
    </row>
    <row r="153">
      <c r="A153" s="2" t="s">
        <v>113</v>
      </c>
      <c r="B153" s="2" t="s">
        <v>250</v>
      </c>
      <c r="C153" s="2" t="s">
        <v>251</v>
      </c>
      <c r="D153" s="3" t="str">
        <f>HYPERLINK("https://12go.asia/en/travel/newcastle-nsw/satya-sai-p-nilayam", "12Go Link")</f>
        <v>12Go Link</v>
      </c>
      <c r="E153" s="2" t="s">
        <v>226</v>
      </c>
    </row>
    <row r="154">
      <c r="A154" s="2" t="s">
        <v>113</v>
      </c>
      <c r="B154" s="2" t="s">
        <v>252</v>
      </c>
      <c r="C154" s="2" t="s">
        <v>253</v>
      </c>
      <c r="D154" s="3" t="str">
        <f>HYPERLINK("https://12go.asia/en/travel/newcastle-nsw/solapur", "12Go Link")</f>
        <v>12Go Link</v>
      </c>
      <c r="E154" s="2" t="s">
        <v>226</v>
      </c>
    </row>
    <row r="155">
      <c r="A155" s="2" t="s">
        <v>113</v>
      </c>
      <c r="B155" s="2" t="s">
        <v>254</v>
      </c>
      <c r="C155" s="2" t="s">
        <v>255</v>
      </c>
      <c r="D155" s="3" t="str">
        <f>HYPERLINK("https://12go.asia/en/travel/newcastle-nsw/tiptur", "12Go Link")</f>
        <v>12Go Link</v>
      </c>
      <c r="E155" s="2" t="s">
        <v>226</v>
      </c>
    </row>
    <row r="156">
      <c r="A156" s="2" t="s">
        <v>113</v>
      </c>
      <c r="B156" s="2" t="s">
        <v>256</v>
      </c>
      <c r="C156" s="2" t="s">
        <v>257</v>
      </c>
      <c r="D156" s="3" t="str">
        <f>HYPERLINK("https://12go.asia/en/travel/newcastle-nsw/tumakuru", "12Go Link")</f>
        <v>12Go Link</v>
      </c>
      <c r="E156" s="2" t="s">
        <v>226</v>
      </c>
    </row>
    <row r="157">
      <c r="A157" s="2" t="s">
        <v>48</v>
      </c>
      <c r="B157" s="2" t="s">
        <v>47</v>
      </c>
      <c r="C157" s="2" t="s">
        <v>258</v>
      </c>
      <c r="D157" s="3" t="str">
        <f t="shared" ref="D157:D160" si="3">HYPERLINK("https://12go.asia/en/travel/East-Perth-Terminal/Adelaide-Parklands-Terminal", "12Go Link")</f>
        <v>12Go Link</v>
      </c>
      <c r="E157" s="2" t="s">
        <v>50</v>
      </c>
    </row>
    <row r="158">
      <c r="A158" s="2" t="s">
        <v>48</v>
      </c>
      <c r="B158" s="2" t="s">
        <v>47</v>
      </c>
      <c r="C158" s="2" t="s">
        <v>258</v>
      </c>
      <c r="D158" s="3" t="str">
        <f t="shared" si="3"/>
        <v>12Go Link</v>
      </c>
      <c r="E158" s="2" t="s">
        <v>51</v>
      </c>
    </row>
    <row r="159">
      <c r="A159" s="2" t="s">
        <v>48</v>
      </c>
      <c r="B159" s="2" t="s">
        <v>47</v>
      </c>
      <c r="C159" s="2" t="s">
        <v>258</v>
      </c>
      <c r="D159" s="3" t="str">
        <f t="shared" si="3"/>
        <v>12Go Link</v>
      </c>
      <c r="E159" s="2" t="s">
        <v>52</v>
      </c>
    </row>
    <row r="160">
      <c r="A160" s="2" t="s">
        <v>48</v>
      </c>
      <c r="B160" s="2" t="s">
        <v>47</v>
      </c>
      <c r="C160" s="2" t="s">
        <v>258</v>
      </c>
      <c r="D160" s="3" t="str">
        <f t="shared" si="3"/>
        <v>12Go Link</v>
      </c>
      <c r="E160" s="2" t="s">
        <v>53</v>
      </c>
    </row>
    <row r="161">
      <c r="A161" s="2" t="s">
        <v>48</v>
      </c>
      <c r="B161" s="2" t="s">
        <v>259</v>
      </c>
      <c r="C161" s="2" t="s">
        <v>260</v>
      </c>
      <c r="D161" s="3" t="str">
        <f>HYPERLINK("https://12go.asia/en/travel/Fremantle-B-Shed-Terminal/Rottnest-Island", "12Go Link")</f>
        <v>12Go Link</v>
      </c>
      <c r="E161" s="2" t="s">
        <v>261</v>
      </c>
    </row>
    <row r="162">
      <c r="A162" s="2" t="s">
        <v>48</v>
      </c>
      <c r="B162" s="2" t="s">
        <v>259</v>
      </c>
      <c r="C162" s="2" t="s">
        <v>262</v>
      </c>
      <c r="D162" s="3" t="str">
        <f>HYPERLINK("https://12go.asia/en/travel/North-Fremantle-Terminal/Rottnest-Island", "12Go Link")</f>
        <v>12Go Link</v>
      </c>
      <c r="E162" s="2" t="s">
        <v>261</v>
      </c>
    </row>
    <row r="163">
      <c r="A163" s="2" t="s">
        <v>48</v>
      </c>
      <c r="B163" s="2" t="s">
        <v>259</v>
      </c>
      <c r="C163" s="2" t="s">
        <v>263</v>
      </c>
      <c r="D163" s="3" t="str">
        <f>HYPERLINK("https://12go.asia/en/travel/Perth-Barrack-Street/Rottnest-Island", "12Go Link")</f>
        <v>12Go Link</v>
      </c>
      <c r="E163" s="2" t="s">
        <v>261</v>
      </c>
    </row>
    <row r="164">
      <c r="A164" s="2" t="s">
        <v>48</v>
      </c>
      <c r="B164" s="2" t="s">
        <v>54</v>
      </c>
      <c r="C164" s="2" t="s">
        <v>264</v>
      </c>
      <c r="D164" s="3" t="str">
        <f t="shared" ref="D164:D167" si="4">HYPERLINK("https://12go.asia/en/travel/East-Perth-Terminal/Sydney-Central-Station", "12Go Link")</f>
        <v>12Go Link</v>
      </c>
      <c r="E164" s="2" t="s">
        <v>50</v>
      </c>
    </row>
    <row r="165">
      <c r="A165" s="2" t="s">
        <v>48</v>
      </c>
      <c r="B165" s="2" t="s">
        <v>54</v>
      </c>
      <c r="C165" s="2" t="s">
        <v>264</v>
      </c>
      <c r="D165" s="3" t="str">
        <f t="shared" si="4"/>
        <v>12Go Link</v>
      </c>
      <c r="E165" s="2" t="s">
        <v>51</v>
      </c>
    </row>
    <row r="166">
      <c r="A166" s="2" t="s">
        <v>48</v>
      </c>
      <c r="B166" s="2" t="s">
        <v>54</v>
      </c>
      <c r="C166" s="2" t="s">
        <v>264</v>
      </c>
      <c r="D166" s="3" t="str">
        <f t="shared" si="4"/>
        <v>12Go Link</v>
      </c>
      <c r="E166" s="2" t="s">
        <v>52</v>
      </c>
    </row>
    <row r="167">
      <c r="A167" s="2" t="s">
        <v>48</v>
      </c>
      <c r="B167" s="2" t="s">
        <v>54</v>
      </c>
      <c r="C167" s="2" t="s">
        <v>264</v>
      </c>
      <c r="D167" s="3" t="str">
        <f t="shared" si="4"/>
        <v>12Go Link</v>
      </c>
      <c r="E167" s="2" t="s">
        <v>53</v>
      </c>
    </row>
    <row r="168">
      <c r="A168" s="2" t="s">
        <v>184</v>
      </c>
      <c r="B168" s="2" t="s">
        <v>62</v>
      </c>
      <c r="C168" s="2" t="s">
        <v>265</v>
      </c>
      <c r="D168" s="3" t="str">
        <f>HYPERLINK("https://12go.asia/en/travel/Shute-Harbour/Daydream-Island", "12Go Link")</f>
        <v>12Go Link</v>
      </c>
      <c r="E168" s="2" t="s">
        <v>64</v>
      </c>
    </row>
    <row r="169">
      <c r="A169" s="2" t="s">
        <v>184</v>
      </c>
      <c r="B169" s="2" t="s">
        <v>65</v>
      </c>
      <c r="C169" s="2" t="s">
        <v>266</v>
      </c>
      <c r="D169" s="3" t="str">
        <f>HYPERLINK("https://12go.asia/en/travel/Shute-Harbour/Hamilton-Island-Airport", "12Go Link")</f>
        <v>12Go Link</v>
      </c>
      <c r="E169" s="2" t="s">
        <v>64</v>
      </c>
    </row>
    <row r="170">
      <c r="A170" s="2" t="s">
        <v>184</v>
      </c>
      <c r="B170" s="2" t="s">
        <v>65</v>
      </c>
      <c r="C170" s="2" t="s">
        <v>267</v>
      </c>
      <c r="D170" s="3" t="str">
        <f>HYPERLINK("https://12go.asia/en/travel/Shute-Harbour/Hamilton-Island-Marina", "12Go Link")</f>
        <v>12Go Link</v>
      </c>
      <c r="E170" s="2" t="s">
        <v>64</v>
      </c>
    </row>
    <row r="171">
      <c r="A171" s="2" t="s">
        <v>259</v>
      </c>
      <c r="B171" s="2" t="s">
        <v>48</v>
      </c>
      <c r="C171" s="2" t="s">
        <v>268</v>
      </c>
      <c r="D171" s="3" t="str">
        <f>HYPERLINK("https://12go.asia/en/travel/Rottnest-Island/Fremantle-B-Shed-Terminal", "12Go Link")</f>
        <v>12Go Link</v>
      </c>
      <c r="E171" s="2" t="s">
        <v>261</v>
      </c>
    </row>
    <row r="172">
      <c r="A172" s="2" t="s">
        <v>259</v>
      </c>
      <c r="B172" s="2" t="s">
        <v>48</v>
      </c>
      <c r="C172" s="2" t="s">
        <v>269</v>
      </c>
      <c r="D172" s="3" t="str">
        <f>HYPERLINK("https://12go.asia/en/travel/Rottnest-Island/North-Fremantle-Terminal", "12Go Link")</f>
        <v>12Go Link</v>
      </c>
      <c r="E172" s="2" t="s">
        <v>261</v>
      </c>
    </row>
    <row r="173">
      <c r="A173" s="2" t="s">
        <v>259</v>
      </c>
      <c r="B173" s="2" t="s">
        <v>48</v>
      </c>
      <c r="C173" s="2" t="s">
        <v>270</v>
      </c>
      <c r="D173" s="3" t="str">
        <f>HYPERLINK("https://12go.asia/en/travel/Rottnest-Island/Perth-Barrack-Street", "12Go Link")</f>
        <v>12Go Link</v>
      </c>
      <c r="E173" s="2" t="s">
        <v>261</v>
      </c>
    </row>
    <row r="174">
      <c r="A174" s="2" t="s">
        <v>117</v>
      </c>
      <c r="B174" s="2" t="s">
        <v>82</v>
      </c>
      <c r="C174" s="2" t="s">
        <v>271</v>
      </c>
      <c r="D174" s="3" t="str">
        <f>HYPERLINK("https://12go.asia/en/travel/southport-gold-coast/byron-bay", "12Go Link")</f>
        <v>12Go Link</v>
      </c>
      <c r="E174" s="2" t="s">
        <v>59</v>
      </c>
    </row>
    <row r="175">
      <c r="A175" s="2" t="s">
        <v>117</v>
      </c>
      <c r="B175" s="2" t="s">
        <v>113</v>
      </c>
      <c r="C175" s="2" t="s">
        <v>272</v>
      </c>
      <c r="D175" s="3" t="str">
        <f>HYPERLINK("https://12go.asia/en/travel/southport-gold-coast/newcastle-nsw", "12Go Link")</f>
        <v>12Go Link</v>
      </c>
      <c r="E175" s="2" t="s">
        <v>59</v>
      </c>
    </row>
    <row r="176">
      <c r="A176" s="2" t="s">
        <v>54</v>
      </c>
      <c r="B176" s="2" t="s">
        <v>47</v>
      </c>
      <c r="C176" s="2" t="s">
        <v>273</v>
      </c>
      <c r="D176" s="3" t="str">
        <f t="shared" ref="D176:D179" si="5">HYPERLINK("https://12go.asia/en/travel/Sydney-Central-Station/Adelaide-Parklands-Terminal", "12Go Link")</f>
        <v>12Go Link</v>
      </c>
      <c r="E176" s="2" t="s">
        <v>50</v>
      </c>
    </row>
    <row r="177">
      <c r="A177" s="2" t="s">
        <v>54</v>
      </c>
      <c r="B177" s="2" t="s">
        <v>47</v>
      </c>
      <c r="C177" s="2" t="s">
        <v>273</v>
      </c>
      <c r="D177" s="3" t="str">
        <f t="shared" si="5"/>
        <v>12Go Link</v>
      </c>
      <c r="E177" s="2" t="s">
        <v>51</v>
      </c>
    </row>
    <row r="178">
      <c r="A178" s="2" t="s">
        <v>54</v>
      </c>
      <c r="B178" s="2" t="s">
        <v>47</v>
      </c>
      <c r="C178" s="2" t="s">
        <v>273</v>
      </c>
      <c r="D178" s="3" t="str">
        <f t="shared" si="5"/>
        <v>12Go Link</v>
      </c>
      <c r="E178" s="2" t="s">
        <v>52</v>
      </c>
    </row>
    <row r="179">
      <c r="A179" s="2" t="s">
        <v>54</v>
      </c>
      <c r="B179" s="2" t="s">
        <v>47</v>
      </c>
      <c r="C179" s="2" t="s">
        <v>273</v>
      </c>
      <c r="D179" s="3" t="str">
        <f t="shared" si="5"/>
        <v>12Go Link</v>
      </c>
      <c r="E179" s="2" t="s">
        <v>53</v>
      </c>
    </row>
    <row r="180">
      <c r="A180" s="2" t="s">
        <v>54</v>
      </c>
      <c r="B180" s="2" t="s">
        <v>113</v>
      </c>
      <c r="C180" s="2" t="s">
        <v>274</v>
      </c>
      <c r="D180" s="3" t="str">
        <f>HYPERLINK("https://12go.asia/en/travel/sydney/newcastle-nsw", "12Go Link")</f>
        <v>12Go Link</v>
      </c>
      <c r="E180" s="2" t="s">
        <v>59</v>
      </c>
    </row>
    <row r="181">
      <c r="A181" s="2" t="s">
        <v>54</v>
      </c>
      <c r="B181" s="2" t="s">
        <v>48</v>
      </c>
      <c r="C181" s="2" t="s">
        <v>275</v>
      </c>
      <c r="D181" s="3" t="str">
        <f t="shared" ref="D181:D184" si="6">HYPERLINK("https://12go.asia/en/travel/Sydney-Central-Station/East-Perth-Terminal", "12Go Link")</f>
        <v>12Go Link</v>
      </c>
      <c r="E181" s="2" t="s">
        <v>50</v>
      </c>
    </row>
    <row r="182">
      <c r="A182" s="2" t="s">
        <v>54</v>
      </c>
      <c r="B182" s="2" t="s">
        <v>48</v>
      </c>
      <c r="C182" s="2" t="s">
        <v>275</v>
      </c>
      <c r="D182" s="3" t="str">
        <f t="shared" si="6"/>
        <v>12Go Link</v>
      </c>
      <c r="E182" s="2" t="s">
        <v>51</v>
      </c>
    </row>
    <row r="183">
      <c r="A183" s="2" t="s">
        <v>54</v>
      </c>
      <c r="B183" s="2" t="s">
        <v>48</v>
      </c>
      <c r="C183" s="2" t="s">
        <v>275</v>
      </c>
      <c r="D183" s="3" t="str">
        <f t="shared" si="6"/>
        <v>12Go Link</v>
      </c>
      <c r="E183" s="2" t="s">
        <v>52</v>
      </c>
    </row>
    <row r="184">
      <c r="A184" s="2" t="s">
        <v>54</v>
      </c>
      <c r="B184" s="2" t="s">
        <v>48</v>
      </c>
      <c r="C184" s="2" t="s">
        <v>275</v>
      </c>
      <c r="D184" s="3" t="str">
        <f t="shared" si="6"/>
        <v>12Go Link</v>
      </c>
      <c r="E184" s="2" t="s">
        <v>53</v>
      </c>
    </row>
    <row r="185">
      <c r="A185" s="2" t="s">
        <v>151</v>
      </c>
      <c r="B185" s="2" t="s">
        <v>113</v>
      </c>
      <c r="C185" s="2" t="s">
        <v>276</v>
      </c>
      <c r="D185" s="3" t="str">
        <f>HYPERLINK("https://12go.asia/en/travel/yamba/newcastle-interchange", "12Go Link")</f>
        <v>12Go Link</v>
      </c>
      <c r="E185" s="2" t="s">
        <v>59</v>
      </c>
    </row>
    <row r="186">
      <c r="A186" s="2" t="s">
        <v>151</v>
      </c>
      <c r="B186" s="2" t="s">
        <v>113</v>
      </c>
      <c r="C186" s="2" t="s">
        <v>277</v>
      </c>
      <c r="D186" s="3" t="str">
        <f>HYPERLINK("https://12go.asia/en/travel/yamba/newcastle-nsw", "12Go Link")</f>
        <v>12Go Link</v>
      </c>
      <c r="E186" s="2" t="s">
        <v>59</v>
      </c>
    </row>
    <row r="187">
      <c r="A187" s="2" t="s">
        <v>278</v>
      </c>
      <c r="B187" s="2" t="s">
        <v>279</v>
      </c>
      <c r="C187" s="2" t="s">
        <v>280</v>
      </c>
      <c r="D187" s="3" t="str">
        <f>HYPERLINK("https://12go.asia/en/travel/angkor-wat/oudong", "12Go Link")</f>
        <v>12Go Link</v>
      </c>
      <c r="E187" s="2" t="s">
        <v>59</v>
      </c>
    </row>
    <row r="188">
      <c r="A188" s="2" t="s">
        <v>281</v>
      </c>
      <c r="B188" s="2" t="s">
        <v>282</v>
      </c>
      <c r="C188" s="2" t="s">
        <v>283</v>
      </c>
      <c r="D188" s="3" t="str">
        <f>HYPERLINK("https://12go.asia/en/travel/battambang-giant-ibis/phnom-penh-giant-ibis", "12Go Link")</f>
        <v>12Go Link</v>
      </c>
      <c r="E188" s="2" t="s">
        <v>59</v>
      </c>
    </row>
    <row r="189">
      <c r="A189" s="2" t="s">
        <v>281</v>
      </c>
      <c r="B189" s="2" t="s">
        <v>284</v>
      </c>
      <c r="C189" s="2" t="s">
        <v>285</v>
      </c>
      <c r="D189" s="3" t="str">
        <f t="shared" ref="D189:D191" si="7">HYPERLINK("https://12go.asia/en/travel/Battambang-Transfer/Ban-Krut", "12Go Link")</f>
        <v>12Go Link</v>
      </c>
      <c r="E189" s="2" t="s">
        <v>286</v>
      </c>
    </row>
    <row r="190">
      <c r="A190" s="2" t="s">
        <v>281</v>
      </c>
      <c r="B190" s="2" t="s">
        <v>284</v>
      </c>
      <c r="C190" s="2" t="s">
        <v>285</v>
      </c>
      <c r="D190" s="3" t="str">
        <f t="shared" si="7"/>
        <v>12Go Link</v>
      </c>
      <c r="E190" s="2" t="s">
        <v>287</v>
      </c>
    </row>
    <row r="191">
      <c r="A191" s="2" t="s">
        <v>281</v>
      </c>
      <c r="B191" s="2" t="s">
        <v>284</v>
      </c>
      <c r="C191" s="2" t="s">
        <v>285</v>
      </c>
      <c r="D191" s="3" t="str">
        <f t="shared" si="7"/>
        <v>12Go Link</v>
      </c>
      <c r="E191" s="2" t="s">
        <v>288</v>
      </c>
    </row>
    <row r="192">
      <c r="A192" s="2" t="s">
        <v>289</v>
      </c>
      <c r="B192" s="2" t="s">
        <v>290</v>
      </c>
      <c r="C192" s="2" t="s">
        <v>291</v>
      </c>
      <c r="D192" s="3" t="str">
        <f>HYPERLINK("https://12go.asia/en/travel/kampot-international-tourism-port/koh-sdach-dara-sakor", "12Go Link")</f>
        <v>12Go Link</v>
      </c>
      <c r="E192" s="2" t="s">
        <v>292</v>
      </c>
    </row>
    <row r="193">
      <c r="A193" s="2" t="s">
        <v>289</v>
      </c>
      <c r="B193" s="2" t="s">
        <v>293</v>
      </c>
      <c r="C193" s="2" t="s">
        <v>294</v>
      </c>
      <c r="D193" s="3" t="str">
        <f>HYPERLINK("https://12go.asia/en/travel/kampot-international-tourism-port/koh-rong-island-port", "12Go Link")</f>
        <v>12Go Link</v>
      </c>
      <c r="E193" s="2" t="s">
        <v>292</v>
      </c>
    </row>
    <row r="194">
      <c r="A194" s="2" t="s">
        <v>289</v>
      </c>
      <c r="B194" s="2" t="s">
        <v>295</v>
      </c>
      <c r="C194" s="2" t="s">
        <v>296</v>
      </c>
      <c r="D194" s="3" t="str">
        <f>HYPERLINK("https://12go.asia/en/travel/kampot-international-tourism-port/koh-rong-samloem", "12Go Link")</f>
        <v>12Go Link</v>
      </c>
      <c r="E194" s="2" t="s">
        <v>292</v>
      </c>
    </row>
    <row r="195">
      <c r="A195" s="2" t="s">
        <v>289</v>
      </c>
      <c r="B195" s="2" t="s">
        <v>297</v>
      </c>
      <c r="C195" s="2" t="s">
        <v>298</v>
      </c>
      <c r="D195" s="3" t="str">
        <f>HYPERLINK("https://12go.asia/en/travel/kampot/tramkhnar", "12Go Link")</f>
        <v>12Go Link</v>
      </c>
      <c r="E195" s="2" t="s">
        <v>59</v>
      </c>
    </row>
    <row r="196">
      <c r="A196" s="2" t="s">
        <v>290</v>
      </c>
      <c r="B196" s="2" t="s">
        <v>289</v>
      </c>
      <c r="C196" s="2" t="s">
        <v>299</v>
      </c>
      <c r="D196" s="3" t="str">
        <f>HYPERLINK("https://12go.asia/en/travel/khum-kaoh-sdach/kampot", "12Go Link")</f>
        <v>12Go Link</v>
      </c>
      <c r="E196" s="2" t="s">
        <v>292</v>
      </c>
    </row>
    <row r="197">
      <c r="A197" s="2" t="s">
        <v>290</v>
      </c>
      <c r="B197" s="2" t="s">
        <v>289</v>
      </c>
      <c r="C197" s="2" t="s">
        <v>300</v>
      </c>
      <c r="D197" s="3" t="str">
        <f>HYPERLINK("https://12go.asia/en/travel/koh-sdach-dara-sakor/kampot-international-tourism-port", "12Go Link")</f>
        <v>12Go Link</v>
      </c>
      <c r="E197" s="2" t="s">
        <v>292</v>
      </c>
    </row>
    <row r="198">
      <c r="A198" s="2" t="s">
        <v>290</v>
      </c>
      <c r="B198" s="2" t="s">
        <v>293</v>
      </c>
      <c r="C198" s="2" t="s">
        <v>301</v>
      </c>
      <c r="D198" s="3" t="str">
        <f>HYPERLINK("https://12go.asia/en/travel/koh-sdach-dara-sakor/koh-rong-island-port", "12Go Link")</f>
        <v>12Go Link</v>
      </c>
      <c r="E198" s="2" t="s">
        <v>292</v>
      </c>
    </row>
    <row r="199">
      <c r="A199" s="2" t="s">
        <v>302</v>
      </c>
      <c r="B199" s="2" t="s">
        <v>303</v>
      </c>
      <c r="C199" s="2" t="s">
        <v>304</v>
      </c>
      <c r="D199" s="3" t="str">
        <f>HYPERLINK("https://12go.asia/en/travel/koh-kong/srae-ambel", "12Go Link")</f>
        <v>12Go Link</v>
      </c>
      <c r="E199" s="2" t="s">
        <v>59</v>
      </c>
    </row>
    <row r="200">
      <c r="A200" s="2" t="s">
        <v>293</v>
      </c>
      <c r="B200" s="2" t="s">
        <v>289</v>
      </c>
      <c r="C200" s="2" t="s">
        <v>305</v>
      </c>
      <c r="D200" s="3" t="str">
        <f>HYPERLINK("https://12go.asia/en/travel/koh-rong-island-port/kampot-international-tourism-port", "12Go Link")</f>
        <v>12Go Link</v>
      </c>
      <c r="E200" s="2" t="s">
        <v>292</v>
      </c>
    </row>
    <row r="201">
      <c r="A201" s="2" t="s">
        <v>293</v>
      </c>
      <c r="B201" s="2" t="s">
        <v>306</v>
      </c>
      <c r="C201" s="2" t="s">
        <v>307</v>
      </c>
      <c r="D201" s="3" t="str">
        <f>HYPERLINK("https://12go.asia/en/travel/koh-rong-island-port/kep", "12Go Link")</f>
        <v>12Go Link</v>
      </c>
      <c r="E201" s="2" t="s">
        <v>292</v>
      </c>
    </row>
    <row r="202">
      <c r="A202" s="2" t="s">
        <v>293</v>
      </c>
      <c r="B202" s="2" t="s">
        <v>295</v>
      </c>
      <c r="C202" s="2" t="s">
        <v>308</v>
      </c>
      <c r="D202" s="3" t="str">
        <f>HYPERLINK("https://12go.asia/en/travel/Koh-Toch-Beach/MPai-Bay", "12Go Link")</f>
        <v>12Go Link</v>
      </c>
      <c r="E202" s="2" t="s">
        <v>309</v>
      </c>
    </row>
    <row r="203">
      <c r="A203" s="2" t="s">
        <v>293</v>
      </c>
      <c r="B203" s="2" t="s">
        <v>295</v>
      </c>
      <c r="C203" s="2" t="s">
        <v>310</v>
      </c>
      <c r="D203" s="3" t="str">
        <f>HYPERLINK("https://12go.asia/en/travel/Koh-Toch-Beach/Soon-Noeng-Port", "12Go Link")</f>
        <v>12Go Link</v>
      </c>
      <c r="E203" s="2" t="s">
        <v>309</v>
      </c>
    </row>
    <row r="204">
      <c r="A204" s="2" t="s">
        <v>293</v>
      </c>
      <c r="B204" s="2" t="s">
        <v>295</v>
      </c>
      <c r="C204" s="2" t="s">
        <v>311</v>
      </c>
      <c r="D204" s="3" t="str">
        <f>HYPERLINK("https://12go.asia/en/travel/Long-Set-Beach/MPai-Bay", "12Go Link")</f>
        <v>12Go Link</v>
      </c>
      <c r="E204" s="2" t="s">
        <v>309</v>
      </c>
    </row>
    <row r="205">
      <c r="A205" s="2" t="s">
        <v>293</v>
      </c>
      <c r="B205" s="2" t="s">
        <v>295</v>
      </c>
      <c r="C205" s="2" t="s">
        <v>312</v>
      </c>
      <c r="D205" s="3" t="str">
        <f>HYPERLINK("https://12go.asia/en/travel/Long-Set-Beach/Soon-Noeng-Port", "12Go Link")</f>
        <v>12Go Link</v>
      </c>
      <c r="E205" s="2" t="s">
        <v>309</v>
      </c>
    </row>
    <row r="206">
      <c r="A206" s="2" t="s">
        <v>295</v>
      </c>
      <c r="B206" s="2" t="s">
        <v>289</v>
      </c>
      <c r="C206" s="2" t="s">
        <v>313</v>
      </c>
      <c r="D206" s="3" t="str">
        <f>HYPERLINK("https://12go.asia/en/travel/koh-rong-samloem/kampot-international-tourism-port", "12Go Link")</f>
        <v>12Go Link</v>
      </c>
      <c r="E206" s="2" t="s">
        <v>292</v>
      </c>
    </row>
    <row r="207">
      <c r="A207" s="2" t="s">
        <v>295</v>
      </c>
      <c r="B207" s="2" t="s">
        <v>290</v>
      </c>
      <c r="C207" s="2" t="s">
        <v>314</v>
      </c>
      <c r="D207" s="3" t="str">
        <f>HYPERLINK("https://12go.asia/en/travel/koh-rong-samloem/khum-kaoh-sdach", "12Go Link")</f>
        <v>12Go Link</v>
      </c>
      <c r="E207" s="2" t="s">
        <v>292</v>
      </c>
    </row>
    <row r="208">
      <c r="A208" s="2" t="s">
        <v>295</v>
      </c>
      <c r="B208" s="2" t="s">
        <v>290</v>
      </c>
      <c r="C208" s="2" t="s">
        <v>315</v>
      </c>
      <c r="D208" s="3" t="str">
        <f>HYPERLINK("https://12go.asia/en/travel/koh-rong-samloem/koh-sdach-dara-sakor", "12Go Link")</f>
        <v>12Go Link</v>
      </c>
      <c r="E208" s="2" t="s">
        <v>292</v>
      </c>
    </row>
    <row r="209">
      <c r="A209" s="2" t="s">
        <v>295</v>
      </c>
      <c r="B209" s="2" t="s">
        <v>293</v>
      </c>
      <c r="C209" s="2" t="s">
        <v>316</v>
      </c>
      <c r="D209" s="3" t="str">
        <f>HYPERLINK("https://12go.asia/en/travel/Soon-Noeng-Port/Koh-Toch-Beach", "12Go Link")</f>
        <v>12Go Link</v>
      </c>
      <c r="E209" s="2" t="s">
        <v>309</v>
      </c>
    </row>
    <row r="210">
      <c r="A210" s="2" t="s">
        <v>295</v>
      </c>
      <c r="B210" s="2" t="s">
        <v>293</v>
      </c>
      <c r="C210" s="2" t="s">
        <v>317</v>
      </c>
      <c r="D210" s="3" t="str">
        <f>HYPERLINK("https://12go.asia/en/travel/Soon-Noeng-Port/Long-Set-Beach", "12Go Link")</f>
        <v>12Go Link</v>
      </c>
      <c r="E210" s="2" t="s">
        <v>309</v>
      </c>
    </row>
    <row r="211">
      <c r="A211" s="2" t="s">
        <v>295</v>
      </c>
      <c r="B211" s="2" t="s">
        <v>295</v>
      </c>
      <c r="C211" s="2" t="s">
        <v>318</v>
      </c>
      <c r="D211" s="3" t="str">
        <f>HYPERLINK("https://12go.asia/en/travel/Soon-Noeng-Port/MPai-Bay", "12Go Link")</f>
        <v>12Go Link</v>
      </c>
      <c r="E211" s="2" t="s">
        <v>309</v>
      </c>
    </row>
    <row r="212">
      <c r="A212" s="2" t="s">
        <v>319</v>
      </c>
      <c r="B212" s="2" t="s">
        <v>282</v>
      </c>
      <c r="C212" s="2" t="s">
        <v>320</v>
      </c>
      <c r="D212" s="3" t="str">
        <f>HYPERLINK("https://12go.asia/en/travel/sampov-lun/phnom-penh", "12Go Link")</f>
        <v>12Go Link</v>
      </c>
      <c r="E212" s="2" t="s">
        <v>59</v>
      </c>
    </row>
    <row r="213">
      <c r="A213" s="2" t="s">
        <v>321</v>
      </c>
      <c r="B213" s="2" t="s">
        <v>322</v>
      </c>
      <c r="C213" s="2" t="s">
        <v>323</v>
      </c>
      <c r="D213" s="3" t="str">
        <f>HYPERLINK("https://12go.asia/en/travel/mondulkiri/kien-svay", "12Go Link")</f>
        <v>12Go Link</v>
      </c>
      <c r="E213" s="2" t="s">
        <v>59</v>
      </c>
    </row>
    <row r="214">
      <c r="A214" s="2" t="s">
        <v>282</v>
      </c>
      <c r="B214" s="2" t="s">
        <v>324</v>
      </c>
      <c r="C214" s="2" t="s">
        <v>325</v>
      </c>
      <c r="D214" s="3" t="str">
        <f>HYPERLINK("https://12go.asia/en/travel/phnom-penh/ang-ta-soam", "12Go Link")</f>
        <v>12Go Link</v>
      </c>
      <c r="E214" s="2" t="s">
        <v>59</v>
      </c>
    </row>
    <row r="215">
      <c r="A215" s="2" t="s">
        <v>282</v>
      </c>
      <c r="B215" s="2" t="s">
        <v>324</v>
      </c>
      <c r="C215" s="2" t="s">
        <v>326</v>
      </c>
      <c r="D215" s="3" t="str">
        <f>HYPERLINK("https://12go.asia/en/travel/phnom-penh/angk-ta-saom", "12Go Link")</f>
        <v>12Go Link</v>
      </c>
      <c r="E215" s="2" t="s">
        <v>59</v>
      </c>
    </row>
    <row r="216">
      <c r="A216" s="2" t="s">
        <v>282</v>
      </c>
      <c r="B216" s="2" t="s">
        <v>284</v>
      </c>
      <c r="C216" s="2" t="s">
        <v>327</v>
      </c>
      <c r="D216" s="3" t="str">
        <f t="shared" ref="D216:D218" si="8">HYPERLINK("https://12go.asia/en/travel/Phnom-Penh-Transfer/Ban-Krut", "12Go Link")</f>
        <v>12Go Link</v>
      </c>
      <c r="E216" s="2" t="s">
        <v>286</v>
      </c>
    </row>
    <row r="217">
      <c r="A217" s="2" t="s">
        <v>282</v>
      </c>
      <c r="B217" s="2" t="s">
        <v>284</v>
      </c>
      <c r="C217" s="2" t="s">
        <v>327</v>
      </c>
      <c r="D217" s="3" t="str">
        <f t="shared" si="8"/>
        <v>12Go Link</v>
      </c>
      <c r="E217" s="2" t="s">
        <v>287</v>
      </c>
    </row>
    <row r="218">
      <c r="A218" s="2" t="s">
        <v>282</v>
      </c>
      <c r="B218" s="2" t="s">
        <v>284</v>
      </c>
      <c r="C218" s="2" t="s">
        <v>327</v>
      </c>
      <c r="D218" s="3" t="str">
        <f t="shared" si="8"/>
        <v>12Go Link</v>
      </c>
      <c r="E218" s="2" t="s">
        <v>288</v>
      </c>
    </row>
    <row r="219">
      <c r="A219" s="2" t="s">
        <v>328</v>
      </c>
      <c r="B219" s="2" t="s">
        <v>329</v>
      </c>
      <c r="C219" s="2" t="s">
        <v>330</v>
      </c>
      <c r="D219" s="3" t="str">
        <f>HYPERLINK("https://12go.asia/en/travel/Starbucks-Holiday-Palace-Poi-Pet/Siem-Reap-Namo-Angkor-Travel", "12Go Link")</f>
        <v>12Go Link</v>
      </c>
      <c r="E219" s="2" t="s">
        <v>331</v>
      </c>
    </row>
    <row r="220">
      <c r="A220" s="2" t="s">
        <v>329</v>
      </c>
      <c r="B220" s="2" t="s">
        <v>293</v>
      </c>
      <c r="C220" s="2" t="s">
        <v>332</v>
      </c>
      <c r="D220" s="3" t="str">
        <f>HYPERLINK("https://12go.asia/en/travel/E-Booking-Siem-Reap-Office/Koh-Rong", "12Go Link")</f>
        <v>12Go Link</v>
      </c>
      <c r="E220" s="2" t="s">
        <v>333</v>
      </c>
    </row>
    <row r="221">
      <c r="A221" s="2" t="s">
        <v>329</v>
      </c>
      <c r="B221" s="2" t="s">
        <v>293</v>
      </c>
      <c r="C221" s="2" t="s">
        <v>334</v>
      </c>
      <c r="D221" s="3" t="str">
        <f>HYPERLINK("https://12go.asia/en/travel/E-Booking-Siem-Reap-Office/Long-Set-Beach", "12Go Link")</f>
        <v>12Go Link</v>
      </c>
      <c r="E221" s="2" t="s">
        <v>335</v>
      </c>
    </row>
    <row r="222">
      <c r="A222" s="2" t="s">
        <v>329</v>
      </c>
      <c r="B222" s="2" t="s">
        <v>295</v>
      </c>
      <c r="C222" s="2" t="s">
        <v>336</v>
      </c>
      <c r="D222" s="3" t="str">
        <f>HYPERLINK("https://12go.asia/en/travel/E-Booking-Siem-Reap-Office/Koh-Rong-Samloem", "12Go Link")</f>
        <v>12Go Link</v>
      </c>
      <c r="E222" s="2" t="s">
        <v>335</v>
      </c>
    </row>
    <row r="223">
      <c r="A223" s="2" t="s">
        <v>329</v>
      </c>
      <c r="B223" s="2" t="s">
        <v>328</v>
      </c>
      <c r="C223" s="2" t="s">
        <v>337</v>
      </c>
      <c r="D223" s="3" t="str">
        <f>HYPERLINK("https://12go.asia/en/travel/Siem-Reap-Namo-Angkor-Travel/Starbucks-Holiday-Palace-Poi-Pet", "12Go Link")</f>
        <v>12Go Link</v>
      </c>
      <c r="E223" s="2" t="s">
        <v>331</v>
      </c>
    </row>
    <row r="224">
      <c r="A224" s="2" t="s">
        <v>329</v>
      </c>
      <c r="B224" s="2" t="s">
        <v>338</v>
      </c>
      <c r="C224" s="2" t="s">
        <v>339</v>
      </c>
      <c r="D224" s="3" t="str">
        <f>HYPERLINK("https://12go.asia/en/travel/E-Booking-Siem-Reap-Office/Sihanoukville", "12Go Link")</f>
        <v>12Go Link</v>
      </c>
      <c r="E224" s="2" t="s">
        <v>333</v>
      </c>
    </row>
    <row r="225">
      <c r="A225" s="2" t="s">
        <v>329</v>
      </c>
      <c r="B225" s="2" t="s">
        <v>340</v>
      </c>
      <c r="C225" s="2" t="s">
        <v>341</v>
      </c>
      <c r="D225" s="3" t="str">
        <f>HYPERLINK("https://12go.asia/en/travel/Siem-Reap-Namo-Angkor-Travel/Emsamang-Express-Travel", "12Go Link")</f>
        <v>12Go Link</v>
      </c>
      <c r="E225" s="2" t="s">
        <v>342</v>
      </c>
    </row>
    <row r="226">
      <c r="A226" s="2" t="s">
        <v>329</v>
      </c>
      <c r="B226" s="2" t="s">
        <v>343</v>
      </c>
      <c r="C226" s="2" t="s">
        <v>344</v>
      </c>
      <c r="D226" s="3" t="str">
        <f>HYPERLINK("https://12go.asia/en/travel/Siem-Reap-Namo-Angkor-Travel/Pattaya-Minivan-Station", "12Go Link")</f>
        <v>12Go Link</v>
      </c>
      <c r="E226" s="2" t="s">
        <v>342</v>
      </c>
    </row>
    <row r="227">
      <c r="A227" s="2" t="s">
        <v>329</v>
      </c>
      <c r="B227" s="2" t="s">
        <v>284</v>
      </c>
      <c r="C227" s="2" t="s">
        <v>345</v>
      </c>
      <c r="D227" s="3" t="str">
        <f t="shared" ref="D227:D229" si="9">HYPERLINK("https://12go.asia/en/travel/Siem-Reap/Ban-Krut", "12Go Link")</f>
        <v>12Go Link</v>
      </c>
      <c r="E227" s="2" t="s">
        <v>286</v>
      </c>
    </row>
    <row r="228">
      <c r="A228" s="2" t="s">
        <v>329</v>
      </c>
      <c r="B228" s="2" t="s">
        <v>284</v>
      </c>
      <c r="C228" s="2" t="s">
        <v>345</v>
      </c>
      <c r="D228" s="3" t="str">
        <f t="shared" si="9"/>
        <v>12Go Link</v>
      </c>
      <c r="E228" s="2" t="s">
        <v>287</v>
      </c>
    </row>
    <row r="229">
      <c r="A229" s="2" t="s">
        <v>329</v>
      </c>
      <c r="B229" s="2" t="s">
        <v>284</v>
      </c>
      <c r="C229" s="2" t="s">
        <v>345</v>
      </c>
      <c r="D229" s="3" t="str">
        <f t="shared" si="9"/>
        <v>12Go Link</v>
      </c>
      <c r="E229" s="2" t="s">
        <v>288</v>
      </c>
    </row>
    <row r="230">
      <c r="A230" s="2" t="s">
        <v>329</v>
      </c>
      <c r="B230" s="2" t="s">
        <v>346</v>
      </c>
      <c r="C230" s="2" t="s">
        <v>347</v>
      </c>
      <c r="D230" s="3" t="str">
        <f>HYPERLINK("https://12go.asia/en/travel/Siem-Reap/Phu-Quoc", "12Go Link")</f>
        <v>12Go Link</v>
      </c>
      <c r="E230" s="2" t="s">
        <v>348</v>
      </c>
    </row>
    <row r="231">
      <c r="A231" s="2" t="s">
        <v>338</v>
      </c>
      <c r="B231" s="2" t="s">
        <v>284</v>
      </c>
      <c r="C231" s="2" t="s">
        <v>349</v>
      </c>
      <c r="D231" s="3" t="str">
        <f t="shared" ref="D231:D233" si="10">HYPERLINK("https://12go.asia/en/travel/Sihanoukville/Ban-Krut", "12Go Link")</f>
        <v>12Go Link</v>
      </c>
      <c r="E231" s="2" t="s">
        <v>286</v>
      </c>
    </row>
    <row r="232">
      <c r="A232" s="2" t="s">
        <v>338</v>
      </c>
      <c r="B232" s="2" t="s">
        <v>284</v>
      </c>
      <c r="C232" s="2" t="s">
        <v>349</v>
      </c>
      <c r="D232" s="3" t="str">
        <f t="shared" si="10"/>
        <v>12Go Link</v>
      </c>
      <c r="E232" s="2" t="s">
        <v>287</v>
      </c>
    </row>
    <row r="233">
      <c r="A233" s="2" t="s">
        <v>338</v>
      </c>
      <c r="B233" s="2" t="s">
        <v>284</v>
      </c>
      <c r="C233" s="2" t="s">
        <v>349</v>
      </c>
      <c r="D233" s="3" t="str">
        <f t="shared" si="10"/>
        <v>12Go Link</v>
      </c>
      <c r="E233" s="2" t="s">
        <v>288</v>
      </c>
    </row>
    <row r="234">
      <c r="A234" s="2" t="s">
        <v>350</v>
      </c>
      <c r="B234" s="2" t="s">
        <v>351</v>
      </c>
      <c r="C234" s="2" t="s">
        <v>352</v>
      </c>
      <c r="D234" s="3" t="str">
        <f>HYPERLINK("https://12go.asia/en/travel/alexandria-ca/saint-hyacinthe", "12Go Link")</f>
        <v>12Go Link</v>
      </c>
      <c r="E234" s="2" t="s">
        <v>226</v>
      </c>
    </row>
    <row r="235">
      <c r="A235" s="2" t="s">
        <v>350</v>
      </c>
      <c r="B235" s="2" t="s">
        <v>351</v>
      </c>
      <c r="C235" s="2" t="s">
        <v>353</v>
      </c>
      <c r="D235" s="3" t="str">
        <f>HYPERLINK("https://12go.asia/en/travel/alexandria-ontario/saint-hyacinthe", "12Go Link")</f>
        <v>12Go Link</v>
      </c>
      <c r="E235" s="2" t="s">
        <v>226</v>
      </c>
    </row>
    <row r="236">
      <c r="A236" s="2" t="s">
        <v>354</v>
      </c>
      <c r="B236" s="2" t="s">
        <v>355</v>
      </c>
      <c r="C236" s="2" t="s">
        <v>356</v>
      </c>
      <c r="D236" s="3" t="str">
        <f>HYPERLINK("https://12go.asia/en/travel/grimsby-on/niagara-falls", "12Go Link")</f>
        <v>12Go Link</v>
      </c>
      <c r="E236" s="2" t="s">
        <v>226</v>
      </c>
    </row>
    <row r="237">
      <c r="A237" s="2" t="s">
        <v>354</v>
      </c>
      <c r="B237" s="2" t="s">
        <v>357</v>
      </c>
      <c r="C237" s="2" t="s">
        <v>358</v>
      </c>
      <c r="D237" s="3" t="str">
        <f>HYPERLINK("https://12go.asia/en/travel/hamilton-ca/niagara-falls-new-york", "12Go Link")</f>
        <v>12Go Link</v>
      </c>
      <c r="E237" s="2" t="s">
        <v>226</v>
      </c>
    </row>
    <row r="238">
      <c r="A238" s="2" t="s">
        <v>359</v>
      </c>
      <c r="B238" s="2" t="s">
        <v>360</v>
      </c>
      <c r="C238" s="2" t="s">
        <v>361</v>
      </c>
      <c r="D238" s="3" t="str">
        <f>HYPERLINK("https://12go.asia/en/travel/hornepayne/longlac", "12Go Link")</f>
        <v>12Go Link</v>
      </c>
      <c r="E238" s="2" t="s">
        <v>226</v>
      </c>
    </row>
    <row r="239">
      <c r="A239" s="2" t="s">
        <v>362</v>
      </c>
      <c r="B239" s="2" t="s">
        <v>363</v>
      </c>
      <c r="C239" s="2" t="s">
        <v>364</v>
      </c>
      <c r="D239" s="3" t="str">
        <f>HYPERLINK("https://12go.asia/en/travel/houston-ca/burns-lake", "12Go Link")</f>
        <v>12Go Link</v>
      </c>
      <c r="E239" s="2" t="s">
        <v>226</v>
      </c>
    </row>
    <row r="240">
      <c r="A240" s="2" t="s">
        <v>362</v>
      </c>
      <c r="B240" s="2" t="s">
        <v>365</v>
      </c>
      <c r="C240" s="2" t="s">
        <v>366</v>
      </c>
      <c r="D240" s="3" t="str">
        <f>HYPERLINK("https://12go.asia/en/travel/houston-ca/vanderhoof", "12Go Link")</f>
        <v>12Go Link</v>
      </c>
      <c r="E240" s="2" t="s">
        <v>226</v>
      </c>
    </row>
    <row r="241">
      <c r="A241" s="2" t="s">
        <v>367</v>
      </c>
      <c r="B241" s="2" t="s">
        <v>368</v>
      </c>
      <c r="C241" s="2" t="s">
        <v>369</v>
      </c>
      <c r="D241" s="3" t="str">
        <f>HYPERLINK("https://12go.asia/en/travel/moncton/matapedia", "12Go Link")</f>
        <v>12Go Link</v>
      </c>
      <c r="E241" s="2" t="s">
        <v>226</v>
      </c>
    </row>
    <row r="242">
      <c r="A242" s="2" t="s">
        <v>367</v>
      </c>
      <c r="B242" s="2" t="s">
        <v>370</v>
      </c>
      <c r="C242" s="2" t="s">
        <v>371</v>
      </c>
      <c r="D242" s="3" t="str">
        <f>HYPERLINK("https://12go.asia/en/travel/moncton/mont-joli", "12Go Link")</f>
        <v>12Go Link</v>
      </c>
      <c r="E242" s="2" t="s">
        <v>226</v>
      </c>
    </row>
    <row r="243">
      <c r="A243" s="2" t="s">
        <v>372</v>
      </c>
      <c r="B243" s="2" t="s">
        <v>373</v>
      </c>
      <c r="C243" s="2" t="s">
        <v>374</v>
      </c>
      <c r="D243" s="3" t="str">
        <f>HYPERLINK("https://12go.asia/en/travel/montmagny/rimouski", "12Go Link")</f>
        <v>12Go Link</v>
      </c>
      <c r="E243" s="2" t="s">
        <v>226</v>
      </c>
    </row>
    <row r="244">
      <c r="A244" s="2" t="s">
        <v>372</v>
      </c>
      <c r="B244" s="2" t="s">
        <v>375</v>
      </c>
      <c r="C244" s="2" t="s">
        <v>376</v>
      </c>
      <c r="D244" s="3" t="str">
        <f>HYPERLINK("https://12go.asia/en/travel/montmagny/trois-pistoles", "12Go Link")</f>
        <v>12Go Link</v>
      </c>
      <c r="E244" s="2" t="s">
        <v>226</v>
      </c>
    </row>
    <row r="245">
      <c r="A245" s="2" t="s">
        <v>377</v>
      </c>
      <c r="B245" s="2" t="s">
        <v>378</v>
      </c>
      <c r="C245" s="2" t="s">
        <v>379</v>
      </c>
      <c r="D245" s="3" t="str">
        <f>HYPERLINK("https://12go.asia/en/travel/montreal-central/rogersville", "12Go Link")</f>
        <v>12Go Link</v>
      </c>
      <c r="E245" s="2" t="s">
        <v>226</v>
      </c>
    </row>
    <row r="246">
      <c r="A246" s="2" t="s">
        <v>377</v>
      </c>
      <c r="B246" s="2" t="s">
        <v>378</v>
      </c>
      <c r="C246" s="2" t="s">
        <v>380</v>
      </c>
      <c r="D246" s="3" t="str">
        <f>HYPERLINK("https://12go.asia/en/travel/montreal/rogersville", "12Go Link")</f>
        <v>12Go Link</v>
      </c>
      <c r="E246" s="2" t="s">
        <v>226</v>
      </c>
    </row>
    <row r="247">
      <c r="A247" s="2" t="s">
        <v>381</v>
      </c>
      <c r="B247" s="2" t="s">
        <v>382</v>
      </c>
      <c r="C247" s="2" t="s">
        <v>383</v>
      </c>
      <c r="D247" s="3" t="str">
        <f>HYPERLINK("https://12go.asia/en/travel/portage-la-prairie/dauphin", "12Go Link")</f>
        <v>12Go Link</v>
      </c>
      <c r="E247" s="2" t="s">
        <v>226</v>
      </c>
    </row>
    <row r="248">
      <c r="A248" s="2" t="s">
        <v>381</v>
      </c>
      <c r="B248" s="2" t="s">
        <v>384</v>
      </c>
      <c r="C248" s="2" t="s">
        <v>385</v>
      </c>
      <c r="D248" s="3" t="str">
        <f>HYPERLINK("https://12go.asia/en/travel/portage-la-prairie/rivers", "12Go Link")</f>
        <v>12Go Link</v>
      </c>
      <c r="E248" s="2" t="s">
        <v>226</v>
      </c>
    </row>
    <row r="249">
      <c r="A249" s="2" t="s">
        <v>386</v>
      </c>
      <c r="B249" s="2" t="s">
        <v>382</v>
      </c>
      <c r="C249" s="2" t="s">
        <v>387</v>
      </c>
      <c r="D249" s="3" t="str">
        <f>HYPERLINK("https://12go.asia/en/travel/southport-airport/dauphin", "12Go Link")</f>
        <v>12Go Link</v>
      </c>
      <c r="E249" s="2" t="s">
        <v>226</v>
      </c>
    </row>
    <row r="250">
      <c r="A250" s="2" t="s">
        <v>386</v>
      </c>
      <c r="B250" s="2" t="s">
        <v>384</v>
      </c>
      <c r="C250" s="2" t="s">
        <v>388</v>
      </c>
      <c r="D250" s="3" t="str">
        <f>HYPERLINK("https://12go.asia/en/travel/southport-airport/rivers", "12Go Link")</f>
        <v>12Go Link</v>
      </c>
      <c r="E250" s="2" t="s">
        <v>226</v>
      </c>
    </row>
    <row r="251">
      <c r="A251" s="2" t="s">
        <v>386</v>
      </c>
      <c r="B251" s="2" t="s">
        <v>389</v>
      </c>
      <c r="C251" s="2" t="s">
        <v>390</v>
      </c>
      <c r="D251" s="3" t="str">
        <f>HYPERLINK("https://12go.asia/en/travel/southport-airport/thompson", "12Go Link")</f>
        <v>12Go Link</v>
      </c>
      <c r="E251" s="2" t="s">
        <v>226</v>
      </c>
    </row>
    <row r="252">
      <c r="A252" s="2" t="s">
        <v>391</v>
      </c>
      <c r="B252" s="2" t="s">
        <v>392</v>
      </c>
      <c r="C252" s="2" t="s">
        <v>393</v>
      </c>
      <c r="D252" s="3" t="str">
        <f>HYPERLINK("https://12go.asia/en/travel/sudbury/levack", "12Go Link")</f>
        <v>12Go Link</v>
      </c>
      <c r="E252" s="2" t="s">
        <v>226</v>
      </c>
    </row>
    <row r="253">
      <c r="A253" s="2" t="s">
        <v>391</v>
      </c>
      <c r="B253" s="2" t="s">
        <v>392</v>
      </c>
      <c r="C253" s="2" t="s">
        <v>394</v>
      </c>
      <c r="D253" s="3" t="str">
        <f>HYPERLINK("https://12go.asia/en/travel/sudbury/windy-lake", "12Go Link")</f>
        <v>12Go Link</v>
      </c>
      <c r="E253" s="2" t="s">
        <v>226</v>
      </c>
    </row>
    <row r="254">
      <c r="A254" s="2" t="s">
        <v>395</v>
      </c>
      <c r="B254" s="2" t="s">
        <v>396</v>
      </c>
      <c r="C254" s="2" t="s">
        <v>397</v>
      </c>
      <c r="D254" s="3" t="str">
        <f>HYPERLINK("https://12go.asia/en/travel/anji/beijing", "12Go Link")</f>
        <v>12Go Link</v>
      </c>
      <c r="E254" s="2" t="s">
        <v>226</v>
      </c>
    </row>
    <row r="255">
      <c r="A255" s="2" t="s">
        <v>395</v>
      </c>
      <c r="B255" s="2" t="s">
        <v>396</v>
      </c>
      <c r="C255" s="2" t="s">
        <v>398</v>
      </c>
      <c r="D255" s="3" t="str">
        <f>HYPERLINK("https://12go.asia/en/travel/anji/beijing-south", "12Go Link")</f>
        <v>12Go Link</v>
      </c>
      <c r="E255" s="2" t="s">
        <v>226</v>
      </c>
    </row>
    <row r="256">
      <c r="A256" s="2" t="s">
        <v>399</v>
      </c>
      <c r="B256" s="2" t="s">
        <v>400</v>
      </c>
      <c r="C256" s="2" t="s">
        <v>401</v>
      </c>
      <c r="D256" s="3" t="str">
        <f>HYPERLINK("https://12go.asia/en/travel/ankang/changsha", "12Go Link")</f>
        <v>12Go Link</v>
      </c>
      <c r="E256" s="2" t="s">
        <v>226</v>
      </c>
    </row>
    <row r="257">
      <c r="A257" s="2" t="s">
        <v>399</v>
      </c>
      <c r="B257" s="2" t="s">
        <v>402</v>
      </c>
      <c r="C257" s="2" t="s">
        <v>403</v>
      </c>
      <c r="D257" s="3" t="str">
        <f>HYPERLINK("https://12go.asia/en/travel/ankang/hunan", "12Go Link")</f>
        <v>12Go Link</v>
      </c>
      <c r="E257" s="2" t="s">
        <v>226</v>
      </c>
    </row>
    <row r="258">
      <c r="A258" s="2" t="s">
        <v>399</v>
      </c>
      <c r="B258" s="2" t="s">
        <v>404</v>
      </c>
      <c r="C258" s="2" t="s">
        <v>405</v>
      </c>
      <c r="D258" s="3" t="str">
        <f>HYPERLINK("https://12go.asia/en/travel/ankang/shijiazhuang", "12Go Link")</f>
        <v>12Go Link</v>
      </c>
      <c r="E258" s="2" t="s">
        <v>226</v>
      </c>
    </row>
    <row r="259">
      <c r="A259" s="2" t="s">
        <v>406</v>
      </c>
      <c r="B259" s="2" t="s">
        <v>407</v>
      </c>
      <c r="C259" s="2" t="s">
        <v>408</v>
      </c>
      <c r="D259" s="3" t="str">
        <f>HYPERLINK("https://12go.asia/en/travel/anshun-west/xiamen-north", "12Go Link")</f>
        <v>12Go Link</v>
      </c>
      <c r="E259" s="2" t="s">
        <v>226</v>
      </c>
    </row>
    <row r="260">
      <c r="A260" s="2" t="s">
        <v>406</v>
      </c>
      <c r="B260" s="2" t="s">
        <v>407</v>
      </c>
      <c r="C260" s="2" t="s">
        <v>409</v>
      </c>
      <c r="D260" s="3" t="str">
        <f>HYPERLINK("https://12go.asia/en/travel/anshun/xiamen", "12Go Link")</f>
        <v>12Go Link</v>
      </c>
      <c r="E260" s="2" t="s">
        <v>226</v>
      </c>
    </row>
    <row r="261">
      <c r="A261" s="2" t="s">
        <v>410</v>
      </c>
      <c r="B261" s="2" t="s">
        <v>411</v>
      </c>
      <c r="C261" s="2" t="s">
        <v>412</v>
      </c>
      <c r="D261" s="3" t="str">
        <f>HYPERLINK("https://12go.asia/en/travel/anyang/jiangning", "12Go Link")</f>
        <v>12Go Link</v>
      </c>
      <c r="E261" s="2" t="s">
        <v>226</v>
      </c>
    </row>
    <row r="262">
      <c r="A262" s="2" t="s">
        <v>410</v>
      </c>
      <c r="B262" s="2" t="s">
        <v>413</v>
      </c>
      <c r="C262" s="2" t="s">
        <v>414</v>
      </c>
      <c r="D262" s="3" t="str">
        <f>HYPERLINK("https://12go.asia/en/travel/anyang-east/shiyan-east", "12Go Link")</f>
        <v>12Go Link</v>
      </c>
      <c r="E262" s="2" t="s">
        <v>226</v>
      </c>
    </row>
    <row r="263">
      <c r="A263" s="2" t="s">
        <v>410</v>
      </c>
      <c r="B263" s="2" t="s">
        <v>413</v>
      </c>
      <c r="C263" s="2" t="s">
        <v>415</v>
      </c>
      <c r="D263" s="3" t="str">
        <f>HYPERLINK("https://12go.asia/en/travel/anyang/shiyan", "12Go Link")</f>
        <v>12Go Link</v>
      </c>
      <c r="E263" s="2" t="s">
        <v>226</v>
      </c>
    </row>
    <row r="264">
      <c r="A264" s="2" t="s">
        <v>416</v>
      </c>
      <c r="B264" s="2" t="s">
        <v>417</v>
      </c>
      <c r="C264" s="2" t="s">
        <v>418</v>
      </c>
      <c r="D264" s="3" t="str">
        <f>HYPERLINK("https://12go.asia/en/travel/baotou/qingdao-north", "12Go Link")</f>
        <v>12Go Link</v>
      </c>
      <c r="E264" s="2" t="s">
        <v>226</v>
      </c>
    </row>
    <row r="265">
      <c r="A265" s="2" t="s">
        <v>416</v>
      </c>
      <c r="B265" s="2" t="s">
        <v>419</v>
      </c>
      <c r="C265" s="2" t="s">
        <v>420</v>
      </c>
      <c r="D265" s="3" t="str">
        <f>HYPERLINK("https://12go.asia/en/travel/baotou/shenzhen-east", "12Go Link")</f>
        <v>12Go Link</v>
      </c>
      <c r="E265" s="2" t="s">
        <v>226</v>
      </c>
    </row>
    <row r="266">
      <c r="A266" s="2" t="s">
        <v>421</v>
      </c>
      <c r="B266" s="2" t="s">
        <v>416</v>
      </c>
      <c r="C266" s="2" t="s">
        <v>422</v>
      </c>
      <c r="D266" s="3" t="str">
        <f>HYPERLINK("https://12go.asia/en/travel/bayannur/baotou-east", "12Go Link")</f>
        <v>12Go Link</v>
      </c>
      <c r="E266" s="2" t="s">
        <v>226</v>
      </c>
    </row>
    <row r="267">
      <c r="A267" s="2" t="s">
        <v>421</v>
      </c>
      <c r="B267" s="2" t="s">
        <v>396</v>
      </c>
      <c r="C267" s="2" t="s">
        <v>423</v>
      </c>
      <c r="D267" s="3" t="str">
        <f>HYPERLINK("https://12go.asia/en/travel/bayannur/beijing", "12Go Link")</f>
        <v>12Go Link</v>
      </c>
      <c r="E267" s="2" t="s">
        <v>226</v>
      </c>
    </row>
    <row r="268">
      <c r="A268" s="2" t="s">
        <v>421</v>
      </c>
      <c r="B268" s="2" t="s">
        <v>396</v>
      </c>
      <c r="C268" s="2" t="s">
        <v>424</v>
      </c>
      <c r="D268" s="3" t="str">
        <f>HYPERLINK("https://12go.asia/en/travel/bayannur/beijing-fengtai", "12Go Link")</f>
        <v>12Go Link</v>
      </c>
      <c r="E268" s="2" t="s">
        <v>226</v>
      </c>
    </row>
    <row r="269">
      <c r="A269" s="2" t="s">
        <v>421</v>
      </c>
      <c r="B269" s="2" t="s">
        <v>396</v>
      </c>
      <c r="C269" s="2" t="s">
        <v>425</v>
      </c>
      <c r="D269" s="3" t="str">
        <f>HYPERLINK("https://12go.asia/en/travel/bayannur/beijing-west", "12Go Link")</f>
        <v>12Go Link</v>
      </c>
      <c r="E269" s="2" t="s">
        <v>226</v>
      </c>
    </row>
    <row r="270">
      <c r="A270" s="2" t="s">
        <v>421</v>
      </c>
      <c r="B270" s="2" t="s">
        <v>426</v>
      </c>
      <c r="C270" s="2" t="s">
        <v>427</v>
      </c>
      <c r="D270" s="3" t="str">
        <f>HYPERLINK("https://12go.asia/en/travel/bayannur/inner-mongolia", "12Go Link")</f>
        <v>12Go Link</v>
      </c>
      <c r="E270" s="2" t="s">
        <v>226</v>
      </c>
    </row>
    <row r="271">
      <c r="A271" s="2" t="s">
        <v>421</v>
      </c>
      <c r="B271" s="2" t="s">
        <v>428</v>
      </c>
      <c r="C271" s="2" t="s">
        <v>429</v>
      </c>
      <c r="D271" s="3" t="str">
        <f>HYPERLINK("https://12go.asia/en/travel/bayannur/wenjiang", "12Go Link")</f>
        <v>12Go Link</v>
      </c>
      <c r="E271" s="2" t="s">
        <v>226</v>
      </c>
    </row>
    <row r="272">
      <c r="A272" s="2" t="s">
        <v>430</v>
      </c>
      <c r="B272" s="2" t="s">
        <v>431</v>
      </c>
      <c r="C272" s="2" t="s">
        <v>432</v>
      </c>
      <c r="D272" s="3" t="str">
        <f>HYPERLINK("https://12go.asia/en/travel/beidaihe/daqing", "12Go Link")</f>
        <v>12Go Link</v>
      </c>
      <c r="E272" s="2" t="s">
        <v>226</v>
      </c>
    </row>
    <row r="273">
      <c r="A273" s="2" t="s">
        <v>430</v>
      </c>
      <c r="B273" s="2" t="s">
        <v>431</v>
      </c>
      <c r="C273" s="2" t="s">
        <v>433</v>
      </c>
      <c r="D273" s="3" t="str">
        <f>HYPERLINK("https://12go.asia/en/travel/beidaihe/daqing-east", "12Go Link")</f>
        <v>12Go Link</v>
      </c>
      <c r="E273" s="2" t="s">
        <v>226</v>
      </c>
    </row>
    <row r="274">
      <c r="A274" s="2" t="s">
        <v>430</v>
      </c>
      <c r="B274" s="2" t="s">
        <v>434</v>
      </c>
      <c r="C274" s="2" t="s">
        <v>435</v>
      </c>
      <c r="D274" s="3" t="str">
        <f>HYPERLINK("https://12go.asia/en/travel/beidaihe/fengrun", "12Go Link")</f>
        <v>12Go Link</v>
      </c>
      <c r="E274" s="2" t="s">
        <v>226</v>
      </c>
    </row>
    <row r="275">
      <c r="A275" s="2" t="s">
        <v>430</v>
      </c>
      <c r="B275" s="2" t="s">
        <v>434</v>
      </c>
      <c r="C275" s="2" t="s">
        <v>436</v>
      </c>
      <c r="D275" s="3" t="str">
        <f>HYPERLINK("https://12go.asia/en/travel/beidaihe/tangshan-west", "12Go Link")</f>
        <v>12Go Link</v>
      </c>
      <c r="E275" s="2" t="s">
        <v>226</v>
      </c>
    </row>
    <row r="276">
      <c r="A276" s="2" t="s">
        <v>430</v>
      </c>
      <c r="B276" s="2" t="s">
        <v>437</v>
      </c>
      <c r="C276" s="2" t="s">
        <v>438</v>
      </c>
      <c r="D276" s="3" t="str">
        <f>HYPERLINK("https://12go.asia/en/travel/beidaihe/zhangjiakou", "12Go Link")</f>
        <v>12Go Link</v>
      </c>
      <c r="E276" s="2" t="s">
        <v>226</v>
      </c>
    </row>
    <row r="277">
      <c r="A277" s="2" t="s">
        <v>439</v>
      </c>
      <c r="B277" s="2" t="s">
        <v>440</v>
      </c>
      <c r="C277" s="2" t="s">
        <v>441</v>
      </c>
      <c r="D277" s="3" t="str">
        <f>HYPERLINK("https://12go.asia/en/travel/beihai/wuzhou", "12Go Link")</f>
        <v>12Go Link</v>
      </c>
      <c r="E277" s="2" t="s">
        <v>226</v>
      </c>
    </row>
    <row r="278">
      <c r="A278" s="2" t="s">
        <v>439</v>
      </c>
      <c r="B278" s="2" t="s">
        <v>440</v>
      </c>
      <c r="C278" s="2" t="s">
        <v>442</v>
      </c>
      <c r="D278" s="3" t="str">
        <f>HYPERLINK("https://12go.asia/en/travel/beihai/wuzhou-south", "12Go Link")</f>
        <v>12Go Link</v>
      </c>
      <c r="E278" s="2" t="s">
        <v>226</v>
      </c>
    </row>
    <row r="279">
      <c r="A279" s="2" t="s">
        <v>396</v>
      </c>
      <c r="B279" s="2" t="s">
        <v>443</v>
      </c>
      <c r="C279" s="2" t="s">
        <v>444</v>
      </c>
      <c r="D279" s="3" t="str">
        <f>HYPERLINK("https://12go.asia/en/travel/beijing-west/leshan", "12Go Link")</f>
        <v>12Go Link</v>
      </c>
      <c r="E279" s="2" t="s">
        <v>226</v>
      </c>
    </row>
    <row r="280">
      <c r="A280" s="2" t="s">
        <v>396</v>
      </c>
      <c r="B280" s="2" t="s">
        <v>443</v>
      </c>
      <c r="C280" s="2" t="s">
        <v>445</v>
      </c>
      <c r="D280" s="3" t="str">
        <f>HYPERLINK("https://12go.asia/en/travel/beijing/leshan", "12Go Link")</f>
        <v>12Go Link</v>
      </c>
      <c r="E280" s="2" t="s">
        <v>226</v>
      </c>
    </row>
    <row r="281">
      <c r="A281" s="2" t="s">
        <v>446</v>
      </c>
      <c r="B281" s="2" t="s">
        <v>447</v>
      </c>
      <c r="C281" s="2" t="s">
        <v>448</v>
      </c>
      <c r="D281" s="3" t="str">
        <f>HYPERLINK("https://12go.asia/en/travel/beijing-daxing-airport/baoding", "12Go Link")</f>
        <v>12Go Link</v>
      </c>
      <c r="E281" s="2" t="s">
        <v>226</v>
      </c>
    </row>
    <row r="282">
      <c r="A282" s="2" t="s">
        <v>446</v>
      </c>
      <c r="B282" s="2" t="s">
        <v>447</v>
      </c>
      <c r="C282" s="2" t="s">
        <v>449</v>
      </c>
      <c r="D282" s="3" t="str">
        <f>HYPERLINK("https://12go.asia/en/travel/daxing-airport-station/baoding-east", "12Go Link")</f>
        <v>12Go Link</v>
      </c>
      <c r="E282" s="2" t="s">
        <v>226</v>
      </c>
    </row>
    <row r="283">
      <c r="A283" s="2" t="s">
        <v>446</v>
      </c>
      <c r="B283" s="2" t="s">
        <v>447</v>
      </c>
      <c r="C283" s="2" t="s">
        <v>450</v>
      </c>
      <c r="D283" s="3" t="str">
        <f>HYPERLINK("https://12go.asia/en/travel/guan-east/baoding-east", "12Go Link")</f>
        <v>12Go Link</v>
      </c>
      <c r="E283" s="2" t="s">
        <v>226</v>
      </c>
    </row>
    <row r="284">
      <c r="A284" s="2" t="s">
        <v>446</v>
      </c>
      <c r="B284" s="2" t="s">
        <v>447</v>
      </c>
      <c r="C284" s="2" t="s">
        <v>451</v>
      </c>
      <c r="D284" s="3" t="str">
        <f>HYPERLINK("https://12go.asia/en/travel/guan/baoding", "12Go Link")</f>
        <v>12Go Link</v>
      </c>
      <c r="E284" s="2" t="s">
        <v>226</v>
      </c>
    </row>
    <row r="285">
      <c r="A285" s="2" t="s">
        <v>452</v>
      </c>
      <c r="B285" s="2" t="s">
        <v>453</v>
      </c>
      <c r="C285" s="2" t="s">
        <v>454</v>
      </c>
      <c r="D285" s="3" t="str">
        <f>HYPERLINK("https://12go.asia/en/travel/binhai/cangzhou", "12Go Link")</f>
        <v>12Go Link</v>
      </c>
      <c r="E285" s="2" t="s">
        <v>226</v>
      </c>
    </row>
    <row r="286">
      <c r="A286" s="2" t="s">
        <v>452</v>
      </c>
      <c r="B286" s="2" t="s">
        <v>453</v>
      </c>
      <c r="C286" s="2" t="s">
        <v>455</v>
      </c>
      <c r="D286" s="3" t="str">
        <f>HYPERLINK("https://12go.asia/en/travel/tanggu/cangzhou", "12Go Link")</f>
        <v>12Go Link</v>
      </c>
      <c r="E286" s="2" t="s">
        <v>226</v>
      </c>
    </row>
    <row r="287">
      <c r="A287" s="2" t="s">
        <v>452</v>
      </c>
      <c r="B287" s="2" t="s">
        <v>456</v>
      </c>
      <c r="C287" s="2" t="s">
        <v>457</v>
      </c>
      <c r="D287" s="3" t="str">
        <f>HYPERLINK("https://12go.asia/en/travel/binhai/jiangzhou", "12Go Link")</f>
        <v>12Go Link</v>
      </c>
      <c r="E287" s="2" t="s">
        <v>226</v>
      </c>
    </row>
    <row r="288">
      <c r="A288" s="2" t="s">
        <v>452</v>
      </c>
      <c r="B288" s="2" t="s">
        <v>458</v>
      </c>
      <c r="C288" s="2" t="s">
        <v>459</v>
      </c>
      <c r="D288" s="3" t="str">
        <f>HYPERLINK("https://12go.asia/en/travel/binhai/kaifeng", "12Go Link")</f>
        <v>12Go Link</v>
      </c>
      <c r="E288" s="2" t="s">
        <v>226</v>
      </c>
    </row>
    <row r="289">
      <c r="A289" s="2" t="s">
        <v>452</v>
      </c>
      <c r="B289" s="2" t="s">
        <v>458</v>
      </c>
      <c r="C289" s="2" t="s">
        <v>460</v>
      </c>
      <c r="D289" s="3" t="str">
        <f>HYPERLINK("https://12go.asia/en/travel/tanggu/kaifeng", "12Go Link")</f>
        <v>12Go Link</v>
      </c>
      <c r="E289" s="2" t="s">
        <v>226</v>
      </c>
    </row>
    <row r="290">
      <c r="A290" s="2" t="s">
        <v>452</v>
      </c>
      <c r="B290" s="2" t="s">
        <v>461</v>
      </c>
      <c r="C290" s="2" t="s">
        <v>462</v>
      </c>
      <c r="D290" s="3" t="str">
        <f>HYPERLINK("https://12go.asia/en/travel/binhai/nanyang", "12Go Link")</f>
        <v>12Go Link</v>
      </c>
      <c r="E290" s="2" t="s">
        <v>226</v>
      </c>
    </row>
    <row r="291">
      <c r="A291" s="2" t="s">
        <v>452</v>
      </c>
      <c r="B291" s="2" t="s">
        <v>461</v>
      </c>
      <c r="C291" s="2" t="s">
        <v>463</v>
      </c>
      <c r="D291" s="3" t="str">
        <f>HYPERLINK("https://12go.asia/en/travel/tanggu/nanyang", "12Go Link")</f>
        <v>12Go Link</v>
      </c>
      <c r="E291" s="2" t="s">
        <v>226</v>
      </c>
    </row>
    <row r="292">
      <c r="A292" s="2" t="s">
        <v>452</v>
      </c>
      <c r="B292" s="2" t="s">
        <v>464</v>
      </c>
      <c r="C292" s="2" t="s">
        <v>465</v>
      </c>
      <c r="D292" s="3" t="str">
        <f>HYPERLINK("https://12go.asia/en/travel/binhai-west/panjin", "12Go Link")</f>
        <v>12Go Link</v>
      </c>
      <c r="E292" s="2" t="s">
        <v>226</v>
      </c>
    </row>
    <row r="293">
      <c r="A293" s="2" t="s">
        <v>452</v>
      </c>
      <c r="B293" s="2" t="s">
        <v>464</v>
      </c>
      <c r="C293" s="2" t="s">
        <v>466</v>
      </c>
      <c r="D293" s="3" t="str">
        <f>HYPERLINK("https://12go.asia/en/travel/binhai/panjin", "12Go Link")</f>
        <v>12Go Link</v>
      </c>
      <c r="E293" s="2" t="s">
        <v>226</v>
      </c>
    </row>
    <row r="294">
      <c r="A294" s="2" t="s">
        <v>452</v>
      </c>
      <c r="B294" s="2" t="s">
        <v>467</v>
      </c>
      <c r="C294" s="2" t="s">
        <v>468</v>
      </c>
      <c r="D294" s="3" t="str">
        <f>HYPERLINK("https://12go.asia/en/travel/binhai/shangqiu", "12Go Link")</f>
        <v>12Go Link</v>
      </c>
      <c r="E294" s="2" t="s">
        <v>226</v>
      </c>
    </row>
    <row r="295">
      <c r="A295" s="2" t="s">
        <v>452</v>
      </c>
      <c r="B295" s="2" t="s">
        <v>467</v>
      </c>
      <c r="C295" s="2" t="s">
        <v>469</v>
      </c>
      <c r="D295" s="3" t="str">
        <f>HYPERLINK("https://12go.asia/en/travel/tanggu/shangqiu", "12Go Link")</f>
        <v>12Go Link</v>
      </c>
      <c r="E295" s="2" t="s">
        <v>226</v>
      </c>
    </row>
    <row r="296">
      <c r="A296" s="2" t="s">
        <v>452</v>
      </c>
      <c r="B296" s="2" t="s">
        <v>470</v>
      </c>
      <c r="C296" s="2" t="s">
        <v>471</v>
      </c>
      <c r="D296" s="3" t="str">
        <f>HYPERLINK("https://12go.asia/en/travel/tanggu/zhengzhou", "12Go Link")</f>
        <v>12Go Link</v>
      </c>
      <c r="E296" s="2" t="s">
        <v>226</v>
      </c>
    </row>
    <row r="297">
      <c r="A297" s="2" t="s">
        <v>453</v>
      </c>
      <c r="B297" s="2" t="s">
        <v>472</v>
      </c>
      <c r="C297" s="2" t="s">
        <v>473</v>
      </c>
      <c r="D297" s="3" t="str">
        <f>HYPERLINK("https://12go.asia/en/travel/cangzhou/changchun", "12Go Link")</f>
        <v>12Go Link</v>
      </c>
      <c r="E297" s="2" t="s">
        <v>226</v>
      </c>
    </row>
    <row r="298">
      <c r="A298" s="2" t="s">
        <v>453</v>
      </c>
      <c r="B298" s="2" t="s">
        <v>474</v>
      </c>
      <c r="C298" s="2" t="s">
        <v>475</v>
      </c>
      <c r="D298" s="3" t="str">
        <f>HYPERLINK("https://12go.asia/en/travel/cangzhou/handan", "12Go Link")</f>
        <v>12Go Link</v>
      </c>
      <c r="E298" s="2" t="s">
        <v>226</v>
      </c>
    </row>
    <row r="299">
      <c r="A299" s="2" t="s">
        <v>453</v>
      </c>
      <c r="B299" s="2" t="s">
        <v>476</v>
      </c>
      <c r="C299" s="2" t="s">
        <v>477</v>
      </c>
      <c r="D299" s="3" t="str">
        <f>HYPERLINK("https://12go.asia/en/travel/cangzhou/hefei", "12Go Link")</f>
        <v>12Go Link</v>
      </c>
      <c r="E299" s="2" t="s">
        <v>226</v>
      </c>
    </row>
    <row r="300">
      <c r="A300" s="2" t="s">
        <v>453</v>
      </c>
      <c r="B300" s="2" t="s">
        <v>478</v>
      </c>
      <c r="C300" s="2" t="s">
        <v>479</v>
      </c>
      <c r="D300" s="3" t="str">
        <f>HYPERLINK("https://12go.asia/en/travel/cangzhou/henan", "12Go Link")</f>
        <v>12Go Link</v>
      </c>
      <c r="E300" s="2" t="s">
        <v>226</v>
      </c>
    </row>
    <row r="301">
      <c r="A301" s="2" t="s">
        <v>453</v>
      </c>
      <c r="B301" s="2" t="s">
        <v>480</v>
      </c>
      <c r="C301" s="2" t="s">
        <v>481</v>
      </c>
      <c r="D301" s="3" t="str">
        <f>HYPERLINK("https://12go.asia/en/travel/cangzhou/hengshui", "12Go Link")</f>
        <v>12Go Link</v>
      </c>
      <c r="E301" s="2" t="s">
        <v>226</v>
      </c>
    </row>
    <row r="302">
      <c r="A302" s="2" t="s">
        <v>453</v>
      </c>
      <c r="B302" s="2" t="s">
        <v>482</v>
      </c>
      <c r="C302" s="2" t="s">
        <v>483</v>
      </c>
      <c r="D302" s="3" t="str">
        <f>HYPERLINK("https://12go.asia/en/travel/cangzhou/huludao", "12Go Link")</f>
        <v>12Go Link</v>
      </c>
      <c r="E302" s="2" t="s">
        <v>226</v>
      </c>
    </row>
    <row r="303">
      <c r="A303" s="2" t="s">
        <v>453</v>
      </c>
      <c r="B303" s="2" t="s">
        <v>482</v>
      </c>
      <c r="C303" s="2" t="s">
        <v>484</v>
      </c>
      <c r="D303" s="3" t="str">
        <f>HYPERLINK("https://12go.asia/en/travel/cangzhou/huludao-north", "12Go Link")</f>
        <v>12Go Link</v>
      </c>
      <c r="E303" s="2" t="s">
        <v>226</v>
      </c>
    </row>
    <row r="304">
      <c r="A304" s="2" t="s">
        <v>453</v>
      </c>
      <c r="B304" s="2" t="s">
        <v>456</v>
      </c>
      <c r="C304" s="2" t="s">
        <v>485</v>
      </c>
      <c r="D304" s="3" t="str">
        <f>HYPERLINK("https://12go.asia/en/travel/cangzhou/jiangzhou", "12Go Link")</f>
        <v>12Go Link</v>
      </c>
      <c r="E304" s="2" t="s">
        <v>226</v>
      </c>
    </row>
    <row r="305">
      <c r="A305" s="2" t="s">
        <v>453</v>
      </c>
      <c r="B305" s="2" t="s">
        <v>486</v>
      </c>
      <c r="C305" s="2" t="s">
        <v>487</v>
      </c>
      <c r="D305" s="3" t="str">
        <f>HYPERLINK("https://12go.asia/en/travel/cangzhou/daminghu", "12Go Link")</f>
        <v>12Go Link</v>
      </c>
      <c r="E305" s="2" t="s">
        <v>226</v>
      </c>
    </row>
    <row r="306">
      <c r="A306" s="2" t="s">
        <v>453</v>
      </c>
      <c r="B306" s="2" t="s">
        <v>486</v>
      </c>
      <c r="C306" s="2" t="s">
        <v>488</v>
      </c>
      <c r="D306" s="3" t="str">
        <f>HYPERLINK("https://12go.asia/en/travel/cangzhou/jinan", "12Go Link")</f>
        <v>12Go Link</v>
      </c>
      <c r="E306" s="2" t="s">
        <v>226</v>
      </c>
    </row>
    <row r="307">
      <c r="A307" s="2" t="s">
        <v>453</v>
      </c>
      <c r="B307" s="2" t="s">
        <v>489</v>
      </c>
      <c r="C307" s="2" t="s">
        <v>490</v>
      </c>
      <c r="D307" s="3" t="str">
        <f>HYPERLINK("https://12go.asia/en/travel/cangzhou/jining", "12Go Link")</f>
        <v>12Go Link</v>
      </c>
      <c r="E307" s="2" t="s">
        <v>226</v>
      </c>
    </row>
    <row r="308">
      <c r="A308" s="2" t="s">
        <v>453</v>
      </c>
      <c r="B308" s="2" t="s">
        <v>417</v>
      </c>
      <c r="C308" s="2" t="s">
        <v>491</v>
      </c>
      <c r="D308" s="3" t="str">
        <f>HYPERLINK("https://12go.asia/en/travel/cangzhou/qingdao", "12Go Link")</f>
        <v>12Go Link</v>
      </c>
      <c r="E308" s="2" t="s">
        <v>226</v>
      </c>
    </row>
    <row r="309">
      <c r="A309" s="2" t="s">
        <v>453</v>
      </c>
      <c r="B309" s="2" t="s">
        <v>417</v>
      </c>
      <c r="C309" s="2" t="s">
        <v>492</v>
      </c>
      <c r="D309" s="3" t="str">
        <f>HYPERLINK("https://12go.asia/en/travel/cangzhou/qingdao-north", "12Go Link")</f>
        <v>12Go Link</v>
      </c>
      <c r="E309" s="2" t="s">
        <v>226</v>
      </c>
    </row>
    <row r="310">
      <c r="A310" s="2" t="s">
        <v>453</v>
      </c>
      <c r="B310" s="2" t="s">
        <v>493</v>
      </c>
      <c r="C310" s="2" t="s">
        <v>494</v>
      </c>
      <c r="D310" s="3" t="str">
        <f>HYPERLINK("https://12go.asia/en/travel/cangzhou/shanghai", "12Go Link")</f>
        <v>12Go Link</v>
      </c>
      <c r="E310" s="2" t="s">
        <v>226</v>
      </c>
    </row>
    <row r="311">
      <c r="A311" s="2" t="s">
        <v>453</v>
      </c>
      <c r="B311" s="2" t="s">
        <v>495</v>
      </c>
      <c r="C311" s="2" t="s">
        <v>496</v>
      </c>
      <c r="D311" s="3" t="str">
        <f>HYPERLINK("https://12go.asia/en/travel/cangzhou/sihui", "12Go Link")</f>
        <v>12Go Link</v>
      </c>
      <c r="E311" s="2" t="s">
        <v>226</v>
      </c>
    </row>
    <row r="312">
      <c r="A312" s="2" t="s">
        <v>453</v>
      </c>
      <c r="B312" s="2" t="s">
        <v>497</v>
      </c>
      <c r="C312" s="2" t="s">
        <v>498</v>
      </c>
      <c r="D312" s="3" t="str">
        <f>HYPERLINK("https://12go.asia/en/travel/cangzhou/shanghai-songjiang", "12Go Link")</f>
        <v>12Go Link</v>
      </c>
      <c r="E312" s="2" t="s">
        <v>226</v>
      </c>
    </row>
    <row r="313">
      <c r="A313" s="2" t="s">
        <v>453</v>
      </c>
      <c r="B313" s="2" t="s">
        <v>497</v>
      </c>
      <c r="C313" s="2" t="s">
        <v>499</v>
      </c>
      <c r="D313" s="3" t="str">
        <f>HYPERLINK("https://12go.asia/en/travel/cangzhou/songjiang-shanghai", "12Go Link")</f>
        <v>12Go Link</v>
      </c>
      <c r="E313" s="2" t="s">
        <v>226</v>
      </c>
    </row>
    <row r="314">
      <c r="A314" s="2" t="s">
        <v>453</v>
      </c>
      <c r="B314" s="2" t="s">
        <v>500</v>
      </c>
      <c r="C314" s="2" t="s">
        <v>501</v>
      </c>
      <c r="D314" s="3" t="str">
        <f>HYPERLINK("https://12go.asia/en/travel/cangzhou/taiyuan", "12Go Link")</f>
        <v>12Go Link</v>
      </c>
      <c r="E314" s="2" t="s">
        <v>226</v>
      </c>
    </row>
    <row r="315">
      <c r="A315" s="2" t="s">
        <v>453</v>
      </c>
      <c r="B315" s="2" t="s">
        <v>500</v>
      </c>
      <c r="C315" s="2" t="s">
        <v>502</v>
      </c>
      <c r="D315" s="3" t="str">
        <f>HYPERLINK("https://12go.asia/en/travel/cangzhou/taiyuan-shanxi", "12Go Link")</f>
        <v>12Go Link</v>
      </c>
      <c r="E315" s="2" t="s">
        <v>226</v>
      </c>
    </row>
    <row r="316">
      <c r="A316" s="2" t="s">
        <v>453</v>
      </c>
      <c r="B316" s="2" t="s">
        <v>503</v>
      </c>
      <c r="C316" s="2" t="s">
        <v>504</v>
      </c>
      <c r="D316" s="3" t="str">
        <f>HYPERLINK("https://12go.asia/en/travel/cangzhou/xian", "12Go Link")</f>
        <v>12Go Link</v>
      </c>
      <c r="E316" s="2" t="s">
        <v>226</v>
      </c>
    </row>
    <row r="317">
      <c r="A317" s="2" t="s">
        <v>453</v>
      </c>
      <c r="B317" s="2" t="s">
        <v>505</v>
      </c>
      <c r="C317" s="2" t="s">
        <v>506</v>
      </c>
      <c r="D317" s="3" t="str">
        <f>HYPERLINK("https://12go.asia/en/travel/cangzhou/yijiang", "12Go Link")</f>
        <v>12Go Link</v>
      </c>
      <c r="E317" s="2" t="s">
        <v>226</v>
      </c>
    </row>
    <row r="318">
      <c r="A318" s="2" t="s">
        <v>453</v>
      </c>
      <c r="B318" s="2" t="s">
        <v>507</v>
      </c>
      <c r="C318" s="2" t="s">
        <v>508</v>
      </c>
      <c r="D318" s="3" t="str">
        <f>HYPERLINK("https://12go.asia/en/travel/cangzhou/zhejiang", "12Go Link")</f>
        <v>12Go Link</v>
      </c>
      <c r="E318" s="2" t="s">
        <v>226</v>
      </c>
    </row>
    <row r="319">
      <c r="A319" s="2" t="s">
        <v>453</v>
      </c>
      <c r="B319" s="2" t="s">
        <v>470</v>
      </c>
      <c r="C319" s="2" t="s">
        <v>509</v>
      </c>
      <c r="D319" s="3" t="str">
        <f>HYPERLINK("https://12go.asia/en/travel/cangzhou/zhengzhou", "12Go Link")</f>
        <v>12Go Link</v>
      </c>
      <c r="E319" s="2" t="s">
        <v>226</v>
      </c>
    </row>
    <row r="320">
      <c r="A320" s="2" t="s">
        <v>472</v>
      </c>
      <c r="B320" s="2" t="s">
        <v>510</v>
      </c>
      <c r="C320" s="2" t="s">
        <v>511</v>
      </c>
      <c r="D320" s="3" t="str">
        <f>HYPERLINK("https://12go.asia/en/travel/changchun/guzhang", "12Go Link")</f>
        <v>12Go Link</v>
      </c>
      <c r="E320" s="2" t="s">
        <v>226</v>
      </c>
    </row>
    <row r="321">
      <c r="A321" s="2" t="s">
        <v>472</v>
      </c>
      <c r="B321" s="2" t="s">
        <v>464</v>
      </c>
      <c r="C321" s="2" t="s">
        <v>512</v>
      </c>
      <c r="D321" s="3" t="str">
        <f>HYPERLINK("https://12go.asia/en/travel/changchun-west/panjin", "12Go Link")</f>
        <v>12Go Link</v>
      </c>
      <c r="E321" s="2" t="s">
        <v>226</v>
      </c>
    </row>
    <row r="322">
      <c r="A322" s="2" t="s">
        <v>472</v>
      </c>
      <c r="B322" s="2" t="s">
        <v>464</v>
      </c>
      <c r="C322" s="2" t="s">
        <v>513</v>
      </c>
      <c r="D322" s="3" t="str">
        <f>HYPERLINK("https://12go.asia/en/travel/changchun/panjin", "12Go Link")</f>
        <v>12Go Link</v>
      </c>
      <c r="E322" s="2" t="s">
        <v>226</v>
      </c>
    </row>
    <row r="323">
      <c r="A323" s="2" t="s">
        <v>472</v>
      </c>
      <c r="B323" s="2" t="s">
        <v>497</v>
      </c>
      <c r="C323" s="2" t="s">
        <v>514</v>
      </c>
      <c r="D323" s="3" t="str">
        <f>HYPERLINK("https://12go.asia/en/travel/changchun/shanghai-songjiang", "12Go Link")</f>
        <v>12Go Link</v>
      </c>
      <c r="E323" s="2" t="s">
        <v>226</v>
      </c>
    </row>
    <row r="324">
      <c r="A324" s="2" t="s">
        <v>472</v>
      </c>
      <c r="B324" s="2" t="s">
        <v>497</v>
      </c>
      <c r="C324" s="2" t="s">
        <v>515</v>
      </c>
      <c r="D324" s="3" t="str">
        <f>HYPERLINK("https://12go.asia/en/travel/changchun/songjiang-shanghai", "12Go Link")</f>
        <v>12Go Link</v>
      </c>
      <c r="E324" s="2" t="s">
        <v>226</v>
      </c>
    </row>
    <row r="325">
      <c r="A325" s="2" t="s">
        <v>472</v>
      </c>
      <c r="B325" s="2" t="s">
        <v>516</v>
      </c>
      <c r="C325" s="2" t="s">
        <v>517</v>
      </c>
      <c r="D325" s="3" t="str">
        <f>HYPERLINK("https://12go.asia/en/travel/changchun-west/beijing-chaoyang", "12Go Link")</f>
        <v>12Go Link</v>
      </c>
      <c r="E325" s="2" t="s">
        <v>226</v>
      </c>
    </row>
    <row r="326">
      <c r="A326" s="2" t="s">
        <v>472</v>
      </c>
      <c r="B326" s="2" t="s">
        <v>516</v>
      </c>
      <c r="C326" s="2" t="s">
        <v>518</v>
      </c>
      <c r="D326" s="3" t="str">
        <f>HYPERLINK("https://12go.asia/en/travel/changchun/beijing-chaoyang", "12Go Link")</f>
        <v>12Go Link</v>
      </c>
      <c r="E326" s="2" t="s">
        <v>226</v>
      </c>
    </row>
    <row r="327">
      <c r="A327" s="2" t="s">
        <v>472</v>
      </c>
      <c r="B327" s="2" t="s">
        <v>516</v>
      </c>
      <c r="C327" s="2" t="s">
        <v>519</v>
      </c>
      <c r="D327" s="3" t="str">
        <f>HYPERLINK("https://12go.asia/en/travel/changchun/tacheng", "12Go Link")</f>
        <v>12Go Link</v>
      </c>
      <c r="E327" s="2" t="s">
        <v>226</v>
      </c>
    </row>
    <row r="328">
      <c r="A328" s="2" t="s">
        <v>472</v>
      </c>
      <c r="B328" s="2" t="s">
        <v>520</v>
      </c>
      <c r="C328" s="2" t="s">
        <v>521</v>
      </c>
      <c r="D328" s="3" t="str">
        <f>HYPERLINK("https://12go.asia/en/travel/changchun-west/xinyang-east", "12Go Link")</f>
        <v>12Go Link</v>
      </c>
      <c r="E328" s="2" t="s">
        <v>226</v>
      </c>
    </row>
    <row r="329">
      <c r="A329" s="2" t="s">
        <v>472</v>
      </c>
      <c r="B329" s="2" t="s">
        <v>520</v>
      </c>
      <c r="C329" s="2" t="s">
        <v>522</v>
      </c>
      <c r="D329" s="3" t="str">
        <f>HYPERLINK("https://12go.asia/en/travel/changchun/xinyang", "12Go Link")</f>
        <v>12Go Link</v>
      </c>
      <c r="E329" s="2" t="s">
        <v>226</v>
      </c>
    </row>
    <row r="330">
      <c r="A330" s="2" t="s">
        <v>472</v>
      </c>
      <c r="B330" s="2" t="s">
        <v>523</v>
      </c>
      <c r="C330" s="2" t="s">
        <v>524</v>
      </c>
      <c r="D330" s="3" t="str">
        <f>HYPERLINK("https://12go.asia/en/travel/changchun/xishui", "12Go Link")</f>
        <v>12Go Link</v>
      </c>
      <c r="E330" s="2" t="s">
        <v>226</v>
      </c>
    </row>
    <row r="331">
      <c r="A331" s="2" t="s">
        <v>525</v>
      </c>
      <c r="B331" s="2" t="s">
        <v>526</v>
      </c>
      <c r="C331" s="2" t="s">
        <v>527</v>
      </c>
      <c r="D331" s="3" t="str">
        <f>HYPERLINK("https://12go.asia/en/travel/changde/jiaxiang", "12Go Link")</f>
        <v>12Go Link</v>
      </c>
      <c r="E331" s="2" t="s">
        <v>226</v>
      </c>
    </row>
    <row r="332">
      <c r="A332" s="2" t="s">
        <v>400</v>
      </c>
      <c r="B332" s="2" t="s">
        <v>528</v>
      </c>
      <c r="C332" s="2" t="s">
        <v>529</v>
      </c>
      <c r="D332" s="3" t="str">
        <f>HYPERLINK("https://12go.asia/en/travel/changsha/datong", "12Go Link")</f>
        <v>12Go Link</v>
      </c>
      <c r="E332" s="2" t="s">
        <v>226</v>
      </c>
    </row>
    <row r="333">
      <c r="A333" s="2" t="s">
        <v>400</v>
      </c>
      <c r="B333" s="2" t="s">
        <v>530</v>
      </c>
      <c r="C333" s="2" t="s">
        <v>531</v>
      </c>
      <c r="D333" s="3" t="str">
        <f>HYPERLINK("https://12go.asia/en/travel/changsha/heshan", "12Go Link")</f>
        <v>12Go Link</v>
      </c>
      <c r="E333" s="2" t="s">
        <v>226</v>
      </c>
    </row>
    <row r="334">
      <c r="A334" s="2" t="s">
        <v>400</v>
      </c>
      <c r="B334" s="2" t="s">
        <v>530</v>
      </c>
      <c r="C334" s="2" t="s">
        <v>532</v>
      </c>
      <c r="D334" s="3" t="str">
        <f>HYPERLINK("https://12go.asia/en/travel/changsha/linyi-east", "12Go Link")</f>
        <v>12Go Link</v>
      </c>
      <c r="E334" s="2" t="s">
        <v>226</v>
      </c>
    </row>
    <row r="335">
      <c r="A335" s="2" t="s">
        <v>400</v>
      </c>
      <c r="B335" s="2" t="s">
        <v>533</v>
      </c>
      <c r="C335" s="2" t="s">
        <v>534</v>
      </c>
      <c r="D335" s="3" t="str">
        <f>HYPERLINK("https://12go.asia/en/travel/changsha/huade", "12Go Link")</f>
        <v>12Go Link</v>
      </c>
      <c r="E335" s="2" t="s">
        <v>226</v>
      </c>
    </row>
    <row r="336">
      <c r="A336" s="2" t="s">
        <v>400</v>
      </c>
      <c r="B336" s="2" t="s">
        <v>426</v>
      </c>
      <c r="C336" s="2" t="s">
        <v>535</v>
      </c>
      <c r="D336" s="3" t="str">
        <f>HYPERLINK("https://12go.asia/en/travel/changsha/inner-mongolia", "12Go Link")</f>
        <v>12Go Link</v>
      </c>
      <c r="E336" s="2" t="s">
        <v>226</v>
      </c>
    </row>
    <row r="337">
      <c r="A337" s="2" t="s">
        <v>400</v>
      </c>
      <c r="B337" s="2" t="s">
        <v>443</v>
      </c>
      <c r="C337" s="2" t="s">
        <v>536</v>
      </c>
      <c r="D337" s="3" t="str">
        <f>HYPERLINK("https://12go.asia/en/travel/changsha-south/qianwei", "12Go Link")</f>
        <v>12Go Link</v>
      </c>
      <c r="E337" s="2" t="s">
        <v>226</v>
      </c>
    </row>
    <row r="338">
      <c r="A338" s="2" t="s">
        <v>400</v>
      </c>
      <c r="B338" s="2" t="s">
        <v>537</v>
      </c>
      <c r="C338" s="2" t="s">
        <v>538</v>
      </c>
      <c r="D338" s="3" t="str">
        <f>HYPERLINK("https://12go.asia/en/travel/changsha/yuncheng", "12Go Link")</f>
        <v>12Go Link</v>
      </c>
      <c r="E338" s="2" t="s">
        <v>226</v>
      </c>
    </row>
    <row r="339">
      <c r="A339" s="2" t="s">
        <v>539</v>
      </c>
      <c r="B339" s="2" t="s">
        <v>410</v>
      </c>
      <c r="C339" s="2" t="s">
        <v>540</v>
      </c>
      <c r="D339" s="3" t="str">
        <f>HYPERLINK("https://12go.asia/en/travel/changzhi-north/anyang", "12Go Link")</f>
        <v>12Go Link</v>
      </c>
      <c r="E339" s="2" t="s">
        <v>226</v>
      </c>
    </row>
    <row r="340">
      <c r="A340" s="2" t="s">
        <v>539</v>
      </c>
      <c r="B340" s="2" t="s">
        <v>410</v>
      </c>
      <c r="C340" s="2" t="s">
        <v>541</v>
      </c>
      <c r="D340" s="3" t="str">
        <f>HYPERLINK("https://12go.asia/en/travel/changzhi/anyang", "12Go Link")</f>
        <v>12Go Link</v>
      </c>
      <c r="E340" s="2" t="s">
        <v>226</v>
      </c>
    </row>
    <row r="341">
      <c r="A341" s="2" t="s">
        <v>542</v>
      </c>
      <c r="B341" s="2" t="s">
        <v>543</v>
      </c>
      <c r="C341" s="2" t="s">
        <v>544</v>
      </c>
      <c r="D341" s="3" t="str">
        <f>HYPERLINK("https://12go.asia/en/travel/changzhou/xigu", "12Go Link")</f>
        <v>12Go Link</v>
      </c>
      <c r="E341" s="2" t="s">
        <v>226</v>
      </c>
    </row>
    <row r="342">
      <c r="A342" s="2" t="s">
        <v>542</v>
      </c>
      <c r="B342" s="2" t="s">
        <v>545</v>
      </c>
      <c r="C342" s="2" t="s">
        <v>546</v>
      </c>
      <c r="D342" s="3" t="str">
        <f>HYPERLINK("https://12go.asia/en/travel/changzhou/xinjiang", "12Go Link")</f>
        <v>12Go Link</v>
      </c>
      <c r="E342" s="2" t="s">
        <v>226</v>
      </c>
    </row>
    <row r="343">
      <c r="A343" s="2" t="s">
        <v>542</v>
      </c>
      <c r="B343" s="2" t="s">
        <v>547</v>
      </c>
      <c r="C343" s="2" t="s">
        <v>548</v>
      </c>
      <c r="D343" s="3" t="str">
        <f>HYPERLINK("https://12go.asia/en/travel/changzhou-north/shangqiu-east", "12Go Link")</f>
        <v>12Go Link</v>
      </c>
      <c r="E343" s="2" t="s">
        <v>226</v>
      </c>
    </row>
    <row r="344">
      <c r="A344" s="2" t="s">
        <v>542</v>
      </c>
      <c r="B344" s="2" t="s">
        <v>547</v>
      </c>
      <c r="C344" s="2" t="s">
        <v>549</v>
      </c>
      <c r="D344" s="3" t="str">
        <f>HYPERLINK("https://12go.asia/en/travel/changzhou/yucheng-henan", "12Go Link")</f>
        <v>12Go Link</v>
      </c>
      <c r="E344" s="2" t="s">
        <v>226</v>
      </c>
    </row>
    <row r="345">
      <c r="A345" s="2" t="s">
        <v>542</v>
      </c>
      <c r="B345" s="2" t="s">
        <v>550</v>
      </c>
      <c r="C345" s="2" t="s">
        <v>551</v>
      </c>
      <c r="D345" s="3" t="str">
        <f>HYPERLINK("https://12go.asia/en/travel/changzhou/zhangjiagang", "12Go Link")</f>
        <v>12Go Link</v>
      </c>
      <c r="E345" s="2" t="s">
        <v>226</v>
      </c>
    </row>
    <row r="346">
      <c r="A346" s="2" t="s">
        <v>542</v>
      </c>
      <c r="B346" s="2" t="s">
        <v>550</v>
      </c>
      <c r="C346" s="2" t="s">
        <v>552</v>
      </c>
      <c r="D346" s="3" t="str">
        <f>HYPERLINK("https://12go.asia/en/travel/jintan/zhangjiagang", "12Go Link")</f>
        <v>12Go Link</v>
      </c>
      <c r="E346" s="2" t="s">
        <v>226</v>
      </c>
    </row>
    <row r="347">
      <c r="A347" s="2" t="s">
        <v>553</v>
      </c>
      <c r="B347" s="2" t="s">
        <v>516</v>
      </c>
      <c r="C347" s="2" t="s">
        <v>554</v>
      </c>
      <c r="D347" s="3" t="str">
        <f>HYPERLINK("https://12go.asia/en/travel/chaoyang-liaoning/tacheng", "12Go Link")</f>
        <v>12Go Link</v>
      </c>
      <c r="E347" s="2" t="s">
        <v>226</v>
      </c>
    </row>
    <row r="348">
      <c r="A348" s="2" t="s">
        <v>553</v>
      </c>
      <c r="B348" s="2" t="s">
        <v>516</v>
      </c>
      <c r="C348" s="2" t="s">
        <v>555</v>
      </c>
      <c r="D348" s="3" t="str">
        <f>HYPERLINK("https://12go.asia/en/travel/liaoning-chaoyang/beijing-chaoyang", "12Go Link")</f>
        <v>12Go Link</v>
      </c>
      <c r="E348" s="2" t="s">
        <v>226</v>
      </c>
    </row>
    <row r="349">
      <c r="A349" s="2" t="s">
        <v>556</v>
      </c>
      <c r="B349" s="2" t="s">
        <v>557</v>
      </c>
      <c r="C349" s="2" t="s">
        <v>558</v>
      </c>
      <c r="D349" s="3" t="str">
        <f>HYPERLINK("https://12go.asia/en/travel/chengdu-east/hohhot-east", "12Go Link")</f>
        <v>12Go Link</v>
      </c>
      <c r="E349" s="2" t="s">
        <v>226</v>
      </c>
    </row>
    <row r="350">
      <c r="A350" s="2" t="s">
        <v>559</v>
      </c>
      <c r="B350" s="2" t="s">
        <v>560</v>
      </c>
      <c r="C350" s="2" t="s">
        <v>561</v>
      </c>
      <c r="D350" s="3" t="str">
        <f>HYPERLINK("https://12go.asia/en/travel/chengdu-airport/dujiangyan", "12Go Link")</f>
        <v>12Go Link</v>
      </c>
      <c r="E350" s="2" t="s">
        <v>226</v>
      </c>
    </row>
    <row r="351">
      <c r="A351" s="2" t="s">
        <v>559</v>
      </c>
      <c r="B351" s="2" t="s">
        <v>560</v>
      </c>
      <c r="C351" s="2" t="s">
        <v>562</v>
      </c>
      <c r="D351" s="3" t="str">
        <f>HYPERLINK("https://12go.asia/en/travel/shuangliu-airport/maoxian", "12Go Link")</f>
        <v>12Go Link</v>
      </c>
      <c r="E351" s="2" t="s">
        <v>226</v>
      </c>
    </row>
    <row r="352">
      <c r="A352" s="2" t="s">
        <v>559</v>
      </c>
      <c r="B352" s="2" t="s">
        <v>563</v>
      </c>
      <c r="C352" s="2" t="s">
        <v>564</v>
      </c>
      <c r="D352" s="3" t="str">
        <f>HYPERLINK("https://12go.asia/en/travel/chengdu-airport/jinchengjiang", "12Go Link")</f>
        <v>12Go Link</v>
      </c>
      <c r="E352" s="2" t="s">
        <v>226</v>
      </c>
    </row>
    <row r="353">
      <c r="A353" s="2" t="s">
        <v>559</v>
      </c>
      <c r="B353" s="2" t="s">
        <v>563</v>
      </c>
      <c r="C353" s="2" t="s">
        <v>565</v>
      </c>
      <c r="D353" s="3" t="str">
        <f>HYPERLINK("https://12go.asia/en/travel/shuangliu-airport/luohuang-south", "12Go Link")</f>
        <v>12Go Link</v>
      </c>
      <c r="E353" s="2" t="s">
        <v>226</v>
      </c>
    </row>
    <row r="354">
      <c r="A354" s="2" t="s">
        <v>559</v>
      </c>
      <c r="B354" s="2" t="s">
        <v>566</v>
      </c>
      <c r="C354" s="2" t="s">
        <v>567</v>
      </c>
      <c r="D354" s="3" t="str">
        <f>HYPERLINK("https://12go.asia/en/travel/chengdu-airport/meishan", "12Go Link")</f>
        <v>12Go Link</v>
      </c>
      <c r="E354" s="2" t="s">
        <v>226</v>
      </c>
    </row>
    <row r="355">
      <c r="A355" s="2" t="s">
        <v>559</v>
      </c>
      <c r="B355" s="2" t="s">
        <v>566</v>
      </c>
      <c r="C355" s="2" t="s">
        <v>568</v>
      </c>
      <c r="D355" s="3" t="str">
        <f>HYPERLINK("https://12go.asia/en/travel/shuangliu-airport/meishan-east", "12Go Link")</f>
        <v>12Go Link</v>
      </c>
      <c r="E355" s="2" t="s">
        <v>226</v>
      </c>
    </row>
    <row r="356">
      <c r="A356" s="2" t="s">
        <v>559</v>
      </c>
      <c r="B356" s="2" t="s">
        <v>566</v>
      </c>
      <c r="C356" s="2" t="s">
        <v>569</v>
      </c>
      <c r="D356" s="3" t="str">
        <f>HYPERLINK("https://12go.asia/en/travel/shuangliu-airport/pengshan", "12Go Link")</f>
        <v>12Go Link</v>
      </c>
      <c r="E356" s="2" t="s">
        <v>226</v>
      </c>
    </row>
    <row r="357">
      <c r="A357" s="2" t="s">
        <v>559</v>
      </c>
      <c r="B357" s="2" t="s">
        <v>404</v>
      </c>
      <c r="C357" s="2" t="s">
        <v>570</v>
      </c>
      <c r="D357" s="3" t="str">
        <f>HYPERLINK("https://12go.asia/en/travel/chengdu-airport/shijiazhuang", "12Go Link")</f>
        <v>12Go Link</v>
      </c>
      <c r="E357" s="2" t="s">
        <v>226</v>
      </c>
    </row>
    <row r="358">
      <c r="A358" s="2" t="s">
        <v>559</v>
      </c>
      <c r="B358" s="2" t="s">
        <v>404</v>
      </c>
      <c r="C358" s="2" t="s">
        <v>571</v>
      </c>
      <c r="D358" s="3" t="str">
        <f>HYPERLINK("https://12go.asia/en/travel/shuangliu-airport/shijiazhuang", "12Go Link")</f>
        <v>12Go Link</v>
      </c>
      <c r="E358" s="2" t="s">
        <v>226</v>
      </c>
    </row>
    <row r="359">
      <c r="A359" s="2" t="s">
        <v>572</v>
      </c>
      <c r="B359" s="2" t="s">
        <v>573</v>
      </c>
      <c r="C359" s="2" t="s">
        <v>574</v>
      </c>
      <c r="D359" s="3" t="str">
        <f>HYPERLINK("https://12go.asia/en/travel/chengdu-tianfu-airport/shuangliu", "12Go Link")</f>
        <v>12Go Link</v>
      </c>
      <c r="E359" s="2" t="s">
        <v>226</v>
      </c>
    </row>
    <row r="360">
      <c r="A360" s="2" t="s">
        <v>575</v>
      </c>
      <c r="B360" s="2" t="s">
        <v>576</v>
      </c>
      <c r="C360" s="2" t="s">
        <v>577</v>
      </c>
      <c r="D360" s="3" t="str">
        <f>HYPERLINK("https://12go.asia/en/travel/chongqing-north/deyang", "12Go Link")</f>
        <v>12Go Link</v>
      </c>
      <c r="E360" s="2" t="s">
        <v>226</v>
      </c>
    </row>
    <row r="361">
      <c r="A361" s="2" t="s">
        <v>575</v>
      </c>
      <c r="B361" s="2" t="s">
        <v>576</v>
      </c>
      <c r="C361" s="2" t="s">
        <v>578</v>
      </c>
      <c r="D361" s="3" t="str">
        <f>HYPERLINK("https://12go.asia/en/travel/chongqing-north/luojiang-east", "12Go Link")</f>
        <v>12Go Link</v>
      </c>
      <c r="E361" s="2" t="s">
        <v>226</v>
      </c>
    </row>
    <row r="362">
      <c r="A362" s="2" t="s">
        <v>575</v>
      </c>
      <c r="B362" s="2" t="s">
        <v>576</v>
      </c>
      <c r="C362" s="2" t="s">
        <v>579</v>
      </c>
      <c r="D362" s="3" t="str">
        <f>HYPERLINK("https://12go.asia/en/travel/chongqing-west/deyang", "12Go Link")</f>
        <v>12Go Link</v>
      </c>
      <c r="E362" s="2" t="s">
        <v>226</v>
      </c>
    </row>
    <row r="363">
      <c r="A363" s="2" t="s">
        <v>575</v>
      </c>
      <c r="B363" s="2" t="s">
        <v>576</v>
      </c>
      <c r="C363" s="2" t="s">
        <v>580</v>
      </c>
      <c r="D363" s="3" t="str">
        <f>HYPERLINK("https://12go.asia/en/travel/chongqing/deyang", "12Go Link")</f>
        <v>12Go Link</v>
      </c>
      <c r="E363" s="2" t="s">
        <v>226</v>
      </c>
    </row>
    <row r="364">
      <c r="A364" s="2" t="s">
        <v>581</v>
      </c>
      <c r="B364" s="2" t="s">
        <v>582</v>
      </c>
      <c r="C364" s="2" t="s">
        <v>583</v>
      </c>
      <c r="D364" s="3" t="str">
        <f>HYPERLINK("https://12go.asia/en/travel/dezhou/jiamusi", "12Go Link")</f>
        <v>12Go Link</v>
      </c>
      <c r="E364" s="2" t="s">
        <v>226</v>
      </c>
    </row>
    <row r="365">
      <c r="A365" s="2" t="s">
        <v>581</v>
      </c>
      <c r="B365" s="2" t="s">
        <v>584</v>
      </c>
      <c r="C365" s="2" t="s">
        <v>585</v>
      </c>
      <c r="D365" s="3" t="str">
        <f>HYPERLINK("https://12go.asia/en/travel/dezhou-east/hengdian", "12Go Link")</f>
        <v>12Go Link</v>
      </c>
      <c r="E365" s="2" t="s">
        <v>226</v>
      </c>
    </row>
    <row r="366">
      <c r="A366" s="2" t="s">
        <v>581</v>
      </c>
      <c r="B366" s="2" t="s">
        <v>584</v>
      </c>
      <c r="C366" s="2" t="s">
        <v>586</v>
      </c>
      <c r="D366" s="3" t="str">
        <f>HYPERLINK("https://12go.asia/en/travel/dezhou-east/yiwu", "12Go Link")</f>
        <v>12Go Link</v>
      </c>
      <c r="E366" s="2" t="s">
        <v>226</v>
      </c>
    </row>
    <row r="367">
      <c r="A367" s="2" t="s">
        <v>581</v>
      </c>
      <c r="B367" s="2" t="s">
        <v>584</v>
      </c>
      <c r="C367" s="2" t="s">
        <v>587</v>
      </c>
      <c r="D367" s="3" t="str">
        <f>HYPERLINK("https://12go.asia/en/travel/dezhou/yiwu", "12Go Link")</f>
        <v>12Go Link</v>
      </c>
      <c r="E367" s="2" t="s">
        <v>226</v>
      </c>
    </row>
    <row r="368">
      <c r="A368" s="2" t="s">
        <v>588</v>
      </c>
      <c r="B368" s="2" t="s">
        <v>396</v>
      </c>
      <c r="C368" s="2" t="s">
        <v>589</v>
      </c>
      <c r="D368" s="3" t="str">
        <f>HYPERLINK("https://12go.asia/en/travel/dongcheng-south/beijing", "12Go Link")</f>
        <v>12Go Link</v>
      </c>
      <c r="E368" s="2" t="s">
        <v>226</v>
      </c>
    </row>
    <row r="369">
      <c r="A369" s="2" t="s">
        <v>588</v>
      </c>
      <c r="B369" s="2" t="s">
        <v>590</v>
      </c>
      <c r="C369" s="2" t="s">
        <v>591</v>
      </c>
      <c r="D369" s="3" t="str">
        <f>HYPERLINK("https://12go.asia/en/travel/dongcheng-south/panyu", "12Go Link")</f>
        <v>12Go Link</v>
      </c>
      <c r="E369" s="2" t="s">
        <v>226</v>
      </c>
    </row>
    <row r="370">
      <c r="A370" s="2" t="s">
        <v>588</v>
      </c>
      <c r="B370" s="2" t="s">
        <v>590</v>
      </c>
      <c r="C370" s="2" t="s">
        <v>592</v>
      </c>
      <c r="D370" s="3" t="str">
        <f>HYPERLINK("https://12go.asia/en/travel/xipingxi/panyu", "12Go Link")</f>
        <v>12Go Link</v>
      </c>
      <c r="E370" s="2" t="s">
        <v>226</v>
      </c>
    </row>
    <row r="371">
      <c r="A371" s="2" t="s">
        <v>588</v>
      </c>
      <c r="B371" s="2" t="s">
        <v>593</v>
      </c>
      <c r="C371" s="2" t="s">
        <v>594</v>
      </c>
      <c r="D371" s="3" t="str">
        <f>HYPERLINK("https://12go.asia/en/travel/dongcheng-south/saihan", "12Go Link")</f>
        <v>12Go Link</v>
      </c>
      <c r="E371" s="2" t="s">
        <v>226</v>
      </c>
    </row>
    <row r="372">
      <c r="A372" s="2" t="s">
        <v>588</v>
      </c>
      <c r="B372" s="2" t="s">
        <v>595</v>
      </c>
      <c r="C372" s="2" t="s">
        <v>596</v>
      </c>
      <c r="D372" s="3" t="str">
        <f>HYPERLINK("https://12go.asia/en/travel/dongcheng-south/taizhou-zhejiang", "12Go Link")</f>
        <v>12Go Link</v>
      </c>
      <c r="E372" s="2" t="s">
        <v>226</v>
      </c>
    </row>
    <row r="373">
      <c r="A373" s="2" t="s">
        <v>588</v>
      </c>
      <c r="B373" s="2" t="s">
        <v>520</v>
      </c>
      <c r="C373" s="2" t="s">
        <v>597</v>
      </c>
      <c r="D373" s="3" t="str">
        <f>HYPERLINK("https://12go.asia/en/travel/dongcheng-south/xinyang", "12Go Link")</f>
        <v>12Go Link</v>
      </c>
      <c r="E373" s="2" t="s">
        <v>226</v>
      </c>
    </row>
    <row r="374">
      <c r="A374" s="2" t="s">
        <v>588</v>
      </c>
      <c r="B374" s="2" t="s">
        <v>598</v>
      </c>
      <c r="C374" s="2" t="s">
        <v>599</v>
      </c>
      <c r="D374" s="3" t="str">
        <f>HYPERLINK("https://12go.asia/en/travel/dongcheng-south/yueyang", "12Go Link")</f>
        <v>12Go Link</v>
      </c>
      <c r="E374" s="2" t="s">
        <v>226</v>
      </c>
    </row>
    <row r="375">
      <c r="A375" s="2" t="s">
        <v>588</v>
      </c>
      <c r="B375" s="2" t="s">
        <v>600</v>
      </c>
      <c r="C375" s="2" t="s">
        <v>601</v>
      </c>
      <c r="D375" s="3" t="str">
        <f>HYPERLINK("https://12go.asia/en/travel/dongcheng-south/zhaoqing", "12Go Link")</f>
        <v>12Go Link</v>
      </c>
      <c r="E375" s="2" t="s">
        <v>226</v>
      </c>
    </row>
    <row r="376">
      <c r="A376" s="2" t="s">
        <v>588</v>
      </c>
      <c r="B376" s="2" t="s">
        <v>602</v>
      </c>
      <c r="C376" s="2" t="s">
        <v>603</v>
      </c>
      <c r="D376" s="3" t="str">
        <f>HYPERLINK("https://12go.asia/en/travel/dongcheng-south/zhuzhou", "12Go Link")</f>
        <v>12Go Link</v>
      </c>
      <c r="E376" s="2" t="s">
        <v>226</v>
      </c>
    </row>
    <row r="377">
      <c r="A377" s="2" t="s">
        <v>604</v>
      </c>
      <c r="B377" s="2" t="s">
        <v>605</v>
      </c>
      <c r="C377" s="2" t="s">
        <v>606</v>
      </c>
      <c r="D377" s="3" t="str">
        <f>HYPERLINK("https://12go.asia/en/travel/dongguan/duanzhou", "12Go Link")</f>
        <v>12Go Link</v>
      </c>
      <c r="E377" s="2" t="s">
        <v>226</v>
      </c>
    </row>
    <row r="378">
      <c r="A378" s="2" t="s">
        <v>604</v>
      </c>
      <c r="B378" s="2" t="s">
        <v>607</v>
      </c>
      <c r="C378" s="2" t="s">
        <v>608</v>
      </c>
      <c r="D378" s="3" t="str">
        <f>HYPERLINK("https://12go.asia/en/travel/dongguan-east/guangyuan", "12Go Link")</f>
        <v>12Go Link</v>
      </c>
      <c r="E378" s="2" t="s">
        <v>226</v>
      </c>
    </row>
    <row r="379">
      <c r="A379" s="2" t="s">
        <v>604</v>
      </c>
      <c r="B379" s="2" t="s">
        <v>607</v>
      </c>
      <c r="C379" s="2" t="s">
        <v>609</v>
      </c>
      <c r="D379" s="3" t="str">
        <f>HYPERLINK("https://12go.asia/en/travel/dongguan/guangyuan", "12Go Link")</f>
        <v>12Go Link</v>
      </c>
      <c r="E379" s="2" t="s">
        <v>226</v>
      </c>
    </row>
    <row r="380">
      <c r="A380" s="2" t="s">
        <v>604</v>
      </c>
      <c r="B380" s="2" t="s">
        <v>610</v>
      </c>
      <c r="C380" s="2" t="s">
        <v>611</v>
      </c>
      <c r="D380" s="3" t="str">
        <f>HYPERLINK("https://12go.asia/en/travel/dongguan-east/longchuan", "12Go Link")</f>
        <v>12Go Link</v>
      </c>
      <c r="E380" s="2" t="s">
        <v>226</v>
      </c>
    </row>
    <row r="381">
      <c r="A381" s="2" t="s">
        <v>604</v>
      </c>
      <c r="B381" s="2" t="s">
        <v>610</v>
      </c>
      <c r="C381" s="2" t="s">
        <v>612</v>
      </c>
      <c r="D381" s="3" t="str">
        <f>HYPERLINK("https://12go.asia/en/travel/dongguan/longchuan-guangdong", "12Go Link")</f>
        <v>12Go Link</v>
      </c>
      <c r="E381" s="2" t="s">
        <v>226</v>
      </c>
    </row>
    <row r="382">
      <c r="A382" s="2" t="s">
        <v>604</v>
      </c>
      <c r="B382" s="2" t="s">
        <v>613</v>
      </c>
      <c r="C382" s="2" t="s">
        <v>614</v>
      </c>
      <c r="D382" s="3" t="str">
        <f>HYPERLINK("https://12go.asia/en/travel/dongguan/mingxi", "12Go Link")</f>
        <v>12Go Link</v>
      </c>
      <c r="E382" s="2" t="s">
        <v>226</v>
      </c>
    </row>
    <row r="383">
      <c r="A383" s="2" t="s">
        <v>604</v>
      </c>
      <c r="B383" s="2" t="s">
        <v>615</v>
      </c>
      <c r="C383" s="2" t="s">
        <v>616</v>
      </c>
      <c r="D383" s="3" t="str">
        <f>HYPERLINK("https://12go.asia/en/travel/dongguan-east/nanning", "12Go Link")</f>
        <v>12Go Link</v>
      </c>
      <c r="E383" s="2" t="s">
        <v>226</v>
      </c>
    </row>
    <row r="384">
      <c r="A384" s="2" t="s">
        <v>604</v>
      </c>
      <c r="B384" s="2" t="s">
        <v>615</v>
      </c>
      <c r="C384" s="2" t="s">
        <v>617</v>
      </c>
      <c r="D384" s="3" t="str">
        <f>HYPERLINK("https://12go.asia/en/travel/dongguan/nanning", "12Go Link")</f>
        <v>12Go Link</v>
      </c>
      <c r="E384" s="2" t="s">
        <v>226</v>
      </c>
    </row>
    <row r="385">
      <c r="A385" s="2" t="s">
        <v>604</v>
      </c>
      <c r="B385" s="2" t="s">
        <v>590</v>
      </c>
      <c r="C385" s="2" t="s">
        <v>618</v>
      </c>
      <c r="D385" s="3" t="str">
        <f>HYPERLINK("https://12go.asia/en/travel/dongguan/panyu", "12Go Link")</f>
        <v>12Go Link</v>
      </c>
      <c r="E385" s="2" t="s">
        <v>226</v>
      </c>
    </row>
    <row r="386">
      <c r="A386" s="2" t="s">
        <v>604</v>
      </c>
      <c r="B386" s="2" t="s">
        <v>467</v>
      </c>
      <c r="C386" s="2" t="s">
        <v>619</v>
      </c>
      <c r="D386" s="3" t="str">
        <f>HYPERLINK("https://12go.asia/en/travel/dongguan-east/shangqiu", "12Go Link")</f>
        <v>12Go Link</v>
      </c>
      <c r="E386" s="2" t="s">
        <v>226</v>
      </c>
    </row>
    <row r="387">
      <c r="A387" s="2" t="s">
        <v>604</v>
      </c>
      <c r="B387" s="2" t="s">
        <v>467</v>
      </c>
      <c r="C387" s="2" t="s">
        <v>620</v>
      </c>
      <c r="D387" s="3" t="str">
        <f>HYPERLINK("https://12go.asia/en/travel/dongguan-east/shangqiu-south", "12Go Link")</f>
        <v>12Go Link</v>
      </c>
      <c r="E387" s="2" t="s">
        <v>226</v>
      </c>
    </row>
    <row r="388">
      <c r="A388" s="2" t="s">
        <v>604</v>
      </c>
      <c r="B388" s="2" t="s">
        <v>467</v>
      </c>
      <c r="C388" s="2" t="s">
        <v>621</v>
      </c>
      <c r="D388" s="3" t="str">
        <f>HYPERLINK("https://12go.asia/en/travel/dongguan/shangqiu", "12Go Link")</f>
        <v>12Go Link</v>
      </c>
      <c r="E388" s="2" t="s">
        <v>226</v>
      </c>
    </row>
    <row r="389">
      <c r="A389" s="2" t="s">
        <v>604</v>
      </c>
      <c r="B389" s="2" t="s">
        <v>622</v>
      </c>
      <c r="C389" s="2" t="s">
        <v>623</v>
      </c>
      <c r="D389" s="3" t="str">
        <f>HYPERLINK("https://12go.asia/en/travel/dongguan-east/shenyang-north", "12Go Link")</f>
        <v>12Go Link</v>
      </c>
      <c r="E389" s="2" t="s">
        <v>226</v>
      </c>
    </row>
    <row r="390">
      <c r="A390" s="2" t="s">
        <v>604</v>
      </c>
      <c r="B390" s="2" t="s">
        <v>622</v>
      </c>
      <c r="C390" s="2" t="s">
        <v>624</v>
      </c>
      <c r="D390" s="3" t="str">
        <f>HYPERLINK("https://12go.asia/en/travel/dongguan/shenyang", "12Go Link")</f>
        <v>12Go Link</v>
      </c>
      <c r="E390" s="2" t="s">
        <v>226</v>
      </c>
    </row>
    <row r="391">
      <c r="A391" s="2" t="s">
        <v>604</v>
      </c>
      <c r="B391" s="2" t="s">
        <v>497</v>
      </c>
      <c r="C391" s="2" t="s">
        <v>625</v>
      </c>
      <c r="D391" s="3" t="str">
        <f>HYPERLINK("https://12go.asia/en/travel/dongguan-east/shanghai-songjiang", "12Go Link")</f>
        <v>12Go Link</v>
      </c>
      <c r="E391" s="2" t="s">
        <v>226</v>
      </c>
    </row>
    <row r="392">
      <c r="A392" s="2" t="s">
        <v>604</v>
      </c>
      <c r="B392" s="2" t="s">
        <v>497</v>
      </c>
      <c r="C392" s="2" t="s">
        <v>626</v>
      </c>
      <c r="D392" s="3" t="str">
        <f>HYPERLINK("https://12go.asia/en/travel/dongguan/songjiang-shanghai", "12Go Link")</f>
        <v>12Go Link</v>
      </c>
      <c r="E392" s="2" t="s">
        <v>226</v>
      </c>
    </row>
    <row r="393">
      <c r="A393" s="2" t="s">
        <v>604</v>
      </c>
      <c r="B393" s="2" t="s">
        <v>584</v>
      </c>
      <c r="C393" s="2" t="s">
        <v>627</v>
      </c>
      <c r="D393" s="3" t="str">
        <f>HYPERLINK("https://12go.asia/en/travel/dongguan-east/yiwu", "12Go Link")</f>
        <v>12Go Link</v>
      </c>
      <c r="E393" s="2" t="s">
        <v>226</v>
      </c>
    </row>
    <row r="394">
      <c r="A394" s="2" t="s">
        <v>604</v>
      </c>
      <c r="B394" s="2" t="s">
        <v>584</v>
      </c>
      <c r="C394" s="2" t="s">
        <v>628</v>
      </c>
      <c r="D394" s="3" t="str">
        <f>HYPERLINK("https://12go.asia/en/travel/dongguan/yiwu", "12Go Link")</f>
        <v>12Go Link</v>
      </c>
      <c r="E394" s="2" t="s">
        <v>226</v>
      </c>
    </row>
    <row r="395">
      <c r="A395" s="2" t="s">
        <v>629</v>
      </c>
      <c r="B395" s="2" t="s">
        <v>493</v>
      </c>
      <c r="C395" s="2" t="s">
        <v>630</v>
      </c>
      <c r="D395" s="3" t="str">
        <f>HYPERLINK("https://12go.asia/en/travel/dongsheng-west/shanghai", "12Go Link")</f>
        <v>12Go Link</v>
      </c>
      <c r="E395" s="2" t="s">
        <v>226</v>
      </c>
    </row>
    <row r="396">
      <c r="A396" s="2" t="s">
        <v>629</v>
      </c>
      <c r="B396" s="2" t="s">
        <v>493</v>
      </c>
      <c r="C396" s="2" t="s">
        <v>631</v>
      </c>
      <c r="D396" s="3" t="str">
        <f>HYPERLINK("https://12go.asia/en/travel/dongsheng/shanghai", "12Go Link")</f>
        <v>12Go Link</v>
      </c>
      <c r="E396" s="2" t="s">
        <v>226</v>
      </c>
    </row>
    <row r="397">
      <c r="A397" s="2" t="s">
        <v>605</v>
      </c>
      <c r="B397" s="2" t="s">
        <v>472</v>
      </c>
      <c r="C397" s="2" t="s">
        <v>632</v>
      </c>
      <c r="D397" s="3" t="str">
        <f>HYPERLINK("https://12go.asia/en/travel/duanzhou/changchun", "12Go Link")</f>
        <v>12Go Link</v>
      </c>
      <c r="E397" s="2" t="s">
        <v>226</v>
      </c>
    </row>
    <row r="398">
      <c r="A398" s="2" t="s">
        <v>605</v>
      </c>
      <c r="B398" s="2" t="s">
        <v>604</v>
      </c>
      <c r="C398" s="2" t="s">
        <v>633</v>
      </c>
      <c r="D398" s="3" t="str">
        <f>HYPERLINK("https://12go.asia/en/travel/duanzhou/dongguan", "12Go Link")</f>
        <v>12Go Link</v>
      </c>
      <c r="E398" s="2" t="s">
        <v>226</v>
      </c>
    </row>
    <row r="399">
      <c r="A399" s="2" t="s">
        <v>605</v>
      </c>
      <c r="B399" s="2" t="s">
        <v>634</v>
      </c>
      <c r="C399" s="2" t="s">
        <v>635</v>
      </c>
      <c r="D399" s="3" t="str">
        <f>HYPERLINK("https://12go.asia/en/travel/duanzhou/haikou", "12Go Link")</f>
        <v>12Go Link</v>
      </c>
      <c r="E399" s="2" t="s">
        <v>226</v>
      </c>
    </row>
    <row r="400">
      <c r="A400" s="2" t="s">
        <v>605</v>
      </c>
      <c r="B400" s="2" t="s">
        <v>636</v>
      </c>
      <c r="C400" s="2" t="s">
        <v>637</v>
      </c>
      <c r="D400" s="3" t="str">
        <f>HYPERLINK("https://12go.asia/en/travel/duanzhou/hainan", "12Go Link")</f>
        <v>12Go Link</v>
      </c>
      <c r="E400" s="2" t="s">
        <v>226</v>
      </c>
    </row>
    <row r="401">
      <c r="A401" s="2" t="s">
        <v>605</v>
      </c>
      <c r="B401" s="2" t="s">
        <v>638</v>
      </c>
      <c r="C401" s="2" t="s">
        <v>639</v>
      </c>
      <c r="D401" s="3" t="str">
        <f>HYPERLINK("https://12go.asia/en/travel/duanzhou/huizhou", "12Go Link")</f>
        <v>12Go Link</v>
      </c>
      <c r="E401" s="2" t="s">
        <v>226</v>
      </c>
    </row>
    <row r="402">
      <c r="A402" s="2" t="s">
        <v>605</v>
      </c>
      <c r="B402" s="2" t="s">
        <v>640</v>
      </c>
      <c r="C402" s="2" t="s">
        <v>641</v>
      </c>
      <c r="D402" s="3" t="str">
        <f>HYPERLINK("https://12go.asia/en/travel/duanzhou/jiangbei", "12Go Link")</f>
        <v>12Go Link</v>
      </c>
      <c r="E402" s="2" t="s">
        <v>226</v>
      </c>
    </row>
    <row r="403">
      <c r="A403" s="2" t="s">
        <v>605</v>
      </c>
      <c r="B403" s="2" t="s">
        <v>642</v>
      </c>
      <c r="C403" s="2" t="s">
        <v>643</v>
      </c>
      <c r="D403" s="3" t="str">
        <f>HYPERLINK("https://12go.asia/en/travel/duanzhou/jiangjin", "12Go Link")</f>
        <v>12Go Link</v>
      </c>
      <c r="E403" s="2" t="s">
        <v>226</v>
      </c>
    </row>
    <row r="404">
      <c r="A404" s="2" t="s">
        <v>605</v>
      </c>
      <c r="B404" s="2" t="s">
        <v>644</v>
      </c>
      <c r="C404" s="2" t="s">
        <v>645</v>
      </c>
      <c r="D404" s="3" t="str">
        <f>HYPERLINK("https://12go.asia/en/travel/duanzhou/jiangyuan", "12Go Link")</f>
        <v>12Go Link</v>
      </c>
      <c r="E404" s="2" t="s">
        <v>226</v>
      </c>
    </row>
    <row r="405">
      <c r="A405" s="2" t="s">
        <v>605</v>
      </c>
      <c r="B405" s="2" t="s">
        <v>646</v>
      </c>
      <c r="C405" s="2" t="s">
        <v>647</v>
      </c>
      <c r="D405" s="3" t="str">
        <f>HYPERLINK("https://12go.asia/en/travel/duanzhou/jinhua", "12Go Link")</f>
        <v>12Go Link</v>
      </c>
      <c r="E405" s="2" t="s">
        <v>226</v>
      </c>
    </row>
    <row r="406">
      <c r="A406" s="2" t="s">
        <v>648</v>
      </c>
      <c r="B406" s="2" t="s">
        <v>493</v>
      </c>
      <c r="C406" s="2" t="s">
        <v>649</v>
      </c>
      <c r="D406" s="3" t="str">
        <f>HYPERLINK("https://12go.asia/en/travel/dunhua/shanghai", "12Go Link")</f>
        <v>12Go Link</v>
      </c>
      <c r="E406" s="2" t="s">
        <v>226</v>
      </c>
    </row>
    <row r="407">
      <c r="A407" s="2" t="s">
        <v>648</v>
      </c>
      <c r="B407" s="2" t="s">
        <v>493</v>
      </c>
      <c r="C407" s="2" t="s">
        <v>650</v>
      </c>
      <c r="D407" s="3" t="str">
        <f>HYPERLINK("https://12go.asia/en/travel/huaibei-north/shanghai", "12Go Link")</f>
        <v>12Go Link</v>
      </c>
      <c r="E407" s="2" t="s">
        <v>226</v>
      </c>
    </row>
    <row r="408">
      <c r="A408" s="2" t="s">
        <v>648</v>
      </c>
      <c r="B408" s="2" t="s">
        <v>493</v>
      </c>
      <c r="C408" s="2" t="s">
        <v>651</v>
      </c>
      <c r="D408" s="3" t="str">
        <f>HYPERLINK("https://12go.asia/en/travel/huaibei-north/shanghai-west", "12Go Link")</f>
        <v>12Go Link</v>
      </c>
      <c r="E408" s="2" t="s">
        <v>226</v>
      </c>
    </row>
    <row r="409">
      <c r="A409" s="2" t="s">
        <v>652</v>
      </c>
      <c r="B409" s="2" t="s">
        <v>575</v>
      </c>
      <c r="C409" s="2" t="s">
        <v>653</v>
      </c>
      <c r="D409" s="3" t="str">
        <f>HYPERLINK("https://12go.asia/en/travel/emei/shapingba", "12Go Link")</f>
        <v>12Go Link</v>
      </c>
      <c r="E409" s="2" t="s">
        <v>226</v>
      </c>
    </row>
    <row r="410">
      <c r="A410" s="2" t="s">
        <v>652</v>
      </c>
      <c r="B410" s="2" t="s">
        <v>575</v>
      </c>
      <c r="C410" s="2" t="s">
        <v>654</v>
      </c>
      <c r="D410" s="3" t="str">
        <f>HYPERLINK("https://12go.asia/en/travel/emeishan/shapingba", "12Go Link")</f>
        <v>12Go Link</v>
      </c>
      <c r="E410" s="2" t="s">
        <v>226</v>
      </c>
    </row>
    <row r="411">
      <c r="A411" s="2" t="s">
        <v>652</v>
      </c>
      <c r="B411" s="2" t="s">
        <v>560</v>
      </c>
      <c r="C411" s="2" t="s">
        <v>655</v>
      </c>
      <c r="D411" s="3" t="str">
        <f>HYPERLINK("https://12go.asia/en/travel/emei/lidui-park", "12Go Link")</f>
        <v>12Go Link</v>
      </c>
      <c r="E411" s="2" t="s">
        <v>226</v>
      </c>
    </row>
    <row r="412">
      <c r="A412" s="2" t="s">
        <v>652</v>
      </c>
      <c r="B412" s="2" t="s">
        <v>560</v>
      </c>
      <c r="C412" s="2" t="s">
        <v>656</v>
      </c>
      <c r="D412" s="3" t="str">
        <f>HYPERLINK("https://12go.asia/en/travel/emeishan/dujiangyan", "12Go Link")</f>
        <v>12Go Link</v>
      </c>
      <c r="E412" s="2" t="s">
        <v>226</v>
      </c>
    </row>
    <row r="413">
      <c r="A413" s="2" t="s">
        <v>652</v>
      </c>
      <c r="B413" s="2" t="s">
        <v>560</v>
      </c>
      <c r="C413" s="2" t="s">
        <v>657</v>
      </c>
      <c r="D413" s="3" t="str">
        <f>HYPERLINK("https://12go.asia/en/travel/emeishan/lidui-park", "12Go Link")</f>
        <v>12Go Link</v>
      </c>
      <c r="E413" s="2" t="s">
        <v>226</v>
      </c>
    </row>
    <row r="414">
      <c r="A414" s="2" t="s">
        <v>652</v>
      </c>
      <c r="B414" s="2" t="s">
        <v>560</v>
      </c>
      <c r="C414" s="2" t="s">
        <v>658</v>
      </c>
      <c r="D414" s="3" t="str">
        <f>HYPERLINK("https://12go.asia/en/travel/emeishan/maoxian", "12Go Link")</f>
        <v>12Go Link</v>
      </c>
      <c r="E414" s="2" t="s">
        <v>226</v>
      </c>
    </row>
    <row r="415">
      <c r="A415" s="2" t="s">
        <v>652</v>
      </c>
      <c r="B415" s="2" t="s">
        <v>659</v>
      </c>
      <c r="C415" s="2" t="s">
        <v>660</v>
      </c>
      <c r="D415" s="3" t="str">
        <f>HYPERLINK("https://12go.asia/en/travel/emei/yongren", "12Go Link")</f>
        <v>12Go Link</v>
      </c>
      <c r="E415" s="2" t="s">
        <v>226</v>
      </c>
    </row>
    <row r="416">
      <c r="A416" s="2" t="s">
        <v>652</v>
      </c>
      <c r="B416" s="2" t="s">
        <v>659</v>
      </c>
      <c r="C416" s="2" t="s">
        <v>661</v>
      </c>
      <c r="D416" s="3" t="str">
        <f>HYPERLINK("https://12go.asia/en/travel/emeishan/panzhihua", "12Go Link")</f>
        <v>12Go Link</v>
      </c>
      <c r="E416" s="2" t="s">
        <v>226</v>
      </c>
    </row>
    <row r="417">
      <c r="A417" s="2" t="s">
        <v>662</v>
      </c>
      <c r="B417" s="2" t="s">
        <v>663</v>
      </c>
      <c r="C417" s="2" t="s">
        <v>664</v>
      </c>
      <c r="D417" s="3" t="str">
        <f>HYPERLINK("https://12go.asia/en/travel/fenghuang/hong-kong-west-kowloon", "12Go Link")</f>
        <v>12Go Link</v>
      </c>
      <c r="E417" s="2" t="s">
        <v>226</v>
      </c>
    </row>
    <row r="418">
      <c r="A418" s="2" t="s">
        <v>662</v>
      </c>
      <c r="B418" s="2" t="s">
        <v>663</v>
      </c>
      <c r="C418" s="2" t="s">
        <v>665</v>
      </c>
      <c r="D418" s="3" t="str">
        <f>HYPERLINK("https://12go.asia/en/travel/fenghuanggucheng/hong-kong-west-kowloon", "12Go Link")</f>
        <v>12Go Link</v>
      </c>
      <c r="E418" s="2" t="s">
        <v>226</v>
      </c>
    </row>
    <row r="419">
      <c r="A419" s="2" t="s">
        <v>662</v>
      </c>
      <c r="B419" s="2" t="s">
        <v>666</v>
      </c>
      <c r="C419" s="2" t="s">
        <v>667</v>
      </c>
      <c r="D419" s="3" t="str">
        <f>HYPERLINK("https://12go.asia/en/travel/fenghuang/wuhan", "12Go Link")</f>
        <v>12Go Link</v>
      </c>
      <c r="E419" s="2" t="s">
        <v>226</v>
      </c>
    </row>
    <row r="420">
      <c r="A420" s="2" t="s">
        <v>662</v>
      </c>
      <c r="B420" s="2" t="s">
        <v>666</v>
      </c>
      <c r="C420" s="2" t="s">
        <v>668</v>
      </c>
      <c r="D420" s="3" t="str">
        <f>HYPERLINK("https://12go.asia/en/travel/fenghuanggucheng/wuhan", "12Go Link")</f>
        <v>12Go Link</v>
      </c>
      <c r="E420" s="2" t="s">
        <v>226</v>
      </c>
    </row>
    <row r="421">
      <c r="A421" s="2" t="s">
        <v>662</v>
      </c>
      <c r="B421" s="2" t="s">
        <v>669</v>
      </c>
      <c r="C421" s="2" t="s">
        <v>670</v>
      </c>
      <c r="D421" s="3" t="str">
        <f>HYPERLINK("https://12go.asia/en/travel/fenghuang/kowloon", "12Go Link")</f>
        <v>12Go Link</v>
      </c>
      <c r="E421" s="2" t="s">
        <v>226</v>
      </c>
    </row>
    <row r="422">
      <c r="A422" s="2" t="s">
        <v>434</v>
      </c>
      <c r="B422" s="2" t="s">
        <v>482</v>
      </c>
      <c r="C422" s="2" t="s">
        <v>671</v>
      </c>
      <c r="D422" s="3" t="str">
        <f>HYPERLINK("https://12go.asia/en/travel/fengrun/huludao", "12Go Link")</f>
        <v>12Go Link</v>
      </c>
      <c r="E422" s="2" t="s">
        <v>226</v>
      </c>
    </row>
    <row r="423">
      <c r="A423" s="2" t="s">
        <v>434</v>
      </c>
      <c r="B423" s="2" t="s">
        <v>482</v>
      </c>
      <c r="C423" s="2" t="s">
        <v>672</v>
      </c>
      <c r="D423" s="3" t="str">
        <f>HYPERLINK("https://12go.asia/en/travel/tangshan-west/huludao-north", "12Go Link")</f>
        <v>12Go Link</v>
      </c>
      <c r="E423" s="2" t="s">
        <v>226</v>
      </c>
    </row>
    <row r="424">
      <c r="A424" s="2" t="s">
        <v>673</v>
      </c>
      <c r="B424" s="2" t="s">
        <v>557</v>
      </c>
      <c r="C424" s="2" t="s">
        <v>674</v>
      </c>
      <c r="D424" s="3" t="str">
        <f>HYPERLINK("https://12go.asia/en/travel/gaocheng-south/hohhot-east", "12Go Link")</f>
        <v>12Go Link</v>
      </c>
      <c r="E424" s="2" t="s">
        <v>226</v>
      </c>
    </row>
    <row r="425">
      <c r="A425" s="2" t="s">
        <v>673</v>
      </c>
      <c r="B425" s="2" t="s">
        <v>557</v>
      </c>
      <c r="C425" s="2" t="s">
        <v>675</v>
      </c>
      <c r="D425" s="3" t="str">
        <f>HYPERLINK("https://12go.asia/en/travel/gaocheng/hohhot", "12Go Link")</f>
        <v>12Go Link</v>
      </c>
      <c r="E425" s="2" t="s">
        <v>226</v>
      </c>
    </row>
    <row r="426">
      <c r="A426" s="2" t="s">
        <v>673</v>
      </c>
      <c r="B426" s="2" t="s">
        <v>676</v>
      </c>
      <c r="C426" s="2" t="s">
        <v>677</v>
      </c>
      <c r="D426" s="3" t="str">
        <f>HYPERLINK("https://12go.asia/en/travel/gaocheng/taian", "12Go Link")</f>
        <v>12Go Link</v>
      </c>
      <c r="E426" s="2" t="s">
        <v>226</v>
      </c>
    </row>
    <row r="427">
      <c r="A427" s="2" t="s">
        <v>678</v>
      </c>
      <c r="B427" s="2" t="s">
        <v>679</v>
      </c>
      <c r="C427" s="2" t="s">
        <v>680</v>
      </c>
      <c r="D427" s="3" t="str">
        <f>HYPERLINK("https://12go.asia/en/travel/guangdong/jinkouhe", "12Go Link")</f>
        <v>12Go Link</v>
      </c>
      <c r="E427" s="2" t="s">
        <v>226</v>
      </c>
    </row>
    <row r="428">
      <c r="A428" s="2" t="s">
        <v>681</v>
      </c>
      <c r="B428" s="2" t="s">
        <v>682</v>
      </c>
      <c r="C428" s="2" t="s">
        <v>683</v>
      </c>
      <c r="D428" s="3" t="str">
        <f>HYPERLINK("https://12go.asia/en/travel/guangxi/litang-guangxi", "12Go Link")</f>
        <v>12Go Link</v>
      </c>
      <c r="E428" s="2" t="s">
        <v>226</v>
      </c>
    </row>
    <row r="429">
      <c r="A429" s="2" t="s">
        <v>681</v>
      </c>
      <c r="B429" s="2" t="s">
        <v>684</v>
      </c>
      <c r="C429" s="2" t="s">
        <v>685</v>
      </c>
      <c r="D429" s="3" t="str">
        <f>HYPERLINK("https://12go.asia/en/travel/guangxi/qujing", "12Go Link")</f>
        <v>12Go Link</v>
      </c>
      <c r="E429" s="2" t="s">
        <v>226</v>
      </c>
    </row>
    <row r="430">
      <c r="A430" s="2" t="s">
        <v>607</v>
      </c>
      <c r="B430" s="2" t="s">
        <v>686</v>
      </c>
      <c r="C430" s="2" t="s">
        <v>687</v>
      </c>
      <c r="D430" s="3" t="str">
        <f>HYPERLINK("https://12go.asia/en/travel/guangyuan/jiangsu", "12Go Link")</f>
        <v>12Go Link</v>
      </c>
      <c r="E430" s="2" t="s">
        <v>226</v>
      </c>
    </row>
    <row r="431">
      <c r="A431" s="2" t="s">
        <v>607</v>
      </c>
      <c r="B431" s="2" t="s">
        <v>688</v>
      </c>
      <c r="C431" s="2" t="s">
        <v>689</v>
      </c>
      <c r="D431" s="3" t="str">
        <f>HYPERLINK("https://12go.asia/en/travel/guangyuan/nanjing", "12Go Link")</f>
        <v>12Go Link</v>
      </c>
      <c r="E431" s="2" t="s">
        <v>226</v>
      </c>
    </row>
    <row r="432">
      <c r="A432" s="2" t="s">
        <v>607</v>
      </c>
      <c r="B432" s="2" t="s">
        <v>688</v>
      </c>
      <c r="C432" s="2" t="s">
        <v>690</v>
      </c>
      <c r="D432" s="3" t="str">
        <f>HYPERLINK("https://12go.asia/en/travel/guangyuan/nanjing-south", "12Go Link")</f>
        <v>12Go Link</v>
      </c>
      <c r="E432" s="2" t="s">
        <v>226</v>
      </c>
    </row>
    <row r="433">
      <c r="A433" s="2" t="s">
        <v>607</v>
      </c>
      <c r="B433" s="2" t="s">
        <v>691</v>
      </c>
      <c r="C433" s="2" t="s">
        <v>692</v>
      </c>
      <c r="D433" s="3" t="str">
        <f>HYPERLINK("https://12go.asia/en/travel/guangyuan/wulong", "12Go Link")</f>
        <v>12Go Link</v>
      </c>
      <c r="E433" s="2" t="s">
        <v>226</v>
      </c>
    </row>
    <row r="434">
      <c r="A434" s="2" t="s">
        <v>693</v>
      </c>
      <c r="B434" s="2" t="s">
        <v>607</v>
      </c>
      <c r="C434" s="2" t="s">
        <v>694</v>
      </c>
      <c r="D434" s="3" t="str">
        <f>HYPERLINK("https://12go.asia/en/travel/guangzhou-north/guangyuan", "12Go Link")</f>
        <v>12Go Link</v>
      </c>
      <c r="E434" s="2" t="s">
        <v>226</v>
      </c>
    </row>
    <row r="435">
      <c r="A435" s="2" t="s">
        <v>693</v>
      </c>
      <c r="B435" s="2" t="s">
        <v>695</v>
      </c>
      <c r="C435" s="2" t="s">
        <v>696</v>
      </c>
      <c r="D435" s="3" t="str">
        <f>HYPERLINK("https://12go.asia/en/travel/guangzhou-north/shanwei", "12Go Link")</f>
        <v>12Go Link</v>
      </c>
      <c r="E435" s="2" t="s">
        <v>226</v>
      </c>
    </row>
    <row r="436">
      <c r="A436" s="2" t="s">
        <v>697</v>
      </c>
      <c r="B436" s="2" t="s">
        <v>698</v>
      </c>
      <c r="C436" s="2" t="s">
        <v>699</v>
      </c>
      <c r="D436" s="3" t="str">
        <f>HYPERLINK("https://12go.asia/en/travel/guilin-north/jian-jiangxi", "12Go Link")</f>
        <v>12Go Link</v>
      </c>
      <c r="E436" s="2" t="s">
        <v>226</v>
      </c>
    </row>
    <row r="437">
      <c r="A437" s="2" t="s">
        <v>697</v>
      </c>
      <c r="B437" s="2" t="s">
        <v>698</v>
      </c>
      <c r="C437" s="2" t="s">
        <v>700</v>
      </c>
      <c r="D437" s="3" t="str">
        <f>HYPERLINK("https://12go.asia/en/travel/guilin/jian-jiangxi", "12Go Link")</f>
        <v>12Go Link</v>
      </c>
      <c r="E437" s="2" t="s">
        <v>226</v>
      </c>
    </row>
    <row r="438">
      <c r="A438" s="2" t="s">
        <v>701</v>
      </c>
      <c r="B438" s="2" t="s">
        <v>702</v>
      </c>
      <c r="C438" s="2" t="s">
        <v>703</v>
      </c>
      <c r="D438" s="3" t="str">
        <f>HYPERLINK("https://12go.asia/en/travel/gulang-north/tianshui-south", "12Go Link")</f>
        <v>12Go Link</v>
      </c>
      <c r="E438" s="2" t="s">
        <v>226</v>
      </c>
    </row>
    <row r="439">
      <c r="A439" s="2" t="s">
        <v>701</v>
      </c>
      <c r="B439" s="2" t="s">
        <v>702</v>
      </c>
      <c r="C439" s="2" t="s">
        <v>704</v>
      </c>
      <c r="D439" s="3" t="str">
        <f>HYPERLINK("https://12go.asia/en/travel/gulang/tianshui", "12Go Link")</f>
        <v>12Go Link</v>
      </c>
      <c r="E439" s="2" t="s">
        <v>226</v>
      </c>
    </row>
    <row r="440">
      <c r="A440" s="2" t="s">
        <v>510</v>
      </c>
      <c r="B440" s="2" t="s">
        <v>705</v>
      </c>
      <c r="C440" s="2" t="s">
        <v>706</v>
      </c>
      <c r="D440" s="3" t="str">
        <f>HYPERLINK("https://12go.asia/en/travel/guzhang/baise", "12Go Link")</f>
        <v>12Go Link</v>
      </c>
      <c r="E440" s="2" t="s">
        <v>226</v>
      </c>
    </row>
    <row r="441">
      <c r="A441" s="2" t="s">
        <v>510</v>
      </c>
      <c r="B441" s="2" t="s">
        <v>707</v>
      </c>
      <c r="C441" s="2" t="s">
        <v>708</v>
      </c>
      <c r="D441" s="3" t="str">
        <f>HYPERLINK("https://12go.asia/en/travel/guzhang/shizhong", "12Go Link")</f>
        <v>12Go Link</v>
      </c>
      <c r="E441" s="2" t="s">
        <v>226</v>
      </c>
    </row>
    <row r="442">
      <c r="A442" s="2" t="s">
        <v>510</v>
      </c>
      <c r="B442" s="2" t="s">
        <v>709</v>
      </c>
      <c r="C442" s="2" t="s">
        <v>710</v>
      </c>
      <c r="D442" s="3" t="str">
        <f>HYPERLINK("https://12go.asia/en/travel/jinyangnan/longdongbao", "12Go Link")</f>
        <v>12Go Link</v>
      </c>
      <c r="E442" s="2" t="s">
        <v>226</v>
      </c>
    </row>
    <row r="443">
      <c r="A443" s="2" t="s">
        <v>510</v>
      </c>
      <c r="B443" s="2" t="s">
        <v>711</v>
      </c>
      <c r="C443" s="2" t="s">
        <v>712</v>
      </c>
      <c r="D443" s="3" t="str">
        <f>HYPERLINK("https://12go.asia/en/travel/guzhang/yulin-guangxi", "12Go Link")</f>
        <v>12Go Link</v>
      </c>
      <c r="E443" s="2" t="s">
        <v>226</v>
      </c>
    </row>
    <row r="444">
      <c r="A444" s="2" t="s">
        <v>634</v>
      </c>
      <c r="B444" s="2" t="s">
        <v>713</v>
      </c>
      <c r="C444" s="2" t="s">
        <v>714</v>
      </c>
      <c r="D444" s="3" t="str">
        <f>HYPERLINK("https://12go.asia/en/travel/haikou/hengyang", "12Go Link")</f>
        <v>12Go Link</v>
      </c>
      <c r="E444" s="2" t="s">
        <v>226</v>
      </c>
    </row>
    <row r="445">
      <c r="A445" s="2" t="s">
        <v>636</v>
      </c>
      <c r="B445" s="2" t="s">
        <v>713</v>
      </c>
      <c r="C445" s="2" t="s">
        <v>715</v>
      </c>
      <c r="D445" s="3" t="str">
        <f>HYPERLINK("https://12go.asia/en/travel/hainan/hengyang", "12Go Link")</f>
        <v>12Go Link</v>
      </c>
      <c r="E445" s="2" t="s">
        <v>226</v>
      </c>
    </row>
    <row r="446">
      <c r="A446" s="2" t="s">
        <v>716</v>
      </c>
      <c r="B446" s="2" t="s">
        <v>542</v>
      </c>
      <c r="C446" s="2" t="s">
        <v>717</v>
      </c>
      <c r="D446" s="3" t="str">
        <f>HYPERLINK("https://12go.asia/en/travel/haining/changzhou", "12Go Link")</f>
        <v>12Go Link</v>
      </c>
      <c r="E446" s="2" t="s">
        <v>226</v>
      </c>
    </row>
    <row r="447">
      <c r="A447" s="2" t="s">
        <v>716</v>
      </c>
      <c r="B447" s="2" t="s">
        <v>718</v>
      </c>
      <c r="C447" s="2" t="s">
        <v>719</v>
      </c>
      <c r="D447" s="3" t="str">
        <f>HYPERLINK("https://12go.asia/en/travel/haining/guizhou", "12Go Link")</f>
        <v>12Go Link</v>
      </c>
      <c r="E447" s="2" t="s">
        <v>226</v>
      </c>
    </row>
    <row r="448">
      <c r="A448" s="2" t="s">
        <v>716</v>
      </c>
      <c r="B448" s="2" t="s">
        <v>510</v>
      </c>
      <c r="C448" s="2" t="s">
        <v>720</v>
      </c>
      <c r="D448" s="3" t="str">
        <f>HYPERLINK("https://12go.asia/en/travel/haining/guzhang", "12Go Link")</f>
        <v>12Go Link</v>
      </c>
      <c r="E448" s="2" t="s">
        <v>226</v>
      </c>
    </row>
    <row r="449">
      <c r="A449" s="2" t="s">
        <v>716</v>
      </c>
      <c r="B449" s="2" t="s">
        <v>634</v>
      </c>
      <c r="C449" s="2" t="s">
        <v>721</v>
      </c>
      <c r="D449" s="3" t="str">
        <f>HYPERLINK("https://12go.asia/en/travel/haining/haikou", "12Go Link")</f>
        <v>12Go Link</v>
      </c>
      <c r="E449" s="2" t="s">
        <v>226</v>
      </c>
    </row>
    <row r="450">
      <c r="A450" s="2" t="s">
        <v>716</v>
      </c>
      <c r="B450" s="2" t="s">
        <v>478</v>
      </c>
      <c r="C450" s="2" t="s">
        <v>722</v>
      </c>
      <c r="D450" s="3" t="str">
        <f>HYPERLINK("https://12go.asia/en/travel/haining/henan", "12Go Link")</f>
        <v>12Go Link</v>
      </c>
      <c r="E450" s="2" t="s">
        <v>226</v>
      </c>
    </row>
    <row r="451">
      <c r="A451" s="2" t="s">
        <v>716</v>
      </c>
      <c r="B451" s="2" t="s">
        <v>723</v>
      </c>
      <c r="C451" s="2" t="s">
        <v>724</v>
      </c>
      <c r="D451" s="3" t="str">
        <f>HYPERLINK("https://12go.asia/en/travel/haining/guangzhoubaiyun", "12Go Link")</f>
        <v>12Go Link</v>
      </c>
      <c r="E451" s="2" t="s">
        <v>226</v>
      </c>
    </row>
    <row r="452">
      <c r="A452" s="2" t="s">
        <v>716</v>
      </c>
      <c r="B452" s="2" t="s">
        <v>723</v>
      </c>
      <c r="C452" s="2" t="s">
        <v>725</v>
      </c>
      <c r="D452" s="3" t="str">
        <f>HYPERLINK("https://12go.asia/en/travel/haining/huaxi", "12Go Link")</f>
        <v>12Go Link</v>
      </c>
      <c r="E452" s="2" t="s">
        <v>226</v>
      </c>
    </row>
    <row r="453">
      <c r="A453" s="2" t="s">
        <v>716</v>
      </c>
      <c r="B453" s="2" t="s">
        <v>686</v>
      </c>
      <c r="C453" s="2" t="s">
        <v>726</v>
      </c>
      <c r="D453" s="3" t="str">
        <f>HYPERLINK("https://12go.asia/en/travel/haining/jiangsu", "12Go Link")</f>
        <v>12Go Link</v>
      </c>
      <c r="E453" s="2" t="s">
        <v>226</v>
      </c>
    </row>
    <row r="454">
      <c r="A454" s="2" t="s">
        <v>716</v>
      </c>
      <c r="B454" s="2" t="s">
        <v>456</v>
      </c>
      <c r="C454" s="2" t="s">
        <v>727</v>
      </c>
      <c r="D454" s="3" t="str">
        <f>HYPERLINK("https://12go.asia/en/travel/haining/jiangzhou", "12Go Link")</f>
        <v>12Go Link</v>
      </c>
      <c r="E454" s="2" t="s">
        <v>226</v>
      </c>
    </row>
    <row r="455">
      <c r="A455" s="2" t="s">
        <v>716</v>
      </c>
      <c r="B455" s="2" t="s">
        <v>728</v>
      </c>
      <c r="C455" s="2" t="s">
        <v>729</v>
      </c>
      <c r="D455" s="3" t="str">
        <f>HYPERLINK("https://12go.asia/en/travel/haining/shaanxi", "12Go Link")</f>
        <v>12Go Link</v>
      </c>
      <c r="E455" s="2" t="s">
        <v>226</v>
      </c>
    </row>
    <row r="456">
      <c r="A456" s="2" t="s">
        <v>716</v>
      </c>
      <c r="B456" s="2" t="s">
        <v>503</v>
      </c>
      <c r="C456" s="2" t="s">
        <v>730</v>
      </c>
      <c r="D456" s="3" t="str">
        <f>HYPERLINK("https://12go.asia/en/travel/haining/xian", "12Go Link")</f>
        <v>12Go Link</v>
      </c>
      <c r="E456" s="2" t="s">
        <v>226</v>
      </c>
    </row>
    <row r="457">
      <c r="A457" s="2" t="s">
        <v>716</v>
      </c>
      <c r="B457" s="2" t="s">
        <v>523</v>
      </c>
      <c r="C457" s="2" t="s">
        <v>731</v>
      </c>
      <c r="D457" s="3" t="str">
        <f>HYPERLINK("https://12go.asia/en/travel/haining/xishui", "12Go Link")</f>
        <v>12Go Link</v>
      </c>
      <c r="E457" s="2" t="s">
        <v>226</v>
      </c>
    </row>
    <row r="458">
      <c r="A458" s="2" t="s">
        <v>716</v>
      </c>
      <c r="B458" s="2" t="s">
        <v>470</v>
      </c>
      <c r="C458" s="2" t="s">
        <v>732</v>
      </c>
      <c r="D458" s="3" t="str">
        <f>HYPERLINK("https://12go.asia/en/travel/haining/zhengzhou", "12Go Link")</f>
        <v>12Go Link</v>
      </c>
      <c r="E458" s="2" t="s">
        <v>226</v>
      </c>
    </row>
    <row r="459">
      <c r="A459" s="2" t="s">
        <v>733</v>
      </c>
      <c r="B459" s="2" t="s">
        <v>556</v>
      </c>
      <c r="C459" s="2" t="s">
        <v>734</v>
      </c>
      <c r="D459" s="3" t="str">
        <f>HYPERLINK("https://12go.asia/en/travel/hami/chengdu-west", "12Go Link")</f>
        <v>12Go Link</v>
      </c>
      <c r="E459" s="2" t="s">
        <v>226</v>
      </c>
    </row>
    <row r="460">
      <c r="A460" s="2" t="s">
        <v>733</v>
      </c>
      <c r="B460" s="2" t="s">
        <v>500</v>
      </c>
      <c r="C460" s="2" t="s">
        <v>735</v>
      </c>
      <c r="D460" s="3" t="str">
        <f>HYPERLINK("https://12go.asia/en/travel/hami/taiyuan", "12Go Link")</f>
        <v>12Go Link</v>
      </c>
      <c r="E460" s="2" t="s">
        <v>226</v>
      </c>
    </row>
    <row r="461">
      <c r="A461" s="2" t="s">
        <v>733</v>
      </c>
      <c r="B461" s="2" t="s">
        <v>500</v>
      </c>
      <c r="C461" s="2" t="s">
        <v>736</v>
      </c>
      <c r="D461" s="3" t="str">
        <f>HYPERLINK("https://12go.asia/en/travel/hami/taiyuan-shanxi", "12Go Link")</f>
        <v>12Go Link</v>
      </c>
      <c r="E461" s="2" t="s">
        <v>226</v>
      </c>
    </row>
    <row r="462">
      <c r="A462" s="2" t="s">
        <v>733</v>
      </c>
      <c r="B462" s="2" t="s">
        <v>500</v>
      </c>
      <c r="C462" s="2" t="s">
        <v>737</v>
      </c>
      <c r="D462" s="3" t="str">
        <f>HYPERLINK("https://12go.asia/en/travel/hami/taiyuan-south", "12Go Link")</f>
        <v>12Go Link</v>
      </c>
      <c r="E462" s="2" t="s">
        <v>226</v>
      </c>
    </row>
    <row r="463">
      <c r="A463" s="2" t="s">
        <v>733</v>
      </c>
      <c r="B463" s="2" t="s">
        <v>428</v>
      </c>
      <c r="C463" s="2" t="s">
        <v>738</v>
      </c>
      <c r="D463" s="3" t="str">
        <f>HYPERLINK("https://12go.asia/en/travel/hami/wenjiang", "12Go Link")</f>
        <v>12Go Link</v>
      </c>
      <c r="E463" s="2" t="s">
        <v>226</v>
      </c>
    </row>
    <row r="464">
      <c r="A464" s="2" t="s">
        <v>474</v>
      </c>
      <c r="B464" s="2" t="s">
        <v>453</v>
      </c>
      <c r="C464" s="2" t="s">
        <v>739</v>
      </c>
      <c r="D464" s="3" t="str">
        <f>HYPERLINK("https://12go.asia/en/travel/handan/cangzhou", "12Go Link")</f>
        <v>12Go Link</v>
      </c>
      <c r="E464" s="2" t="s">
        <v>226</v>
      </c>
    </row>
    <row r="465">
      <c r="A465" s="2" t="s">
        <v>474</v>
      </c>
      <c r="B465" s="2" t="s">
        <v>528</v>
      </c>
      <c r="C465" s="2" t="s">
        <v>740</v>
      </c>
      <c r="D465" s="3" t="str">
        <f>HYPERLINK("https://12go.asia/en/travel/handan/datong", "12Go Link")</f>
        <v>12Go Link</v>
      </c>
      <c r="E465" s="2" t="s">
        <v>226</v>
      </c>
    </row>
    <row r="466">
      <c r="A466" s="2" t="s">
        <v>474</v>
      </c>
      <c r="B466" s="2" t="s">
        <v>557</v>
      </c>
      <c r="C466" s="2" t="s">
        <v>741</v>
      </c>
      <c r="D466" s="3" t="str">
        <f>HYPERLINK("https://12go.asia/en/travel/handan/hohhot-east", "12Go Link")</f>
        <v>12Go Link</v>
      </c>
      <c r="E466" s="2" t="s">
        <v>226</v>
      </c>
    </row>
    <row r="467">
      <c r="A467" s="2" t="s">
        <v>474</v>
      </c>
      <c r="B467" s="2" t="s">
        <v>742</v>
      </c>
      <c r="C467" s="2" t="s">
        <v>743</v>
      </c>
      <c r="D467" s="3" t="str">
        <f>HYPERLINK("https://12go.asia/en/travel/handan-east/jieshou-south", "12Go Link")</f>
        <v>12Go Link</v>
      </c>
      <c r="E467" s="2" t="s">
        <v>226</v>
      </c>
    </row>
    <row r="468">
      <c r="A468" s="2" t="s">
        <v>474</v>
      </c>
      <c r="B468" s="2" t="s">
        <v>742</v>
      </c>
      <c r="C468" s="2" t="s">
        <v>744</v>
      </c>
      <c r="D468" s="3" t="str">
        <f>HYPERLINK("https://12go.asia/en/travel/handan/jieshou", "12Go Link")</f>
        <v>12Go Link</v>
      </c>
      <c r="E468" s="2" t="s">
        <v>226</v>
      </c>
    </row>
    <row r="469">
      <c r="A469" s="2" t="s">
        <v>474</v>
      </c>
      <c r="B469" s="2" t="s">
        <v>516</v>
      </c>
      <c r="C469" s="2" t="s">
        <v>745</v>
      </c>
      <c r="D469" s="3" t="str">
        <f>HYPERLINK("https://12go.asia/en/travel/handan-east/beijing-chaoyang", "12Go Link")</f>
        <v>12Go Link</v>
      </c>
      <c r="E469" s="2" t="s">
        <v>226</v>
      </c>
    </row>
    <row r="470">
      <c r="A470" s="2" t="s">
        <v>474</v>
      </c>
      <c r="B470" s="2" t="s">
        <v>516</v>
      </c>
      <c r="C470" s="2" t="s">
        <v>746</v>
      </c>
      <c r="D470" s="3" t="str">
        <f>HYPERLINK("https://12go.asia/en/travel/handan/tacheng", "12Go Link")</f>
        <v>12Go Link</v>
      </c>
      <c r="E470" s="2" t="s">
        <v>226</v>
      </c>
    </row>
    <row r="471">
      <c r="A471" s="2" t="s">
        <v>474</v>
      </c>
      <c r="B471" s="2" t="s">
        <v>676</v>
      </c>
      <c r="C471" s="2" t="s">
        <v>747</v>
      </c>
      <c r="D471" s="3" t="str">
        <f>HYPERLINK("https://12go.asia/en/travel/handan/taian", "12Go Link")</f>
        <v>12Go Link</v>
      </c>
      <c r="E471" s="2" t="s">
        <v>226</v>
      </c>
    </row>
    <row r="472">
      <c r="A472" s="2" t="s">
        <v>474</v>
      </c>
      <c r="B472" s="2" t="s">
        <v>748</v>
      </c>
      <c r="C472" s="2" t="s">
        <v>749</v>
      </c>
      <c r="D472" s="3" t="str">
        <f>HYPERLINK("https://12go.asia/en/travel/handan/yangchun", "12Go Link")</f>
        <v>12Go Link</v>
      </c>
      <c r="E472" s="2" t="s">
        <v>226</v>
      </c>
    </row>
    <row r="473">
      <c r="A473" s="2" t="s">
        <v>750</v>
      </c>
      <c r="B473" s="2" t="s">
        <v>426</v>
      </c>
      <c r="C473" s="2" t="s">
        <v>751</v>
      </c>
      <c r="D473" s="3" t="str">
        <f>HYPERLINK("https://12go.asia/en/travel/hangzhou/inner-mongolia", "12Go Link")</f>
        <v>12Go Link</v>
      </c>
      <c r="E473" s="2" t="s">
        <v>226</v>
      </c>
    </row>
    <row r="474">
      <c r="A474" s="2" t="s">
        <v>750</v>
      </c>
      <c r="B474" s="2" t="s">
        <v>550</v>
      </c>
      <c r="C474" s="2" t="s">
        <v>752</v>
      </c>
      <c r="D474" s="3" t="str">
        <f>HYPERLINK("https://12go.asia/en/travel/hangzhou-east/zhangjiagang", "12Go Link")</f>
        <v>12Go Link</v>
      </c>
      <c r="E474" s="2" t="s">
        <v>226</v>
      </c>
    </row>
    <row r="475">
      <c r="A475" s="2" t="s">
        <v>750</v>
      </c>
      <c r="B475" s="2" t="s">
        <v>550</v>
      </c>
      <c r="C475" s="2" t="s">
        <v>753</v>
      </c>
      <c r="D475" s="3" t="str">
        <f>HYPERLINK("https://12go.asia/en/travel/hangzhou-south/zhangjiagang", "12Go Link")</f>
        <v>12Go Link</v>
      </c>
      <c r="E475" s="2" t="s">
        <v>226</v>
      </c>
    </row>
    <row r="476">
      <c r="A476" s="2" t="s">
        <v>750</v>
      </c>
      <c r="B476" s="2" t="s">
        <v>550</v>
      </c>
      <c r="C476" s="2" t="s">
        <v>754</v>
      </c>
      <c r="D476" s="3" t="str">
        <f>HYPERLINK("https://12go.asia/en/travel/hangzhou/zhangjiagang", "12Go Link")</f>
        <v>12Go Link</v>
      </c>
      <c r="E476" s="2" t="s">
        <v>226</v>
      </c>
    </row>
    <row r="477">
      <c r="A477" s="2" t="s">
        <v>755</v>
      </c>
      <c r="B477" s="2" t="s">
        <v>756</v>
      </c>
      <c r="C477" s="2" t="s">
        <v>757</v>
      </c>
      <c r="D477" s="3" t="str">
        <f>HYPERLINK("https://12go.asia/en/travel/hanzhong/fuzhou", "12Go Link")</f>
        <v>12Go Link</v>
      </c>
      <c r="E477" s="2" t="s">
        <v>226</v>
      </c>
    </row>
    <row r="478">
      <c r="A478" s="2" t="s">
        <v>758</v>
      </c>
      <c r="B478" s="2" t="s">
        <v>480</v>
      </c>
      <c r="C478" s="2" t="s">
        <v>759</v>
      </c>
      <c r="D478" s="3" t="str">
        <f>HYPERLINK("https://12go.asia/en/travel/harbin-west/hengshui", "12Go Link")</f>
        <v>12Go Link</v>
      </c>
      <c r="E478" s="2" t="s">
        <v>226</v>
      </c>
    </row>
    <row r="479">
      <c r="A479" s="2" t="s">
        <v>758</v>
      </c>
      <c r="B479" s="2" t="s">
        <v>480</v>
      </c>
      <c r="C479" s="2" t="s">
        <v>760</v>
      </c>
      <c r="D479" s="3" t="str">
        <f>HYPERLINK("https://12go.asia/en/travel/harbin/hengshui", "12Go Link")</f>
        <v>12Go Link</v>
      </c>
      <c r="E479" s="2" t="s">
        <v>226</v>
      </c>
    </row>
    <row r="480">
      <c r="A480" s="2" t="s">
        <v>758</v>
      </c>
      <c r="B480" s="2" t="s">
        <v>497</v>
      </c>
      <c r="C480" s="2" t="s">
        <v>761</v>
      </c>
      <c r="D480" s="3" t="str">
        <f>HYPERLINK("https://12go.asia/en/travel/harbin-west/shanghai-songjiang", "12Go Link")</f>
        <v>12Go Link</v>
      </c>
      <c r="E480" s="2" t="s">
        <v>226</v>
      </c>
    </row>
    <row r="481">
      <c r="A481" s="2" t="s">
        <v>758</v>
      </c>
      <c r="B481" s="2" t="s">
        <v>497</v>
      </c>
      <c r="C481" s="2" t="s">
        <v>762</v>
      </c>
      <c r="D481" s="3" t="str">
        <f>HYPERLINK("https://12go.asia/en/travel/harbin/songjiang-shanghai", "12Go Link")</f>
        <v>12Go Link</v>
      </c>
      <c r="E481" s="2" t="s">
        <v>226</v>
      </c>
    </row>
    <row r="482">
      <c r="A482" s="2" t="s">
        <v>763</v>
      </c>
      <c r="B482" s="2" t="s">
        <v>453</v>
      </c>
      <c r="C482" s="2" t="s">
        <v>764</v>
      </c>
      <c r="D482" s="3" t="str">
        <f>HYPERLINK("https://12go.asia/en/travel/hebei/cangzhou", "12Go Link")</f>
        <v>12Go Link</v>
      </c>
      <c r="E482" s="2" t="s">
        <v>226</v>
      </c>
    </row>
    <row r="483">
      <c r="A483" s="2" t="s">
        <v>763</v>
      </c>
      <c r="B483" s="2" t="s">
        <v>634</v>
      </c>
      <c r="C483" s="2" t="s">
        <v>765</v>
      </c>
      <c r="D483" s="3" t="str">
        <f>HYPERLINK("https://12go.asia/en/travel/hebei/haikou", "12Go Link")</f>
        <v>12Go Link</v>
      </c>
      <c r="E483" s="2" t="s">
        <v>226</v>
      </c>
    </row>
    <row r="484">
      <c r="A484" s="2" t="s">
        <v>763</v>
      </c>
      <c r="B484" s="2" t="s">
        <v>766</v>
      </c>
      <c r="C484" s="2" t="s">
        <v>767</v>
      </c>
      <c r="D484" s="3" t="str">
        <f>HYPERLINK("https://12go.asia/en/travel/hebei/langfang", "12Go Link")</f>
        <v>12Go Link</v>
      </c>
      <c r="E484" s="2" t="s">
        <v>226</v>
      </c>
    </row>
    <row r="485">
      <c r="A485" s="2" t="s">
        <v>763</v>
      </c>
      <c r="B485" s="2" t="s">
        <v>768</v>
      </c>
      <c r="C485" s="2" t="s">
        <v>769</v>
      </c>
      <c r="D485" s="3" t="str">
        <f>HYPERLINK("https://12go.asia/en/travel/hebei/liupanshui", "12Go Link")</f>
        <v>12Go Link</v>
      </c>
      <c r="E485" s="2" t="s">
        <v>226</v>
      </c>
    </row>
    <row r="486">
      <c r="A486" s="2" t="s">
        <v>763</v>
      </c>
      <c r="B486" s="2" t="s">
        <v>770</v>
      </c>
      <c r="C486" s="2" t="s">
        <v>771</v>
      </c>
      <c r="D486" s="3" t="str">
        <f>HYPERLINK("https://12go.asia/en/travel/hebei/siping", "12Go Link")</f>
        <v>12Go Link</v>
      </c>
      <c r="E486" s="2" t="s">
        <v>226</v>
      </c>
    </row>
    <row r="487">
      <c r="A487" s="2" t="s">
        <v>772</v>
      </c>
      <c r="B487" s="2" t="s">
        <v>773</v>
      </c>
      <c r="C487" s="2" t="s">
        <v>774</v>
      </c>
      <c r="D487" s="3" t="str">
        <f>HYPERLINK("https://12go.asia/en/travel/hechi/duyun", "12Go Link")</f>
        <v>12Go Link</v>
      </c>
      <c r="E487" s="2" t="s">
        <v>226</v>
      </c>
    </row>
    <row r="488">
      <c r="A488" s="2" t="s">
        <v>476</v>
      </c>
      <c r="B488" s="2" t="s">
        <v>775</v>
      </c>
      <c r="C488" s="2" t="s">
        <v>776</v>
      </c>
      <c r="D488" s="3" t="str">
        <f>HYPERLINK("https://12go.asia/en/travel/hefei-south/jiaozuo-west", "12Go Link")</f>
        <v>12Go Link</v>
      </c>
      <c r="E488" s="2" t="s">
        <v>226</v>
      </c>
    </row>
    <row r="489">
      <c r="A489" s="2" t="s">
        <v>476</v>
      </c>
      <c r="B489" s="2" t="s">
        <v>775</v>
      </c>
      <c r="C489" s="2" t="s">
        <v>777</v>
      </c>
      <c r="D489" s="3" t="str">
        <f>HYPERLINK("https://12go.asia/en/travel/hefei/jincheng", "12Go Link")</f>
        <v>12Go Link</v>
      </c>
      <c r="E489" s="2" t="s">
        <v>226</v>
      </c>
    </row>
    <row r="490">
      <c r="A490" s="2" t="s">
        <v>476</v>
      </c>
      <c r="B490" s="2" t="s">
        <v>778</v>
      </c>
      <c r="C490" s="2" t="s">
        <v>779</v>
      </c>
      <c r="D490" s="3" t="str">
        <f>HYPERLINK("https://12go.asia/en/travel/hefei/mudanjiang", "12Go Link")</f>
        <v>12Go Link</v>
      </c>
      <c r="E490" s="2" t="s">
        <v>226</v>
      </c>
    </row>
    <row r="491">
      <c r="A491" s="2" t="s">
        <v>476</v>
      </c>
      <c r="B491" s="2" t="s">
        <v>780</v>
      </c>
      <c r="C491" s="2" t="s">
        <v>781</v>
      </c>
      <c r="D491" s="3" t="str">
        <f>HYPERLINK("https://12go.asia/en/travel/hefei/pujiangzhen", "12Go Link")</f>
        <v>12Go Link</v>
      </c>
      <c r="E491" s="2" t="s">
        <v>226</v>
      </c>
    </row>
    <row r="492">
      <c r="A492" s="2" t="s">
        <v>782</v>
      </c>
      <c r="B492" s="2" t="s">
        <v>480</v>
      </c>
      <c r="C492" s="2" t="s">
        <v>783</v>
      </c>
      <c r="D492" s="3" t="str">
        <f>HYPERLINK("https://12go.asia/en/travel/heilongjiang/hengshui", "12Go Link")</f>
        <v>12Go Link</v>
      </c>
      <c r="E492" s="2" t="s">
        <v>226</v>
      </c>
    </row>
    <row r="493">
      <c r="A493" s="2" t="s">
        <v>782</v>
      </c>
      <c r="B493" s="2" t="s">
        <v>784</v>
      </c>
      <c r="C493" s="2" t="s">
        <v>785</v>
      </c>
      <c r="D493" s="3" t="str">
        <f>HYPERLINK("https://12go.asia/en/travel/heilongjiang/huaian", "12Go Link")</f>
        <v>12Go Link</v>
      </c>
      <c r="E493" s="2" t="s">
        <v>226</v>
      </c>
    </row>
    <row r="494">
      <c r="A494" s="2" t="s">
        <v>782</v>
      </c>
      <c r="B494" s="2" t="s">
        <v>464</v>
      </c>
      <c r="C494" s="2" t="s">
        <v>786</v>
      </c>
      <c r="D494" s="3" t="str">
        <f>HYPERLINK("https://12go.asia/en/travel/heilongjiang/panjin", "12Go Link")</f>
        <v>12Go Link</v>
      </c>
      <c r="E494" s="2" t="s">
        <v>226</v>
      </c>
    </row>
    <row r="495">
      <c r="A495" s="2" t="s">
        <v>782</v>
      </c>
      <c r="B495" s="2" t="s">
        <v>497</v>
      </c>
      <c r="C495" s="2" t="s">
        <v>787</v>
      </c>
      <c r="D495" s="3" t="str">
        <f>HYPERLINK("https://12go.asia/en/travel/heilongjiang/songjiang-shanghai", "12Go Link")</f>
        <v>12Go Link</v>
      </c>
      <c r="E495" s="2" t="s">
        <v>226</v>
      </c>
    </row>
    <row r="496">
      <c r="A496" s="2" t="s">
        <v>782</v>
      </c>
      <c r="B496" s="2" t="s">
        <v>516</v>
      </c>
      <c r="C496" s="2" t="s">
        <v>788</v>
      </c>
      <c r="D496" s="3" t="str">
        <f>HYPERLINK("https://12go.asia/en/travel/heilongjiang/tacheng", "12Go Link")</f>
        <v>12Go Link</v>
      </c>
      <c r="E496" s="2" t="s">
        <v>226</v>
      </c>
    </row>
    <row r="497">
      <c r="A497" s="2" t="s">
        <v>782</v>
      </c>
      <c r="B497" s="2" t="s">
        <v>584</v>
      </c>
      <c r="C497" s="2" t="s">
        <v>789</v>
      </c>
      <c r="D497" s="3" t="str">
        <f>HYPERLINK("https://12go.asia/en/travel/heilongjiang/yiwu", "12Go Link")</f>
        <v>12Go Link</v>
      </c>
      <c r="E497" s="2" t="s">
        <v>226</v>
      </c>
    </row>
    <row r="498">
      <c r="A498" s="2" t="s">
        <v>478</v>
      </c>
      <c r="B498" s="2" t="s">
        <v>453</v>
      </c>
      <c r="C498" s="2" t="s">
        <v>790</v>
      </c>
      <c r="D498" s="3" t="str">
        <f>HYPERLINK("https://12go.asia/en/travel/henan/cangzhou", "12Go Link")</f>
        <v>12Go Link</v>
      </c>
      <c r="E498" s="2" t="s">
        <v>226</v>
      </c>
    </row>
    <row r="499">
      <c r="A499" s="2" t="s">
        <v>478</v>
      </c>
      <c r="B499" s="2" t="s">
        <v>791</v>
      </c>
      <c r="C499" s="2" t="s">
        <v>792</v>
      </c>
      <c r="D499" s="3" t="str">
        <f>HYPERLINK("https://12go.asia/en/travel/henan/gaomi", "12Go Link")</f>
        <v>12Go Link</v>
      </c>
      <c r="E499" s="2" t="s">
        <v>226</v>
      </c>
    </row>
    <row r="500">
      <c r="A500" s="2" t="s">
        <v>478</v>
      </c>
      <c r="B500" s="2" t="s">
        <v>482</v>
      </c>
      <c r="C500" s="2" t="s">
        <v>793</v>
      </c>
      <c r="D500" s="3" t="str">
        <f>HYPERLINK("https://12go.asia/en/travel/henan/huludao", "12Go Link")</f>
        <v>12Go Link</v>
      </c>
      <c r="E500" s="2" t="s">
        <v>226</v>
      </c>
    </row>
    <row r="501">
      <c r="A501" s="2" t="s">
        <v>478</v>
      </c>
      <c r="B501" s="2" t="s">
        <v>794</v>
      </c>
      <c r="C501" s="2" t="s">
        <v>795</v>
      </c>
      <c r="D501" s="3" t="str">
        <f>HYPERLINK("https://12go.asia/en/travel/henan/mangshi", "12Go Link")</f>
        <v>12Go Link</v>
      </c>
      <c r="E501" s="2" t="s">
        <v>226</v>
      </c>
    </row>
    <row r="502">
      <c r="A502" s="2" t="s">
        <v>478</v>
      </c>
      <c r="B502" s="2" t="s">
        <v>796</v>
      </c>
      <c r="C502" s="2" t="s">
        <v>797</v>
      </c>
      <c r="D502" s="3" t="str">
        <f>HYPERLINK("https://12go.asia/en/travel/henan/neijiang", "12Go Link")</f>
        <v>12Go Link</v>
      </c>
      <c r="E502" s="2" t="s">
        <v>226</v>
      </c>
    </row>
    <row r="503">
      <c r="A503" s="2" t="s">
        <v>478</v>
      </c>
      <c r="B503" s="2" t="s">
        <v>798</v>
      </c>
      <c r="C503" s="2" t="s">
        <v>799</v>
      </c>
      <c r="D503" s="3" t="str">
        <f>HYPERLINK("https://12go.asia/en/travel/henan/pingyao", "12Go Link")</f>
        <v>12Go Link</v>
      </c>
      <c r="E503" s="2" t="s">
        <v>226</v>
      </c>
    </row>
    <row r="504">
      <c r="A504" s="2" t="s">
        <v>478</v>
      </c>
      <c r="B504" s="2" t="s">
        <v>780</v>
      </c>
      <c r="C504" s="2" t="s">
        <v>800</v>
      </c>
      <c r="D504" s="3" t="str">
        <f>HYPERLINK("https://12go.asia/en/travel/henan/pujiangzhen", "12Go Link")</f>
        <v>12Go Link</v>
      </c>
      <c r="E504" s="2" t="s">
        <v>226</v>
      </c>
    </row>
    <row r="505">
      <c r="A505" s="2" t="s">
        <v>478</v>
      </c>
      <c r="B505" s="2" t="s">
        <v>801</v>
      </c>
      <c r="C505" s="2" t="s">
        <v>802</v>
      </c>
      <c r="D505" s="3" t="str">
        <f>HYPERLINK("https://12go.asia/en/travel/henan/sanming", "12Go Link")</f>
        <v>12Go Link</v>
      </c>
      <c r="E505" s="2" t="s">
        <v>226</v>
      </c>
    </row>
    <row r="506">
      <c r="A506" s="2" t="s">
        <v>478</v>
      </c>
      <c r="B506" s="2" t="s">
        <v>497</v>
      </c>
      <c r="C506" s="2" t="s">
        <v>803</v>
      </c>
      <c r="D506" s="3" t="str">
        <f>HYPERLINK("https://12go.asia/en/travel/henan/songjiang-shanghai", "12Go Link")</f>
        <v>12Go Link</v>
      </c>
      <c r="E506" s="2" t="s">
        <v>226</v>
      </c>
    </row>
    <row r="507">
      <c r="A507" s="2" t="s">
        <v>478</v>
      </c>
      <c r="B507" s="2" t="s">
        <v>804</v>
      </c>
      <c r="C507" s="2" t="s">
        <v>805</v>
      </c>
      <c r="D507" s="3" t="str">
        <f>HYPERLINK("https://12go.asia/en/travel/henan/xinmin", "12Go Link")</f>
        <v>12Go Link</v>
      </c>
      <c r="E507" s="2" t="s">
        <v>226</v>
      </c>
    </row>
    <row r="508">
      <c r="A508" s="2" t="s">
        <v>478</v>
      </c>
      <c r="B508" s="2" t="s">
        <v>806</v>
      </c>
      <c r="C508" s="2" t="s">
        <v>807</v>
      </c>
      <c r="D508" s="3" t="str">
        <f>HYPERLINK("https://12go.asia/en/travel/henan/yichun-jiangxi", "12Go Link")</f>
        <v>12Go Link</v>
      </c>
      <c r="E508" s="2" t="s">
        <v>226</v>
      </c>
    </row>
    <row r="509">
      <c r="A509" s="2" t="s">
        <v>478</v>
      </c>
      <c r="B509" s="2" t="s">
        <v>505</v>
      </c>
      <c r="C509" s="2" t="s">
        <v>808</v>
      </c>
      <c r="D509" s="3" t="str">
        <f>HYPERLINK("https://12go.asia/en/travel/henan/yijiang", "12Go Link")</f>
        <v>12Go Link</v>
      </c>
      <c r="E509" s="2" t="s">
        <v>226</v>
      </c>
    </row>
    <row r="510">
      <c r="A510" s="2" t="s">
        <v>713</v>
      </c>
      <c r="B510" s="2" t="s">
        <v>809</v>
      </c>
      <c r="C510" s="2" t="s">
        <v>810</v>
      </c>
      <c r="D510" s="3" t="str">
        <f>HYPERLINK("https://12go.asia/en/travel/hengyang-east/loudi-south", "12Go Link")</f>
        <v>12Go Link</v>
      </c>
      <c r="E510" s="2" t="s">
        <v>226</v>
      </c>
    </row>
    <row r="511">
      <c r="A511" s="2" t="s">
        <v>713</v>
      </c>
      <c r="B511" s="2" t="s">
        <v>809</v>
      </c>
      <c r="C511" s="2" t="s">
        <v>811</v>
      </c>
      <c r="D511" s="3" t="str">
        <f>HYPERLINK("https://12go.asia/en/travel/hengyang/loudi", "12Go Link")</f>
        <v>12Go Link</v>
      </c>
      <c r="E511" s="2" t="s">
        <v>226</v>
      </c>
    </row>
    <row r="512">
      <c r="A512" s="2" t="s">
        <v>713</v>
      </c>
      <c r="B512" s="2" t="s">
        <v>622</v>
      </c>
      <c r="C512" s="2" t="s">
        <v>812</v>
      </c>
      <c r="D512" s="3" t="str">
        <f>HYPERLINK("https://12go.asia/en/travel/hengyang/shenyang", "12Go Link")</f>
        <v>12Go Link</v>
      </c>
      <c r="E512" s="2" t="s">
        <v>226</v>
      </c>
    </row>
    <row r="513">
      <c r="A513" s="2" t="s">
        <v>713</v>
      </c>
      <c r="B513" s="2" t="s">
        <v>622</v>
      </c>
      <c r="C513" s="2" t="s">
        <v>813</v>
      </c>
      <c r="D513" s="3" t="str">
        <f>HYPERLINK("https://12go.asia/en/travel/hengyang/shenyang-north", "12Go Link")</f>
        <v>12Go Link</v>
      </c>
      <c r="E513" s="2" t="s">
        <v>226</v>
      </c>
    </row>
    <row r="514">
      <c r="A514" s="2" t="s">
        <v>713</v>
      </c>
      <c r="B514" s="2" t="s">
        <v>711</v>
      </c>
      <c r="C514" s="2" t="s">
        <v>814</v>
      </c>
      <c r="D514" s="3" t="str">
        <f>HYPERLINK("https://12go.asia/en/travel/hengyang/yulin-guangxi", "12Go Link")</f>
        <v>12Go Link</v>
      </c>
      <c r="E514" s="2" t="s">
        <v>226</v>
      </c>
    </row>
    <row r="515">
      <c r="A515" s="2" t="s">
        <v>713</v>
      </c>
      <c r="B515" s="2" t="s">
        <v>550</v>
      </c>
      <c r="C515" s="2" t="s">
        <v>815</v>
      </c>
      <c r="D515" s="3" t="str">
        <f>HYPERLINK("https://12go.asia/en/travel/hengyang-east/zhangjiagang", "12Go Link")</f>
        <v>12Go Link</v>
      </c>
      <c r="E515" s="2" t="s">
        <v>226</v>
      </c>
    </row>
    <row r="516">
      <c r="A516" s="2" t="s">
        <v>713</v>
      </c>
      <c r="B516" s="2" t="s">
        <v>550</v>
      </c>
      <c r="C516" s="2" t="s">
        <v>816</v>
      </c>
      <c r="D516" s="3" t="str">
        <f>HYPERLINK("https://12go.asia/en/travel/hengyang/zhangjiagang", "12Go Link")</f>
        <v>12Go Link</v>
      </c>
      <c r="E516" s="2" t="s">
        <v>226</v>
      </c>
    </row>
    <row r="517">
      <c r="A517" s="2" t="s">
        <v>817</v>
      </c>
      <c r="B517" s="2" t="s">
        <v>818</v>
      </c>
      <c r="C517" s="2" t="s">
        <v>819</v>
      </c>
      <c r="D517" s="3" t="str">
        <f>HYPERLINK("https://12go.asia/en/travel/heze/mianyang", "12Go Link")</f>
        <v>12Go Link</v>
      </c>
      <c r="E517" s="2" t="s">
        <v>226</v>
      </c>
    </row>
    <row r="518">
      <c r="A518" s="2" t="s">
        <v>817</v>
      </c>
      <c r="B518" s="2" t="s">
        <v>818</v>
      </c>
      <c r="C518" s="2" t="s">
        <v>820</v>
      </c>
      <c r="D518" s="3" t="str">
        <f>HYPERLINK("https://12go.asia/en/travel/heze/youxian-south", "12Go Link")</f>
        <v>12Go Link</v>
      </c>
      <c r="E518" s="2" t="s">
        <v>226</v>
      </c>
    </row>
    <row r="519">
      <c r="A519" s="2" t="s">
        <v>821</v>
      </c>
      <c r="B519" s="2" t="s">
        <v>556</v>
      </c>
      <c r="C519" s="2" t="s">
        <v>822</v>
      </c>
      <c r="D519" s="3" t="str">
        <f>HYPERLINK("https://12go.asia/en/travel/hezhou/chengdu-south", "12Go Link")</f>
        <v>12Go Link</v>
      </c>
      <c r="E519" s="2" t="s">
        <v>226</v>
      </c>
    </row>
    <row r="520">
      <c r="A520" s="2" t="s">
        <v>821</v>
      </c>
      <c r="B520" s="2" t="s">
        <v>709</v>
      </c>
      <c r="C520" s="2" t="s">
        <v>823</v>
      </c>
      <c r="D520" s="3" t="str">
        <f>HYPERLINK("https://12go.asia/en/travel/hezhou/sichuan", "12Go Link")</f>
        <v>12Go Link</v>
      </c>
      <c r="E520" s="2" t="s">
        <v>226</v>
      </c>
    </row>
    <row r="521">
      <c r="A521" s="2" t="s">
        <v>824</v>
      </c>
      <c r="B521" s="2" t="s">
        <v>662</v>
      </c>
      <c r="C521" s="2" t="s">
        <v>825</v>
      </c>
      <c r="D521" s="3" t="str">
        <f>HYPERLINK("https://12go.asia/en/travel/hong-kong-island/fenghuang", "12Go Link")</f>
        <v>12Go Link</v>
      </c>
      <c r="E521" s="2" t="s">
        <v>226</v>
      </c>
    </row>
    <row r="522">
      <c r="A522" s="2" t="s">
        <v>824</v>
      </c>
      <c r="B522" s="2" t="s">
        <v>826</v>
      </c>
      <c r="C522" s="2" t="s">
        <v>827</v>
      </c>
      <c r="D522" s="3" t="str">
        <f>HYPERLINK("https://12go.asia/en/travel/hong-kong-island/heyuan", "12Go Link")</f>
        <v>12Go Link</v>
      </c>
      <c r="E522" s="2" t="s">
        <v>226</v>
      </c>
    </row>
    <row r="523">
      <c r="A523" s="2" t="s">
        <v>824</v>
      </c>
      <c r="B523" s="2" t="s">
        <v>828</v>
      </c>
      <c r="C523" s="2" t="s">
        <v>829</v>
      </c>
      <c r="D523" s="3" t="str">
        <f>HYPERLINK("https://12go.asia/en/travel/hong-kong-island/huangshan", "12Go Link")</f>
        <v>12Go Link</v>
      </c>
      <c r="E523" s="2" t="s">
        <v>226</v>
      </c>
    </row>
    <row r="524">
      <c r="A524" s="2" t="s">
        <v>824</v>
      </c>
      <c r="B524" s="2" t="s">
        <v>456</v>
      </c>
      <c r="C524" s="2" t="s">
        <v>830</v>
      </c>
      <c r="D524" s="3" t="str">
        <f>HYPERLINK("https://12go.asia/en/travel/hong-kong-island/jiangzhou", "12Go Link")</f>
        <v>12Go Link</v>
      </c>
      <c r="E524" s="2" t="s">
        <v>226</v>
      </c>
    </row>
    <row r="525">
      <c r="A525" s="2" t="s">
        <v>824</v>
      </c>
      <c r="B525" s="2" t="s">
        <v>831</v>
      </c>
      <c r="C525" s="2" t="s">
        <v>832</v>
      </c>
      <c r="D525" s="3" t="str">
        <f>HYPERLINK("https://12go.asia/en/travel/hong-kong-island/meizhou", "12Go Link")</f>
        <v>12Go Link</v>
      </c>
      <c r="E525" s="2" t="s">
        <v>226</v>
      </c>
    </row>
    <row r="526">
      <c r="A526" s="2" t="s">
        <v>824</v>
      </c>
      <c r="B526" s="2" t="s">
        <v>728</v>
      </c>
      <c r="C526" s="2" t="s">
        <v>833</v>
      </c>
      <c r="D526" s="3" t="str">
        <f>HYPERLINK("https://12go.asia/en/travel/hong-kong-island/shaanxi", "12Go Link")</f>
        <v>12Go Link</v>
      </c>
      <c r="E526" s="2" t="s">
        <v>226</v>
      </c>
    </row>
    <row r="527">
      <c r="A527" s="2" t="s">
        <v>824</v>
      </c>
      <c r="B527" s="2" t="s">
        <v>503</v>
      </c>
      <c r="C527" s="2" t="s">
        <v>834</v>
      </c>
      <c r="D527" s="3" t="str">
        <f>HYPERLINK("https://12go.asia/en/travel/hong-kong-island/xian", "12Go Link")</f>
        <v>12Go Link</v>
      </c>
      <c r="E527" s="2" t="s">
        <v>226</v>
      </c>
    </row>
    <row r="528">
      <c r="A528" s="2" t="s">
        <v>824</v>
      </c>
      <c r="B528" s="2" t="s">
        <v>835</v>
      </c>
      <c r="C528" s="2" t="s">
        <v>836</v>
      </c>
      <c r="D528" s="3" t="str">
        <f>HYPERLINK("https://12go.asia/en/travel/hong-kong-island/zengcheng", "12Go Link")</f>
        <v>12Go Link</v>
      </c>
      <c r="E528" s="2" t="s">
        <v>226</v>
      </c>
    </row>
    <row r="529">
      <c r="A529" s="2" t="s">
        <v>663</v>
      </c>
      <c r="B529" s="2" t="s">
        <v>826</v>
      </c>
      <c r="C529" s="2" t="s">
        <v>837</v>
      </c>
      <c r="D529" s="3" t="str">
        <f>HYPERLINK("https://12go.asia/en/travel/hong-kong-west-kowloon/heyuan", "12Go Link")</f>
        <v>12Go Link</v>
      </c>
      <c r="E529" s="2" t="s">
        <v>226</v>
      </c>
    </row>
    <row r="530">
      <c r="A530" s="2" t="s">
        <v>663</v>
      </c>
      <c r="B530" s="2" t="s">
        <v>828</v>
      </c>
      <c r="C530" s="2" t="s">
        <v>838</v>
      </c>
      <c r="D530" s="3" t="str">
        <f>HYPERLINK("https://12go.asia/en/travel/hong-kong-west-kowloon/huangshan", "12Go Link")</f>
        <v>12Go Link</v>
      </c>
      <c r="E530" s="2" t="s">
        <v>226</v>
      </c>
    </row>
    <row r="531">
      <c r="A531" s="2" t="s">
        <v>663</v>
      </c>
      <c r="B531" s="2" t="s">
        <v>828</v>
      </c>
      <c r="C531" s="2" t="s">
        <v>839</v>
      </c>
      <c r="D531" s="3" t="str">
        <f>HYPERLINK("https://12go.asia/en/travel/hong-kong-west-kowloon/huangshan-north", "12Go Link")</f>
        <v>12Go Link</v>
      </c>
      <c r="E531" s="2" t="s">
        <v>226</v>
      </c>
    </row>
    <row r="532">
      <c r="A532" s="2" t="s">
        <v>663</v>
      </c>
      <c r="B532" s="2" t="s">
        <v>456</v>
      </c>
      <c r="C532" s="2" t="s">
        <v>840</v>
      </c>
      <c r="D532" s="3" t="str">
        <f>HYPERLINK("https://12go.asia/en/travel/hong-kong-west-kowloon/jiangzhou", "12Go Link")</f>
        <v>12Go Link</v>
      </c>
      <c r="E532" s="2" t="s">
        <v>226</v>
      </c>
    </row>
    <row r="533">
      <c r="A533" s="2" t="s">
        <v>663</v>
      </c>
      <c r="B533" s="2" t="s">
        <v>841</v>
      </c>
      <c r="C533" s="2" t="s">
        <v>842</v>
      </c>
      <c r="D533" s="3" t="str">
        <f>HYPERLINK("https://12go.asia/en/travel/hong-kong-west-kowloon/luoyang", "12Go Link")</f>
        <v>12Go Link</v>
      </c>
      <c r="E533" s="2" t="s">
        <v>226</v>
      </c>
    </row>
    <row r="534">
      <c r="A534" s="2" t="s">
        <v>663</v>
      </c>
      <c r="B534" s="2" t="s">
        <v>841</v>
      </c>
      <c r="C534" s="2" t="s">
        <v>843</v>
      </c>
      <c r="D534" s="3" t="str">
        <f>HYPERLINK("https://12go.asia/en/travel/hong-kong-west-kowloon/luoyang-longmen", "12Go Link")</f>
        <v>12Go Link</v>
      </c>
      <c r="E534" s="2" t="s">
        <v>226</v>
      </c>
    </row>
    <row r="535">
      <c r="A535" s="2" t="s">
        <v>663</v>
      </c>
      <c r="B535" s="2" t="s">
        <v>503</v>
      </c>
      <c r="C535" s="2" t="s">
        <v>844</v>
      </c>
      <c r="D535" s="3" t="str">
        <f>HYPERLINK("https://12go.asia/en/travel/hong-kong-west-kowloon/xian", "12Go Link")</f>
        <v>12Go Link</v>
      </c>
      <c r="E535" s="2" t="s">
        <v>226</v>
      </c>
    </row>
    <row r="536">
      <c r="A536" s="2" t="s">
        <v>663</v>
      </c>
      <c r="B536" s="2" t="s">
        <v>503</v>
      </c>
      <c r="C536" s="2" t="s">
        <v>845</v>
      </c>
      <c r="D536" s="3" t="str">
        <f>HYPERLINK("https://12go.asia/en/travel/hong-kong-west-kowloon/xian-north", "12Go Link")</f>
        <v>12Go Link</v>
      </c>
      <c r="E536" s="2" t="s">
        <v>226</v>
      </c>
    </row>
    <row r="537">
      <c r="A537" s="2" t="s">
        <v>663</v>
      </c>
      <c r="B537" s="2" t="s">
        <v>835</v>
      </c>
      <c r="C537" s="2" t="s">
        <v>846</v>
      </c>
      <c r="D537" s="3" t="str">
        <f>HYPERLINK("https://12go.asia/en/travel/hong-kong-west-kowloon/xintang", "12Go Link")</f>
        <v>12Go Link</v>
      </c>
      <c r="E537" s="2" t="s">
        <v>226</v>
      </c>
    </row>
    <row r="538">
      <c r="A538" s="2" t="s">
        <v>663</v>
      </c>
      <c r="B538" s="2" t="s">
        <v>835</v>
      </c>
      <c r="C538" s="2" t="s">
        <v>847</v>
      </c>
      <c r="D538" s="3" t="str">
        <f>HYPERLINK("https://12go.asia/en/travel/hong-kong-west-kowloon/zengcheng", "12Go Link")</f>
        <v>12Go Link</v>
      </c>
      <c r="E538" s="2" t="s">
        <v>226</v>
      </c>
    </row>
    <row r="539">
      <c r="A539" s="2" t="s">
        <v>848</v>
      </c>
      <c r="B539" s="2" t="s">
        <v>849</v>
      </c>
      <c r="C539" s="2" t="s">
        <v>850</v>
      </c>
      <c r="D539" s="3" t="str">
        <f>HYPERLINK("https://12go.asia/en/travel/hetian/korla", "12Go Link")</f>
        <v>12Go Link</v>
      </c>
      <c r="E539" s="2" t="s">
        <v>226</v>
      </c>
    </row>
    <row r="540">
      <c r="A540" s="2" t="s">
        <v>848</v>
      </c>
      <c r="B540" s="2" t="s">
        <v>849</v>
      </c>
      <c r="C540" s="2" t="s">
        <v>851</v>
      </c>
      <c r="D540" s="3" t="str">
        <f>HYPERLINK("https://12go.asia/en/travel/hetian/tiemenguan", "12Go Link")</f>
        <v>12Go Link</v>
      </c>
      <c r="E540" s="2" t="s">
        <v>226</v>
      </c>
    </row>
    <row r="541">
      <c r="A541" s="2" t="s">
        <v>848</v>
      </c>
      <c r="B541" s="2" t="s">
        <v>849</v>
      </c>
      <c r="C541" s="2" t="s">
        <v>852</v>
      </c>
      <c r="D541" s="3" t="str">
        <f>HYPERLINK("https://12go.asia/en/travel/hotan/korla", "12Go Link")</f>
        <v>12Go Link</v>
      </c>
      <c r="E541" s="2" t="s">
        <v>226</v>
      </c>
    </row>
    <row r="542">
      <c r="A542" s="2" t="s">
        <v>533</v>
      </c>
      <c r="B542" s="2" t="s">
        <v>421</v>
      </c>
      <c r="C542" s="2" t="s">
        <v>853</v>
      </c>
      <c r="D542" s="3" t="str">
        <f>HYPERLINK("https://12go.asia/en/travel/huade/bayannur", "12Go Link")</f>
        <v>12Go Link</v>
      </c>
      <c r="E542" s="2" t="s">
        <v>226</v>
      </c>
    </row>
    <row r="543">
      <c r="A543" s="2" t="s">
        <v>533</v>
      </c>
      <c r="B543" s="2" t="s">
        <v>472</v>
      </c>
      <c r="C543" s="2" t="s">
        <v>854</v>
      </c>
      <c r="D543" s="3" t="str">
        <f>HYPERLINK("https://12go.asia/en/travel/huade/changchun", "12Go Link")</f>
        <v>12Go Link</v>
      </c>
      <c r="E543" s="2" t="s">
        <v>226</v>
      </c>
    </row>
    <row r="544">
      <c r="A544" s="2" t="s">
        <v>533</v>
      </c>
      <c r="B544" s="2" t="s">
        <v>400</v>
      </c>
      <c r="C544" s="2" t="s">
        <v>855</v>
      </c>
      <c r="D544" s="3" t="str">
        <f>HYPERLINK("https://12go.asia/en/travel/huade/changsha", "12Go Link")</f>
        <v>12Go Link</v>
      </c>
      <c r="E544" s="2" t="s">
        <v>226</v>
      </c>
    </row>
    <row r="545">
      <c r="A545" s="2" t="s">
        <v>533</v>
      </c>
      <c r="B545" s="2" t="s">
        <v>556</v>
      </c>
      <c r="C545" s="2" t="s">
        <v>856</v>
      </c>
      <c r="D545" s="3" t="str">
        <f>HYPERLINK("https://12go.asia/en/travel/huade/chengdu", "12Go Link")</f>
        <v>12Go Link</v>
      </c>
      <c r="E545" s="2" t="s">
        <v>226</v>
      </c>
    </row>
    <row r="546">
      <c r="A546" s="2" t="s">
        <v>533</v>
      </c>
      <c r="B546" s="2" t="s">
        <v>857</v>
      </c>
      <c r="C546" s="2" t="s">
        <v>858</v>
      </c>
      <c r="D546" s="3" t="str">
        <f>HYPERLINK("https://12go.asia/en/travel/huade/erenhot", "12Go Link")</f>
        <v>12Go Link</v>
      </c>
      <c r="E546" s="2" t="s">
        <v>226</v>
      </c>
    </row>
    <row r="547">
      <c r="A547" s="2" t="s">
        <v>533</v>
      </c>
      <c r="B547" s="2" t="s">
        <v>673</v>
      </c>
      <c r="C547" s="2" t="s">
        <v>859</v>
      </c>
      <c r="D547" s="3" t="str">
        <f>HYPERLINK("https://12go.asia/en/travel/huade/gaocheng", "12Go Link")</f>
        <v>12Go Link</v>
      </c>
      <c r="E547" s="2" t="s">
        <v>226</v>
      </c>
    </row>
    <row r="548">
      <c r="A548" s="2" t="s">
        <v>533</v>
      </c>
      <c r="B548" s="2" t="s">
        <v>402</v>
      </c>
      <c r="C548" s="2" t="s">
        <v>860</v>
      </c>
      <c r="D548" s="3" t="str">
        <f>HYPERLINK("https://12go.asia/en/travel/huade/hunan", "12Go Link")</f>
        <v>12Go Link</v>
      </c>
      <c r="E548" s="2" t="s">
        <v>226</v>
      </c>
    </row>
    <row r="549">
      <c r="A549" s="2" t="s">
        <v>533</v>
      </c>
      <c r="B549" s="2" t="s">
        <v>456</v>
      </c>
      <c r="C549" s="2" t="s">
        <v>861</v>
      </c>
      <c r="D549" s="3" t="str">
        <f>HYPERLINK("https://12go.asia/en/travel/huade/jiangzhou", "12Go Link")</f>
        <v>12Go Link</v>
      </c>
      <c r="E549" s="2" t="s">
        <v>226</v>
      </c>
    </row>
    <row r="550">
      <c r="A550" s="2" t="s">
        <v>533</v>
      </c>
      <c r="B550" s="2" t="s">
        <v>417</v>
      </c>
      <c r="C550" s="2" t="s">
        <v>862</v>
      </c>
      <c r="D550" s="3" t="str">
        <f>HYPERLINK("https://12go.asia/en/travel/huade/qingdao", "12Go Link")</f>
        <v>12Go Link</v>
      </c>
      <c r="E550" s="2" t="s">
        <v>226</v>
      </c>
    </row>
    <row r="551">
      <c r="A551" s="2" t="s">
        <v>533</v>
      </c>
      <c r="B551" s="2" t="s">
        <v>419</v>
      </c>
      <c r="C551" s="2" t="s">
        <v>863</v>
      </c>
      <c r="D551" s="3" t="str">
        <f>HYPERLINK("https://12go.asia/en/travel/huade/shenzhen", "12Go Link")</f>
        <v>12Go Link</v>
      </c>
      <c r="E551" s="2" t="s">
        <v>226</v>
      </c>
    </row>
    <row r="552">
      <c r="A552" s="2" t="s">
        <v>533</v>
      </c>
      <c r="B552" s="2" t="s">
        <v>497</v>
      </c>
      <c r="C552" s="2" t="s">
        <v>864</v>
      </c>
      <c r="D552" s="3" t="str">
        <f>HYPERLINK("https://12go.asia/en/travel/huade/songjiang-shanghai", "12Go Link")</f>
        <v>12Go Link</v>
      </c>
      <c r="E552" s="2" t="s">
        <v>226</v>
      </c>
    </row>
    <row r="553">
      <c r="A553" s="2" t="s">
        <v>533</v>
      </c>
      <c r="B553" s="2" t="s">
        <v>865</v>
      </c>
      <c r="C553" s="2" t="s">
        <v>866</v>
      </c>
      <c r="D553" s="3" t="str">
        <f>HYPERLINK("https://12go.asia/en/travel/huade/tianxin", "12Go Link")</f>
        <v>12Go Link</v>
      </c>
      <c r="E553" s="2" t="s">
        <v>226</v>
      </c>
    </row>
    <row r="554">
      <c r="A554" s="2" t="s">
        <v>533</v>
      </c>
      <c r="B554" s="2" t="s">
        <v>543</v>
      </c>
      <c r="C554" s="2" t="s">
        <v>867</v>
      </c>
      <c r="D554" s="3" t="str">
        <f>HYPERLINK("https://12go.asia/en/travel/huade/xigu", "12Go Link")</f>
        <v>12Go Link</v>
      </c>
      <c r="E554" s="2" t="s">
        <v>226</v>
      </c>
    </row>
    <row r="555">
      <c r="A555" s="2" t="s">
        <v>533</v>
      </c>
      <c r="B555" s="2" t="s">
        <v>470</v>
      </c>
      <c r="C555" s="2" t="s">
        <v>868</v>
      </c>
      <c r="D555" s="3" t="str">
        <f>HYPERLINK("https://12go.asia/en/travel/huade/zhengzhou", "12Go Link")</f>
        <v>12Go Link</v>
      </c>
      <c r="E555" s="2" t="s">
        <v>226</v>
      </c>
    </row>
    <row r="556">
      <c r="A556" s="2" t="s">
        <v>869</v>
      </c>
      <c r="B556" s="2" t="s">
        <v>870</v>
      </c>
      <c r="C556" s="2" t="s">
        <v>871</v>
      </c>
      <c r="D556" s="3" t="str">
        <f>HYPERLINK("https://12go.asia/en/travel/huadu/yitulihe", "12Go Link")</f>
        <v>12Go Link</v>
      </c>
      <c r="E556" s="2" t="s">
        <v>226</v>
      </c>
    </row>
    <row r="557">
      <c r="A557" s="2" t="s">
        <v>784</v>
      </c>
      <c r="B557" s="2" t="s">
        <v>872</v>
      </c>
      <c r="C557" s="2" t="s">
        <v>873</v>
      </c>
      <c r="D557" s="3" t="str">
        <f>HYPERLINK("https://12go.asia/en/travel/huaian-east/chengyang", "12Go Link")</f>
        <v>12Go Link</v>
      </c>
      <c r="E557" s="2" t="s">
        <v>226</v>
      </c>
    </row>
    <row r="558">
      <c r="A558" s="2" t="s">
        <v>784</v>
      </c>
      <c r="B558" s="2" t="s">
        <v>872</v>
      </c>
      <c r="C558" s="2" t="s">
        <v>874</v>
      </c>
      <c r="D558" s="3" t="str">
        <f>HYPERLINK("https://12go.asia/en/travel/huaian/chengyang", "12Go Link")</f>
        <v>12Go Link</v>
      </c>
      <c r="E558" s="2" t="s">
        <v>226</v>
      </c>
    </row>
    <row r="559">
      <c r="A559" s="2" t="s">
        <v>784</v>
      </c>
      <c r="B559" s="2" t="s">
        <v>875</v>
      </c>
      <c r="C559" s="2" t="s">
        <v>876</v>
      </c>
      <c r="D559" s="3" t="str">
        <f>HYPERLINK("https://12go.asia/en/travel/huaian-east/kunshan-south", "12Go Link")</f>
        <v>12Go Link</v>
      </c>
      <c r="E559" s="2" t="s">
        <v>226</v>
      </c>
    </row>
    <row r="560">
      <c r="A560" s="2" t="s">
        <v>784</v>
      </c>
      <c r="B560" s="2" t="s">
        <v>595</v>
      </c>
      <c r="C560" s="2" t="s">
        <v>877</v>
      </c>
      <c r="D560" s="3" t="str">
        <f>HYPERLINK("https://12go.asia/en/travel/huaian-east/taizhou", "12Go Link")</f>
        <v>12Go Link</v>
      </c>
      <c r="E560" s="2" t="s">
        <v>226</v>
      </c>
    </row>
    <row r="561">
      <c r="A561" s="2" t="s">
        <v>784</v>
      </c>
      <c r="B561" s="2" t="s">
        <v>595</v>
      </c>
      <c r="C561" s="2" t="s">
        <v>878</v>
      </c>
      <c r="D561" s="3" t="str">
        <f>HYPERLINK("https://12go.asia/en/travel/huaian/taizhou-zhejiang", "12Go Link")</f>
        <v>12Go Link</v>
      </c>
      <c r="E561" s="2" t="s">
        <v>226</v>
      </c>
    </row>
    <row r="562">
      <c r="A562" s="2" t="s">
        <v>784</v>
      </c>
      <c r="B562" s="2" t="s">
        <v>879</v>
      </c>
      <c r="C562" s="2" t="s">
        <v>880</v>
      </c>
      <c r="D562" s="3" t="str">
        <f>HYPERLINK("https://12go.asia/en/travel/huaian-east/tangshan", "12Go Link")</f>
        <v>12Go Link</v>
      </c>
      <c r="E562" s="2" t="s">
        <v>226</v>
      </c>
    </row>
    <row r="563">
      <c r="A563" s="2" t="s">
        <v>784</v>
      </c>
      <c r="B563" s="2" t="s">
        <v>879</v>
      </c>
      <c r="C563" s="2" t="s">
        <v>881</v>
      </c>
      <c r="D563" s="3" t="str">
        <f>HYPERLINK("https://12go.asia/en/travel/huaian/tangshan", "12Go Link")</f>
        <v>12Go Link</v>
      </c>
      <c r="E563" s="2" t="s">
        <v>226</v>
      </c>
    </row>
    <row r="564">
      <c r="A564" s="2" t="s">
        <v>784</v>
      </c>
      <c r="B564" s="2" t="s">
        <v>882</v>
      </c>
      <c r="C564" s="2" t="s">
        <v>883</v>
      </c>
      <c r="D564" s="3" t="str">
        <f>HYPERLINK("https://12go.asia/en/travel/huaian-east/weifang", "12Go Link")</f>
        <v>12Go Link</v>
      </c>
      <c r="E564" s="2" t="s">
        <v>226</v>
      </c>
    </row>
    <row r="565">
      <c r="A565" s="2" t="s">
        <v>784</v>
      </c>
      <c r="B565" s="2" t="s">
        <v>882</v>
      </c>
      <c r="C565" s="2" t="s">
        <v>884</v>
      </c>
      <c r="D565" s="3" t="str">
        <f>HYPERLINK("https://12go.asia/en/travel/huaian-east/weifang-north", "12Go Link")</f>
        <v>12Go Link</v>
      </c>
      <c r="E565" s="2" t="s">
        <v>226</v>
      </c>
    </row>
    <row r="566">
      <c r="A566" s="2" t="s">
        <v>784</v>
      </c>
      <c r="B566" s="2" t="s">
        <v>882</v>
      </c>
      <c r="C566" s="2" t="s">
        <v>885</v>
      </c>
      <c r="D566" s="3" t="str">
        <f>HYPERLINK("https://12go.asia/en/travel/huaian/weifang", "12Go Link")</f>
        <v>12Go Link</v>
      </c>
      <c r="E566" s="2" t="s">
        <v>226</v>
      </c>
    </row>
    <row r="567">
      <c r="A567" s="2" t="s">
        <v>886</v>
      </c>
      <c r="B567" s="2" t="s">
        <v>887</v>
      </c>
      <c r="C567" s="2" t="s">
        <v>888</v>
      </c>
      <c r="D567" s="3" t="str">
        <f>HYPERLINK("https://12go.asia/en/travel/huaihua/fujian", "12Go Link")</f>
        <v>12Go Link</v>
      </c>
      <c r="E567" s="2" t="s">
        <v>226</v>
      </c>
    </row>
    <row r="568">
      <c r="A568" s="2" t="s">
        <v>886</v>
      </c>
      <c r="B568" s="2" t="s">
        <v>756</v>
      </c>
      <c r="C568" s="2" t="s">
        <v>889</v>
      </c>
      <c r="D568" s="3" t="str">
        <f>HYPERLINK("https://12go.asia/en/travel/huaihua-south/fuzhou", "12Go Link")</f>
        <v>12Go Link</v>
      </c>
      <c r="E568" s="2" t="s">
        <v>226</v>
      </c>
    </row>
    <row r="569">
      <c r="A569" s="2" t="s">
        <v>886</v>
      </c>
      <c r="B569" s="2" t="s">
        <v>756</v>
      </c>
      <c r="C569" s="2" t="s">
        <v>890</v>
      </c>
      <c r="D569" s="3" t="str">
        <f>HYPERLINK("https://12go.asia/en/travel/huaihua/fuzhou", "12Go Link")</f>
        <v>12Go Link</v>
      </c>
      <c r="E569" s="2" t="s">
        <v>226</v>
      </c>
    </row>
    <row r="570">
      <c r="A570" s="2" t="s">
        <v>886</v>
      </c>
      <c r="B570" s="2" t="s">
        <v>891</v>
      </c>
      <c r="C570" s="2" t="s">
        <v>892</v>
      </c>
      <c r="D570" s="3" t="str">
        <f>HYPERLINK("https://12go.asia/en/travel/huaihua/hengqin-island", "12Go Link")</f>
        <v>12Go Link</v>
      </c>
      <c r="E570" s="2" t="s">
        <v>226</v>
      </c>
    </row>
    <row r="571">
      <c r="A571" s="2" t="s">
        <v>886</v>
      </c>
      <c r="B571" s="2" t="s">
        <v>768</v>
      </c>
      <c r="C571" s="2" t="s">
        <v>893</v>
      </c>
      <c r="D571" s="3" t="str">
        <f>HYPERLINK("https://12go.asia/en/travel/huaihua/liupanshui", "12Go Link")</f>
        <v>12Go Link</v>
      </c>
      <c r="E571" s="2" t="s">
        <v>226</v>
      </c>
    </row>
    <row r="572">
      <c r="A572" s="2" t="s">
        <v>886</v>
      </c>
      <c r="B572" s="2" t="s">
        <v>894</v>
      </c>
      <c r="C572" s="2" t="s">
        <v>895</v>
      </c>
      <c r="D572" s="3" t="str">
        <f>HYPERLINK("https://12go.asia/en/travel/huaihua-south/putian", "12Go Link")</f>
        <v>12Go Link</v>
      </c>
      <c r="E572" s="2" t="s">
        <v>226</v>
      </c>
    </row>
    <row r="573">
      <c r="A573" s="2" t="s">
        <v>886</v>
      </c>
      <c r="B573" s="2" t="s">
        <v>894</v>
      </c>
      <c r="C573" s="2" t="s">
        <v>896</v>
      </c>
      <c r="D573" s="3" t="str">
        <f>HYPERLINK("https://12go.asia/en/travel/huaihua/putian", "12Go Link")</f>
        <v>12Go Link</v>
      </c>
      <c r="E573" s="2" t="s">
        <v>226</v>
      </c>
    </row>
    <row r="574">
      <c r="A574" s="2" t="s">
        <v>886</v>
      </c>
      <c r="B574" s="2" t="s">
        <v>897</v>
      </c>
      <c r="C574" s="2" t="s">
        <v>898</v>
      </c>
      <c r="D574" s="3" t="str">
        <f>HYPERLINK("https://12go.asia/en/travel/huaihua/shanghai-hongqiao-airport", "12Go Link")</f>
        <v>12Go Link</v>
      </c>
      <c r="E574" s="2" t="s">
        <v>226</v>
      </c>
    </row>
    <row r="575">
      <c r="A575" s="2" t="s">
        <v>886</v>
      </c>
      <c r="B575" s="2" t="s">
        <v>748</v>
      </c>
      <c r="C575" s="2" t="s">
        <v>899</v>
      </c>
      <c r="D575" s="3" t="str">
        <f>HYPERLINK("https://12go.asia/en/travel/huaihua/yangchun", "12Go Link")</f>
        <v>12Go Link</v>
      </c>
      <c r="E575" s="2" t="s">
        <v>226</v>
      </c>
    </row>
    <row r="576">
      <c r="A576" s="2" t="s">
        <v>900</v>
      </c>
      <c r="B576" s="2" t="s">
        <v>497</v>
      </c>
      <c r="C576" s="2" t="s">
        <v>901</v>
      </c>
      <c r="D576" s="3" t="str">
        <f>HYPERLINK("https://12go.asia/en/travel/huainan-south/shanghai-songjiang", "12Go Link")</f>
        <v>12Go Link</v>
      </c>
      <c r="E576" s="2" t="s">
        <v>226</v>
      </c>
    </row>
    <row r="577">
      <c r="A577" s="2" t="s">
        <v>900</v>
      </c>
      <c r="B577" s="2" t="s">
        <v>497</v>
      </c>
      <c r="C577" s="2" t="s">
        <v>902</v>
      </c>
      <c r="D577" s="3" t="str">
        <f>HYPERLINK("https://12go.asia/en/travel/huainan/songjiang-shanghai", "12Go Link")</f>
        <v>12Go Link</v>
      </c>
      <c r="E577" s="2" t="s">
        <v>226</v>
      </c>
    </row>
    <row r="578">
      <c r="A578" s="2" t="s">
        <v>900</v>
      </c>
      <c r="B578" s="2" t="s">
        <v>903</v>
      </c>
      <c r="C578" s="2" t="s">
        <v>904</v>
      </c>
      <c r="D578" s="3" t="str">
        <f>HYPERLINK("https://12go.asia/en/travel/huainan-south/wuhu-south", "12Go Link")</f>
        <v>12Go Link</v>
      </c>
      <c r="E578" s="2" t="s">
        <v>226</v>
      </c>
    </row>
    <row r="579">
      <c r="A579" s="2" t="s">
        <v>900</v>
      </c>
      <c r="B579" s="2" t="s">
        <v>903</v>
      </c>
      <c r="C579" s="2" t="s">
        <v>905</v>
      </c>
      <c r="D579" s="3" t="str">
        <f>HYPERLINK("https://12go.asia/en/travel/huainan/yutian", "12Go Link")</f>
        <v>12Go Link</v>
      </c>
      <c r="E579" s="2" t="s">
        <v>226</v>
      </c>
    </row>
    <row r="580">
      <c r="A580" s="2" t="s">
        <v>906</v>
      </c>
      <c r="B580" s="2" t="s">
        <v>678</v>
      </c>
      <c r="C580" s="2" t="s">
        <v>907</v>
      </c>
      <c r="D580" s="3" t="str">
        <f>HYPERLINK("https://12go.asia/en/travel/huairen-county/guangdong", "12Go Link")</f>
        <v>12Go Link</v>
      </c>
      <c r="E580" s="2" t="s">
        <v>226</v>
      </c>
    </row>
    <row r="581">
      <c r="A581" s="2" t="s">
        <v>906</v>
      </c>
      <c r="B581" s="2" t="s">
        <v>693</v>
      </c>
      <c r="C581" s="2" t="s">
        <v>908</v>
      </c>
      <c r="D581" s="3" t="str">
        <f>HYPERLINK("https://12go.asia/en/travel/datong-south/guangzhou-south", "12Go Link")</f>
        <v>12Go Link</v>
      </c>
      <c r="E581" s="2" t="s">
        <v>226</v>
      </c>
    </row>
    <row r="582">
      <c r="A582" s="2" t="s">
        <v>906</v>
      </c>
      <c r="B582" s="2" t="s">
        <v>693</v>
      </c>
      <c r="C582" s="2" t="s">
        <v>909</v>
      </c>
      <c r="D582" s="3" t="str">
        <f>HYPERLINK("https://12go.asia/en/travel/huairen-county/guangzhou", "12Go Link")</f>
        <v>12Go Link</v>
      </c>
      <c r="E582" s="2" t="s">
        <v>226</v>
      </c>
    </row>
    <row r="583">
      <c r="A583" s="2" t="s">
        <v>906</v>
      </c>
      <c r="B583" s="2" t="s">
        <v>750</v>
      </c>
      <c r="C583" s="2" t="s">
        <v>910</v>
      </c>
      <c r="D583" s="3" t="str">
        <f>HYPERLINK("https://12go.asia/en/travel/datong-south/hangzhou-west", "12Go Link")</f>
        <v>12Go Link</v>
      </c>
      <c r="E583" s="2" t="s">
        <v>226</v>
      </c>
    </row>
    <row r="584">
      <c r="A584" s="2" t="s">
        <v>906</v>
      </c>
      <c r="B584" s="2" t="s">
        <v>750</v>
      </c>
      <c r="C584" s="2" t="s">
        <v>911</v>
      </c>
      <c r="D584" s="3" t="str">
        <f>HYPERLINK("https://12go.asia/en/travel/huairen-county/hangzhou", "12Go Link")</f>
        <v>12Go Link</v>
      </c>
      <c r="E584" s="2" t="s">
        <v>226</v>
      </c>
    </row>
    <row r="585">
      <c r="A585" s="2" t="s">
        <v>906</v>
      </c>
      <c r="B585" s="2" t="s">
        <v>763</v>
      </c>
      <c r="C585" s="2" t="s">
        <v>912</v>
      </c>
      <c r="D585" s="3" t="str">
        <f>HYPERLINK("https://12go.asia/en/travel/huairen-county/hebei", "12Go Link")</f>
        <v>12Go Link</v>
      </c>
      <c r="E585" s="2" t="s">
        <v>226</v>
      </c>
    </row>
    <row r="586">
      <c r="A586" s="2" t="s">
        <v>906</v>
      </c>
      <c r="B586" s="2" t="s">
        <v>480</v>
      </c>
      <c r="C586" s="2" t="s">
        <v>913</v>
      </c>
      <c r="D586" s="3" t="str">
        <f>HYPERLINK("https://12go.asia/en/travel/datong-south/hengshui-north", "12Go Link")</f>
        <v>12Go Link</v>
      </c>
      <c r="E586" s="2" t="s">
        <v>226</v>
      </c>
    </row>
    <row r="587">
      <c r="A587" s="2" t="s">
        <v>906</v>
      </c>
      <c r="B587" s="2" t="s">
        <v>480</v>
      </c>
      <c r="C587" s="2" t="s">
        <v>914</v>
      </c>
      <c r="D587" s="3" t="str">
        <f>HYPERLINK("https://12go.asia/en/travel/huairen-county/hengshui", "12Go Link")</f>
        <v>12Go Link</v>
      </c>
      <c r="E587" s="2" t="s">
        <v>226</v>
      </c>
    </row>
    <row r="588">
      <c r="A588" s="2" t="s">
        <v>906</v>
      </c>
      <c r="B588" s="2" t="s">
        <v>593</v>
      </c>
      <c r="C588" s="2" t="s">
        <v>915</v>
      </c>
      <c r="D588" s="3" t="str">
        <f>HYPERLINK("https://12go.asia/en/travel/huairen-county/saihan", "12Go Link")</f>
        <v>12Go Link</v>
      </c>
      <c r="E588" s="2" t="s">
        <v>226</v>
      </c>
    </row>
    <row r="589">
      <c r="A589" s="2" t="s">
        <v>906</v>
      </c>
      <c r="B589" s="2" t="s">
        <v>493</v>
      </c>
      <c r="C589" s="2" t="s">
        <v>916</v>
      </c>
      <c r="D589" s="3" t="str">
        <f>HYPERLINK("https://12go.asia/en/travel/datong-south/shanghai-hongqiao", "12Go Link")</f>
        <v>12Go Link</v>
      </c>
      <c r="E589" s="2" t="s">
        <v>226</v>
      </c>
    </row>
    <row r="590">
      <c r="A590" s="2" t="s">
        <v>906</v>
      </c>
      <c r="B590" s="2" t="s">
        <v>493</v>
      </c>
      <c r="C590" s="2" t="s">
        <v>917</v>
      </c>
      <c r="D590" s="3" t="str">
        <f>HYPERLINK("https://12go.asia/en/travel/huairen-county/shanghai", "12Go Link")</f>
        <v>12Go Link</v>
      </c>
      <c r="E590" s="2" t="s">
        <v>226</v>
      </c>
    </row>
    <row r="591">
      <c r="A591" s="2" t="s">
        <v>906</v>
      </c>
      <c r="B591" s="2" t="s">
        <v>897</v>
      </c>
      <c r="C591" s="2" t="s">
        <v>918</v>
      </c>
      <c r="D591" s="3" t="str">
        <f>HYPERLINK("https://12go.asia/en/travel/huairen-county/shanghai-hongqiao-airport", "12Go Link")</f>
        <v>12Go Link</v>
      </c>
      <c r="E591" s="2" t="s">
        <v>226</v>
      </c>
    </row>
    <row r="592">
      <c r="A592" s="2" t="s">
        <v>906</v>
      </c>
      <c r="B592" s="2" t="s">
        <v>404</v>
      </c>
      <c r="C592" s="2" t="s">
        <v>919</v>
      </c>
      <c r="D592" s="3" t="str">
        <f>HYPERLINK("https://12go.asia/en/travel/datong-south/shijiazhuang", "12Go Link")</f>
        <v>12Go Link</v>
      </c>
      <c r="E592" s="2" t="s">
        <v>226</v>
      </c>
    </row>
    <row r="593">
      <c r="A593" s="2" t="s">
        <v>906</v>
      </c>
      <c r="B593" s="2" t="s">
        <v>404</v>
      </c>
      <c r="C593" s="2" t="s">
        <v>920</v>
      </c>
      <c r="D593" s="3" t="str">
        <f>HYPERLINK("https://12go.asia/en/travel/huairen-county/shijiazhuang", "12Go Link")</f>
        <v>12Go Link</v>
      </c>
      <c r="E593" s="2" t="s">
        <v>226</v>
      </c>
    </row>
    <row r="594">
      <c r="A594" s="2" t="s">
        <v>906</v>
      </c>
      <c r="B594" s="2" t="s">
        <v>507</v>
      </c>
      <c r="C594" s="2" t="s">
        <v>921</v>
      </c>
      <c r="D594" s="3" t="str">
        <f>HYPERLINK("https://12go.asia/en/travel/huairen-county/zhejiang", "12Go Link")</f>
        <v>12Go Link</v>
      </c>
      <c r="E594" s="2" t="s">
        <v>226</v>
      </c>
    </row>
    <row r="595">
      <c r="A595" s="2" t="s">
        <v>922</v>
      </c>
      <c r="B595" s="2" t="s">
        <v>493</v>
      </c>
      <c r="C595" s="2" t="s">
        <v>923</v>
      </c>
      <c r="D595" s="3" t="str">
        <f>HYPERLINK("https://12go.asia/en/travel/hualong/shanghai", "12Go Link")</f>
        <v>12Go Link</v>
      </c>
      <c r="E595" s="2" t="s">
        <v>226</v>
      </c>
    </row>
    <row r="596">
      <c r="A596" s="2" t="s">
        <v>922</v>
      </c>
      <c r="B596" s="2" t="s">
        <v>493</v>
      </c>
      <c r="C596" s="2" t="s">
        <v>924</v>
      </c>
      <c r="D596" s="3" t="str">
        <f>HYPERLINK("https://12go.asia/en/travel/puyang-east/shanghai-hongqiao", "12Go Link")</f>
        <v>12Go Link</v>
      </c>
      <c r="E596" s="2" t="s">
        <v>226</v>
      </c>
    </row>
    <row r="597">
      <c r="A597" s="2" t="s">
        <v>922</v>
      </c>
      <c r="B597" s="2" t="s">
        <v>897</v>
      </c>
      <c r="C597" s="2" t="s">
        <v>925</v>
      </c>
      <c r="D597" s="3" t="str">
        <f>HYPERLINK("https://12go.asia/en/travel/hualong/shanghai-hongqiao-airport", "12Go Link")</f>
        <v>12Go Link</v>
      </c>
      <c r="E597" s="2" t="s">
        <v>226</v>
      </c>
    </row>
    <row r="598">
      <c r="A598" s="2" t="s">
        <v>926</v>
      </c>
      <c r="B598" s="2" t="s">
        <v>542</v>
      </c>
      <c r="C598" s="2" t="s">
        <v>927</v>
      </c>
      <c r="D598" s="3" t="str">
        <f>HYPERLINK("https://12go.asia/en/travel/huanggang-west/jintan", "12Go Link")</f>
        <v>12Go Link</v>
      </c>
      <c r="E598" s="2" t="s">
        <v>226</v>
      </c>
    </row>
    <row r="599">
      <c r="A599" s="2" t="s">
        <v>926</v>
      </c>
      <c r="B599" s="2" t="s">
        <v>542</v>
      </c>
      <c r="C599" s="2" t="s">
        <v>928</v>
      </c>
      <c r="D599" s="3" t="str">
        <f>HYPERLINK("https://12go.asia/en/travel/huanggang-west/wujin", "12Go Link")</f>
        <v>12Go Link</v>
      </c>
      <c r="E599" s="2" t="s">
        <v>226</v>
      </c>
    </row>
    <row r="600">
      <c r="A600" s="2" t="s">
        <v>926</v>
      </c>
      <c r="B600" s="2" t="s">
        <v>542</v>
      </c>
      <c r="C600" s="2" t="s">
        <v>929</v>
      </c>
      <c r="D600" s="3" t="str">
        <f>HYPERLINK("https://12go.asia/en/travel/huanggang/changzhou", "12Go Link")</f>
        <v>12Go Link</v>
      </c>
      <c r="E600" s="2" t="s">
        <v>226</v>
      </c>
    </row>
    <row r="601">
      <c r="A601" s="2" t="s">
        <v>926</v>
      </c>
      <c r="B601" s="2" t="s">
        <v>638</v>
      </c>
      <c r="C601" s="2" t="s">
        <v>930</v>
      </c>
      <c r="D601" s="3" t="str">
        <f>HYPERLINK("https://12go.asia/en/travel/huanggang-west/huizhou-north", "12Go Link")</f>
        <v>12Go Link</v>
      </c>
      <c r="E601" s="2" t="s">
        <v>226</v>
      </c>
    </row>
    <row r="602">
      <c r="A602" s="2" t="s">
        <v>926</v>
      </c>
      <c r="B602" s="2" t="s">
        <v>638</v>
      </c>
      <c r="C602" s="2" t="s">
        <v>931</v>
      </c>
      <c r="D602" s="3" t="str">
        <f>HYPERLINK("https://12go.asia/en/travel/huanggang/huizhou", "12Go Link")</f>
        <v>12Go Link</v>
      </c>
      <c r="E602" s="2" t="s">
        <v>226</v>
      </c>
    </row>
    <row r="603">
      <c r="A603" s="2" t="s">
        <v>926</v>
      </c>
      <c r="B603" s="2" t="s">
        <v>644</v>
      </c>
      <c r="C603" s="2" t="s">
        <v>932</v>
      </c>
      <c r="D603" s="3" t="str">
        <f>HYPERLINK("https://12go.asia/en/travel/huanggang/jiangyuan", "12Go Link")</f>
        <v>12Go Link</v>
      </c>
      <c r="E603" s="2" t="s">
        <v>226</v>
      </c>
    </row>
    <row r="604">
      <c r="A604" s="2" t="s">
        <v>926</v>
      </c>
      <c r="B604" s="2" t="s">
        <v>419</v>
      </c>
      <c r="C604" s="2" t="s">
        <v>933</v>
      </c>
      <c r="D604" s="3" t="str">
        <f>HYPERLINK("https://12go.asia/en/travel/huanggang-west/shenzhen", "12Go Link")</f>
        <v>12Go Link</v>
      </c>
      <c r="E604" s="2" t="s">
        <v>226</v>
      </c>
    </row>
    <row r="605">
      <c r="A605" s="2" t="s">
        <v>926</v>
      </c>
      <c r="B605" s="2" t="s">
        <v>419</v>
      </c>
      <c r="C605" s="2" t="s">
        <v>934</v>
      </c>
      <c r="D605" s="3" t="str">
        <f>HYPERLINK("https://12go.asia/en/travel/huanggang/shenzhen", "12Go Link")</f>
        <v>12Go Link</v>
      </c>
      <c r="E605" s="2" t="s">
        <v>226</v>
      </c>
    </row>
    <row r="606">
      <c r="A606" s="2" t="s">
        <v>926</v>
      </c>
      <c r="B606" s="2" t="s">
        <v>497</v>
      </c>
      <c r="C606" s="2" t="s">
        <v>935</v>
      </c>
      <c r="D606" s="3" t="str">
        <f>HYPERLINK("https://12go.asia/en/travel/huanggang-west/shanghai-songjiang", "12Go Link")</f>
        <v>12Go Link</v>
      </c>
      <c r="E606" s="2" t="s">
        <v>226</v>
      </c>
    </row>
    <row r="607">
      <c r="A607" s="2" t="s">
        <v>926</v>
      </c>
      <c r="B607" s="2" t="s">
        <v>497</v>
      </c>
      <c r="C607" s="2" t="s">
        <v>936</v>
      </c>
      <c r="D607" s="3" t="str">
        <f>HYPERLINK("https://12go.asia/en/travel/huanggang/songjiang-shanghai", "12Go Link")</f>
        <v>12Go Link</v>
      </c>
      <c r="E607" s="2" t="s">
        <v>226</v>
      </c>
    </row>
    <row r="608">
      <c r="A608" s="2" t="s">
        <v>926</v>
      </c>
      <c r="B608" s="2" t="s">
        <v>937</v>
      </c>
      <c r="C608" s="2" t="s">
        <v>938</v>
      </c>
      <c r="D608" s="3" t="str">
        <f>HYPERLINK("https://12go.asia/en/travel/huanggang-west/tongling", "12Go Link")</f>
        <v>12Go Link</v>
      </c>
      <c r="E608" s="2" t="s">
        <v>226</v>
      </c>
    </row>
    <row r="609">
      <c r="A609" s="2" t="s">
        <v>926</v>
      </c>
      <c r="B609" s="2" t="s">
        <v>937</v>
      </c>
      <c r="C609" s="2" t="s">
        <v>939</v>
      </c>
      <c r="D609" s="3" t="str">
        <f>HYPERLINK("https://12go.asia/en/travel/huanggang/tongling", "12Go Link")</f>
        <v>12Go Link</v>
      </c>
      <c r="E609" s="2" t="s">
        <v>226</v>
      </c>
    </row>
    <row r="610">
      <c r="A610" s="2" t="s">
        <v>926</v>
      </c>
      <c r="B610" s="2" t="s">
        <v>550</v>
      </c>
      <c r="C610" s="2" t="s">
        <v>940</v>
      </c>
      <c r="D610" s="3" t="str">
        <f>HYPERLINK("https://12go.asia/en/travel/huanggang-west/zhangjiagang", "12Go Link")</f>
        <v>12Go Link</v>
      </c>
      <c r="E610" s="2" t="s">
        <v>226</v>
      </c>
    </row>
    <row r="611">
      <c r="A611" s="2" t="s">
        <v>926</v>
      </c>
      <c r="B611" s="2" t="s">
        <v>550</v>
      </c>
      <c r="C611" s="2" t="s">
        <v>941</v>
      </c>
      <c r="D611" s="3" t="str">
        <f>HYPERLINK("https://12go.asia/en/travel/huanggang/zhangjiagang", "12Go Link")</f>
        <v>12Go Link</v>
      </c>
      <c r="E611" s="2" t="s">
        <v>226</v>
      </c>
    </row>
    <row r="612">
      <c r="A612" s="2" t="s">
        <v>828</v>
      </c>
      <c r="B612" s="2" t="s">
        <v>693</v>
      </c>
      <c r="C612" s="2" t="s">
        <v>942</v>
      </c>
      <c r="D612" s="3" t="str">
        <f>HYPERLINK("https://12go.asia/en/travel/huangshan-north/guangzhou-south", "12Go Link")</f>
        <v>12Go Link</v>
      </c>
      <c r="E612" s="2" t="s">
        <v>226</v>
      </c>
    </row>
    <row r="613">
      <c r="A613" s="2" t="s">
        <v>828</v>
      </c>
      <c r="B613" s="2" t="s">
        <v>478</v>
      </c>
      <c r="C613" s="2" t="s">
        <v>943</v>
      </c>
      <c r="D613" s="3" t="str">
        <f>HYPERLINK("https://12go.asia/en/travel/huangshan/henan", "12Go Link")</f>
        <v>12Go Link</v>
      </c>
      <c r="E613" s="2" t="s">
        <v>226</v>
      </c>
    </row>
    <row r="614">
      <c r="A614" s="2" t="s">
        <v>828</v>
      </c>
      <c r="B614" s="2" t="s">
        <v>780</v>
      </c>
      <c r="C614" s="2" t="s">
        <v>944</v>
      </c>
      <c r="D614" s="3" t="str">
        <f>HYPERLINK("https://12go.asia/en/travel/huangshan/pujiangzhen", "12Go Link")</f>
        <v>12Go Link</v>
      </c>
      <c r="E614" s="2" t="s">
        <v>226</v>
      </c>
    </row>
    <row r="615">
      <c r="A615" s="2" t="s">
        <v>828</v>
      </c>
      <c r="B615" s="2" t="s">
        <v>593</v>
      </c>
      <c r="C615" s="2" t="s">
        <v>945</v>
      </c>
      <c r="D615" s="3" t="str">
        <f>HYPERLINK("https://12go.asia/en/travel/huangshan/saihan", "12Go Link")</f>
        <v>12Go Link</v>
      </c>
      <c r="E615" s="2" t="s">
        <v>226</v>
      </c>
    </row>
    <row r="616">
      <c r="A616" s="2" t="s">
        <v>828</v>
      </c>
      <c r="B616" s="2" t="s">
        <v>493</v>
      </c>
      <c r="C616" s="2" t="s">
        <v>946</v>
      </c>
      <c r="D616" s="3" t="str">
        <f>HYPERLINK("https://12go.asia/en/travel/huangshan-north/shanghai-south", "12Go Link")</f>
        <v>12Go Link</v>
      </c>
      <c r="E616" s="2" t="s">
        <v>226</v>
      </c>
    </row>
    <row r="617">
      <c r="A617" s="2" t="s">
        <v>828</v>
      </c>
      <c r="B617" s="2" t="s">
        <v>947</v>
      </c>
      <c r="C617" s="2" t="s">
        <v>948</v>
      </c>
      <c r="D617" s="3" t="str">
        <f>HYPERLINK("https://12go.asia/en/travel/huangshan-north/taizhou-jiangsu", "12Go Link")</f>
        <v>12Go Link</v>
      </c>
      <c r="E617" s="2" t="s">
        <v>226</v>
      </c>
    </row>
    <row r="618">
      <c r="A618" s="2" t="s">
        <v>828</v>
      </c>
      <c r="B618" s="2" t="s">
        <v>947</v>
      </c>
      <c r="C618" s="2" t="s">
        <v>949</v>
      </c>
      <c r="D618" s="3" t="str">
        <f>HYPERLINK("https://12go.asia/en/travel/huangshan/taizhou-jiangsu", "12Go Link")</f>
        <v>12Go Link</v>
      </c>
      <c r="E618" s="2" t="s">
        <v>226</v>
      </c>
    </row>
    <row r="619">
      <c r="A619" s="2" t="s">
        <v>828</v>
      </c>
      <c r="B619" s="2" t="s">
        <v>950</v>
      </c>
      <c r="C619" s="2" t="s">
        <v>951</v>
      </c>
      <c r="D619" s="3" t="str">
        <f>HYPERLINK("https://12go.asia/en/travel/huangshan-north/tianjin-west", "12Go Link")</f>
        <v>12Go Link</v>
      </c>
      <c r="E619" s="2" t="s">
        <v>226</v>
      </c>
    </row>
    <row r="620">
      <c r="A620" s="2" t="s">
        <v>828</v>
      </c>
      <c r="B620" s="2" t="s">
        <v>950</v>
      </c>
      <c r="C620" s="2" t="s">
        <v>952</v>
      </c>
      <c r="D620" s="3" t="str">
        <f>HYPERLINK("https://12go.asia/en/travel/huangshan/tianjin", "12Go Link")</f>
        <v>12Go Link</v>
      </c>
      <c r="E620" s="2" t="s">
        <v>226</v>
      </c>
    </row>
    <row r="621">
      <c r="A621" s="2" t="s">
        <v>828</v>
      </c>
      <c r="B621" s="2" t="s">
        <v>470</v>
      </c>
      <c r="C621" s="2" t="s">
        <v>953</v>
      </c>
      <c r="D621" s="3" t="str">
        <f>HYPERLINK("https://12go.asia/en/travel/huangshan-north/zhengzhou-hangkonggang", "12Go Link")</f>
        <v>12Go Link</v>
      </c>
      <c r="E621" s="2" t="s">
        <v>226</v>
      </c>
    </row>
    <row r="622">
      <c r="A622" s="2" t="s">
        <v>954</v>
      </c>
      <c r="B622" s="2" t="s">
        <v>887</v>
      </c>
      <c r="C622" s="2" t="s">
        <v>955</v>
      </c>
      <c r="D622" s="3" t="str">
        <f>HYPERLINK("https://12go.asia/en/travel/huangshi/fujian", "12Go Link")</f>
        <v>12Go Link</v>
      </c>
      <c r="E622" s="2" t="s">
        <v>226</v>
      </c>
    </row>
    <row r="623">
      <c r="A623" s="2" t="s">
        <v>954</v>
      </c>
      <c r="B623" s="2" t="s">
        <v>756</v>
      </c>
      <c r="C623" s="2" t="s">
        <v>956</v>
      </c>
      <c r="D623" s="3" t="str">
        <f>HYPERLINK("https://12go.asia/en/travel/huangshi-north/fuzhou", "12Go Link")</f>
        <v>12Go Link</v>
      </c>
      <c r="E623" s="2" t="s">
        <v>226</v>
      </c>
    </row>
    <row r="624">
      <c r="A624" s="2" t="s">
        <v>954</v>
      </c>
      <c r="B624" s="2" t="s">
        <v>478</v>
      </c>
      <c r="C624" s="2" t="s">
        <v>957</v>
      </c>
      <c r="D624" s="3" t="str">
        <f>HYPERLINK("https://12go.asia/en/travel/huangshi/henan", "12Go Link")</f>
        <v>12Go Link</v>
      </c>
      <c r="E624" s="2" t="s">
        <v>226</v>
      </c>
    </row>
    <row r="625">
      <c r="A625" s="2" t="s">
        <v>954</v>
      </c>
      <c r="B625" s="2" t="s">
        <v>638</v>
      </c>
      <c r="C625" s="2" t="s">
        <v>958</v>
      </c>
      <c r="D625" s="3" t="str">
        <f>HYPERLINK("https://12go.asia/en/travel/huangshi-north/huizhou-north", "12Go Link")</f>
        <v>12Go Link</v>
      </c>
      <c r="E625" s="2" t="s">
        <v>226</v>
      </c>
    </row>
    <row r="626">
      <c r="A626" s="2" t="s">
        <v>954</v>
      </c>
      <c r="B626" s="2" t="s">
        <v>638</v>
      </c>
      <c r="C626" s="2" t="s">
        <v>959</v>
      </c>
      <c r="D626" s="3" t="str">
        <f>HYPERLINK("https://12go.asia/en/travel/huangshi/huizhou", "12Go Link")</f>
        <v>12Go Link</v>
      </c>
      <c r="E626" s="2" t="s">
        <v>226</v>
      </c>
    </row>
    <row r="627">
      <c r="A627" s="2" t="s">
        <v>954</v>
      </c>
      <c r="B627" s="2" t="s">
        <v>640</v>
      </c>
      <c r="C627" s="2" t="s">
        <v>960</v>
      </c>
      <c r="D627" s="3" t="str">
        <f>HYPERLINK("https://12go.asia/en/travel/huangshi-north/zhongkai", "12Go Link")</f>
        <v>12Go Link</v>
      </c>
      <c r="E627" s="2" t="s">
        <v>226</v>
      </c>
    </row>
    <row r="628">
      <c r="A628" s="2" t="s">
        <v>954</v>
      </c>
      <c r="B628" s="2" t="s">
        <v>640</v>
      </c>
      <c r="C628" s="2" t="s">
        <v>961</v>
      </c>
      <c r="D628" s="3" t="str">
        <f>HYPERLINK("https://12go.asia/en/travel/huangshi/jiangbei", "12Go Link")</f>
        <v>12Go Link</v>
      </c>
      <c r="E628" s="2" t="s">
        <v>226</v>
      </c>
    </row>
    <row r="629">
      <c r="A629" s="2" t="s">
        <v>954</v>
      </c>
      <c r="B629" s="2" t="s">
        <v>642</v>
      </c>
      <c r="C629" s="2" t="s">
        <v>962</v>
      </c>
      <c r="D629" s="3" t="str">
        <f>HYPERLINK("https://12go.asia/en/travel/huangshi/jiangjin", "12Go Link")</f>
        <v>12Go Link</v>
      </c>
      <c r="E629" s="2" t="s">
        <v>226</v>
      </c>
    </row>
    <row r="630">
      <c r="A630" s="2" t="s">
        <v>954</v>
      </c>
      <c r="B630" s="2" t="s">
        <v>644</v>
      </c>
      <c r="C630" s="2" t="s">
        <v>963</v>
      </c>
      <c r="D630" s="3" t="str">
        <f>HYPERLINK("https://12go.asia/en/travel/huangshi/jiangyuan", "12Go Link")</f>
        <v>12Go Link</v>
      </c>
      <c r="E630" s="2" t="s">
        <v>226</v>
      </c>
    </row>
    <row r="631">
      <c r="A631" s="2" t="s">
        <v>964</v>
      </c>
      <c r="B631" s="2" t="s">
        <v>550</v>
      </c>
      <c r="C631" s="2" t="s">
        <v>965</v>
      </c>
      <c r="D631" s="3" t="str">
        <f>HYPERLINK("https://12go.asia/en/travel/huashan-north/zhangjiagang", "12Go Link")</f>
        <v>12Go Link</v>
      </c>
      <c r="E631" s="2" t="s">
        <v>226</v>
      </c>
    </row>
    <row r="632">
      <c r="A632" s="2" t="s">
        <v>964</v>
      </c>
      <c r="B632" s="2" t="s">
        <v>550</v>
      </c>
      <c r="C632" s="2" t="s">
        <v>966</v>
      </c>
      <c r="D632" s="3" t="str">
        <f>HYPERLINK("https://12go.asia/en/travel/huashan/zhangjiagang", "12Go Link")</f>
        <v>12Go Link</v>
      </c>
      <c r="E632" s="2" t="s">
        <v>226</v>
      </c>
    </row>
    <row r="633">
      <c r="A633" s="2" t="s">
        <v>723</v>
      </c>
      <c r="B633" s="2" t="s">
        <v>607</v>
      </c>
      <c r="C633" s="2" t="s">
        <v>967</v>
      </c>
      <c r="D633" s="3" t="str">
        <f>HYPERLINK("https://12go.asia/en/travel/huaxi/guangyuan", "12Go Link")</f>
        <v>12Go Link</v>
      </c>
      <c r="E633" s="2" t="s">
        <v>226</v>
      </c>
    </row>
    <row r="634">
      <c r="A634" s="2" t="s">
        <v>723</v>
      </c>
      <c r="B634" s="2" t="s">
        <v>968</v>
      </c>
      <c r="C634" s="2" t="s">
        <v>969</v>
      </c>
      <c r="D634" s="3" t="str">
        <f>HYPERLINK("https://12go.asia/en/travel/huaxi/guangzhou-airport", "12Go Link")</f>
        <v>12Go Link</v>
      </c>
      <c r="E634" s="2" t="s">
        <v>226</v>
      </c>
    </row>
    <row r="635">
      <c r="A635" s="2" t="s">
        <v>723</v>
      </c>
      <c r="B635" s="2" t="s">
        <v>970</v>
      </c>
      <c r="C635" s="2" t="s">
        <v>971</v>
      </c>
      <c r="D635" s="3" t="str">
        <f>HYPERLINK("https://12go.asia/en/travel/huaxi/hedong", "12Go Link")</f>
        <v>12Go Link</v>
      </c>
      <c r="E635" s="2" t="s">
        <v>226</v>
      </c>
    </row>
    <row r="636">
      <c r="A636" s="2" t="s">
        <v>723</v>
      </c>
      <c r="B636" s="2" t="s">
        <v>972</v>
      </c>
      <c r="C636" s="2" t="s">
        <v>973</v>
      </c>
      <c r="D636" s="3" t="str">
        <f>HYPERLINK("https://12go.asia/en/travel/huaxi/pingshan-shenzhen", "12Go Link")</f>
        <v>12Go Link</v>
      </c>
      <c r="E636" s="2" t="s">
        <v>226</v>
      </c>
    </row>
    <row r="637">
      <c r="A637" s="2" t="s">
        <v>723</v>
      </c>
      <c r="B637" s="2" t="s">
        <v>695</v>
      </c>
      <c r="C637" s="2" t="s">
        <v>974</v>
      </c>
      <c r="D637" s="3" t="str">
        <f>HYPERLINK("https://12go.asia/en/travel/huaxi/shanwei", "12Go Link")</f>
        <v>12Go Link</v>
      </c>
      <c r="E637" s="2" t="s">
        <v>226</v>
      </c>
    </row>
    <row r="638">
      <c r="A638" s="2" t="s">
        <v>723</v>
      </c>
      <c r="B638" s="2" t="s">
        <v>691</v>
      </c>
      <c r="C638" s="2" t="s">
        <v>975</v>
      </c>
      <c r="D638" s="3" t="str">
        <f>HYPERLINK("https://12go.asia/en/travel/huaxi/wulong", "12Go Link")</f>
        <v>12Go Link</v>
      </c>
      <c r="E638" s="2" t="s">
        <v>226</v>
      </c>
    </row>
    <row r="639">
      <c r="A639" s="2" t="s">
        <v>976</v>
      </c>
      <c r="B639" s="2" t="s">
        <v>977</v>
      </c>
      <c r="C639" s="2" t="s">
        <v>978</v>
      </c>
      <c r="D639" s="3" t="str">
        <f>HYPERLINK("https://12go.asia/en/travel/hubei/fusui", "12Go Link")</f>
        <v>12Go Link</v>
      </c>
      <c r="E639" s="2" t="s">
        <v>226</v>
      </c>
    </row>
    <row r="640">
      <c r="A640" s="2" t="s">
        <v>976</v>
      </c>
      <c r="B640" s="2" t="s">
        <v>964</v>
      </c>
      <c r="C640" s="2" t="s">
        <v>979</v>
      </c>
      <c r="D640" s="3" t="str">
        <f>HYPERLINK("https://12go.asia/en/travel/hubei/huashan", "12Go Link")</f>
        <v>12Go Link</v>
      </c>
      <c r="E640" s="2" t="s">
        <v>226</v>
      </c>
    </row>
    <row r="641">
      <c r="A641" s="2" t="s">
        <v>976</v>
      </c>
      <c r="B641" s="2" t="s">
        <v>980</v>
      </c>
      <c r="C641" s="2" t="s">
        <v>981</v>
      </c>
      <c r="D641" s="3" t="str">
        <f>HYPERLINK("https://12go.asia/en/travel/hubei/qichun", "12Go Link")</f>
        <v>12Go Link</v>
      </c>
      <c r="E641" s="2" t="s">
        <v>226</v>
      </c>
    </row>
    <row r="642">
      <c r="A642" s="2" t="s">
        <v>976</v>
      </c>
      <c r="B642" s="2" t="s">
        <v>982</v>
      </c>
      <c r="C642" s="2" t="s">
        <v>983</v>
      </c>
      <c r="D642" s="3" t="str">
        <f>HYPERLINK("https://12go.asia/en/travel/hubei/shaoyang", "12Go Link")</f>
        <v>12Go Link</v>
      </c>
      <c r="E642" s="2" t="s">
        <v>226</v>
      </c>
    </row>
    <row r="643">
      <c r="A643" s="2" t="s">
        <v>976</v>
      </c>
      <c r="B643" s="2" t="s">
        <v>711</v>
      </c>
      <c r="C643" s="2" t="s">
        <v>984</v>
      </c>
      <c r="D643" s="3" t="str">
        <f>HYPERLINK("https://12go.asia/en/travel/hubei/yulin-guangxi", "12Go Link")</f>
        <v>12Go Link</v>
      </c>
      <c r="E643" s="2" t="s">
        <v>226</v>
      </c>
    </row>
    <row r="644">
      <c r="A644" s="2" t="s">
        <v>976</v>
      </c>
      <c r="B644" s="2" t="s">
        <v>550</v>
      </c>
      <c r="C644" s="2" t="s">
        <v>985</v>
      </c>
      <c r="D644" s="3" t="str">
        <f>HYPERLINK("https://12go.asia/en/travel/hubei/zhangjiagang", "12Go Link")</f>
        <v>12Go Link</v>
      </c>
      <c r="E644" s="2" t="s">
        <v>226</v>
      </c>
    </row>
    <row r="645">
      <c r="A645" s="2" t="s">
        <v>986</v>
      </c>
      <c r="B645" s="2" t="s">
        <v>987</v>
      </c>
      <c r="C645" s="2" t="s">
        <v>988</v>
      </c>
      <c r="D645" s="3" t="str">
        <f>HYPERLINK("https://12go.asia/en/travel/huidong/chaonan", "12Go Link")</f>
        <v>12Go Link</v>
      </c>
      <c r="E645" s="2" t="s">
        <v>226</v>
      </c>
    </row>
    <row r="646">
      <c r="A646" s="2" t="s">
        <v>986</v>
      </c>
      <c r="B646" s="2" t="s">
        <v>886</v>
      </c>
      <c r="C646" s="2" t="s">
        <v>989</v>
      </c>
      <c r="D646" s="3" t="str">
        <f>HYPERLINK("https://12go.asia/en/travel/huidong/huaihua", "12Go Link")</f>
        <v>12Go Link</v>
      </c>
      <c r="E646" s="2" t="s">
        <v>226</v>
      </c>
    </row>
    <row r="647">
      <c r="A647" s="2" t="s">
        <v>986</v>
      </c>
      <c r="B647" s="2" t="s">
        <v>886</v>
      </c>
      <c r="C647" s="2" t="s">
        <v>990</v>
      </c>
      <c r="D647" s="3" t="str">
        <f>HYPERLINK("https://12go.asia/en/travel/huidong/huaihua-south", "12Go Link")</f>
        <v>12Go Link</v>
      </c>
      <c r="E647" s="2" t="s">
        <v>226</v>
      </c>
    </row>
    <row r="648">
      <c r="A648" s="2" t="s">
        <v>986</v>
      </c>
      <c r="B648" s="2" t="s">
        <v>991</v>
      </c>
      <c r="C648" s="2" t="s">
        <v>992</v>
      </c>
      <c r="D648" s="3" t="str">
        <f>HYPERLINK("https://12go.asia/en/travel/huidong/zhangjiajie", "12Go Link")</f>
        <v>12Go Link</v>
      </c>
      <c r="E648" s="2" t="s">
        <v>226</v>
      </c>
    </row>
    <row r="649">
      <c r="A649" s="2" t="s">
        <v>986</v>
      </c>
      <c r="B649" s="2" t="s">
        <v>991</v>
      </c>
      <c r="C649" s="2" t="s">
        <v>993</v>
      </c>
      <c r="D649" s="3" t="str">
        <f>HYPERLINK("https://12go.asia/en/travel/huidong/zhangjiajie-west", "12Go Link")</f>
        <v>12Go Link</v>
      </c>
      <c r="E649" s="2" t="s">
        <v>226</v>
      </c>
    </row>
    <row r="650">
      <c r="A650" s="2" t="s">
        <v>994</v>
      </c>
      <c r="B650" s="2" t="s">
        <v>713</v>
      </c>
      <c r="C650" s="2" t="s">
        <v>995</v>
      </c>
      <c r="D650" s="3" t="str">
        <f>HYPERLINK("https://12go.asia/en/travel/huiyang-district/hengyang", "12Go Link")</f>
        <v>12Go Link</v>
      </c>
      <c r="E650" s="2" t="s">
        <v>226</v>
      </c>
    </row>
    <row r="651">
      <c r="A651" s="2" t="s">
        <v>994</v>
      </c>
      <c r="B651" s="2" t="s">
        <v>713</v>
      </c>
      <c r="C651" s="2" t="s">
        <v>996</v>
      </c>
      <c r="D651" s="3" t="str">
        <f>HYPERLINK("https://12go.asia/en/travel/huizhounan/hengyang-east", "12Go Link")</f>
        <v>12Go Link</v>
      </c>
      <c r="E651" s="2" t="s">
        <v>226</v>
      </c>
    </row>
    <row r="652">
      <c r="A652" s="2" t="s">
        <v>994</v>
      </c>
      <c r="B652" s="2" t="s">
        <v>886</v>
      </c>
      <c r="C652" s="2" t="s">
        <v>997</v>
      </c>
      <c r="D652" s="3" t="str">
        <f>HYPERLINK("https://12go.asia/en/travel/huiyang-district/huaihua", "12Go Link")</f>
        <v>12Go Link</v>
      </c>
      <c r="E652" s="2" t="s">
        <v>226</v>
      </c>
    </row>
    <row r="653">
      <c r="A653" s="2" t="s">
        <v>994</v>
      </c>
      <c r="B653" s="2" t="s">
        <v>886</v>
      </c>
      <c r="C653" s="2" t="s">
        <v>998</v>
      </c>
      <c r="D653" s="3" t="str">
        <f>HYPERLINK("https://12go.asia/en/travel/huizhounan/huaihua-south", "12Go Link")</f>
        <v>12Go Link</v>
      </c>
      <c r="E653" s="2" t="s">
        <v>226</v>
      </c>
    </row>
    <row r="654">
      <c r="A654" s="2" t="s">
        <v>994</v>
      </c>
      <c r="B654" s="2" t="s">
        <v>897</v>
      </c>
      <c r="C654" s="2" t="s">
        <v>999</v>
      </c>
      <c r="D654" s="3" t="str">
        <f>HYPERLINK("https://12go.asia/en/travel/huiyang-district/shanghai-hongqiao-airport", "12Go Link")</f>
        <v>12Go Link</v>
      </c>
      <c r="E654" s="2" t="s">
        <v>226</v>
      </c>
    </row>
    <row r="655">
      <c r="A655" s="2" t="s">
        <v>994</v>
      </c>
      <c r="B655" s="2" t="s">
        <v>709</v>
      </c>
      <c r="C655" s="2" t="s">
        <v>1000</v>
      </c>
      <c r="D655" s="3" t="str">
        <f>HYPERLINK("https://12go.asia/en/travel/huiyang-district/sichuan", "12Go Link")</f>
        <v>12Go Link</v>
      </c>
      <c r="E655" s="2" t="s">
        <v>226</v>
      </c>
    </row>
    <row r="656">
      <c r="A656" s="2" t="s">
        <v>994</v>
      </c>
      <c r="B656" s="2" t="s">
        <v>1001</v>
      </c>
      <c r="C656" s="2" t="s">
        <v>1002</v>
      </c>
      <c r="D656" s="3" t="str">
        <f>HYPERLINK("https://12go.asia/en/travel/huiyang-district/wuxi-jiangsu", "12Go Link")</f>
        <v>12Go Link</v>
      </c>
      <c r="E656" s="2" t="s">
        <v>226</v>
      </c>
    </row>
    <row r="657">
      <c r="A657" s="2" t="s">
        <v>994</v>
      </c>
      <c r="B657" s="2" t="s">
        <v>1001</v>
      </c>
      <c r="C657" s="2" t="s">
        <v>1003</v>
      </c>
      <c r="D657" s="3" t="str">
        <f>HYPERLINK("https://12go.asia/en/travel/huiyang/wuxi", "12Go Link")</f>
        <v>12Go Link</v>
      </c>
      <c r="E657" s="2" t="s">
        <v>226</v>
      </c>
    </row>
    <row r="658">
      <c r="A658" s="2" t="s">
        <v>994</v>
      </c>
      <c r="B658" s="2" t="s">
        <v>991</v>
      </c>
      <c r="C658" s="2" t="s">
        <v>1004</v>
      </c>
      <c r="D658" s="3" t="str">
        <f>HYPERLINK("https://12go.asia/en/travel/huiyang-district/zhangjiajie", "12Go Link")</f>
        <v>12Go Link</v>
      </c>
      <c r="E658" s="2" t="s">
        <v>226</v>
      </c>
    </row>
    <row r="659">
      <c r="A659" s="2" t="s">
        <v>994</v>
      </c>
      <c r="B659" s="2" t="s">
        <v>991</v>
      </c>
      <c r="C659" s="2" t="s">
        <v>1005</v>
      </c>
      <c r="D659" s="3" t="str">
        <f>HYPERLINK("https://12go.asia/en/travel/huizhounan/zhangjiajie-west", "12Go Link")</f>
        <v>12Go Link</v>
      </c>
      <c r="E659" s="2" t="s">
        <v>226</v>
      </c>
    </row>
    <row r="660">
      <c r="A660" s="2" t="s">
        <v>638</v>
      </c>
      <c r="B660" s="2" t="s">
        <v>542</v>
      </c>
      <c r="C660" s="2" t="s">
        <v>1006</v>
      </c>
      <c r="D660" s="3" t="str">
        <f>HYPERLINK("https://12go.asia/en/travel/huizhou-north/changzhou", "12Go Link")</f>
        <v>12Go Link</v>
      </c>
      <c r="E660" s="2" t="s">
        <v>226</v>
      </c>
    </row>
    <row r="661">
      <c r="A661" s="2" t="s">
        <v>638</v>
      </c>
      <c r="B661" s="2" t="s">
        <v>542</v>
      </c>
      <c r="C661" s="2" t="s">
        <v>1007</v>
      </c>
      <c r="D661" s="3" t="str">
        <f>HYPERLINK("https://12go.asia/en/travel/huizhou/changzhou", "12Go Link")</f>
        <v>12Go Link</v>
      </c>
      <c r="E661" s="2" t="s">
        <v>226</v>
      </c>
    </row>
    <row r="662">
      <c r="A662" s="2" t="s">
        <v>638</v>
      </c>
      <c r="B662" s="2" t="s">
        <v>887</v>
      </c>
      <c r="C662" s="2" t="s">
        <v>1008</v>
      </c>
      <c r="D662" s="3" t="str">
        <f>HYPERLINK("https://12go.asia/en/travel/huizhou/fujian", "12Go Link")</f>
        <v>12Go Link</v>
      </c>
      <c r="E662" s="2" t="s">
        <v>226</v>
      </c>
    </row>
    <row r="663">
      <c r="A663" s="2" t="s">
        <v>638</v>
      </c>
      <c r="B663" s="2" t="s">
        <v>756</v>
      </c>
      <c r="C663" s="2" t="s">
        <v>1009</v>
      </c>
      <c r="D663" s="3" t="str">
        <f>HYPERLINK("https://12go.asia/en/travel/huizhou-north/fuzhou-south", "12Go Link")</f>
        <v>12Go Link</v>
      </c>
      <c r="E663" s="2" t="s">
        <v>226</v>
      </c>
    </row>
    <row r="664">
      <c r="A664" s="2" t="s">
        <v>638</v>
      </c>
      <c r="B664" s="2" t="s">
        <v>886</v>
      </c>
      <c r="C664" s="2" t="s">
        <v>1010</v>
      </c>
      <c r="D664" s="3" t="str">
        <f>HYPERLINK("https://12go.asia/en/travel/huizhou/huaihua", "12Go Link")</f>
        <v>12Go Link</v>
      </c>
      <c r="E664" s="2" t="s">
        <v>226</v>
      </c>
    </row>
    <row r="665">
      <c r="A665" s="2" t="s">
        <v>638</v>
      </c>
      <c r="B665" s="2" t="s">
        <v>886</v>
      </c>
      <c r="C665" s="2" t="s">
        <v>1011</v>
      </c>
      <c r="D665" s="3" t="str">
        <f>HYPERLINK("https://12go.asia/en/travel/huizhou/huaihua-south", "12Go Link")</f>
        <v>12Go Link</v>
      </c>
      <c r="E665" s="2" t="s">
        <v>226</v>
      </c>
    </row>
    <row r="666">
      <c r="A666" s="2" t="s">
        <v>638</v>
      </c>
      <c r="B666" s="2" t="s">
        <v>497</v>
      </c>
      <c r="C666" s="2" t="s">
        <v>1012</v>
      </c>
      <c r="D666" s="3" t="str">
        <f>HYPERLINK("https://12go.asia/en/travel/huizhou/shanghai-songjiang", "12Go Link")</f>
        <v>12Go Link</v>
      </c>
      <c r="E666" s="2" t="s">
        <v>226</v>
      </c>
    </row>
    <row r="667">
      <c r="A667" s="2" t="s">
        <v>638</v>
      </c>
      <c r="B667" s="2" t="s">
        <v>497</v>
      </c>
      <c r="C667" s="2" t="s">
        <v>1013</v>
      </c>
      <c r="D667" s="3" t="str">
        <f>HYPERLINK("https://12go.asia/en/travel/huizhou/songjiang-shanghai", "12Go Link")</f>
        <v>12Go Link</v>
      </c>
      <c r="E667" s="2" t="s">
        <v>226</v>
      </c>
    </row>
    <row r="668">
      <c r="A668" s="2" t="s">
        <v>638</v>
      </c>
      <c r="B668" s="2" t="s">
        <v>1014</v>
      </c>
      <c r="C668" s="2" t="s">
        <v>1015</v>
      </c>
      <c r="D668" s="3" t="str">
        <f>HYPERLINK("https://12go.asia/en/travel/huizhou/xunxian", "12Go Link")</f>
        <v>12Go Link</v>
      </c>
      <c r="E668" s="2" t="s">
        <v>226</v>
      </c>
    </row>
    <row r="669">
      <c r="A669" s="2" t="s">
        <v>638</v>
      </c>
      <c r="B669" s="2" t="s">
        <v>991</v>
      </c>
      <c r="C669" s="2" t="s">
        <v>1016</v>
      </c>
      <c r="D669" s="3" t="str">
        <f>HYPERLINK("https://12go.asia/en/travel/huizhou/zhangjiajie-west", "12Go Link")</f>
        <v>12Go Link</v>
      </c>
      <c r="E669" s="2" t="s">
        <v>226</v>
      </c>
    </row>
    <row r="670">
      <c r="A670" s="2" t="s">
        <v>638</v>
      </c>
      <c r="B670" s="2" t="s">
        <v>991</v>
      </c>
      <c r="C670" s="2" t="s">
        <v>1017</v>
      </c>
      <c r="D670" s="3" t="str">
        <f>HYPERLINK("https://12go.asia/en/travel/huizhou/zhangjiajie", "12Go Link")</f>
        <v>12Go Link</v>
      </c>
      <c r="E670" s="2" t="s">
        <v>226</v>
      </c>
    </row>
    <row r="671">
      <c r="A671" s="2" t="s">
        <v>638</v>
      </c>
      <c r="B671" s="2" t="s">
        <v>1018</v>
      </c>
      <c r="C671" s="2" t="s">
        <v>1019</v>
      </c>
      <c r="D671" s="3" t="str">
        <f>HYPERLINK("https://12go.asia/en/travel/huizhou-north/zhenjiang", "12Go Link")</f>
        <v>12Go Link</v>
      </c>
      <c r="E671" s="2" t="s">
        <v>226</v>
      </c>
    </row>
    <row r="672">
      <c r="A672" s="2" t="s">
        <v>638</v>
      </c>
      <c r="B672" s="2" t="s">
        <v>1018</v>
      </c>
      <c r="C672" s="2" t="s">
        <v>1020</v>
      </c>
      <c r="D672" s="3" t="str">
        <f>HYPERLINK("https://12go.asia/en/travel/huizhou/zhenjiang", "12Go Link")</f>
        <v>12Go Link</v>
      </c>
      <c r="E672" s="2" t="s">
        <v>226</v>
      </c>
    </row>
    <row r="673">
      <c r="A673" s="2" t="s">
        <v>482</v>
      </c>
      <c r="B673" s="2" t="s">
        <v>447</v>
      </c>
      <c r="C673" s="2" t="s">
        <v>1021</v>
      </c>
      <c r="D673" s="3" t="str">
        <f>HYPERLINK("https://12go.asia/en/travel/huludao-north/baoding-east", "12Go Link")</f>
        <v>12Go Link</v>
      </c>
      <c r="E673" s="2" t="s">
        <v>226</v>
      </c>
    </row>
    <row r="674">
      <c r="A674" s="2" t="s">
        <v>482</v>
      </c>
      <c r="B674" s="2" t="s">
        <v>447</v>
      </c>
      <c r="C674" s="2" t="s">
        <v>1022</v>
      </c>
      <c r="D674" s="3" t="str">
        <f>HYPERLINK("https://12go.asia/en/travel/huludao/baoding", "12Go Link")</f>
        <v>12Go Link</v>
      </c>
      <c r="E674" s="2" t="s">
        <v>226</v>
      </c>
    </row>
    <row r="675">
      <c r="A675" s="2" t="s">
        <v>482</v>
      </c>
      <c r="B675" s="2" t="s">
        <v>472</v>
      </c>
      <c r="C675" s="2" t="s">
        <v>1023</v>
      </c>
      <c r="D675" s="3" t="str">
        <f>HYPERLINK("https://12go.asia/en/travel/huludao-north/changchun", "12Go Link")</f>
        <v>12Go Link</v>
      </c>
      <c r="E675" s="2" t="s">
        <v>226</v>
      </c>
    </row>
    <row r="676">
      <c r="A676" s="2" t="s">
        <v>482</v>
      </c>
      <c r="B676" s="2" t="s">
        <v>472</v>
      </c>
      <c r="C676" s="2" t="s">
        <v>1024</v>
      </c>
      <c r="D676" s="3" t="str">
        <f>HYPERLINK("https://12go.asia/en/travel/huludao-north/changchun-west", "12Go Link")</f>
        <v>12Go Link</v>
      </c>
      <c r="E676" s="2" t="s">
        <v>226</v>
      </c>
    </row>
    <row r="677">
      <c r="A677" s="2" t="s">
        <v>482</v>
      </c>
      <c r="B677" s="2" t="s">
        <v>472</v>
      </c>
      <c r="C677" s="2" t="s">
        <v>1025</v>
      </c>
      <c r="D677" s="3" t="str">
        <f>HYPERLINK("https://12go.asia/en/travel/huludao/changchun", "12Go Link")</f>
        <v>12Go Link</v>
      </c>
      <c r="E677" s="2" t="s">
        <v>226</v>
      </c>
    </row>
    <row r="678">
      <c r="A678" s="2" t="s">
        <v>482</v>
      </c>
      <c r="B678" s="2" t="s">
        <v>758</v>
      </c>
      <c r="C678" s="2" t="s">
        <v>1026</v>
      </c>
      <c r="D678" s="3" t="str">
        <f>HYPERLINK("https://12go.asia/en/travel/huludao-north/harbin-west", "12Go Link")</f>
        <v>12Go Link</v>
      </c>
      <c r="E678" s="2" t="s">
        <v>226</v>
      </c>
    </row>
    <row r="679">
      <c r="A679" s="2" t="s">
        <v>482</v>
      </c>
      <c r="B679" s="2" t="s">
        <v>758</v>
      </c>
      <c r="C679" s="2" t="s">
        <v>1027</v>
      </c>
      <c r="D679" s="3" t="str">
        <f>HYPERLINK("https://12go.asia/en/travel/huludao/harbin", "12Go Link")</f>
        <v>12Go Link</v>
      </c>
      <c r="E679" s="2" t="s">
        <v>226</v>
      </c>
    </row>
    <row r="680">
      <c r="A680" s="2" t="s">
        <v>482</v>
      </c>
      <c r="B680" s="2" t="s">
        <v>758</v>
      </c>
      <c r="C680" s="2" t="s">
        <v>1028</v>
      </c>
      <c r="D680" s="3" t="str">
        <f>HYPERLINK("https://12go.asia/en/travel/huludao/harbin-east", "12Go Link")</f>
        <v>12Go Link</v>
      </c>
      <c r="E680" s="2" t="s">
        <v>226</v>
      </c>
    </row>
    <row r="681">
      <c r="A681" s="2" t="s">
        <v>482</v>
      </c>
      <c r="B681" s="2" t="s">
        <v>758</v>
      </c>
      <c r="C681" s="2" t="s">
        <v>1029</v>
      </c>
      <c r="D681" s="3" t="str">
        <f>HYPERLINK("https://12go.asia/en/travel/huludao/harbin-west", "12Go Link")</f>
        <v>12Go Link</v>
      </c>
      <c r="E681" s="2" t="s">
        <v>226</v>
      </c>
    </row>
    <row r="682">
      <c r="A682" s="2" t="s">
        <v>482</v>
      </c>
      <c r="B682" s="2" t="s">
        <v>782</v>
      </c>
      <c r="C682" s="2" t="s">
        <v>1030</v>
      </c>
      <c r="D682" s="3" t="str">
        <f>HYPERLINK("https://12go.asia/en/travel/huludao/heilongjiang", "12Go Link")</f>
        <v>12Go Link</v>
      </c>
      <c r="E682" s="2" t="s">
        <v>226</v>
      </c>
    </row>
    <row r="683">
      <c r="A683" s="2" t="s">
        <v>482</v>
      </c>
      <c r="B683" s="2" t="s">
        <v>817</v>
      </c>
      <c r="C683" s="2" t="s">
        <v>1031</v>
      </c>
      <c r="D683" s="3" t="str">
        <f>HYPERLINK("https://12go.asia/en/travel/huludao-north/heze", "12Go Link")</f>
        <v>12Go Link</v>
      </c>
      <c r="E683" s="2" t="s">
        <v>226</v>
      </c>
    </row>
    <row r="684">
      <c r="A684" s="2" t="s">
        <v>482</v>
      </c>
      <c r="B684" s="2" t="s">
        <v>817</v>
      </c>
      <c r="C684" s="2" t="s">
        <v>1032</v>
      </c>
      <c r="D684" s="3" t="str">
        <f>HYPERLINK("https://12go.asia/en/travel/huludao/heze", "12Go Link")</f>
        <v>12Go Link</v>
      </c>
      <c r="E684" s="2" t="s">
        <v>226</v>
      </c>
    </row>
    <row r="685">
      <c r="A685" s="2" t="s">
        <v>482</v>
      </c>
      <c r="B685" s="2" t="s">
        <v>500</v>
      </c>
      <c r="C685" s="2" t="s">
        <v>1033</v>
      </c>
      <c r="D685" s="3" t="str">
        <f>HYPERLINK("https://12go.asia/en/travel/huludao-north/taiyuan-shanxi", "12Go Link")</f>
        <v>12Go Link</v>
      </c>
      <c r="E685" s="2" t="s">
        <v>226</v>
      </c>
    </row>
    <row r="686">
      <c r="A686" s="2" t="s">
        <v>482</v>
      </c>
      <c r="B686" s="2" t="s">
        <v>500</v>
      </c>
      <c r="C686" s="2" t="s">
        <v>1034</v>
      </c>
      <c r="D686" s="3" t="str">
        <f>HYPERLINK("https://12go.asia/en/travel/huludao/taiyuan", "12Go Link")</f>
        <v>12Go Link</v>
      </c>
      <c r="E686" s="2" t="s">
        <v>226</v>
      </c>
    </row>
    <row r="687">
      <c r="A687" s="2" t="s">
        <v>482</v>
      </c>
      <c r="B687" s="2" t="s">
        <v>500</v>
      </c>
      <c r="C687" s="2" t="s">
        <v>1035</v>
      </c>
      <c r="D687" s="3" t="str">
        <f>HYPERLINK("https://12go.asia/en/travel/huludao/taiyuan-shanxi", "12Go Link")</f>
        <v>12Go Link</v>
      </c>
      <c r="E687" s="2" t="s">
        <v>226</v>
      </c>
    </row>
    <row r="688">
      <c r="A688" s="2" t="s">
        <v>482</v>
      </c>
      <c r="B688" s="2" t="s">
        <v>1014</v>
      </c>
      <c r="C688" s="2" t="s">
        <v>1036</v>
      </c>
      <c r="D688" s="3" t="str">
        <f>HYPERLINK("https://12go.asia/en/travel/huludao/xunxian", "12Go Link")</f>
        <v>12Go Link</v>
      </c>
      <c r="E688" s="2" t="s">
        <v>226</v>
      </c>
    </row>
    <row r="689">
      <c r="A689" s="2" t="s">
        <v>1037</v>
      </c>
      <c r="B689" s="2" t="s">
        <v>556</v>
      </c>
      <c r="C689" s="2" t="s">
        <v>1038</v>
      </c>
      <c r="D689" s="3" t="str">
        <f>HYPERLINK("https://12go.asia/en/travel/humen-town/chengdu", "12Go Link")</f>
        <v>12Go Link</v>
      </c>
      <c r="E689" s="2" t="s">
        <v>226</v>
      </c>
    </row>
    <row r="690">
      <c r="A690" s="2" t="s">
        <v>1037</v>
      </c>
      <c r="B690" s="2" t="s">
        <v>556</v>
      </c>
      <c r="C690" s="2" t="s">
        <v>1039</v>
      </c>
      <c r="D690" s="3" t="str">
        <f>HYPERLINK("https://12go.asia/en/travel/humen/chengdu-east", "12Go Link")</f>
        <v>12Go Link</v>
      </c>
      <c r="E690" s="2" t="s">
        <v>226</v>
      </c>
    </row>
    <row r="691">
      <c r="A691" s="2" t="s">
        <v>1037</v>
      </c>
      <c r="B691" s="2" t="s">
        <v>697</v>
      </c>
      <c r="C691" s="2" t="s">
        <v>1040</v>
      </c>
      <c r="D691" s="3" t="str">
        <f>HYPERLINK("https://12go.asia/en/travel/humen-town/guilin", "12Go Link")</f>
        <v>12Go Link</v>
      </c>
      <c r="E691" s="2" t="s">
        <v>226</v>
      </c>
    </row>
    <row r="692">
      <c r="A692" s="2" t="s">
        <v>1037</v>
      </c>
      <c r="B692" s="2" t="s">
        <v>697</v>
      </c>
      <c r="C692" s="2" t="s">
        <v>1041</v>
      </c>
      <c r="D692" s="3" t="str">
        <f>HYPERLINK("https://12go.asia/en/travel/humen/guilin", "12Go Link")</f>
        <v>12Go Link</v>
      </c>
      <c r="E692" s="2" t="s">
        <v>226</v>
      </c>
    </row>
    <row r="693">
      <c r="A693" s="2" t="s">
        <v>1037</v>
      </c>
      <c r="B693" s="2" t="s">
        <v>697</v>
      </c>
      <c r="C693" s="2" t="s">
        <v>1042</v>
      </c>
      <c r="D693" s="3" t="str">
        <f>HYPERLINK("https://12go.asia/en/travel/humen/guilin-north", "12Go Link")</f>
        <v>12Go Link</v>
      </c>
      <c r="E693" s="2" t="s">
        <v>226</v>
      </c>
    </row>
    <row r="694">
      <c r="A694" s="2" t="s">
        <v>1037</v>
      </c>
      <c r="B694" s="2" t="s">
        <v>697</v>
      </c>
      <c r="C694" s="2" t="s">
        <v>1043</v>
      </c>
      <c r="D694" s="3" t="str">
        <f>HYPERLINK("https://12go.asia/en/travel/humen/guilin-west", "12Go Link")</f>
        <v>12Go Link</v>
      </c>
      <c r="E694" s="2" t="s">
        <v>226</v>
      </c>
    </row>
    <row r="695">
      <c r="A695" s="2" t="s">
        <v>1037</v>
      </c>
      <c r="B695" s="2" t="s">
        <v>478</v>
      </c>
      <c r="C695" s="2" t="s">
        <v>1044</v>
      </c>
      <c r="D695" s="3" t="str">
        <f>HYPERLINK("https://12go.asia/en/travel/humen-town/henan", "12Go Link")</f>
        <v>12Go Link</v>
      </c>
      <c r="E695" s="2" t="s">
        <v>226</v>
      </c>
    </row>
    <row r="696">
      <c r="A696" s="2" t="s">
        <v>1037</v>
      </c>
      <c r="B696" s="2" t="s">
        <v>456</v>
      </c>
      <c r="C696" s="2" t="s">
        <v>1045</v>
      </c>
      <c r="D696" s="3" t="str">
        <f>HYPERLINK("https://12go.asia/en/travel/humen-town/jiangzhou", "12Go Link")</f>
        <v>12Go Link</v>
      </c>
      <c r="E696" s="2" t="s">
        <v>226</v>
      </c>
    </row>
    <row r="697">
      <c r="A697" s="2" t="s">
        <v>1037</v>
      </c>
      <c r="B697" s="2" t="s">
        <v>796</v>
      </c>
      <c r="C697" s="2" t="s">
        <v>1046</v>
      </c>
      <c r="D697" s="3" t="str">
        <f>HYPERLINK("https://12go.asia/en/travel/humen-town/neijiang", "12Go Link")</f>
        <v>12Go Link</v>
      </c>
      <c r="E697" s="2" t="s">
        <v>226</v>
      </c>
    </row>
    <row r="698">
      <c r="A698" s="2" t="s">
        <v>1037</v>
      </c>
      <c r="B698" s="2" t="s">
        <v>796</v>
      </c>
      <c r="C698" s="2" t="s">
        <v>1047</v>
      </c>
      <c r="D698" s="3" t="str">
        <f>HYPERLINK("https://12go.asia/en/travel/humen/neijiang-north", "12Go Link")</f>
        <v>12Go Link</v>
      </c>
      <c r="E698" s="2" t="s">
        <v>226</v>
      </c>
    </row>
    <row r="699">
      <c r="A699" s="2" t="s">
        <v>1037</v>
      </c>
      <c r="B699" s="2" t="s">
        <v>709</v>
      </c>
      <c r="C699" s="2" t="s">
        <v>1048</v>
      </c>
      <c r="D699" s="3" t="str">
        <f>HYPERLINK("https://12go.asia/en/travel/humen-town/sichuan", "12Go Link")</f>
        <v>12Go Link</v>
      </c>
      <c r="E699" s="2" t="s">
        <v>226</v>
      </c>
    </row>
    <row r="700">
      <c r="A700" s="2" t="s">
        <v>1037</v>
      </c>
      <c r="B700" s="2" t="s">
        <v>1049</v>
      </c>
      <c r="C700" s="2" t="s">
        <v>1050</v>
      </c>
      <c r="D700" s="3" t="str">
        <f>HYPERLINK("https://12go.asia/en/travel/humen-town/xiangyang", "12Go Link")</f>
        <v>12Go Link</v>
      </c>
      <c r="E700" s="2" t="s">
        <v>226</v>
      </c>
    </row>
    <row r="701">
      <c r="A701" s="2" t="s">
        <v>1037</v>
      </c>
      <c r="B701" s="2" t="s">
        <v>1049</v>
      </c>
      <c r="C701" s="2" t="s">
        <v>1051</v>
      </c>
      <c r="D701" s="3" t="str">
        <f>HYPERLINK("https://12go.asia/en/travel/humen/xiangyang-east", "12Go Link")</f>
        <v>12Go Link</v>
      </c>
      <c r="E701" s="2" t="s">
        <v>226</v>
      </c>
    </row>
    <row r="702">
      <c r="A702" s="2" t="s">
        <v>1037</v>
      </c>
      <c r="B702" s="2" t="s">
        <v>1052</v>
      </c>
      <c r="C702" s="2" t="s">
        <v>1053</v>
      </c>
      <c r="D702" s="3" t="str">
        <f>HYPERLINK("https://12go.asia/en/travel/humen-town/zhanjiang", "12Go Link")</f>
        <v>12Go Link</v>
      </c>
      <c r="E702" s="2" t="s">
        <v>226</v>
      </c>
    </row>
    <row r="703">
      <c r="A703" s="2" t="s">
        <v>1037</v>
      </c>
      <c r="B703" s="2" t="s">
        <v>1052</v>
      </c>
      <c r="C703" s="2" t="s">
        <v>1054</v>
      </c>
      <c r="D703" s="3" t="str">
        <f>HYPERLINK("https://12go.asia/en/travel/humen/zhanjiang-west", "12Go Link")</f>
        <v>12Go Link</v>
      </c>
      <c r="E703" s="2" t="s">
        <v>226</v>
      </c>
    </row>
    <row r="704">
      <c r="A704" s="2" t="s">
        <v>1037</v>
      </c>
      <c r="B704" s="2" t="s">
        <v>470</v>
      </c>
      <c r="C704" s="2" t="s">
        <v>1055</v>
      </c>
      <c r="D704" s="3" t="str">
        <f>HYPERLINK("https://12go.asia/en/travel/humen-town/zhengzhou", "12Go Link")</f>
        <v>12Go Link</v>
      </c>
      <c r="E704" s="2" t="s">
        <v>226</v>
      </c>
    </row>
    <row r="705">
      <c r="A705" s="2" t="s">
        <v>1037</v>
      </c>
      <c r="B705" s="2" t="s">
        <v>470</v>
      </c>
      <c r="C705" s="2" t="s">
        <v>1056</v>
      </c>
      <c r="D705" s="3" t="str">
        <f>HYPERLINK("https://12go.asia/en/travel/humen/zhengzhou", "12Go Link")</f>
        <v>12Go Link</v>
      </c>
      <c r="E705" s="2" t="s">
        <v>226</v>
      </c>
    </row>
    <row r="706">
      <c r="A706" s="2" t="s">
        <v>1037</v>
      </c>
      <c r="B706" s="2" t="s">
        <v>470</v>
      </c>
      <c r="C706" s="2" t="s">
        <v>1057</v>
      </c>
      <c r="D706" s="3" t="str">
        <f>HYPERLINK("https://12go.asia/en/travel/humen/zhengzhou-east", "12Go Link")</f>
        <v>12Go Link</v>
      </c>
      <c r="E706" s="2" t="s">
        <v>226</v>
      </c>
    </row>
    <row r="707">
      <c r="A707" s="2" t="s">
        <v>402</v>
      </c>
      <c r="B707" s="2" t="s">
        <v>528</v>
      </c>
      <c r="C707" s="2" t="s">
        <v>1058</v>
      </c>
      <c r="D707" s="3" t="str">
        <f>HYPERLINK("https://12go.asia/en/travel/hunan/datong", "12Go Link")</f>
        <v>12Go Link</v>
      </c>
      <c r="E707" s="2" t="s">
        <v>226</v>
      </c>
    </row>
    <row r="708">
      <c r="A708" s="2" t="s">
        <v>402</v>
      </c>
      <c r="B708" s="2" t="s">
        <v>906</v>
      </c>
      <c r="C708" s="2" t="s">
        <v>1059</v>
      </c>
      <c r="D708" s="3" t="str">
        <f>HYPERLINK("https://12go.asia/en/travel/hunan/huairen-county", "12Go Link")</f>
        <v>12Go Link</v>
      </c>
      <c r="E708" s="2" t="s">
        <v>226</v>
      </c>
    </row>
    <row r="709">
      <c r="A709" s="2" t="s">
        <v>402</v>
      </c>
      <c r="B709" s="2" t="s">
        <v>1060</v>
      </c>
      <c r="C709" s="2" t="s">
        <v>1061</v>
      </c>
      <c r="D709" s="3" t="str">
        <f>HYPERLINK("https://12go.asia/en/travel/hunan/jiuquan", "12Go Link")</f>
        <v>12Go Link</v>
      </c>
      <c r="E709" s="2" t="s">
        <v>226</v>
      </c>
    </row>
    <row r="710">
      <c r="A710" s="2" t="s">
        <v>402</v>
      </c>
      <c r="B710" s="2" t="s">
        <v>443</v>
      </c>
      <c r="C710" s="2" t="s">
        <v>1062</v>
      </c>
      <c r="D710" s="3" t="str">
        <f>HYPERLINK("https://12go.asia/en/travel/hunan/leshan", "12Go Link")</f>
        <v>12Go Link</v>
      </c>
      <c r="E710" s="2" t="s">
        <v>226</v>
      </c>
    </row>
    <row r="711">
      <c r="A711" s="2" t="s">
        <v>402</v>
      </c>
      <c r="B711" s="2" t="s">
        <v>1063</v>
      </c>
      <c r="C711" s="2" t="s">
        <v>1064</v>
      </c>
      <c r="D711" s="3" t="str">
        <f>HYPERLINK("https://12go.asia/en/travel/hunan/linyi", "12Go Link")</f>
        <v>12Go Link</v>
      </c>
      <c r="E711" s="2" t="s">
        <v>226</v>
      </c>
    </row>
    <row r="712">
      <c r="A712" s="2" t="s">
        <v>402</v>
      </c>
      <c r="B712" s="2" t="s">
        <v>1065</v>
      </c>
      <c r="C712" s="2" t="s">
        <v>1066</v>
      </c>
      <c r="D712" s="3" t="str">
        <f>HYPERLINK("https://12go.asia/en/travel/hunan/sanmenxia", "12Go Link")</f>
        <v>12Go Link</v>
      </c>
      <c r="E712" s="2" t="s">
        <v>226</v>
      </c>
    </row>
    <row r="713">
      <c r="A713" s="2" t="s">
        <v>402</v>
      </c>
      <c r="B713" s="2" t="s">
        <v>1067</v>
      </c>
      <c r="C713" s="2" t="s">
        <v>1068</v>
      </c>
      <c r="D713" s="3" t="str">
        <f>HYPERLINK("https://12go.asia/en/travel/hunan/weinan", "12Go Link")</f>
        <v>12Go Link</v>
      </c>
      <c r="E713" s="2" t="s">
        <v>226</v>
      </c>
    </row>
    <row r="714">
      <c r="A714" s="2" t="s">
        <v>402</v>
      </c>
      <c r="B714" s="2" t="s">
        <v>1069</v>
      </c>
      <c r="C714" s="2" t="s">
        <v>1070</v>
      </c>
      <c r="D714" s="3" t="str">
        <f>HYPERLINK("https://12go.asia/en/travel/hunan/xuanzhou", "12Go Link")</f>
        <v>12Go Link</v>
      </c>
      <c r="E714" s="2" t="s">
        <v>226</v>
      </c>
    </row>
    <row r="715">
      <c r="A715" s="2" t="s">
        <v>402</v>
      </c>
      <c r="B715" s="2" t="s">
        <v>1071</v>
      </c>
      <c r="C715" s="2" t="s">
        <v>1072</v>
      </c>
      <c r="D715" s="3" t="str">
        <f>HYPERLINK("https://12go.asia/en/travel/hunan/yantai", "12Go Link")</f>
        <v>12Go Link</v>
      </c>
      <c r="E715" s="2" t="s">
        <v>226</v>
      </c>
    </row>
    <row r="716">
      <c r="A716" s="2" t="s">
        <v>402</v>
      </c>
      <c r="B716" s="2" t="s">
        <v>1073</v>
      </c>
      <c r="C716" s="2" t="s">
        <v>1074</v>
      </c>
      <c r="D716" s="3" t="str">
        <f>HYPERLINK("https://12go.asia/en/travel/hunan/yibin", "12Go Link")</f>
        <v>12Go Link</v>
      </c>
      <c r="E716" s="2" t="s">
        <v>226</v>
      </c>
    </row>
    <row r="717">
      <c r="A717" s="2" t="s">
        <v>402</v>
      </c>
      <c r="B717" s="2" t="s">
        <v>537</v>
      </c>
      <c r="C717" s="2" t="s">
        <v>1075</v>
      </c>
      <c r="D717" s="3" t="str">
        <f>HYPERLINK("https://12go.asia/en/travel/hunan/yuncheng", "12Go Link")</f>
        <v>12Go Link</v>
      </c>
      <c r="E717" s="2" t="s">
        <v>226</v>
      </c>
    </row>
    <row r="718">
      <c r="A718" s="2" t="s">
        <v>402</v>
      </c>
      <c r="B718" s="2" t="s">
        <v>550</v>
      </c>
      <c r="C718" s="2" t="s">
        <v>1076</v>
      </c>
      <c r="D718" s="3" t="str">
        <f>HYPERLINK("https://12go.asia/en/travel/hunan/zhangjiagang", "12Go Link")</f>
        <v>12Go Link</v>
      </c>
      <c r="E718" s="2" t="s">
        <v>226</v>
      </c>
    </row>
    <row r="719">
      <c r="A719" s="2" t="s">
        <v>402</v>
      </c>
      <c r="B719" s="2" t="s">
        <v>1077</v>
      </c>
      <c r="C719" s="2" t="s">
        <v>1078</v>
      </c>
      <c r="D719" s="3" t="str">
        <f>HYPERLINK("https://12go.asia/en/travel/hunan/zhongwei", "12Go Link")</f>
        <v>12Go Link</v>
      </c>
      <c r="E719" s="2" t="s">
        <v>226</v>
      </c>
    </row>
    <row r="720">
      <c r="A720" s="2" t="s">
        <v>1079</v>
      </c>
      <c r="B720" s="2" t="s">
        <v>497</v>
      </c>
      <c r="C720" s="2" t="s">
        <v>1080</v>
      </c>
      <c r="D720" s="3" t="str">
        <f>HYPERLINK("https://12go.asia/en/travel/huzhou/shanghai-songjiang", "12Go Link")</f>
        <v>12Go Link</v>
      </c>
      <c r="E720" s="2" t="s">
        <v>226</v>
      </c>
    </row>
    <row r="721">
      <c r="A721" s="2" t="s">
        <v>1079</v>
      </c>
      <c r="B721" s="2" t="s">
        <v>497</v>
      </c>
      <c r="C721" s="2" t="s">
        <v>1081</v>
      </c>
      <c r="D721" s="3" t="str">
        <f>HYPERLINK("https://12go.asia/en/travel/huzhou/songjiang-shanghai", "12Go Link")</f>
        <v>12Go Link</v>
      </c>
      <c r="E721" s="2" t="s">
        <v>226</v>
      </c>
    </row>
    <row r="722">
      <c r="A722" s="2" t="s">
        <v>582</v>
      </c>
      <c r="B722" s="2" t="s">
        <v>556</v>
      </c>
      <c r="C722" s="2" t="s">
        <v>1082</v>
      </c>
      <c r="D722" s="3" t="str">
        <f>HYPERLINK("https://12go.asia/en/travel/jiamusi/chengdexian-north", "12Go Link")</f>
        <v>12Go Link</v>
      </c>
      <c r="E722" s="2" t="s">
        <v>226</v>
      </c>
    </row>
    <row r="723">
      <c r="A723" s="2" t="s">
        <v>582</v>
      </c>
      <c r="B723" s="2" t="s">
        <v>709</v>
      </c>
      <c r="C723" s="2" t="s">
        <v>1083</v>
      </c>
      <c r="D723" s="3" t="str">
        <f>HYPERLINK("https://12go.asia/en/travel/jiamusi/sichuan", "12Go Link")</f>
        <v>12Go Link</v>
      </c>
      <c r="E723" s="2" t="s">
        <v>226</v>
      </c>
    </row>
    <row r="724">
      <c r="A724" s="2" t="s">
        <v>698</v>
      </c>
      <c r="B724" s="2" t="s">
        <v>1084</v>
      </c>
      <c r="C724" s="2" t="s">
        <v>1085</v>
      </c>
      <c r="D724" s="3" t="str">
        <f>HYPERLINK("https://12go.asia/en/travel/jian-jiangxi/jiaxing", "12Go Link")</f>
        <v>12Go Link</v>
      </c>
      <c r="E724" s="2" t="s">
        <v>226</v>
      </c>
    </row>
    <row r="725">
      <c r="A725" s="2" t="s">
        <v>698</v>
      </c>
      <c r="B725" s="2" t="s">
        <v>728</v>
      </c>
      <c r="C725" s="2" t="s">
        <v>1086</v>
      </c>
      <c r="D725" s="3" t="str">
        <f>HYPERLINK("https://12go.asia/en/travel/jian-jiangxi/shaanxi", "12Go Link")</f>
        <v>12Go Link</v>
      </c>
      <c r="E725" s="2" t="s">
        <v>226</v>
      </c>
    </row>
    <row r="726">
      <c r="A726" s="2" t="s">
        <v>640</v>
      </c>
      <c r="B726" s="2" t="s">
        <v>542</v>
      </c>
      <c r="C726" s="2" t="s">
        <v>1087</v>
      </c>
      <c r="D726" s="3" t="str">
        <f>HYPERLINK("https://12go.asia/en/travel/jiangbei/changzhou", "12Go Link")</f>
        <v>12Go Link</v>
      </c>
      <c r="E726" s="2" t="s">
        <v>226</v>
      </c>
    </row>
    <row r="727">
      <c r="A727" s="2" t="s">
        <v>640</v>
      </c>
      <c r="B727" s="2" t="s">
        <v>542</v>
      </c>
      <c r="C727" s="2" t="s">
        <v>1088</v>
      </c>
      <c r="D727" s="3" t="str">
        <f>HYPERLINK("https://12go.asia/en/travel/zhongkai/changzhou", "12Go Link")</f>
        <v>12Go Link</v>
      </c>
      <c r="E727" s="2" t="s">
        <v>226</v>
      </c>
    </row>
    <row r="728">
      <c r="A728" s="2" t="s">
        <v>640</v>
      </c>
      <c r="B728" s="2" t="s">
        <v>991</v>
      </c>
      <c r="C728" s="2" t="s">
        <v>1089</v>
      </c>
      <c r="D728" s="3" t="str">
        <f>HYPERLINK("https://12go.asia/en/travel/jiangbei/zhangjiajie", "12Go Link")</f>
        <v>12Go Link</v>
      </c>
      <c r="E728" s="2" t="s">
        <v>226</v>
      </c>
    </row>
    <row r="729">
      <c r="A729" s="2" t="s">
        <v>642</v>
      </c>
      <c r="B729" s="2" t="s">
        <v>646</v>
      </c>
      <c r="C729" s="2" t="s">
        <v>1090</v>
      </c>
      <c r="D729" s="3" t="str">
        <f>HYPERLINK("https://12go.asia/en/travel/jiangjin/jinhua", "12Go Link")</f>
        <v>12Go Link</v>
      </c>
      <c r="E729" s="2" t="s">
        <v>226</v>
      </c>
    </row>
    <row r="730">
      <c r="A730" s="2" t="s">
        <v>642</v>
      </c>
      <c r="B730" s="2" t="s">
        <v>991</v>
      </c>
      <c r="C730" s="2" t="s">
        <v>1091</v>
      </c>
      <c r="D730" s="3" t="str">
        <f>HYPERLINK("https://12go.asia/en/travel/jiangjin/zhangjiajie", "12Go Link")</f>
        <v>12Go Link</v>
      </c>
      <c r="E730" s="2" t="s">
        <v>226</v>
      </c>
    </row>
    <row r="731">
      <c r="A731" s="2" t="s">
        <v>411</v>
      </c>
      <c r="B731" s="2" t="s">
        <v>482</v>
      </c>
      <c r="C731" s="2" t="s">
        <v>1092</v>
      </c>
      <c r="D731" s="3" t="str">
        <f>HYPERLINK("https://12go.asia/en/travel/jiangning/huludao", "12Go Link")</f>
        <v>12Go Link</v>
      </c>
      <c r="E731" s="2" t="s">
        <v>226</v>
      </c>
    </row>
    <row r="732">
      <c r="A732" s="2" t="s">
        <v>686</v>
      </c>
      <c r="B732" s="2" t="s">
        <v>1093</v>
      </c>
      <c r="C732" s="2" t="s">
        <v>1094</v>
      </c>
      <c r="D732" s="3" t="str">
        <f>HYPERLINK("https://12go.asia/en/travel/jiangsu/qiqihar", "12Go Link")</f>
        <v>12Go Link</v>
      </c>
      <c r="E732" s="2" t="s">
        <v>226</v>
      </c>
    </row>
    <row r="733">
      <c r="A733" s="2" t="s">
        <v>1095</v>
      </c>
      <c r="B733" s="2" t="s">
        <v>590</v>
      </c>
      <c r="C733" s="2" t="s">
        <v>1096</v>
      </c>
      <c r="D733" s="3" t="str">
        <f>HYPERLINK("https://12go.asia/en/travel/jiangxia/panyu", "12Go Link")</f>
        <v>12Go Link</v>
      </c>
      <c r="E733" s="2" t="s">
        <v>226</v>
      </c>
    </row>
    <row r="734">
      <c r="A734" s="2" t="s">
        <v>644</v>
      </c>
      <c r="B734" s="2" t="s">
        <v>590</v>
      </c>
      <c r="C734" s="2" t="s">
        <v>1097</v>
      </c>
      <c r="D734" s="3" t="str">
        <f>HYPERLINK("https://12go.asia/en/travel/jiangyuan/panyu", "12Go Link")</f>
        <v>12Go Link</v>
      </c>
      <c r="E734" s="2" t="s">
        <v>226</v>
      </c>
    </row>
    <row r="735">
      <c r="A735" s="2" t="s">
        <v>456</v>
      </c>
      <c r="B735" s="2" t="s">
        <v>1098</v>
      </c>
      <c r="C735" s="2" t="s">
        <v>1099</v>
      </c>
      <c r="D735" s="3" t="str">
        <f>HYPERLINK("https://12go.asia/en/travel/jiangzhou/enshi", "12Go Link")</f>
        <v>12Go Link</v>
      </c>
      <c r="E735" s="2" t="s">
        <v>226</v>
      </c>
    </row>
    <row r="736">
      <c r="A736" s="2" t="s">
        <v>456</v>
      </c>
      <c r="B736" s="2" t="s">
        <v>770</v>
      </c>
      <c r="C736" s="2" t="s">
        <v>1100</v>
      </c>
      <c r="D736" s="3" t="str">
        <f>HYPERLINK("https://12go.asia/en/travel/jiangzhou/siping", "12Go Link")</f>
        <v>12Go Link</v>
      </c>
      <c r="E736" s="2" t="s">
        <v>226</v>
      </c>
    </row>
    <row r="737">
      <c r="A737" s="2" t="s">
        <v>1101</v>
      </c>
      <c r="B737" s="2" t="s">
        <v>872</v>
      </c>
      <c r="C737" s="2" t="s">
        <v>1102</v>
      </c>
      <c r="D737" s="3" t="str">
        <f>HYPERLINK("https://12go.asia/en/travel/jiaocheng/chengyang", "12Go Link")</f>
        <v>12Go Link</v>
      </c>
      <c r="E737" s="2" t="s">
        <v>226</v>
      </c>
    </row>
    <row r="738">
      <c r="A738" s="2" t="s">
        <v>1084</v>
      </c>
      <c r="B738" s="2" t="s">
        <v>411</v>
      </c>
      <c r="C738" s="2" t="s">
        <v>1103</v>
      </c>
      <c r="D738" s="3" t="str">
        <f>HYPERLINK("https://12go.asia/en/travel/jiaxing/jiangning", "12Go Link")</f>
        <v>12Go Link</v>
      </c>
      <c r="E738" s="2" t="s">
        <v>226</v>
      </c>
    </row>
    <row r="739">
      <c r="A739" s="2" t="s">
        <v>1104</v>
      </c>
      <c r="B739" s="2" t="s">
        <v>416</v>
      </c>
      <c r="C739" s="2" t="s">
        <v>1105</v>
      </c>
      <c r="D739" s="3" t="str">
        <f>HYPERLINK("https://12go.asia/en/travel/jinzhou/baotou", "12Go Link")</f>
        <v>12Go Link</v>
      </c>
      <c r="E739" s="2" t="s">
        <v>226</v>
      </c>
    </row>
    <row r="740">
      <c r="A740" s="2" t="s">
        <v>1104</v>
      </c>
      <c r="B740" s="2" t="s">
        <v>533</v>
      </c>
      <c r="C740" s="2" t="s">
        <v>1106</v>
      </c>
      <c r="D740" s="3" t="str">
        <f>HYPERLINK("https://12go.asia/en/travel/jinzhou/huade", "12Go Link")</f>
        <v>12Go Link</v>
      </c>
      <c r="E740" s="2" t="s">
        <v>226</v>
      </c>
    </row>
    <row r="741">
      <c r="A741" s="2" t="s">
        <v>1104</v>
      </c>
      <c r="B741" s="2" t="s">
        <v>582</v>
      </c>
      <c r="C741" s="2" t="s">
        <v>1107</v>
      </c>
      <c r="D741" s="3" t="str">
        <f>HYPERLINK("https://12go.asia/en/travel/jinzhou/jiamusi", "12Go Link")</f>
        <v>12Go Link</v>
      </c>
      <c r="E741" s="2" t="s">
        <v>226</v>
      </c>
    </row>
    <row r="742">
      <c r="A742" s="2" t="s">
        <v>1108</v>
      </c>
      <c r="B742" s="2" t="s">
        <v>841</v>
      </c>
      <c r="C742" s="2" t="s">
        <v>1109</v>
      </c>
      <c r="D742" s="3" t="str">
        <f>HYPERLINK("https://12go.asia/en/travel/jiujiang/luoyang", "12Go Link")</f>
        <v>12Go Link</v>
      </c>
      <c r="E742" s="2" t="s">
        <v>226</v>
      </c>
    </row>
    <row r="743">
      <c r="A743" s="2" t="s">
        <v>1110</v>
      </c>
      <c r="B743" s="2" t="s">
        <v>750</v>
      </c>
      <c r="C743" s="2" t="s">
        <v>1111</v>
      </c>
      <c r="D743" s="3" t="str">
        <f>HYPERLINK("https://12go.asia/en/travel/kaili-city/hangzhou", "12Go Link")</f>
        <v>12Go Link</v>
      </c>
      <c r="E743" s="2" t="s">
        <v>226</v>
      </c>
    </row>
    <row r="744">
      <c r="A744" s="2" t="s">
        <v>1110</v>
      </c>
      <c r="B744" s="2" t="s">
        <v>750</v>
      </c>
      <c r="C744" s="2" t="s">
        <v>1112</v>
      </c>
      <c r="D744" s="3" t="str">
        <f>HYPERLINK("https://12go.asia/en/travel/kaili-south/hangzhou-east", "12Go Link")</f>
        <v>12Go Link</v>
      </c>
      <c r="E744" s="2" t="s">
        <v>226</v>
      </c>
    </row>
    <row r="745">
      <c r="A745" s="2" t="s">
        <v>1110</v>
      </c>
      <c r="B745" s="2" t="s">
        <v>507</v>
      </c>
      <c r="C745" s="2" t="s">
        <v>1113</v>
      </c>
      <c r="D745" s="3" t="str">
        <f>HYPERLINK("https://12go.asia/en/travel/kaili-city/zhejiang", "12Go Link")</f>
        <v>12Go Link</v>
      </c>
      <c r="E745" s="2" t="s">
        <v>226</v>
      </c>
    </row>
    <row r="746">
      <c r="A746" s="2" t="s">
        <v>1114</v>
      </c>
      <c r="B746" s="2" t="s">
        <v>410</v>
      </c>
      <c r="C746" s="2" t="s">
        <v>1115</v>
      </c>
      <c r="D746" s="3" t="str">
        <f>HYPERLINK("https://12go.asia/en/travel/kunming-south/anyang-east", "12Go Link")</f>
        <v>12Go Link</v>
      </c>
      <c r="E746" s="2" t="s">
        <v>226</v>
      </c>
    </row>
    <row r="747">
      <c r="A747" s="2" t="s">
        <v>1114</v>
      </c>
      <c r="B747" s="2" t="s">
        <v>410</v>
      </c>
      <c r="C747" s="2" t="s">
        <v>1116</v>
      </c>
      <c r="D747" s="3" t="str">
        <f>HYPERLINK("https://12go.asia/en/travel/kunming/anyang", "12Go Link")</f>
        <v>12Go Link</v>
      </c>
      <c r="E747" s="2" t="s">
        <v>226</v>
      </c>
    </row>
    <row r="748">
      <c r="A748" s="2" t="s">
        <v>1114</v>
      </c>
      <c r="B748" s="2" t="s">
        <v>1117</v>
      </c>
      <c r="C748" s="2" t="s">
        <v>1118</v>
      </c>
      <c r="D748" s="3" t="str">
        <f>HYPERLINK("https://12go.asia/en/travel/kunming/duan-yao", "12Go Link")</f>
        <v>12Go Link</v>
      </c>
      <c r="E748" s="2" t="s">
        <v>226</v>
      </c>
    </row>
    <row r="749">
      <c r="A749" s="2" t="s">
        <v>1114</v>
      </c>
      <c r="B749" s="2" t="s">
        <v>605</v>
      </c>
      <c r="C749" s="2" t="s">
        <v>1119</v>
      </c>
      <c r="D749" s="3" t="str">
        <f>HYPERLINK("https://12go.asia/en/travel/kunming/duanzhou", "12Go Link")</f>
        <v>12Go Link</v>
      </c>
      <c r="E749" s="2" t="s">
        <v>226</v>
      </c>
    </row>
    <row r="750">
      <c r="A750" s="2" t="s">
        <v>1114</v>
      </c>
      <c r="B750" s="2" t="s">
        <v>796</v>
      </c>
      <c r="C750" s="2" t="s">
        <v>1120</v>
      </c>
      <c r="D750" s="3" t="str">
        <f>HYPERLINK("https://12go.asia/en/travel/kunming-south/neijiang-north", "12Go Link")</f>
        <v>12Go Link</v>
      </c>
      <c r="E750" s="2" t="s">
        <v>226</v>
      </c>
    </row>
    <row r="751">
      <c r="A751" s="2" t="s">
        <v>1114</v>
      </c>
      <c r="B751" s="2" t="s">
        <v>796</v>
      </c>
      <c r="C751" s="2" t="s">
        <v>1121</v>
      </c>
      <c r="D751" s="3" t="str">
        <f>HYPERLINK("https://12go.asia/en/travel/kunming/neijiang", "12Go Link")</f>
        <v>12Go Link</v>
      </c>
      <c r="E751" s="2" t="s">
        <v>226</v>
      </c>
    </row>
    <row r="752">
      <c r="A752" s="2" t="s">
        <v>1114</v>
      </c>
      <c r="B752" s="2" t="s">
        <v>600</v>
      </c>
      <c r="C752" s="2" t="s">
        <v>1122</v>
      </c>
      <c r="D752" s="3" t="str">
        <f>HYPERLINK("https://12go.asia/en/travel/kunming/zhaoqing", "12Go Link")</f>
        <v>12Go Link</v>
      </c>
      <c r="E752" s="2" t="s">
        <v>226</v>
      </c>
    </row>
    <row r="753">
      <c r="A753" s="2" t="s">
        <v>1123</v>
      </c>
      <c r="B753" s="2" t="s">
        <v>773</v>
      </c>
      <c r="C753" s="2" t="s">
        <v>1124</v>
      </c>
      <c r="D753" s="3" t="str">
        <f>HYPERLINK("https://12go.asia/en/travel/hechi-west/dushandong", "12Go Link")</f>
        <v>12Go Link</v>
      </c>
      <c r="E753" s="2" t="s">
        <v>226</v>
      </c>
    </row>
    <row r="754">
      <c r="A754" s="2" t="s">
        <v>1123</v>
      </c>
      <c r="B754" s="2" t="s">
        <v>773</v>
      </c>
      <c r="C754" s="2" t="s">
        <v>1125</v>
      </c>
      <c r="D754" s="3" t="str">
        <f>HYPERLINK("https://12go.asia/en/travel/hechi-west/duyun-east", "12Go Link")</f>
        <v>12Go Link</v>
      </c>
      <c r="E754" s="2" t="s">
        <v>226</v>
      </c>
    </row>
    <row r="755">
      <c r="A755" s="2" t="s">
        <v>1123</v>
      </c>
      <c r="B755" s="2" t="s">
        <v>773</v>
      </c>
      <c r="C755" s="2" t="s">
        <v>1126</v>
      </c>
      <c r="D755" s="3" t="str">
        <f>HYPERLINK("https://12go.asia/en/travel/liancheng/duyun", "12Go Link")</f>
        <v>12Go Link</v>
      </c>
      <c r="E755" s="2" t="s">
        <v>226</v>
      </c>
    </row>
    <row r="756">
      <c r="A756" s="2" t="s">
        <v>1127</v>
      </c>
      <c r="B756" s="2" t="s">
        <v>584</v>
      </c>
      <c r="C756" s="2" t="s">
        <v>1128</v>
      </c>
      <c r="D756" s="3" t="str">
        <f>HYPERLINK("https://12go.asia/en/travel/lianyungang/yiwu", "12Go Link")</f>
        <v>12Go Link</v>
      </c>
      <c r="E756" s="2" t="s">
        <v>226</v>
      </c>
    </row>
    <row r="757">
      <c r="A757" s="2" t="s">
        <v>1129</v>
      </c>
      <c r="B757" s="2" t="s">
        <v>755</v>
      </c>
      <c r="C757" s="2" t="s">
        <v>1130</v>
      </c>
      <c r="D757" s="3" t="str">
        <f>HYPERLINK("https://12go.asia/en/travel/linfen-west/hanzhong", "12Go Link")</f>
        <v>12Go Link</v>
      </c>
      <c r="E757" s="2" t="s">
        <v>226</v>
      </c>
    </row>
    <row r="758">
      <c r="A758" s="2" t="s">
        <v>1129</v>
      </c>
      <c r="B758" s="2" t="s">
        <v>755</v>
      </c>
      <c r="C758" s="2" t="s">
        <v>1131</v>
      </c>
      <c r="D758" s="3" t="str">
        <f>HYPERLINK("https://12go.asia/en/travel/linfen/hanzhong", "12Go Link")</f>
        <v>12Go Link</v>
      </c>
      <c r="E758" s="2" t="s">
        <v>226</v>
      </c>
    </row>
    <row r="759">
      <c r="A759" s="2" t="s">
        <v>1132</v>
      </c>
      <c r="B759" s="2" t="s">
        <v>758</v>
      </c>
      <c r="C759" s="2" t="s">
        <v>1133</v>
      </c>
      <c r="D759" s="3" t="str">
        <f>HYPERLINK("https://12go.asia/en/travel/linkou/harbin", "12Go Link")</f>
        <v>12Go Link</v>
      </c>
      <c r="E759" s="2" t="s">
        <v>226</v>
      </c>
    </row>
    <row r="760">
      <c r="A760" s="2" t="s">
        <v>1134</v>
      </c>
      <c r="B760" s="2" t="s">
        <v>773</v>
      </c>
      <c r="C760" s="2" t="s">
        <v>1135</v>
      </c>
      <c r="D760" s="3" t="str">
        <f>HYPERLINK("https://12go.asia/en/travel/liuzhou/duyun", "12Go Link")</f>
        <v>12Go Link</v>
      </c>
      <c r="E760" s="2" t="s">
        <v>226</v>
      </c>
    </row>
    <row r="761">
      <c r="A761" s="2" t="s">
        <v>1134</v>
      </c>
      <c r="B761" s="2" t="s">
        <v>773</v>
      </c>
      <c r="C761" s="2" t="s">
        <v>1136</v>
      </c>
      <c r="D761" s="3" t="str">
        <f>HYPERLINK("https://12go.asia/en/travel/liuzhou/duyun-east", "12Go Link")</f>
        <v>12Go Link</v>
      </c>
      <c r="E761" s="2" t="s">
        <v>226</v>
      </c>
    </row>
    <row r="762">
      <c r="A762" s="2" t="s">
        <v>1134</v>
      </c>
      <c r="B762" s="2" t="s">
        <v>982</v>
      </c>
      <c r="C762" s="2" t="s">
        <v>1137</v>
      </c>
      <c r="D762" s="3" t="str">
        <f>HYPERLINK("https://12go.asia/en/travel/liuzhou/shaoyang", "12Go Link")</f>
        <v>12Go Link</v>
      </c>
      <c r="E762" s="2" t="s">
        <v>226</v>
      </c>
    </row>
    <row r="763">
      <c r="A763" s="2" t="s">
        <v>1138</v>
      </c>
      <c r="B763" s="2" t="s">
        <v>493</v>
      </c>
      <c r="C763" s="2" t="s">
        <v>1139</v>
      </c>
      <c r="D763" s="3" t="str">
        <f>HYPERLINK("https://12go.asia/en/travel/gutian-huizhi/shanghai-hongqiao", "12Go Link")</f>
        <v>12Go Link</v>
      </c>
      <c r="E763" s="2" t="s">
        <v>226</v>
      </c>
    </row>
    <row r="764">
      <c r="A764" s="2" t="s">
        <v>1138</v>
      </c>
      <c r="B764" s="2" t="s">
        <v>897</v>
      </c>
      <c r="C764" s="2" t="s">
        <v>1140</v>
      </c>
      <c r="D764" s="3" t="str">
        <f>HYPERLINK("https://12go.asia/en/travel/longyan/shanghai-hongqiao-airport", "12Go Link")</f>
        <v>12Go Link</v>
      </c>
      <c r="E764" s="2" t="s">
        <v>226</v>
      </c>
    </row>
    <row r="765">
      <c r="A765" s="2" t="s">
        <v>809</v>
      </c>
      <c r="B765" s="2" t="s">
        <v>400</v>
      </c>
      <c r="C765" s="2" t="s">
        <v>1141</v>
      </c>
      <c r="D765" s="3" t="str">
        <f>HYPERLINK("https://12go.asia/en/travel/loudi-south/changsha", "12Go Link")</f>
        <v>12Go Link</v>
      </c>
      <c r="E765" s="2" t="s">
        <v>226</v>
      </c>
    </row>
    <row r="766">
      <c r="A766" s="2" t="s">
        <v>809</v>
      </c>
      <c r="B766" s="2" t="s">
        <v>400</v>
      </c>
      <c r="C766" s="2" t="s">
        <v>1142</v>
      </c>
      <c r="D766" s="3" t="str">
        <f>HYPERLINK("https://12go.asia/en/travel/loudi-south/changsha-south", "12Go Link")</f>
        <v>12Go Link</v>
      </c>
      <c r="E766" s="2" t="s">
        <v>226</v>
      </c>
    </row>
    <row r="767">
      <c r="A767" s="2" t="s">
        <v>809</v>
      </c>
      <c r="B767" s="2" t="s">
        <v>400</v>
      </c>
      <c r="C767" s="2" t="s">
        <v>1143</v>
      </c>
      <c r="D767" s="3" t="str">
        <f>HYPERLINK("https://12go.asia/en/travel/loudi/changsha", "12Go Link")</f>
        <v>12Go Link</v>
      </c>
      <c r="E767" s="2" t="s">
        <v>226</v>
      </c>
    </row>
    <row r="768">
      <c r="A768" s="2" t="s">
        <v>809</v>
      </c>
      <c r="B768" s="2" t="s">
        <v>402</v>
      </c>
      <c r="C768" s="2" t="s">
        <v>1144</v>
      </c>
      <c r="D768" s="3" t="str">
        <f>HYPERLINK("https://12go.asia/en/travel/loudi/hunan", "12Go Link")</f>
        <v>12Go Link</v>
      </c>
      <c r="E768" s="2" t="s">
        <v>226</v>
      </c>
    </row>
    <row r="769">
      <c r="A769" s="2" t="s">
        <v>841</v>
      </c>
      <c r="B769" s="2" t="s">
        <v>1145</v>
      </c>
      <c r="C769" s="2" t="s">
        <v>1146</v>
      </c>
      <c r="D769" s="3" t="str">
        <f>HYPERLINK("https://12go.asia/en/travel/luoyang-longmen/chenzhou-west", "12Go Link")</f>
        <v>12Go Link</v>
      </c>
      <c r="E769" s="2" t="s">
        <v>226</v>
      </c>
    </row>
    <row r="770">
      <c r="A770" s="2" t="s">
        <v>841</v>
      </c>
      <c r="B770" s="2" t="s">
        <v>1145</v>
      </c>
      <c r="C770" s="2" t="s">
        <v>1147</v>
      </c>
      <c r="D770" s="3" t="str">
        <f>HYPERLINK("https://12go.asia/en/travel/luoyang/chenzhou", "12Go Link")</f>
        <v>12Go Link</v>
      </c>
      <c r="E770" s="2" t="s">
        <v>226</v>
      </c>
    </row>
    <row r="771">
      <c r="A771" s="2" t="s">
        <v>841</v>
      </c>
      <c r="B771" s="2" t="s">
        <v>784</v>
      </c>
      <c r="C771" s="2" t="s">
        <v>1148</v>
      </c>
      <c r="D771" s="3" t="str">
        <f>HYPERLINK("https://12go.asia/en/travel/luoyang-longmen/huaian-east", "12Go Link")</f>
        <v>12Go Link</v>
      </c>
      <c r="E771" s="2" t="s">
        <v>226</v>
      </c>
    </row>
    <row r="772">
      <c r="A772" s="2" t="s">
        <v>841</v>
      </c>
      <c r="B772" s="2" t="s">
        <v>784</v>
      </c>
      <c r="C772" s="2" t="s">
        <v>1149</v>
      </c>
      <c r="D772" s="3" t="str">
        <f>HYPERLINK("https://12go.asia/en/travel/luoyang/huaian", "12Go Link")</f>
        <v>12Go Link</v>
      </c>
      <c r="E772" s="2" t="s">
        <v>226</v>
      </c>
    </row>
    <row r="773">
      <c r="A773" s="2" t="s">
        <v>841</v>
      </c>
      <c r="B773" s="2" t="s">
        <v>780</v>
      </c>
      <c r="C773" s="2" t="s">
        <v>1150</v>
      </c>
      <c r="D773" s="3" t="str">
        <f>HYPERLINK("https://12go.asia/en/travel/luoyang/pujiangzhen", "12Go Link")</f>
        <v>12Go Link</v>
      </c>
      <c r="E773" s="2" t="s">
        <v>226</v>
      </c>
    </row>
    <row r="774">
      <c r="A774" s="2" t="s">
        <v>841</v>
      </c>
      <c r="B774" s="2" t="s">
        <v>493</v>
      </c>
      <c r="C774" s="2" t="s">
        <v>1151</v>
      </c>
      <c r="D774" s="3" t="str">
        <f>HYPERLINK("https://12go.asia/en/travel/luoyang-longmen/shanghai-south", "12Go Link")</f>
        <v>12Go Link</v>
      </c>
      <c r="E774" s="2" t="s">
        <v>226</v>
      </c>
    </row>
    <row r="775">
      <c r="A775" s="2" t="s">
        <v>818</v>
      </c>
      <c r="B775" s="2" t="s">
        <v>497</v>
      </c>
      <c r="C775" s="2" t="s">
        <v>1152</v>
      </c>
      <c r="D775" s="3" t="str">
        <f>HYPERLINK("https://12go.asia/en/travel/mianyang/shanghai-songjiang", "12Go Link")</f>
        <v>12Go Link</v>
      </c>
      <c r="E775" s="2" t="s">
        <v>226</v>
      </c>
    </row>
    <row r="776">
      <c r="A776" s="2" t="s">
        <v>818</v>
      </c>
      <c r="B776" s="2" t="s">
        <v>497</v>
      </c>
      <c r="C776" s="2" t="s">
        <v>1153</v>
      </c>
      <c r="D776" s="3" t="str">
        <f>HYPERLINK("https://12go.asia/en/travel/mianyang/songjiang-shanghai", "12Go Link")</f>
        <v>12Go Link</v>
      </c>
      <c r="E776" s="2" t="s">
        <v>226</v>
      </c>
    </row>
    <row r="777">
      <c r="A777" s="2" t="s">
        <v>818</v>
      </c>
      <c r="B777" s="2" t="s">
        <v>1154</v>
      </c>
      <c r="C777" s="2" t="s">
        <v>1155</v>
      </c>
      <c r="D777" s="3" t="str">
        <f>HYPERLINK("https://12go.asia/en/travel/mianyang/nanning-north", "12Go Link")</f>
        <v>12Go Link</v>
      </c>
      <c r="E777" s="2" t="s">
        <v>226</v>
      </c>
    </row>
    <row r="778">
      <c r="A778" s="2" t="s">
        <v>818</v>
      </c>
      <c r="B778" s="2" t="s">
        <v>1154</v>
      </c>
      <c r="C778" s="2" t="s">
        <v>1156</v>
      </c>
      <c r="D778" s="3" t="str">
        <f>HYPERLINK("https://12go.asia/en/travel/mianyang/wuming", "12Go Link")</f>
        <v>12Go Link</v>
      </c>
      <c r="E778" s="2" t="s">
        <v>226</v>
      </c>
    </row>
    <row r="779">
      <c r="A779" s="2" t="s">
        <v>613</v>
      </c>
      <c r="B779" s="2" t="s">
        <v>705</v>
      </c>
      <c r="C779" s="2" t="s">
        <v>1157</v>
      </c>
      <c r="D779" s="3" t="str">
        <f>HYPERLINK("https://12go.asia/en/travel/mingxi/baise", "12Go Link")</f>
        <v>12Go Link</v>
      </c>
      <c r="E779" s="2" t="s">
        <v>226</v>
      </c>
    </row>
    <row r="780">
      <c r="A780" s="2" t="s">
        <v>613</v>
      </c>
      <c r="B780" s="2" t="s">
        <v>396</v>
      </c>
      <c r="C780" s="2" t="s">
        <v>1158</v>
      </c>
      <c r="D780" s="3" t="str">
        <f>HYPERLINK("https://12go.asia/en/travel/mingxi/beijing", "12Go Link")</f>
        <v>12Go Link</v>
      </c>
      <c r="E780" s="2" t="s">
        <v>226</v>
      </c>
    </row>
    <row r="781">
      <c r="A781" s="2" t="s">
        <v>613</v>
      </c>
      <c r="B781" s="2" t="s">
        <v>400</v>
      </c>
      <c r="C781" s="2" t="s">
        <v>1159</v>
      </c>
      <c r="D781" s="3" t="str">
        <f>HYPERLINK("https://12go.asia/en/travel/mingxi/changsha", "12Go Link")</f>
        <v>12Go Link</v>
      </c>
      <c r="E781" s="2" t="s">
        <v>226</v>
      </c>
    </row>
    <row r="782">
      <c r="A782" s="2" t="s">
        <v>613</v>
      </c>
      <c r="B782" s="2" t="s">
        <v>556</v>
      </c>
      <c r="C782" s="2" t="s">
        <v>1160</v>
      </c>
      <c r="D782" s="3" t="str">
        <f>HYPERLINK("https://12go.asia/en/travel/mingxi/chengdu", "12Go Link")</f>
        <v>12Go Link</v>
      </c>
      <c r="E782" s="2" t="s">
        <v>226</v>
      </c>
    </row>
    <row r="783">
      <c r="A783" s="2" t="s">
        <v>613</v>
      </c>
      <c r="B783" s="2" t="s">
        <v>575</v>
      </c>
      <c r="C783" s="2" t="s">
        <v>1161</v>
      </c>
      <c r="D783" s="3" t="str">
        <f>HYPERLINK("https://12go.asia/en/travel/mingxi/chongqing", "12Go Link")</f>
        <v>12Go Link</v>
      </c>
      <c r="E783" s="2" t="s">
        <v>226</v>
      </c>
    </row>
    <row r="784">
      <c r="A784" s="2" t="s">
        <v>613</v>
      </c>
      <c r="B784" s="2" t="s">
        <v>1162</v>
      </c>
      <c r="C784" s="2" t="s">
        <v>1163</v>
      </c>
      <c r="D784" s="3" t="str">
        <f>HYPERLINK("https://12go.asia/en/travel/mingxi/chuxiong", "12Go Link")</f>
        <v>12Go Link</v>
      </c>
      <c r="E784" s="2" t="s">
        <v>226</v>
      </c>
    </row>
    <row r="785">
      <c r="A785" s="2" t="s">
        <v>613</v>
      </c>
      <c r="B785" s="2" t="s">
        <v>1117</v>
      </c>
      <c r="C785" s="2" t="s">
        <v>1164</v>
      </c>
      <c r="D785" s="3" t="str">
        <f>HYPERLINK("https://12go.asia/en/travel/mingxi/duan-yao", "12Go Link")</f>
        <v>12Go Link</v>
      </c>
      <c r="E785" s="2" t="s">
        <v>226</v>
      </c>
    </row>
    <row r="786">
      <c r="A786" s="2" t="s">
        <v>613</v>
      </c>
      <c r="B786" s="2" t="s">
        <v>773</v>
      </c>
      <c r="C786" s="2" t="s">
        <v>1165</v>
      </c>
      <c r="D786" s="3" t="str">
        <f>HYPERLINK("https://12go.asia/en/travel/mingxi/duyun", "12Go Link")</f>
        <v>12Go Link</v>
      </c>
      <c r="E786" s="2" t="s">
        <v>226</v>
      </c>
    </row>
    <row r="787">
      <c r="A787" s="2" t="s">
        <v>613</v>
      </c>
      <c r="B787" s="2" t="s">
        <v>887</v>
      </c>
      <c r="C787" s="2" t="s">
        <v>1166</v>
      </c>
      <c r="D787" s="3" t="str">
        <f>HYPERLINK("https://12go.asia/en/travel/mingxi/fujian", "12Go Link")</f>
        <v>12Go Link</v>
      </c>
      <c r="E787" s="2" t="s">
        <v>226</v>
      </c>
    </row>
    <row r="788">
      <c r="A788" s="2" t="s">
        <v>613</v>
      </c>
      <c r="B788" s="2" t="s">
        <v>756</v>
      </c>
      <c r="C788" s="2" t="s">
        <v>1167</v>
      </c>
      <c r="D788" s="3" t="str">
        <f>HYPERLINK("https://12go.asia/en/travel/mingxi/fuzhou", "12Go Link")</f>
        <v>12Go Link</v>
      </c>
      <c r="E788" s="2" t="s">
        <v>226</v>
      </c>
    </row>
    <row r="789">
      <c r="A789" s="2" t="s">
        <v>613</v>
      </c>
      <c r="B789" s="2" t="s">
        <v>678</v>
      </c>
      <c r="C789" s="2" t="s">
        <v>1168</v>
      </c>
      <c r="D789" s="3" t="str">
        <f>HYPERLINK("https://12go.asia/en/travel/mingxi/guangdong", "12Go Link")</f>
        <v>12Go Link</v>
      </c>
      <c r="E789" s="2" t="s">
        <v>226</v>
      </c>
    </row>
    <row r="790">
      <c r="A790" s="2" t="s">
        <v>613</v>
      </c>
      <c r="B790" s="2" t="s">
        <v>693</v>
      </c>
      <c r="C790" s="2" t="s">
        <v>1169</v>
      </c>
      <c r="D790" s="3" t="str">
        <f>HYPERLINK("https://12go.asia/en/travel/mingxi/guangzhou", "12Go Link")</f>
        <v>12Go Link</v>
      </c>
      <c r="E790" s="2" t="s">
        <v>226</v>
      </c>
    </row>
    <row r="791">
      <c r="A791" s="2" t="s">
        <v>613</v>
      </c>
      <c r="B791" s="2" t="s">
        <v>510</v>
      </c>
      <c r="C791" s="2" t="s">
        <v>1170</v>
      </c>
      <c r="D791" s="3" t="str">
        <f>HYPERLINK("https://12go.asia/en/travel/mingxi/guzhang", "12Go Link")</f>
        <v>12Go Link</v>
      </c>
      <c r="E791" s="2" t="s">
        <v>226</v>
      </c>
    </row>
    <row r="792">
      <c r="A792" s="2" t="s">
        <v>613</v>
      </c>
      <c r="B792" s="2" t="s">
        <v>750</v>
      </c>
      <c r="C792" s="2" t="s">
        <v>1171</v>
      </c>
      <c r="D792" s="3" t="str">
        <f>HYPERLINK("https://12go.asia/en/travel/mingxi/hangzhou", "12Go Link")</f>
        <v>12Go Link</v>
      </c>
      <c r="E792" s="2" t="s">
        <v>226</v>
      </c>
    </row>
    <row r="793">
      <c r="A793" s="2" t="s">
        <v>613</v>
      </c>
      <c r="B793" s="2" t="s">
        <v>763</v>
      </c>
      <c r="C793" s="2" t="s">
        <v>1172</v>
      </c>
      <c r="D793" s="3" t="str">
        <f>HYPERLINK("https://12go.asia/en/travel/mingxi/hebei", "12Go Link")</f>
        <v>12Go Link</v>
      </c>
      <c r="E793" s="2" t="s">
        <v>226</v>
      </c>
    </row>
    <row r="794">
      <c r="A794" s="2" t="s">
        <v>613</v>
      </c>
      <c r="B794" s="2" t="s">
        <v>891</v>
      </c>
      <c r="C794" s="2" t="s">
        <v>1173</v>
      </c>
      <c r="D794" s="3" t="str">
        <f>HYPERLINK("https://12go.asia/en/travel/mingxi/hengqin-island", "12Go Link")</f>
        <v>12Go Link</v>
      </c>
      <c r="E794" s="2" t="s">
        <v>226</v>
      </c>
    </row>
    <row r="795">
      <c r="A795" s="2" t="s">
        <v>613</v>
      </c>
      <c r="B795" s="2" t="s">
        <v>713</v>
      </c>
      <c r="C795" s="2" t="s">
        <v>1174</v>
      </c>
      <c r="D795" s="3" t="str">
        <f>HYPERLINK("https://12go.asia/en/travel/mingxi/hengyang", "12Go Link")</f>
        <v>12Go Link</v>
      </c>
      <c r="E795" s="2" t="s">
        <v>226</v>
      </c>
    </row>
    <row r="796">
      <c r="A796" s="2" t="s">
        <v>613</v>
      </c>
      <c r="B796" s="2" t="s">
        <v>557</v>
      </c>
      <c r="C796" s="2" t="s">
        <v>1175</v>
      </c>
      <c r="D796" s="3" t="str">
        <f>HYPERLINK("https://12go.asia/en/travel/mingxi/hohhot", "12Go Link")</f>
        <v>12Go Link</v>
      </c>
      <c r="E796" s="2" t="s">
        <v>226</v>
      </c>
    </row>
    <row r="797">
      <c r="A797" s="2" t="s">
        <v>613</v>
      </c>
      <c r="B797" s="2" t="s">
        <v>886</v>
      </c>
      <c r="C797" s="2" t="s">
        <v>1176</v>
      </c>
      <c r="D797" s="3" t="str">
        <f>HYPERLINK("https://12go.asia/en/travel/mingxi/huaihua", "12Go Link")</f>
        <v>12Go Link</v>
      </c>
      <c r="E797" s="2" t="s">
        <v>226</v>
      </c>
    </row>
    <row r="798">
      <c r="A798" s="2" t="s">
        <v>613</v>
      </c>
      <c r="B798" s="2" t="s">
        <v>723</v>
      </c>
      <c r="C798" s="2" t="s">
        <v>1177</v>
      </c>
      <c r="D798" s="3" t="str">
        <f>HYPERLINK("https://12go.asia/en/travel/mingxi/huaxi", "12Go Link")</f>
        <v>12Go Link</v>
      </c>
      <c r="E798" s="2" t="s">
        <v>226</v>
      </c>
    </row>
    <row r="799">
      <c r="A799" s="2" t="s">
        <v>613</v>
      </c>
      <c r="B799" s="2" t="s">
        <v>994</v>
      </c>
      <c r="C799" s="2" t="s">
        <v>1178</v>
      </c>
      <c r="D799" s="3" t="str">
        <f>HYPERLINK("https://12go.asia/en/travel/mingxi/huiyang-district", "12Go Link")</f>
        <v>12Go Link</v>
      </c>
      <c r="E799" s="2" t="s">
        <v>226</v>
      </c>
    </row>
    <row r="800">
      <c r="A800" s="2" t="s">
        <v>613</v>
      </c>
      <c r="B800" s="2" t="s">
        <v>402</v>
      </c>
      <c r="C800" s="2" t="s">
        <v>1179</v>
      </c>
      <c r="D800" s="3" t="str">
        <f>HYPERLINK("https://12go.asia/en/travel/mingxi/hunan", "12Go Link")</f>
        <v>12Go Link</v>
      </c>
      <c r="E800" s="2" t="s">
        <v>226</v>
      </c>
    </row>
    <row r="801">
      <c r="A801" s="2" t="s">
        <v>613</v>
      </c>
      <c r="B801" s="2" t="s">
        <v>686</v>
      </c>
      <c r="C801" s="2" t="s">
        <v>1180</v>
      </c>
      <c r="D801" s="3" t="str">
        <f>HYPERLINK("https://12go.asia/en/travel/mingxi/jiangsu", "12Go Link")</f>
        <v>12Go Link</v>
      </c>
      <c r="E801" s="2" t="s">
        <v>226</v>
      </c>
    </row>
    <row r="802">
      <c r="A802" s="2" t="s">
        <v>613</v>
      </c>
      <c r="B802" s="2" t="s">
        <v>1181</v>
      </c>
      <c r="C802" s="2" t="s">
        <v>1182</v>
      </c>
      <c r="D802" s="3" t="str">
        <f>HYPERLINK("https://12go.asia/en/travel/mingxi/jiangxi", "12Go Link")</f>
        <v>12Go Link</v>
      </c>
      <c r="E802" s="2" t="s">
        <v>226</v>
      </c>
    </row>
    <row r="803">
      <c r="A803" s="2" t="s">
        <v>613</v>
      </c>
      <c r="B803" s="2" t="s">
        <v>456</v>
      </c>
      <c r="C803" s="2" t="s">
        <v>1183</v>
      </c>
      <c r="D803" s="3" t="str">
        <f>HYPERLINK("https://12go.asia/en/travel/mingxi/jiangzhou", "12Go Link")</f>
        <v>12Go Link</v>
      </c>
      <c r="E803" s="2" t="s">
        <v>226</v>
      </c>
    </row>
    <row r="804">
      <c r="A804" s="2" t="s">
        <v>613</v>
      </c>
      <c r="B804" s="2" t="s">
        <v>1101</v>
      </c>
      <c r="C804" s="2" t="s">
        <v>1184</v>
      </c>
      <c r="D804" s="3" t="str">
        <f>HYPERLINK("https://12go.asia/en/travel/mingxi/jiaocheng", "12Go Link")</f>
        <v>12Go Link</v>
      </c>
      <c r="E804" s="2" t="s">
        <v>226</v>
      </c>
    </row>
    <row r="805">
      <c r="A805" s="2" t="s">
        <v>613</v>
      </c>
      <c r="B805" s="2" t="s">
        <v>526</v>
      </c>
      <c r="C805" s="2" t="s">
        <v>1185</v>
      </c>
      <c r="D805" s="3" t="str">
        <f>HYPERLINK("https://12go.asia/en/travel/mingxi/jiaxiang", "12Go Link")</f>
        <v>12Go Link</v>
      </c>
      <c r="E805" s="2" t="s">
        <v>226</v>
      </c>
    </row>
    <row r="806">
      <c r="A806" s="2" t="s">
        <v>613</v>
      </c>
      <c r="B806" s="2" t="s">
        <v>646</v>
      </c>
      <c r="C806" s="2" t="s">
        <v>1186</v>
      </c>
      <c r="D806" s="3" t="str">
        <f>HYPERLINK("https://12go.asia/en/travel/mingxi/jinhua", "12Go Link")</f>
        <v>12Go Link</v>
      </c>
      <c r="E806" s="2" t="s">
        <v>226</v>
      </c>
    </row>
    <row r="807">
      <c r="A807" s="2" t="s">
        <v>613</v>
      </c>
      <c r="B807" s="2" t="s">
        <v>1187</v>
      </c>
      <c r="C807" s="2" t="s">
        <v>1188</v>
      </c>
      <c r="D807" s="3" t="str">
        <f>HYPERLINK("https://12go.asia/en/travel/mingxi/jishou", "12Go Link")</f>
        <v>12Go Link</v>
      </c>
      <c r="E807" s="2" t="s">
        <v>226</v>
      </c>
    </row>
    <row r="808">
      <c r="A808" s="2" t="s">
        <v>613</v>
      </c>
      <c r="B808" s="2" t="s">
        <v>1114</v>
      </c>
      <c r="C808" s="2" t="s">
        <v>1189</v>
      </c>
      <c r="D808" s="3" t="str">
        <f>HYPERLINK("https://12go.asia/en/travel/mingxi/kunming", "12Go Link")</f>
        <v>12Go Link</v>
      </c>
      <c r="E808" s="2" t="s">
        <v>226</v>
      </c>
    </row>
    <row r="809">
      <c r="A809" s="2" t="s">
        <v>613</v>
      </c>
      <c r="B809" s="2" t="s">
        <v>443</v>
      </c>
      <c r="C809" s="2" t="s">
        <v>1190</v>
      </c>
      <c r="D809" s="3" t="str">
        <f>HYPERLINK("https://12go.asia/en/travel/mingxi/leshan", "12Go Link")</f>
        <v>12Go Link</v>
      </c>
      <c r="E809" s="2" t="s">
        <v>226</v>
      </c>
    </row>
    <row r="810">
      <c r="A810" s="2" t="s">
        <v>613</v>
      </c>
      <c r="B810" s="2" t="s">
        <v>1123</v>
      </c>
      <c r="C810" s="2" t="s">
        <v>1191</v>
      </c>
      <c r="D810" s="3" t="str">
        <f>HYPERLINK("https://12go.asia/en/travel/mingxi/liancheng", "12Go Link")</f>
        <v>12Go Link</v>
      </c>
      <c r="E810" s="2" t="s">
        <v>226</v>
      </c>
    </row>
    <row r="811">
      <c r="A811" s="2" t="s">
        <v>613</v>
      </c>
      <c r="B811" s="2" t="s">
        <v>1134</v>
      </c>
      <c r="C811" s="2" t="s">
        <v>1192</v>
      </c>
      <c r="D811" s="3" t="str">
        <f>HYPERLINK("https://12go.asia/en/travel/mingxi/liuzhou", "12Go Link")</f>
        <v>12Go Link</v>
      </c>
      <c r="E811" s="2" t="s">
        <v>226</v>
      </c>
    </row>
    <row r="812">
      <c r="A812" s="2" t="s">
        <v>613</v>
      </c>
      <c r="B812" s="2" t="s">
        <v>1193</v>
      </c>
      <c r="C812" s="2" t="s">
        <v>1194</v>
      </c>
      <c r="D812" s="3" t="str">
        <f>HYPERLINK("https://12go.asia/en/travel/mingxi/maoming", "12Go Link")</f>
        <v>12Go Link</v>
      </c>
      <c r="E812" s="2" t="s">
        <v>226</v>
      </c>
    </row>
    <row r="813">
      <c r="A813" s="2" t="s">
        <v>613</v>
      </c>
      <c r="B813" s="2" t="s">
        <v>818</v>
      </c>
      <c r="C813" s="2" t="s">
        <v>1195</v>
      </c>
      <c r="D813" s="3" t="str">
        <f>HYPERLINK("https://12go.asia/en/travel/mingxi/mianyang", "12Go Link")</f>
        <v>12Go Link</v>
      </c>
      <c r="E813" s="2" t="s">
        <v>226</v>
      </c>
    </row>
    <row r="814">
      <c r="A814" s="2" t="s">
        <v>613</v>
      </c>
      <c r="B814" s="2" t="s">
        <v>1196</v>
      </c>
      <c r="C814" s="2" t="s">
        <v>1197</v>
      </c>
      <c r="D814" s="3" t="str">
        <f>HYPERLINK("https://12go.asia/en/travel/mingxi/nanchang", "12Go Link")</f>
        <v>12Go Link</v>
      </c>
      <c r="E814" s="2" t="s">
        <v>226</v>
      </c>
    </row>
    <row r="815">
      <c r="A815" s="2" t="s">
        <v>613</v>
      </c>
      <c r="B815" s="2" t="s">
        <v>688</v>
      </c>
      <c r="C815" s="2" t="s">
        <v>1198</v>
      </c>
      <c r="D815" s="3" t="str">
        <f>HYPERLINK("https://12go.asia/en/travel/mingxi/nanjing", "12Go Link")</f>
        <v>12Go Link</v>
      </c>
      <c r="E815" s="2" t="s">
        <v>226</v>
      </c>
    </row>
    <row r="816">
      <c r="A816" s="2" t="s">
        <v>613</v>
      </c>
      <c r="B816" s="2" t="s">
        <v>796</v>
      </c>
      <c r="C816" s="2" t="s">
        <v>1199</v>
      </c>
      <c r="D816" s="3" t="str">
        <f>HYPERLINK("https://12go.asia/en/travel/mingxi/neijiang", "12Go Link")</f>
        <v>12Go Link</v>
      </c>
      <c r="E816" s="2" t="s">
        <v>226</v>
      </c>
    </row>
    <row r="817">
      <c r="A817" s="2" t="s">
        <v>613</v>
      </c>
      <c r="B817" s="2" t="s">
        <v>1200</v>
      </c>
      <c r="C817" s="2" t="s">
        <v>1201</v>
      </c>
      <c r="D817" s="3" t="str">
        <f>HYPERLINK("https://12go.asia/en/travel/mingxi/ningbo", "12Go Link")</f>
        <v>12Go Link</v>
      </c>
      <c r="E817" s="2" t="s">
        <v>226</v>
      </c>
    </row>
    <row r="818">
      <c r="A818" s="2" t="s">
        <v>613</v>
      </c>
      <c r="B818" s="2" t="s">
        <v>417</v>
      </c>
      <c r="C818" s="2" t="s">
        <v>1202</v>
      </c>
      <c r="D818" s="3" t="str">
        <f>HYPERLINK("https://12go.asia/en/travel/mingxi/qingdao", "12Go Link")</f>
        <v>12Go Link</v>
      </c>
      <c r="E818" s="2" t="s">
        <v>226</v>
      </c>
    </row>
    <row r="819">
      <c r="A819" s="2" t="s">
        <v>613</v>
      </c>
      <c r="B819" s="2" t="s">
        <v>1203</v>
      </c>
      <c r="C819" s="2" t="s">
        <v>1204</v>
      </c>
      <c r="D819" s="3" t="str">
        <f>HYPERLINK("https://12go.asia/en/travel/mingxi/qingzhen", "12Go Link")</f>
        <v>12Go Link</v>
      </c>
      <c r="E819" s="2" t="s">
        <v>226</v>
      </c>
    </row>
    <row r="820">
      <c r="A820" s="2" t="s">
        <v>613</v>
      </c>
      <c r="B820" s="2" t="s">
        <v>1205</v>
      </c>
      <c r="C820" s="2" t="s">
        <v>1206</v>
      </c>
      <c r="D820" s="3" t="str">
        <f>HYPERLINK("https://12go.asia/en/travel/mingxi/quanzhou", "12Go Link")</f>
        <v>12Go Link</v>
      </c>
      <c r="E820" s="2" t="s">
        <v>226</v>
      </c>
    </row>
    <row r="821">
      <c r="A821" s="2" t="s">
        <v>613</v>
      </c>
      <c r="B821" s="2" t="s">
        <v>593</v>
      </c>
      <c r="C821" s="2" t="s">
        <v>1207</v>
      </c>
      <c r="D821" s="3" t="str">
        <f>HYPERLINK("https://12go.asia/en/travel/mingxi/saihan", "12Go Link")</f>
        <v>12Go Link</v>
      </c>
      <c r="E821" s="2" t="s">
        <v>226</v>
      </c>
    </row>
    <row r="822">
      <c r="A822" s="2" t="s">
        <v>613</v>
      </c>
      <c r="B822" s="2" t="s">
        <v>728</v>
      </c>
      <c r="C822" s="2" t="s">
        <v>1208</v>
      </c>
      <c r="D822" s="3" t="str">
        <f>HYPERLINK("https://12go.asia/en/travel/mingxi/shaanxi", "12Go Link")</f>
        <v>12Go Link</v>
      </c>
      <c r="E822" s="2" t="s">
        <v>226</v>
      </c>
    </row>
    <row r="823">
      <c r="A823" s="2" t="s">
        <v>613</v>
      </c>
      <c r="B823" s="2" t="s">
        <v>1209</v>
      </c>
      <c r="C823" s="2" t="s">
        <v>1210</v>
      </c>
      <c r="D823" s="3" t="str">
        <f>HYPERLINK("https://12go.asia/en/travel/mingxi/shandong", "12Go Link")</f>
        <v>12Go Link</v>
      </c>
      <c r="E823" s="2" t="s">
        <v>226</v>
      </c>
    </row>
    <row r="824">
      <c r="A824" s="2" t="s">
        <v>613</v>
      </c>
      <c r="B824" s="2" t="s">
        <v>493</v>
      </c>
      <c r="C824" s="2" t="s">
        <v>1211</v>
      </c>
      <c r="D824" s="3" t="str">
        <f>HYPERLINK("https://12go.asia/en/travel/mingxi/shanghai", "12Go Link")</f>
        <v>12Go Link</v>
      </c>
      <c r="E824" s="2" t="s">
        <v>226</v>
      </c>
    </row>
    <row r="825">
      <c r="A825" s="2" t="s">
        <v>613</v>
      </c>
      <c r="B825" s="2" t="s">
        <v>897</v>
      </c>
      <c r="C825" s="2" t="s">
        <v>1212</v>
      </c>
      <c r="D825" s="3" t="str">
        <f>HYPERLINK("https://12go.asia/en/travel/mingxi/shanghai-hongqiao-airport", "12Go Link")</f>
        <v>12Go Link</v>
      </c>
      <c r="E825" s="2" t="s">
        <v>226</v>
      </c>
    </row>
    <row r="826">
      <c r="A826" s="2" t="s">
        <v>613</v>
      </c>
      <c r="B826" s="2" t="s">
        <v>982</v>
      </c>
      <c r="C826" s="2" t="s">
        <v>1213</v>
      </c>
      <c r="D826" s="3" t="str">
        <f>HYPERLINK("https://12go.asia/en/travel/mingxi/shaoyang", "12Go Link")</f>
        <v>12Go Link</v>
      </c>
      <c r="E826" s="2" t="s">
        <v>226</v>
      </c>
    </row>
    <row r="827">
      <c r="A827" s="2" t="s">
        <v>613</v>
      </c>
      <c r="B827" s="2" t="s">
        <v>622</v>
      </c>
      <c r="C827" s="2" t="s">
        <v>1214</v>
      </c>
      <c r="D827" s="3" t="str">
        <f>HYPERLINK("https://12go.asia/en/travel/mingxi/shenyang", "12Go Link")</f>
        <v>12Go Link</v>
      </c>
      <c r="E827" s="2" t="s">
        <v>226</v>
      </c>
    </row>
    <row r="828">
      <c r="A828" s="2" t="s">
        <v>613</v>
      </c>
      <c r="B828" s="2" t="s">
        <v>419</v>
      </c>
      <c r="C828" s="2" t="s">
        <v>1215</v>
      </c>
      <c r="D828" s="3" t="str">
        <f>HYPERLINK("https://12go.asia/en/travel/mingxi/shenzhen", "12Go Link")</f>
        <v>12Go Link</v>
      </c>
      <c r="E828" s="2" t="s">
        <v>226</v>
      </c>
    </row>
    <row r="829">
      <c r="A829" s="2" t="s">
        <v>613</v>
      </c>
      <c r="B829" s="2" t="s">
        <v>404</v>
      </c>
      <c r="C829" s="2" t="s">
        <v>1216</v>
      </c>
      <c r="D829" s="3" t="str">
        <f>HYPERLINK("https://12go.asia/en/travel/mingxi/shijiazhuang", "12Go Link")</f>
        <v>12Go Link</v>
      </c>
      <c r="E829" s="2" t="s">
        <v>226</v>
      </c>
    </row>
    <row r="830">
      <c r="A830" s="2" t="s">
        <v>613</v>
      </c>
      <c r="B830" s="2" t="s">
        <v>573</v>
      </c>
      <c r="C830" s="2" t="s">
        <v>1217</v>
      </c>
      <c r="D830" s="3" t="str">
        <f>HYPERLINK("https://12go.asia/en/travel/mingxi/shuangliu", "12Go Link")</f>
        <v>12Go Link</v>
      </c>
      <c r="E830" s="2" t="s">
        <v>226</v>
      </c>
    </row>
    <row r="831">
      <c r="A831" s="2" t="s">
        <v>613</v>
      </c>
      <c r="B831" s="2" t="s">
        <v>709</v>
      </c>
      <c r="C831" s="2" t="s">
        <v>1218</v>
      </c>
      <c r="D831" s="3" t="str">
        <f>HYPERLINK("https://12go.asia/en/travel/mingxi/sichuan", "12Go Link")</f>
        <v>12Go Link</v>
      </c>
      <c r="E831" s="2" t="s">
        <v>226</v>
      </c>
    </row>
    <row r="832">
      <c r="A832" s="2" t="s">
        <v>613</v>
      </c>
      <c r="B832" s="2" t="s">
        <v>1219</v>
      </c>
      <c r="C832" s="2" t="s">
        <v>1220</v>
      </c>
      <c r="D832" s="3" t="str">
        <f>HYPERLINK("https://12go.asia/en/travel/mingxi/suzhou", "12Go Link")</f>
        <v>12Go Link</v>
      </c>
      <c r="E832" s="2" t="s">
        <v>226</v>
      </c>
    </row>
    <row r="833">
      <c r="A833" s="2" t="s">
        <v>613</v>
      </c>
      <c r="B833" s="2" t="s">
        <v>865</v>
      </c>
      <c r="C833" s="2" t="s">
        <v>1221</v>
      </c>
      <c r="D833" s="3" t="str">
        <f>HYPERLINK("https://12go.asia/en/travel/mingxi/tianxin", "12Go Link")</f>
        <v>12Go Link</v>
      </c>
      <c r="E833" s="2" t="s">
        <v>226</v>
      </c>
    </row>
    <row r="834">
      <c r="A834" s="2" t="s">
        <v>613</v>
      </c>
      <c r="B834" s="2" t="s">
        <v>1222</v>
      </c>
      <c r="C834" s="2" t="s">
        <v>1223</v>
      </c>
      <c r="D834" s="3" t="str">
        <f>HYPERLINK("https://12go.asia/en/travel/mingxi/wenshan-city", "12Go Link")</f>
        <v>12Go Link</v>
      </c>
      <c r="E834" s="2" t="s">
        <v>226</v>
      </c>
    </row>
    <row r="835">
      <c r="A835" s="2" t="s">
        <v>613</v>
      </c>
      <c r="B835" s="2" t="s">
        <v>440</v>
      </c>
      <c r="C835" s="2" t="s">
        <v>1224</v>
      </c>
      <c r="D835" s="3" t="str">
        <f>HYPERLINK("https://12go.asia/en/travel/mingxi/wuzhou", "12Go Link")</f>
        <v>12Go Link</v>
      </c>
      <c r="E835" s="2" t="s">
        <v>226</v>
      </c>
    </row>
    <row r="836">
      <c r="A836" s="2" t="s">
        <v>613</v>
      </c>
      <c r="B836" s="2" t="s">
        <v>407</v>
      </c>
      <c r="C836" s="2" t="s">
        <v>1225</v>
      </c>
      <c r="D836" s="3" t="str">
        <f>HYPERLINK("https://12go.asia/en/travel/mingxi/xiamen", "12Go Link")</f>
        <v>12Go Link</v>
      </c>
      <c r="E836" s="2" t="s">
        <v>226</v>
      </c>
    </row>
    <row r="837">
      <c r="A837" s="2" t="s">
        <v>613</v>
      </c>
      <c r="B837" s="2" t="s">
        <v>503</v>
      </c>
      <c r="C837" s="2" t="s">
        <v>1226</v>
      </c>
      <c r="D837" s="3" t="str">
        <f>HYPERLINK("https://12go.asia/en/travel/mingxi/xian", "12Go Link")</f>
        <v>12Go Link</v>
      </c>
      <c r="E837" s="2" t="s">
        <v>226</v>
      </c>
    </row>
    <row r="838">
      <c r="A838" s="2" t="s">
        <v>613</v>
      </c>
      <c r="B838" s="2" t="s">
        <v>1227</v>
      </c>
      <c r="C838" s="2" t="s">
        <v>1228</v>
      </c>
      <c r="D838" s="3" t="str">
        <f>HYPERLINK("https://12go.asia/en/travel/mingxi/xihu", "12Go Link")</f>
        <v>12Go Link</v>
      </c>
      <c r="E838" s="2" t="s">
        <v>226</v>
      </c>
    </row>
    <row r="839">
      <c r="A839" s="2" t="s">
        <v>613</v>
      </c>
      <c r="B839" s="2" t="s">
        <v>523</v>
      </c>
      <c r="C839" s="2" t="s">
        <v>1229</v>
      </c>
      <c r="D839" s="3" t="str">
        <f>HYPERLINK("https://12go.asia/en/travel/mingxi/xishui", "12Go Link")</f>
        <v>12Go Link</v>
      </c>
      <c r="E839" s="2" t="s">
        <v>226</v>
      </c>
    </row>
    <row r="840">
      <c r="A840" s="2" t="s">
        <v>613</v>
      </c>
      <c r="B840" s="2" t="s">
        <v>1230</v>
      </c>
      <c r="C840" s="2" t="s">
        <v>1231</v>
      </c>
      <c r="D840" s="3" t="str">
        <f>HYPERLINK("https://12go.asia/en/travel/mingxi/xuchang", "12Go Link")</f>
        <v>12Go Link</v>
      </c>
      <c r="E840" s="2" t="s">
        <v>226</v>
      </c>
    </row>
    <row r="841">
      <c r="A841" s="2" t="s">
        <v>613</v>
      </c>
      <c r="B841" s="2" t="s">
        <v>748</v>
      </c>
      <c r="C841" s="2" t="s">
        <v>1232</v>
      </c>
      <c r="D841" s="3" t="str">
        <f>HYPERLINK("https://12go.asia/en/travel/mingxi/yangchun", "12Go Link")</f>
        <v>12Go Link</v>
      </c>
      <c r="E841" s="2" t="s">
        <v>226</v>
      </c>
    </row>
    <row r="842">
      <c r="A842" s="2" t="s">
        <v>613</v>
      </c>
      <c r="B842" s="2" t="s">
        <v>584</v>
      </c>
      <c r="C842" s="2" t="s">
        <v>1233</v>
      </c>
      <c r="D842" s="3" t="str">
        <f>HYPERLINK("https://12go.asia/en/travel/mingxi/yiwu", "12Go Link")</f>
        <v>12Go Link</v>
      </c>
      <c r="E842" s="2" t="s">
        <v>226</v>
      </c>
    </row>
    <row r="843">
      <c r="A843" s="2" t="s">
        <v>613</v>
      </c>
      <c r="B843" s="2" t="s">
        <v>711</v>
      </c>
      <c r="C843" s="2" t="s">
        <v>1234</v>
      </c>
      <c r="D843" s="3" t="str">
        <f>HYPERLINK("https://12go.asia/en/travel/mingxi/yulin-guangxi", "12Go Link")</f>
        <v>12Go Link</v>
      </c>
      <c r="E843" s="2" t="s">
        <v>226</v>
      </c>
    </row>
    <row r="844">
      <c r="A844" s="2" t="s">
        <v>613</v>
      </c>
      <c r="B844" s="2" t="s">
        <v>1235</v>
      </c>
      <c r="C844" s="2" t="s">
        <v>1236</v>
      </c>
      <c r="D844" s="3" t="str">
        <f>HYPERLINK("https://12go.asia/en/travel/mingxi/yunnan", "12Go Link")</f>
        <v>12Go Link</v>
      </c>
      <c r="E844" s="2" t="s">
        <v>226</v>
      </c>
    </row>
    <row r="845">
      <c r="A845" s="2" t="s">
        <v>613</v>
      </c>
      <c r="B845" s="2" t="s">
        <v>991</v>
      </c>
      <c r="C845" s="2" t="s">
        <v>1237</v>
      </c>
      <c r="D845" s="3" t="str">
        <f>HYPERLINK("https://12go.asia/en/travel/mingxi/zhangjiajie", "12Go Link")</f>
        <v>12Go Link</v>
      </c>
      <c r="E845" s="2" t="s">
        <v>226</v>
      </c>
    </row>
    <row r="846">
      <c r="A846" s="2" t="s">
        <v>613</v>
      </c>
      <c r="B846" s="2" t="s">
        <v>507</v>
      </c>
      <c r="C846" s="2" t="s">
        <v>1238</v>
      </c>
      <c r="D846" s="3" t="str">
        <f>HYPERLINK("https://12go.asia/en/travel/mingxi/zhejiang", "12Go Link")</f>
        <v>12Go Link</v>
      </c>
      <c r="E846" s="2" t="s">
        <v>226</v>
      </c>
    </row>
    <row r="847">
      <c r="A847" s="2" t="s">
        <v>613</v>
      </c>
      <c r="B847" s="2" t="s">
        <v>470</v>
      </c>
      <c r="C847" s="2" t="s">
        <v>1239</v>
      </c>
      <c r="D847" s="3" t="str">
        <f>HYPERLINK("https://12go.asia/en/travel/mingxi/zhengzhou", "12Go Link")</f>
        <v>12Go Link</v>
      </c>
      <c r="E847" s="2" t="s">
        <v>226</v>
      </c>
    </row>
    <row r="848">
      <c r="A848" s="2" t="s">
        <v>613</v>
      </c>
      <c r="B848" s="2" t="s">
        <v>1240</v>
      </c>
      <c r="C848" s="2" t="s">
        <v>1241</v>
      </c>
      <c r="D848" s="3" t="str">
        <f>HYPERLINK("https://12go.asia/en/travel/mingxi/zhuhai", "12Go Link")</f>
        <v>12Go Link</v>
      </c>
      <c r="E848" s="2" t="s">
        <v>226</v>
      </c>
    </row>
    <row r="849">
      <c r="A849" s="2" t="s">
        <v>1242</v>
      </c>
      <c r="B849" s="2" t="s">
        <v>431</v>
      </c>
      <c r="C849" s="2" t="s">
        <v>1243</v>
      </c>
      <c r="D849" s="3" t="str">
        <f>HYPERLINK("https://12go.asia/en/travel/mohe-city/daqing", "12Go Link")</f>
        <v>12Go Link</v>
      </c>
      <c r="E849" s="2" t="s">
        <v>226</v>
      </c>
    </row>
    <row r="850">
      <c r="A850" s="2" t="s">
        <v>1242</v>
      </c>
      <c r="B850" s="2" t="s">
        <v>431</v>
      </c>
      <c r="C850" s="2" t="s">
        <v>1244</v>
      </c>
      <c r="D850" s="3" t="str">
        <f>HYPERLINK("https://12go.asia/en/travel/mohe/daqing", "12Go Link")</f>
        <v>12Go Link</v>
      </c>
      <c r="E850" s="2" t="s">
        <v>226</v>
      </c>
    </row>
    <row r="851">
      <c r="A851" s="2" t="s">
        <v>1242</v>
      </c>
      <c r="B851" s="2" t="s">
        <v>758</v>
      </c>
      <c r="C851" s="2" t="s">
        <v>1245</v>
      </c>
      <c r="D851" s="3" t="str">
        <f>HYPERLINK("https://12go.asia/en/travel/mohe/harbin-east", "12Go Link")</f>
        <v>12Go Link</v>
      </c>
      <c r="E851" s="2" t="s">
        <v>226</v>
      </c>
    </row>
    <row r="852">
      <c r="A852" s="2" t="s">
        <v>1242</v>
      </c>
      <c r="B852" s="2" t="s">
        <v>1014</v>
      </c>
      <c r="C852" s="2" t="s">
        <v>1246</v>
      </c>
      <c r="D852" s="3" t="str">
        <f>HYPERLINK("https://12go.asia/en/travel/mohe-city/xunxian", "12Go Link")</f>
        <v>12Go Link</v>
      </c>
      <c r="E852" s="2" t="s">
        <v>226</v>
      </c>
    </row>
    <row r="853">
      <c r="A853" s="2" t="s">
        <v>778</v>
      </c>
      <c r="B853" s="2" t="s">
        <v>763</v>
      </c>
      <c r="C853" s="2" t="s">
        <v>1247</v>
      </c>
      <c r="D853" s="3" t="str">
        <f>HYPERLINK("https://12go.asia/en/travel/mudanjiang/hebei", "12Go Link")</f>
        <v>12Go Link</v>
      </c>
      <c r="E853" s="2" t="s">
        <v>226</v>
      </c>
    </row>
    <row r="854">
      <c r="A854" s="2" t="s">
        <v>778</v>
      </c>
      <c r="B854" s="2" t="s">
        <v>404</v>
      </c>
      <c r="C854" s="2" t="s">
        <v>1248</v>
      </c>
      <c r="D854" s="3" t="str">
        <f>HYPERLINK("https://12go.asia/en/travel/mudanjiang/shijiazhuang", "12Go Link")</f>
        <v>12Go Link</v>
      </c>
      <c r="E854" s="2" t="s">
        <v>226</v>
      </c>
    </row>
    <row r="855">
      <c r="A855" s="2" t="s">
        <v>778</v>
      </c>
      <c r="B855" s="2" t="s">
        <v>516</v>
      </c>
      <c r="C855" s="2" t="s">
        <v>1249</v>
      </c>
      <c r="D855" s="3" t="str">
        <f>HYPERLINK("https://12go.asia/en/travel/mudanjiang/beijing-chaoyang", "12Go Link")</f>
        <v>12Go Link</v>
      </c>
      <c r="E855" s="2" t="s">
        <v>226</v>
      </c>
    </row>
    <row r="856">
      <c r="A856" s="2" t="s">
        <v>778</v>
      </c>
      <c r="B856" s="2" t="s">
        <v>516</v>
      </c>
      <c r="C856" s="2" t="s">
        <v>1250</v>
      </c>
      <c r="D856" s="3" t="str">
        <f>HYPERLINK("https://12go.asia/en/travel/mudanjiang/tacheng", "12Go Link")</f>
        <v>12Go Link</v>
      </c>
      <c r="E856" s="2" t="s">
        <v>226</v>
      </c>
    </row>
    <row r="857">
      <c r="A857" s="2" t="s">
        <v>1196</v>
      </c>
      <c r="B857" s="2" t="s">
        <v>1251</v>
      </c>
      <c r="C857" s="2" t="s">
        <v>1252</v>
      </c>
      <c r="D857" s="3" t="str">
        <f>HYPERLINK("https://12go.asia/en/travel/nanchang-west/xuancheng", "12Go Link")</f>
        <v>12Go Link</v>
      </c>
      <c r="E857" s="2" t="s">
        <v>226</v>
      </c>
    </row>
    <row r="858">
      <c r="A858" s="2" t="s">
        <v>1196</v>
      </c>
      <c r="B858" s="2" t="s">
        <v>452</v>
      </c>
      <c r="C858" s="2" t="s">
        <v>1253</v>
      </c>
      <c r="D858" s="3" t="str">
        <f>HYPERLINK("https://12go.asia/en/travel/nanchang/binhai", "12Go Link")</f>
        <v>12Go Link</v>
      </c>
      <c r="E858" s="2" t="s">
        <v>226</v>
      </c>
    </row>
    <row r="859">
      <c r="A859" s="2" t="s">
        <v>1196</v>
      </c>
      <c r="B859" s="2" t="s">
        <v>452</v>
      </c>
      <c r="C859" s="2" t="s">
        <v>1254</v>
      </c>
      <c r="D859" s="3" t="str">
        <f>HYPERLINK("https://12go.asia/en/travel/nanchang/tanggu", "12Go Link")</f>
        <v>12Go Link</v>
      </c>
      <c r="E859" s="2" t="s">
        <v>226</v>
      </c>
    </row>
    <row r="860">
      <c r="A860" s="2" t="s">
        <v>1196</v>
      </c>
      <c r="B860" s="2" t="s">
        <v>1069</v>
      </c>
      <c r="C860" s="2" t="s">
        <v>1255</v>
      </c>
      <c r="D860" s="3" t="str">
        <f>HYPERLINK("https://12go.asia/en/travel/nanchang/xuanzhou", "12Go Link")</f>
        <v>12Go Link</v>
      </c>
      <c r="E860" s="2" t="s">
        <v>226</v>
      </c>
    </row>
    <row r="861">
      <c r="A861" s="2" t="s">
        <v>1196</v>
      </c>
      <c r="B861" s="2" t="s">
        <v>550</v>
      </c>
      <c r="C861" s="2" t="s">
        <v>1256</v>
      </c>
      <c r="D861" s="3" t="str">
        <f>HYPERLINK("https://12go.asia/en/travel/nanchang-west/zhangjiagang", "12Go Link")</f>
        <v>12Go Link</v>
      </c>
      <c r="E861" s="2" t="s">
        <v>226</v>
      </c>
    </row>
    <row r="862">
      <c r="A862" s="2" t="s">
        <v>1196</v>
      </c>
      <c r="B862" s="2" t="s">
        <v>550</v>
      </c>
      <c r="C862" s="2" t="s">
        <v>1257</v>
      </c>
      <c r="D862" s="3" t="str">
        <f>HYPERLINK("https://12go.asia/en/travel/nanchang/zhangjiagang", "12Go Link")</f>
        <v>12Go Link</v>
      </c>
      <c r="E862" s="2" t="s">
        <v>226</v>
      </c>
    </row>
    <row r="863">
      <c r="A863" s="2" t="s">
        <v>1258</v>
      </c>
      <c r="B863" s="2" t="s">
        <v>1259</v>
      </c>
      <c r="C863" s="2" t="s">
        <v>1260</v>
      </c>
      <c r="D863" s="3" t="str">
        <f>HYPERLINK("https://12go.asia/en/travel/nanchong/boluo", "12Go Link")</f>
        <v>12Go Link</v>
      </c>
      <c r="E863" s="2" t="s">
        <v>226</v>
      </c>
    </row>
    <row r="864">
      <c r="A864" s="2" t="s">
        <v>1258</v>
      </c>
      <c r="B864" s="2" t="s">
        <v>588</v>
      </c>
      <c r="C864" s="2" t="s">
        <v>1261</v>
      </c>
      <c r="D864" s="3" t="str">
        <f>HYPERLINK("https://12go.asia/en/travel/nanchong/dongcheng-south", "12Go Link")</f>
        <v>12Go Link</v>
      </c>
      <c r="E864" s="2" t="s">
        <v>226</v>
      </c>
    </row>
    <row r="865">
      <c r="A865" s="2" t="s">
        <v>1258</v>
      </c>
      <c r="B865" s="2" t="s">
        <v>693</v>
      </c>
      <c r="C865" s="2" t="s">
        <v>1262</v>
      </c>
      <c r="D865" s="3" t="str">
        <f>HYPERLINK("https://12go.asia/en/travel/nanchong-north/guangzhou-north", "12Go Link")</f>
        <v>12Go Link</v>
      </c>
      <c r="E865" s="2" t="s">
        <v>226</v>
      </c>
    </row>
    <row r="866">
      <c r="A866" s="2" t="s">
        <v>1258</v>
      </c>
      <c r="B866" s="2" t="s">
        <v>693</v>
      </c>
      <c r="C866" s="2" t="s">
        <v>1263</v>
      </c>
      <c r="D866" s="3" t="str">
        <f>HYPERLINK("https://12go.asia/en/travel/nanchong/guangzhou-north", "12Go Link")</f>
        <v>12Go Link</v>
      </c>
      <c r="E866" s="2" t="s">
        <v>226</v>
      </c>
    </row>
    <row r="867">
      <c r="A867" s="2" t="s">
        <v>1258</v>
      </c>
      <c r="B867" s="2" t="s">
        <v>723</v>
      </c>
      <c r="C867" s="2" t="s">
        <v>1264</v>
      </c>
      <c r="D867" s="3" t="str">
        <f>HYPERLINK("https://12go.asia/en/travel/nanchong/huaxi", "12Go Link")</f>
        <v>12Go Link</v>
      </c>
      <c r="E867" s="2" t="s">
        <v>226</v>
      </c>
    </row>
    <row r="868">
      <c r="A868" s="2" t="s">
        <v>1258</v>
      </c>
      <c r="B868" s="2" t="s">
        <v>688</v>
      </c>
      <c r="C868" s="2" t="s">
        <v>1265</v>
      </c>
      <c r="D868" s="3" t="str">
        <f>HYPERLINK("https://12go.asia/en/travel/nanchong/nanjing", "12Go Link")</f>
        <v>12Go Link</v>
      </c>
      <c r="E868" s="2" t="s">
        <v>226</v>
      </c>
    </row>
    <row r="869">
      <c r="A869" s="2" t="s">
        <v>1258</v>
      </c>
      <c r="B869" s="2" t="s">
        <v>1219</v>
      </c>
      <c r="C869" s="2" t="s">
        <v>1266</v>
      </c>
      <c r="D869" s="3" t="str">
        <f>HYPERLINK("https://12go.asia/en/travel/nanchong/suzhou", "12Go Link")</f>
        <v>12Go Link</v>
      </c>
      <c r="E869" s="2" t="s">
        <v>226</v>
      </c>
    </row>
    <row r="870">
      <c r="A870" s="2" t="s">
        <v>1267</v>
      </c>
      <c r="B870" s="2" t="s">
        <v>758</v>
      </c>
      <c r="C870" s="2" t="s">
        <v>1268</v>
      </c>
      <c r="D870" s="3" t="str">
        <f>HYPERLINK("https://12go.asia/en/travel/linkou-south/harbin", "12Go Link")</f>
        <v>12Go Link</v>
      </c>
      <c r="E870" s="2" t="s">
        <v>226</v>
      </c>
    </row>
    <row r="871">
      <c r="A871" s="2" t="s">
        <v>1267</v>
      </c>
      <c r="B871" s="2" t="s">
        <v>758</v>
      </c>
      <c r="C871" s="2" t="s">
        <v>1269</v>
      </c>
      <c r="D871" s="3" t="str">
        <f>HYPERLINK("https://12go.asia/en/travel/linkou-south/harbin-west", "12Go Link")</f>
        <v>12Go Link</v>
      </c>
      <c r="E871" s="2" t="s">
        <v>226</v>
      </c>
    </row>
    <row r="872">
      <c r="A872" s="2" t="s">
        <v>1267</v>
      </c>
      <c r="B872" s="2" t="s">
        <v>758</v>
      </c>
      <c r="C872" s="2" t="s">
        <v>1270</v>
      </c>
      <c r="D872" s="3" t="str">
        <f>HYPERLINK("https://12go.asia/en/travel/nanhai/harbin", "12Go Link")</f>
        <v>12Go Link</v>
      </c>
      <c r="E872" s="2" t="s">
        <v>226</v>
      </c>
    </row>
    <row r="873">
      <c r="A873" s="2" t="s">
        <v>1267</v>
      </c>
      <c r="B873" s="2" t="s">
        <v>782</v>
      </c>
      <c r="C873" s="2" t="s">
        <v>1271</v>
      </c>
      <c r="D873" s="3" t="str">
        <f>HYPERLINK("https://12go.asia/en/travel/nanhai/heilongjiang", "12Go Link")</f>
        <v>12Go Link</v>
      </c>
      <c r="E873" s="2" t="s">
        <v>226</v>
      </c>
    </row>
    <row r="874">
      <c r="A874" s="2" t="s">
        <v>688</v>
      </c>
      <c r="B874" s="2" t="s">
        <v>482</v>
      </c>
      <c r="C874" s="2" t="s">
        <v>1272</v>
      </c>
      <c r="D874" s="3" t="str">
        <f>HYPERLINK("https://12go.asia/en/travel/nanjing-south/huludao-north", "12Go Link")</f>
        <v>12Go Link</v>
      </c>
      <c r="E874" s="2" t="s">
        <v>226</v>
      </c>
    </row>
    <row r="875">
      <c r="A875" s="2" t="s">
        <v>688</v>
      </c>
      <c r="B875" s="2" t="s">
        <v>482</v>
      </c>
      <c r="C875" s="2" t="s">
        <v>1273</v>
      </c>
      <c r="D875" s="3" t="str">
        <f>HYPERLINK("https://12go.asia/en/travel/nanjing/huludao", "12Go Link")</f>
        <v>12Go Link</v>
      </c>
      <c r="E875" s="2" t="s">
        <v>226</v>
      </c>
    </row>
    <row r="876">
      <c r="A876" s="2" t="s">
        <v>688</v>
      </c>
      <c r="B876" s="2" t="s">
        <v>780</v>
      </c>
      <c r="C876" s="2" t="s">
        <v>1274</v>
      </c>
      <c r="D876" s="3" t="str">
        <f>HYPERLINK("https://12go.asia/en/travel/nanjing/pujiangzhen", "12Go Link")</f>
        <v>12Go Link</v>
      </c>
      <c r="E876" s="2" t="s">
        <v>226</v>
      </c>
    </row>
    <row r="877">
      <c r="A877" s="2" t="s">
        <v>688</v>
      </c>
      <c r="B877" s="2" t="s">
        <v>1093</v>
      </c>
      <c r="C877" s="2" t="s">
        <v>1275</v>
      </c>
      <c r="D877" s="3" t="str">
        <f>HYPERLINK("https://12go.asia/en/travel/nanjing/qiqihar", "12Go Link")</f>
        <v>12Go Link</v>
      </c>
      <c r="E877" s="2" t="s">
        <v>226</v>
      </c>
    </row>
    <row r="878">
      <c r="A878" s="2" t="s">
        <v>688</v>
      </c>
      <c r="B878" s="2" t="s">
        <v>505</v>
      </c>
      <c r="C878" s="2" t="s">
        <v>1276</v>
      </c>
      <c r="D878" s="3" t="str">
        <f>HYPERLINK("https://12go.asia/en/travel/nanjing/yijiang", "12Go Link")</f>
        <v>12Go Link</v>
      </c>
      <c r="E878" s="2" t="s">
        <v>226</v>
      </c>
    </row>
    <row r="879">
      <c r="A879" s="2" t="s">
        <v>688</v>
      </c>
      <c r="B879" s="2" t="s">
        <v>1277</v>
      </c>
      <c r="C879" s="2" t="s">
        <v>1278</v>
      </c>
      <c r="D879" s="3" t="str">
        <f>HYPERLINK("https://12go.asia/en/travel/nanjing/sinuiju", "12Go Link")</f>
        <v>12Go Link</v>
      </c>
      <c r="E879" s="2" t="s">
        <v>226</v>
      </c>
    </row>
    <row r="880">
      <c r="A880" s="2" t="s">
        <v>1279</v>
      </c>
      <c r="B880" s="2" t="s">
        <v>709</v>
      </c>
      <c r="C880" s="2" t="s">
        <v>1280</v>
      </c>
      <c r="D880" s="3" t="str">
        <f>HYPERLINK("https://12go.asia/en/travel/nanming/sichuan", "12Go Link")</f>
        <v>12Go Link</v>
      </c>
      <c r="E880" s="2" t="s">
        <v>226</v>
      </c>
    </row>
    <row r="881">
      <c r="A881" s="2" t="s">
        <v>615</v>
      </c>
      <c r="B881" s="2" t="s">
        <v>1281</v>
      </c>
      <c r="C881" s="2" t="s">
        <v>1282</v>
      </c>
      <c r="D881" s="3" t="str">
        <f>HYPERLINK("https://12go.asia/en/travel/nanning-east/binyang", "12Go Link")</f>
        <v>12Go Link</v>
      </c>
      <c r="E881" s="2" t="s">
        <v>226</v>
      </c>
    </row>
    <row r="882">
      <c r="A882" s="2" t="s">
        <v>615</v>
      </c>
      <c r="B882" s="2" t="s">
        <v>1281</v>
      </c>
      <c r="C882" s="2" t="s">
        <v>1283</v>
      </c>
      <c r="D882" s="3" t="str">
        <f>HYPERLINK("https://12go.asia/en/travel/nanning/binyang", "12Go Link")</f>
        <v>12Go Link</v>
      </c>
      <c r="E882" s="2" t="s">
        <v>226</v>
      </c>
    </row>
    <row r="883">
      <c r="A883" s="2" t="s">
        <v>615</v>
      </c>
      <c r="B883" s="2" t="s">
        <v>773</v>
      </c>
      <c r="C883" s="2" t="s">
        <v>1284</v>
      </c>
      <c r="D883" s="3" t="str">
        <f>HYPERLINK("https://12go.asia/en/travel/nanning-east/dushandong", "12Go Link")</f>
        <v>12Go Link</v>
      </c>
      <c r="E883" s="2" t="s">
        <v>226</v>
      </c>
    </row>
    <row r="884">
      <c r="A884" s="2" t="s">
        <v>615</v>
      </c>
      <c r="B884" s="2" t="s">
        <v>994</v>
      </c>
      <c r="C884" s="2" t="s">
        <v>1285</v>
      </c>
      <c r="D884" s="3" t="str">
        <f>HYPERLINK("https://12go.asia/en/travel/nanning-east/huiyang", "12Go Link")</f>
        <v>12Go Link</v>
      </c>
      <c r="E884" s="2" t="s">
        <v>226</v>
      </c>
    </row>
    <row r="885">
      <c r="A885" s="2" t="s">
        <v>615</v>
      </c>
      <c r="B885" s="2" t="s">
        <v>994</v>
      </c>
      <c r="C885" s="2" t="s">
        <v>1286</v>
      </c>
      <c r="D885" s="3" t="str">
        <f>HYPERLINK("https://12go.asia/en/travel/nanning/huiyang-district", "12Go Link")</f>
        <v>12Go Link</v>
      </c>
      <c r="E885" s="2" t="s">
        <v>226</v>
      </c>
    </row>
    <row r="886">
      <c r="A886" s="2" t="s">
        <v>615</v>
      </c>
      <c r="B886" s="2" t="s">
        <v>443</v>
      </c>
      <c r="C886" s="2" t="s">
        <v>1287</v>
      </c>
      <c r="D886" s="3" t="str">
        <f>HYPERLINK("https://12go.asia/en/travel/nanning/qianwei", "12Go Link")</f>
        <v>12Go Link</v>
      </c>
      <c r="E886" s="2" t="s">
        <v>226</v>
      </c>
    </row>
    <row r="887">
      <c r="A887" s="2" t="s">
        <v>615</v>
      </c>
      <c r="B887" s="2" t="s">
        <v>682</v>
      </c>
      <c r="C887" s="2" t="s">
        <v>1288</v>
      </c>
      <c r="D887" s="3" t="str">
        <f>HYPERLINK("https://12go.asia/en/travel/nanning-east/litang", "12Go Link")</f>
        <v>12Go Link</v>
      </c>
      <c r="E887" s="2" t="s">
        <v>226</v>
      </c>
    </row>
    <row r="888">
      <c r="A888" s="2" t="s">
        <v>615</v>
      </c>
      <c r="B888" s="2" t="s">
        <v>682</v>
      </c>
      <c r="C888" s="2" t="s">
        <v>1289</v>
      </c>
      <c r="D888" s="3" t="str">
        <f>HYPERLINK("https://12go.asia/en/travel/nanning/litang-guangxi", "12Go Link")</f>
        <v>12Go Link</v>
      </c>
      <c r="E888" s="2" t="s">
        <v>226</v>
      </c>
    </row>
    <row r="889">
      <c r="A889" s="2" t="s">
        <v>615</v>
      </c>
      <c r="B889" s="2" t="s">
        <v>768</v>
      </c>
      <c r="C889" s="2" t="s">
        <v>1290</v>
      </c>
      <c r="D889" s="3" t="str">
        <f>HYPERLINK("https://12go.asia/en/travel/nanning/liupanshui", "12Go Link")</f>
        <v>12Go Link</v>
      </c>
      <c r="E889" s="2" t="s">
        <v>226</v>
      </c>
    </row>
    <row r="890">
      <c r="A890" s="2" t="s">
        <v>615</v>
      </c>
      <c r="B890" s="2" t="s">
        <v>417</v>
      </c>
      <c r="C890" s="2" t="s">
        <v>1291</v>
      </c>
      <c r="D890" s="3" t="str">
        <f>HYPERLINK("https://12go.asia/en/travel/nanning-east/qingdao-north", "12Go Link")</f>
        <v>12Go Link</v>
      </c>
      <c r="E890" s="2" t="s">
        <v>226</v>
      </c>
    </row>
    <row r="891">
      <c r="A891" s="2" t="s">
        <v>615</v>
      </c>
      <c r="B891" s="2" t="s">
        <v>1203</v>
      </c>
      <c r="C891" s="2" t="s">
        <v>1292</v>
      </c>
      <c r="D891" s="3" t="str">
        <f>HYPERLINK("https://12go.asia/en/travel/nanning-east/guian", "12Go Link")</f>
        <v>12Go Link</v>
      </c>
      <c r="E891" s="2" t="s">
        <v>226</v>
      </c>
    </row>
    <row r="892">
      <c r="A892" s="2" t="s">
        <v>615</v>
      </c>
      <c r="B892" s="2" t="s">
        <v>1203</v>
      </c>
      <c r="C892" s="2" t="s">
        <v>1293</v>
      </c>
      <c r="D892" s="3" t="str">
        <f>HYPERLINK("https://12go.asia/en/travel/nanning/qingzhen", "12Go Link")</f>
        <v>12Go Link</v>
      </c>
      <c r="E892" s="2" t="s">
        <v>226</v>
      </c>
    </row>
    <row r="893">
      <c r="A893" s="2" t="s">
        <v>615</v>
      </c>
      <c r="B893" s="2" t="s">
        <v>1205</v>
      </c>
      <c r="C893" s="2" t="s">
        <v>1294</v>
      </c>
      <c r="D893" s="3" t="str">
        <f>HYPERLINK("https://12go.asia/en/travel/nanning-east/quanzhou-east", "12Go Link")</f>
        <v>12Go Link</v>
      </c>
      <c r="E893" s="2" t="s">
        <v>226</v>
      </c>
    </row>
    <row r="894">
      <c r="A894" s="2" t="s">
        <v>615</v>
      </c>
      <c r="B894" s="2" t="s">
        <v>495</v>
      </c>
      <c r="C894" s="2" t="s">
        <v>1295</v>
      </c>
      <c r="D894" s="3" t="str">
        <f>HYPERLINK("https://12go.asia/en/travel/nanning/sihui", "12Go Link")</f>
        <v>12Go Link</v>
      </c>
      <c r="E894" s="2" t="s">
        <v>226</v>
      </c>
    </row>
    <row r="895">
      <c r="A895" s="2" t="s">
        <v>1296</v>
      </c>
      <c r="B895" s="2" t="s">
        <v>453</v>
      </c>
      <c r="C895" s="2" t="s">
        <v>1297</v>
      </c>
      <c r="D895" s="3" t="str">
        <f>HYPERLINK("https://12go.asia/en/travel/nantong/cangzhou", "12Go Link")</f>
        <v>12Go Link</v>
      </c>
      <c r="E895" s="2" t="s">
        <v>226</v>
      </c>
    </row>
    <row r="896">
      <c r="A896" s="2" t="s">
        <v>461</v>
      </c>
      <c r="B896" s="2" t="s">
        <v>575</v>
      </c>
      <c r="C896" s="2" t="s">
        <v>1298</v>
      </c>
      <c r="D896" s="3" t="str">
        <f>HYPERLINK("https://12go.asia/en/travel/nanyang/chongqing-north", "12Go Link")</f>
        <v>12Go Link</v>
      </c>
      <c r="E896" s="2" t="s">
        <v>226</v>
      </c>
    </row>
    <row r="897">
      <c r="A897" s="2" t="s">
        <v>461</v>
      </c>
      <c r="B897" s="2" t="s">
        <v>526</v>
      </c>
      <c r="C897" s="2" t="s">
        <v>1299</v>
      </c>
      <c r="D897" s="3" t="str">
        <f>HYPERLINK("https://12go.asia/en/travel/nanyang/jiaxiang", "12Go Link")</f>
        <v>12Go Link</v>
      </c>
      <c r="E897" s="2" t="s">
        <v>226</v>
      </c>
    </row>
    <row r="898">
      <c r="A898" s="2" t="s">
        <v>461</v>
      </c>
      <c r="B898" s="2" t="s">
        <v>991</v>
      </c>
      <c r="C898" s="2" t="s">
        <v>1300</v>
      </c>
      <c r="D898" s="3" t="str">
        <f>HYPERLINK("https://12go.asia/en/travel/nanyang/zhangjiajie", "12Go Link")</f>
        <v>12Go Link</v>
      </c>
      <c r="E898" s="2" t="s">
        <v>226</v>
      </c>
    </row>
    <row r="899">
      <c r="A899" s="2" t="s">
        <v>1301</v>
      </c>
      <c r="B899" s="2" t="s">
        <v>416</v>
      </c>
      <c r="C899" s="2" t="s">
        <v>1302</v>
      </c>
      <c r="D899" s="3" t="str">
        <f>HYPERLINK("https://12go.asia/en/travel/ordos-city/baotou-east", "12Go Link")</f>
        <v>12Go Link</v>
      </c>
      <c r="E899" s="2" t="s">
        <v>226</v>
      </c>
    </row>
    <row r="900">
      <c r="A900" s="2" t="s">
        <v>1301</v>
      </c>
      <c r="B900" s="2" t="s">
        <v>426</v>
      </c>
      <c r="C900" s="2" t="s">
        <v>1303</v>
      </c>
      <c r="D900" s="3" t="str">
        <f>HYPERLINK("https://12go.asia/en/travel/ordos/inner-mongolia", "12Go Link")</f>
        <v>12Go Link</v>
      </c>
      <c r="E900" s="2" t="s">
        <v>226</v>
      </c>
    </row>
    <row r="901">
      <c r="A901" s="2" t="s">
        <v>1301</v>
      </c>
      <c r="B901" s="2" t="s">
        <v>728</v>
      </c>
      <c r="C901" s="2" t="s">
        <v>1304</v>
      </c>
      <c r="D901" s="3" t="str">
        <f>HYPERLINK("https://12go.asia/en/travel/ordos/shaanxi", "12Go Link")</f>
        <v>12Go Link</v>
      </c>
      <c r="E901" s="2" t="s">
        <v>226</v>
      </c>
    </row>
    <row r="902">
      <c r="A902" s="2" t="s">
        <v>1301</v>
      </c>
      <c r="B902" s="2" t="s">
        <v>676</v>
      </c>
      <c r="C902" s="2" t="s">
        <v>1305</v>
      </c>
      <c r="D902" s="3" t="str">
        <f>HYPERLINK("https://12go.asia/en/travel/ordos/taian", "12Go Link")</f>
        <v>12Go Link</v>
      </c>
      <c r="E902" s="2" t="s">
        <v>226</v>
      </c>
    </row>
    <row r="903">
      <c r="A903" s="2" t="s">
        <v>1306</v>
      </c>
      <c r="B903" s="2" t="s">
        <v>782</v>
      </c>
      <c r="C903" s="2" t="s">
        <v>1307</v>
      </c>
      <c r="D903" s="3" t="str">
        <f>HYPERLINK("https://12go.asia/en/travel/orongen-zizhiqi/heilongjiang", "12Go Link")</f>
        <v>12Go Link</v>
      </c>
      <c r="E903" s="2" t="s">
        <v>226</v>
      </c>
    </row>
    <row r="904">
      <c r="A904" s="2" t="s">
        <v>1306</v>
      </c>
      <c r="B904" s="2" t="s">
        <v>1014</v>
      </c>
      <c r="C904" s="2" t="s">
        <v>1308</v>
      </c>
      <c r="D904" s="3" t="str">
        <f>HYPERLINK("https://12go.asia/en/travel/orongen-zizhiqi/xunxian", "12Go Link")</f>
        <v>12Go Link</v>
      </c>
      <c r="E904" s="2" t="s">
        <v>226</v>
      </c>
    </row>
    <row r="905">
      <c r="A905" s="2" t="s">
        <v>590</v>
      </c>
      <c r="B905" s="2" t="s">
        <v>590</v>
      </c>
      <c r="C905" s="2" t="s">
        <v>1309</v>
      </c>
      <c r="D905" s="3" t="str">
        <f>HYPERLINK("https://12go.asia/en/travel/guangzhou-changlong/panyu", "12Go Link")</f>
        <v>12Go Link</v>
      </c>
      <c r="E905" s="2" t="s">
        <v>226</v>
      </c>
    </row>
    <row r="906">
      <c r="A906" s="2" t="s">
        <v>590</v>
      </c>
      <c r="B906" s="2" t="s">
        <v>590</v>
      </c>
      <c r="C906" s="2" t="s">
        <v>1310</v>
      </c>
      <c r="D906" s="3" t="str">
        <f>HYPERLINK("https://12go.asia/en/travel/guangzhou-changlong/shishan-north", "12Go Link")</f>
        <v>12Go Link</v>
      </c>
      <c r="E906" s="2" t="s">
        <v>226</v>
      </c>
    </row>
    <row r="907">
      <c r="A907" s="2" t="s">
        <v>590</v>
      </c>
      <c r="B907" s="2" t="s">
        <v>590</v>
      </c>
      <c r="C907" s="2" t="s">
        <v>1311</v>
      </c>
      <c r="D907" s="3" t="str">
        <f>HYPERLINK("https://12go.asia/en/travel/panyu/guangzhou-changlong", "12Go Link")</f>
        <v>12Go Link</v>
      </c>
      <c r="E907" s="2" t="s">
        <v>226</v>
      </c>
    </row>
    <row r="908">
      <c r="A908" s="2" t="s">
        <v>590</v>
      </c>
      <c r="B908" s="2" t="s">
        <v>590</v>
      </c>
      <c r="C908" s="2" t="s">
        <v>1312</v>
      </c>
      <c r="D908" s="3" t="str">
        <f>HYPERLINK("https://12go.asia/en/travel/panyu/shishan-north", "12Go Link")</f>
        <v>12Go Link</v>
      </c>
      <c r="E908" s="2" t="s">
        <v>226</v>
      </c>
    </row>
    <row r="909">
      <c r="A909" s="2" t="s">
        <v>590</v>
      </c>
      <c r="B909" s="2" t="s">
        <v>590</v>
      </c>
      <c r="C909" s="2" t="s">
        <v>1313</v>
      </c>
      <c r="D909" s="3" t="str">
        <f>HYPERLINK("https://12go.asia/en/travel/shishan-north/guangzhou-changlong", "12Go Link")</f>
        <v>12Go Link</v>
      </c>
      <c r="E909" s="2" t="s">
        <v>226</v>
      </c>
    </row>
    <row r="910">
      <c r="A910" s="2" t="s">
        <v>590</v>
      </c>
      <c r="B910" s="2" t="s">
        <v>590</v>
      </c>
      <c r="C910" s="2" t="s">
        <v>1314</v>
      </c>
      <c r="D910" s="3" t="str">
        <f>HYPERLINK("https://12go.asia/en/travel/shishan-north/panyu", "12Go Link")</f>
        <v>12Go Link</v>
      </c>
      <c r="E910" s="2" t="s">
        <v>226</v>
      </c>
    </row>
    <row r="911">
      <c r="A911" s="2" t="s">
        <v>972</v>
      </c>
      <c r="B911" s="2" t="s">
        <v>780</v>
      </c>
      <c r="C911" s="2" t="s">
        <v>1315</v>
      </c>
      <c r="D911" s="3" t="str">
        <f>HYPERLINK("https://12go.asia/en/travel/pingshan-shenzhen/pujiangzhen", "12Go Link")</f>
        <v>12Go Link</v>
      </c>
      <c r="E911" s="2" t="s">
        <v>226</v>
      </c>
    </row>
    <row r="912">
      <c r="A912" s="2" t="s">
        <v>972</v>
      </c>
      <c r="B912" s="2" t="s">
        <v>493</v>
      </c>
      <c r="C912" s="2" t="s">
        <v>1316</v>
      </c>
      <c r="D912" s="3" t="str">
        <f>HYPERLINK("https://12go.asia/en/travel/shenzhen-pingshan/shanghai-south", "12Go Link")</f>
        <v>12Go Link</v>
      </c>
      <c r="E912" s="2" t="s">
        <v>226</v>
      </c>
    </row>
    <row r="913">
      <c r="A913" s="2" t="s">
        <v>972</v>
      </c>
      <c r="B913" s="2" t="s">
        <v>897</v>
      </c>
      <c r="C913" s="2" t="s">
        <v>1317</v>
      </c>
      <c r="D913" s="3" t="str">
        <f>HYPERLINK("https://12go.asia/en/travel/pingshan-shenzhen/shanghai-hongqiao-airport", "12Go Link")</f>
        <v>12Go Link</v>
      </c>
      <c r="E913" s="2" t="s">
        <v>226</v>
      </c>
    </row>
    <row r="914">
      <c r="A914" s="2" t="s">
        <v>1318</v>
      </c>
      <c r="B914" s="2" t="s">
        <v>897</v>
      </c>
      <c r="C914" s="2" t="s">
        <v>1319</v>
      </c>
      <c r="D914" s="3" t="str">
        <f>HYPERLINK("https://12go.asia/en/travel/pingxiang/shanghai-hongqiao-airport", "12Go Link")</f>
        <v>12Go Link</v>
      </c>
      <c r="E914" s="2" t="s">
        <v>226</v>
      </c>
    </row>
    <row r="915">
      <c r="A915" s="2" t="s">
        <v>798</v>
      </c>
      <c r="B915" s="2" t="s">
        <v>897</v>
      </c>
      <c r="C915" s="2" t="s">
        <v>1320</v>
      </c>
      <c r="D915" s="3" t="str">
        <f>HYPERLINK("https://12go.asia/en/travel/pingyao/shanghai-hongqiao-airport", "12Go Link")</f>
        <v>12Go Link</v>
      </c>
      <c r="E915" s="2" t="s">
        <v>226</v>
      </c>
    </row>
    <row r="916">
      <c r="A916" s="2" t="s">
        <v>493</v>
      </c>
      <c r="B916" s="2" t="s">
        <v>796</v>
      </c>
      <c r="C916" s="2" t="s">
        <v>1321</v>
      </c>
      <c r="D916" s="3" t="str">
        <f>HYPERLINK("https://12go.asia/en/travel/shanghai-hongqiao/neijiang-north", "12Go Link")</f>
        <v>12Go Link</v>
      </c>
      <c r="E916" s="2" t="s">
        <v>226</v>
      </c>
    </row>
    <row r="917">
      <c r="A917" s="2" t="s">
        <v>493</v>
      </c>
      <c r="B917" s="2" t="s">
        <v>796</v>
      </c>
      <c r="C917" s="2" t="s">
        <v>1322</v>
      </c>
      <c r="D917" s="3" t="str">
        <f>HYPERLINK("https://12go.asia/en/travel/shanghai/neijiang", "12Go Link")</f>
        <v>12Go Link</v>
      </c>
      <c r="E917" s="2" t="s">
        <v>226</v>
      </c>
    </row>
    <row r="918">
      <c r="A918" s="2" t="s">
        <v>493</v>
      </c>
      <c r="B918" s="2" t="s">
        <v>1323</v>
      </c>
      <c r="C918" s="2" t="s">
        <v>1324</v>
      </c>
      <c r="D918" s="3" t="str">
        <f>HYPERLINK("https://12go.asia/en/travel/shanghai/pingliang", "12Go Link")</f>
        <v>12Go Link</v>
      </c>
      <c r="E918" s="2" t="s">
        <v>226</v>
      </c>
    </row>
    <row r="919">
      <c r="A919" s="2" t="s">
        <v>493</v>
      </c>
      <c r="B919" s="2" t="s">
        <v>1325</v>
      </c>
      <c r="C919" s="2" t="s">
        <v>1326</v>
      </c>
      <c r="D919" s="3" t="str">
        <f>HYPERLINK("https://12go.asia/en/travel/shanghai-hongqiao/changting-south", "12Go Link")</f>
        <v>12Go Link</v>
      </c>
      <c r="E919" s="2" t="s">
        <v>226</v>
      </c>
    </row>
    <row r="920">
      <c r="A920" s="2" t="s">
        <v>493</v>
      </c>
      <c r="B920" s="2" t="s">
        <v>1325</v>
      </c>
      <c r="C920" s="2" t="s">
        <v>1327</v>
      </c>
      <c r="D920" s="3" t="str">
        <f>HYPERLINK("https://12go.asia/en/travel/shanghai-hongqiao/ruijin", "12Go Link")</f>
        <v>12Go Link</v>
      </c>
      <c r="E920" s="2" t="s">
        <v>226</v>
      </c>
    </row>
    <row r="921">
      <c r="A921" s="2" t="s">
        <v>493</v>
      </c>
      <c r="B921" s="2" t="s">
        <v>1325</v>
      </c>
      <c r="C921" s="2" t="s">
        <v>1328</v>
      </c>
      <c r="D921" s="3" t="str">
        <f>HYPERLINK("https://12go.asia/en/travel/shanghai/ruijin", "12Go Link")</f>
        <v>12Go Link</v>
      </c>
      <c r="E921" s="2" t="s">
        <v>226</v>
      </c>
    </row>
    <row r="922">
      <c r="A922" s="2" t="s">
        <v>493</v>
      </c>
      <c r="B922" s="2" t="s">
        <v>804</v>
      </c>
      <c r="C922" s="2" t="s">
        <v>1329</v>
      </c>
      <c r="D922" s="3" t="str">
        <f>HYPERLINK("https://12go.asia/en/travel/shanghai-south/wuhu-north", "12Go Link")</f>
        <v>12Go Link</v>
      </c>
      <c r="E922" s="2" t="s">
        <v>226</v>
      </c>
    </row>
    <row r="923">
      <c r="A923" s="2" t="s">
        <v>493</v>
      </c>
      <c r="B923" s="2" t="s">
        <v>804</v>
      </c>
      <c r="C923" s="2" t="s">
        <v>1330</v>
      </c>
      <c r="D923" s="3" t="str">
        <f>HYPERLINK("https://12go.asia/en/travel/shanghai/xinmin", "12Go Link")</f>
        <v>12Go Link</v>
      </c>
      <c r="E923" s="2" t="s">
        <v>226</v>
      </c>
    </row>
    <row r="924">
      <c r="A924" s="2" t="s">
        <v>493</v>
      </c>
      <c r="B924" s="2" t="s">
        <v>835</v>
      </c>
      <c r="C924" s="2" t="s">
        <v>1331</v>
      </c>
      <c r="D924" s="3" t="str">
        <f>HYPERLINK("https://12go.asia/en/travel/shanghai-hongqiao/xintang", "12Go Link")</f>
        <v>12Go Link</v>
      </c>
      <c r="E924" s="2" t="s">
        <v>226</v>
      </c>
    </row>
    <row r="925">
      <c r="A925" s="2" t="s">
        <v>493</v>
      </c>
      <c r="B925" s="2" t="s">
        <v>835</v>
      </c>
      <c r="C925" s="2" t="s">
        <v>1332</v>
      </c>
      <c r="D925" s="3" t="str">
        <f>HYPERLINK("https://12go.asia/en/travel/shanghai-south/xintang", "12Go Link")</f>
        <v>12Go Link</v>
      </c>
      <c r="E925" s="2" t="s">
        <v>226</v>
      </c>
    </row>
    <row r="926">
      <c r="A926" s="2" t="s">
        <v>493</v>
      </c>
      <c r="B926" s="2" t="s">
        <v>835</v>
      </c>
      <c r="C926" s="2" t="s">
        <v>1333</v>
      </c>
      <c r="D926" s="3" t="str">
        <f>HYPERLINK("https://12go.asia/en/travel/shanghai/zengcheng", "12Go Link")</f>
        <v>12Go Link</v>
      </c>
      <c r="E926" s="2" t="s">
        <v>226</v>
      </c>
    </row>
    <row r="927">
      <c r="A927" s="2" t="s">
        <v>493</v>
      </c>
      <c r="B927" s="2" t="s">
        <v>1077</v>
      </c>
      <c r="C927" s="2" t="s">
        <v>1334</v>
      </c>
      <c r="D927" s="3" t="str">
        <f>HYPERLINK("https://12go.asia/en/travel/shanghai/zhongwei", "12Go Link")</f>
        <v>12Go Link</v>
      </c>
      <c r="E927" s="2" t="s">
        <v>226</v>
      </c>
    </row>
    <row r="928">
      <c r="A928" s="2" t="s">
        <v>1335</v>
      </c>
      <c r="B928" s="2" t="s">
        <v>801</v>
      </c>
      <c r="C928" s="2" t="s">
        <v>1336</v>
      </c>
      <c r="D928" s="3" t="str">
        <f>HYPERLINK("https://12go.asia/en/travel/shangrao/sanming", "12Go Link")</f>
        <v>12Go Link</v>
      </c>
      <c r="E928" s="2" t="s">
        <v>226</v>
      </c>
    </row>
    <row r="929">
      <c r="A929" s="2" t="s">
        <v>1335</v>
      </c>
      <c r="B929" s="2" t="s">
        <v>801</v>
      </c>
      <c r="C929" s="2" t="s">
        <v>1337</v>
      </c>
      <c r="D929" s="3" t="str">
        <f>HYPERLINK("https://12go.asia/en/travel/shangrao/sanming-north", "12Go Link")</f>
        <v>12Go Link</v>
      </c>
      <c r="E929" s="2" t="s">
        <v>226</v>
      </c>
    </row>
    <row r="930">
      <c r="A930" s="2" t="s">
        <v>1338</v>
      </c>
      <c r="B930" s="2" t="s">
        <v>982</v>
      </c>
      <c r="C930" s="2" t="s">
        <v>1339</v>
      </c>
      <c r="D930" s="3" t="str">
        <f>HYPERLINK("https://12go.asia/en/travel/shantou/shaoyang", "12Go Link")</f>
        <v>12Go Link</v>
      </c>
      <c r="E930" s="2" t="s">
        <v>226</v>
      </c>
    </row>
    <row r="931">
      <c r="A931" s="2" t="s">
        <v>1340</v>
      </c>
      <c r="B931" s="2" t="s">
        <v>824</v>
      </c>
      <c r="C931" s="2" t="s">
        <v>1341</v>
      </c>
      <c r="D931" s="3" t="str">
        <f>HYPERLINK("https://12go.asia/en/travel/shaoguan/hong-kong-island", "12Go Link")</f>
        <v>12Go Link</v>
      </c>
      <c r="E931" s="2" t="s">
        <v>226</v>
      </c>
    </row>
    <row r="932">
      <c r="A932" s="2" t="s">
        <v>1340</v>
      </c>
      <c r="B932" s="2" t="s">
        <v>456</v>
      </c>
      <c r="C932" s="2" t="s">
        <v>1342</v>
      </c>
      <c r="D932" s="3" t="str">
        <f>HYPERLINK("https://12go.asia/en/travel/shaoguan/jiangzhou", "12Go Link")</f>
        <v>12Go Link</v>
      </c>
      <c r="E932" s="2" t="s">
        <v>226</v>
      </c>
    </row>
    <row r="933">
      <c r="A933" s="2" t="s">
        <v>1340</v>
      </c>
      <c r="B933" s="2" t="s">
        <v>691</v>
      </c>
      <c r="C933" s="2" t="s">
        <v>1343</v>
      </c>
      <c r="D933" s="3" t="str">
        <f>HYPERLINK("https://12go.asia/en/travel/shaoguan-east/wulong", "12Go Link")</f>
        <v>12Go Link</v>
      </c>
      <c r="E933" s="2" t="s">
        <v>226</v>
      </c>
    </row>
    <row r="934">
      <c r="A934" s="2" t="s">
        <v>1340</v>
      </c>
      <c r="B934" s="2" t="s">
        <v>691</v>
      </c>
      <c r="C934" s="2" t="s">
        <v>1344</v>
      </c>
      <c r="D934" s="3" t="str">
        <f>HYPERLINK("https://12go.asia/en/travel/shaoguan/wulong", "12Go Link")</f>
        <v>12Go Link</v>
      </c>
      <c r="E934" s="2" t="s">
        <v>226</v>
      </c>
    </row>
    <row r="935">
      <c r="A935" s="2" t="s">
        <v>1340</v>
      </c>
      <c r="B935" s="2" t="s">
        <v>470</v>
      </c>
      <c r="C935" s="2" t="s">
        <v>1345</v>
      </c>
      <c r="D935" s="3" t="str">
        <f>HYPERLINK("https://12go.asia/en/travel/shaoguan-east/zhengzhou", "12Go Link")</f>
        <v>12Go Link</v>
      </c>
      <c r="E935" s="2" t="s">
        <v>226</v>
      </c>
    </row>
    <row r="936">
      <c r="A936" s="2" t="s">
        <v>1340</v>
      </c>
      <c r="B936" s="2" t="s">
        <v>470</v>
      </c>
      <c r="C936" s="2" t="s">
        <v>1346</v>
      </c>
      <c r="D936" s="3" t="str">
        <f>HYPERLINK("https://12go.asia/en/travel/shaoguan/zhengzhou", "12Go Link")</f>
        <v>12Go Link</v>
      </c>
      <c r="E936" s="2" t="s">
        <v>226</v>
      </c>
    </row>
    <row r="937">
      <c r="A937" s="2" t="s">
        <v>1340</v>
      </c>
      <c r="B937" s="2" t="s">
        <v>470</v>
      </c>
      <c r="C937" s="2" t="s">
        <v>1347</v>
      </c>
      <c r="D937" s="3" t="str">
        <f>HYPERLINK("https://12go.asia/en/travel/shaoguan/zhengzhou-east", "12Go Link")</f>
        <v>12Go Link</v>
      </c>
      <c r="E937" s="2" t="s">
        <v>226</v>
      </c>
    </row>
    <row r="938">
      <c r="A938" s="2" t="s">
        <v>1340</v>
      </c>
      <c r="B938" s="2" t="s">
        <v>669</v>
      </c>
      <c r="C938" s="2" t="s">
        <v>1348</v>
      </c>
      <c r="D938" s="3" t="str">
        <f>HYPERLINK("https://12go.asia/en/travel/shaoguan/kowloon", "12Go Link")</f>
        <v>12Go Link</v>
      </c>
      <c r="E938" s="2" t="s">
        <v>226</v>
      </c>
    </row>
    <row r="939">
      <c r="A939" s="2" t="s">
        <v>1349</v>
      </c>
      <c r="B939" s="2" t="s">
        <v>1350</v>
      </c>
      <c r="C939" s="2" t="s">
        <v>1351</v>
      </c>
      <c r="D939" s="3" t="str">
        <f>HYPERLINK("https://12go.asia/en/travel/shaoshan-south/guiyang-east", "12Go Link")</f>
        <v>12Go Link</v>
      </c>
      <c r="E939" s="2" t="s">
        <v>226</v>
      </c>
    </row>
    <row r="940">
      <c r="A940" s="2" t="s">
        <v>1349</v>
      </c>
      <c r="B940" s="2" t="s">
        <v>1350</v>
      </c>
      <c r="C940" s="2" t="s">
        <v>1352</v>
      </c>
      <c r="D940" s="3" t="str">
        <f>HYPERLINK("https://12go.asia/en/travel/shaoshan-south/guiyang-north", "12Go Link")</f>
        <v>12Go Link</v>
      </c>
      <c r="E940" s="2" t="s">
        <v>226</v>
      </c>
    </row>
    <row r="941">
      <c r="A941" s="2" t="s">
        <v>1349</v>
      </c>
      <c r="B941" s="2" t="s">
        <v>1350</v>
      </c>
      <c r="C941" s="2" t="s">
        <v>1353</v>
      </c>
      <c r="D941" s="3" t="str">
        <f>HYPERLINK("https://12go.asia/en/travel/shaoshan/guiyang", "12Go Link")</f>
        <v>12Go Link</v>
      </c>
      <c r="E941" s="2" t="s">
        <v>226</v>
      </c>
    </row>
    <row r="942">
      <c r="A942" s="2" t="s">
        <v>1349</v>
      </c>
      <c r="B942" s="2" t="s">
        <v>510</v>
      </c>
      <c r="C942" s="2" t="s">
        <v>1354</v>
      </c>
      <c r="D942" s="3" t="str">
        <f>HYPERLINK("https://12go.asia/en/travel/shaoshan/guzhang", "12Go Link")</f>
        <v>12Go Link</v>
      </c>
      <c r="E942" s="2" t="s">
        <v>226</v>
      </c>
    </row>
    <row r="943">
      <c r="A943" s="2" t="s">
        <v>1349</v>
      </c>
      <c r="B943" s="2" t="s">
        <v>1187</v>
      </c>
      <c r="C943" s="2" t="s">
        <v>1355</v>
      </c>
      <c r="D943" s="3" t="str">
        <f>HYPERLINK("https://12go.asia/en/travel/shaoshan-south/jishou-east", "12Go Link")</f>
        <v>12Go Link</v>
      </c>
      <c r="E943" s="2" t="s">
        <v>226</v>
      </c>
    </row>
    <row r="944">
      <c r="A944" s="2" t="s">
        <v>1349</v>
      </c>
      <c r="B944" s="2" t="s">
        <v>1187</v>
      </c>
      <c r="C944" s="2" t="s">
        <v>1356</v>
      </c>
      <c r="D944" s="3" t="str">
        <f>HYPERLINK("https://12go.asia/en/travel/shaoshan/jishou", "12Go Link")</f>
        <v>12Go Link</v>
      </c>
      <c r="E944" s="2" t="s">
        <v>226</v>
      </c>
    </row>
    <row r="945">
      <c r="A945" s="2" t="s">
        <v>1349</v>
      </c>
      <c r="B945" s="2" t="s">
        <v>523</v>
      </c>
      <c r="C945" s="2" t="s">
        <v>1357</v>
      </c>
      <c r="D945" s="3" t="str">
        <f>HYPERLINK("https://12go.asia/en/travel/shaoshan/xishui", "12Go Link")</f>
        <v>12Go Link</v>
      </c>
      <c r="E945" s="2" t="s">
        <v>226</v>
      </c>
    </row>
    <row r="946">
      <c r="A946" s="2" t="s">
        <v>982</v>
      </c>
      <c r="B946" s="2" t="s">
        <v>897</v>
      </c>
      <c r="C946" s="2" t="s">
        <v>1358</v>
      </c>
      <c r="D946" s="3" t="str">
        <f>HYPERLINK("https://12go.asia/en/travel/shaoyang/shanghai-hongqiao-airport", "12Go Link")</f>
        <v>12Go Link</v>
      </c>
      <c r="E946" s="2" t="s">
        <v>226</v>
      </c>
    </row>
    <row r="947">
      <c r="A947" s="2" t="s">
        <v>622</v>
      </c>
      <c r="B947" s="2" t="s">
        <v>458</v>
      </c>
      <c r="C947" s="2" t="s">
        <v>1359</v>
      </c>
      <c r="D947" s="3" t="str">
        <f>HYPERLINK("https://12go.asia/en/travel/shenyang-north/kaifeng", "12Go Link")</f>
        <v>12Go Link</v>
      </c>
      <c r="E947" s="2" t="s">
        <v>226</v>
      </c>
    </row>
    <row r="948">
      <c r="A948" s="2" t="s">
        <v>622</v>
      </c>
      <c r="B948" s="2" t="s">
        <v>458</v>
      </c>
      <c r="C948" s="2" t="s">
        <v>1360</v>
      </c>
      <c r="D948" s="3" t="str">
        <f>HYPERLINK("https://12go.asia/en/travel/shenyang/kaifeng", "12Go Link")</f>
        <v>12Go Link</v>
      </c>
      <c r="E948" s="2" t="s">
        <v>226</v>
      </c>
    </row>
    <row r="949">
      <c r="A949" s="2" t="s">
        <v>622</v>
      </c>
      <c r="B949" s="2" t="s">
        <v>550</v>
      </c>
      <c r="C949" s="2" t="s">
        <v>1361</v>
      </c>
      <c r="D949" s="3" t="str">
        <f>HYPERLINK("https://12go.asia/en/travel/shenyang-north/zhangjiagang", "12Go Link")</f>
        <v>12Go Link</v>
      </c>
      <c r="E949" s="2" t="s">
        <v>226</v>
      </c>
    </row>
    <row r="950">
      <c r="A950" s="2" t="s">
        <v>622</v>
      </c>
      <c r="B950" s="2" t="s">
        <v>550</v>
      </c>
      <c r="C950" s="2" t="s">
        <v>1362</v>
      </c>
      <c r="D950" s="3" t="str">
        <f>HYPERLINK("https://12go.asia/en/travel/shenyang/zhangjiagang", "12Go Link")</f>
        <v>12Go Link</v>
      </c>
      <c r="E950" s="2" t="s">
        <v>226</v>
      </c>
    </row>
    <row r="951">
      <c r="A951" s="2" t="s">
        <v>419</v>
      </c>
      <c r="B951" s="2" t="s">
        <v>662</v>
      </c>
      <c r="C951" s="2" t="s">
        <v>1363</v>
      </c>
      <c r="D951" s="3" t="str">
        <f>HYPERLINK("https://12go.asia/en/travel/shenzhen-north/fenghuanggucheng", "12Go Link")</f>
        <v>12Go Link</v>
      </c>
      <c r="E951" s="2" t="s">
        <v>226</v>
      </c>
    </row>
    <row r="952">
      <c r="A952" s="2" t="s">
        <v>419</v>
      </c>
      <c r="B952" s="2" t="s">
        <v>662</v>
      </c>
      <c r="C952" s="2" t="s">
        <v>1364</v>
      </c>
      <c r="D952" s="3" t="str">
        <f>HYPERLINK("https://12go.asia/en/travel/shenzhen/fenghuang", "12Go Link")</f>
        <v>12Go Link</v>
      </c>
      <c r="E952" s="2" t="s">
        <v>226</v>
      </c>
    </row>
    <row r="953">
      <c r="A953" s="2" t="s">
        <v>419</v>
      </c>
      <c r="B953" s="2" t="s">
        <v>557</v>
      </c>
      <c r="C953" s="2" t="s">
        <v>1365</v>
      </c>
      <c r="D953" s="3" t="str">
        <f>HYPERLINK("https://12go.asia/en/travel/shenzhen-east/hohhot-east", "12Go Link")</f>
        <v>12Go Link</v>
      </c>
      <c r="E953" s="2" t="s">
        <v>226</v>
      </c>
    </row>
    <row r="954">
      <c r="A954" s="2" t="s">
        <v>419</v>
      </c>
      <c r="B954" s="2" t="s">
        <v>796</v>
      </c>
      <c r="C954" s="2" t="s">
        <v>1366</v>
      </c>
      <c r="D954" s="3" t="str">
        <f>HYPERLINK("https://12go.asia/en/travel/shenzhen-north/neijiang-north", "12Go Link")</f>
        <v>12Go Link</v>
      </c>
      <c r="E954" s="2" t="s">
        <v>226</v>
      </c>
    </row>
    <row r="955">
      <c r="A955" s="2" t="s">
        <v>419</v>
      </c>
      <c r="B955" s="2" t="s">
        <v>796</v>
      </c>
      <c r="C955" s="2" t="s">
        <v>1367</v>
      </c>
      <c r="D955" s="3" t="str">
        <f>HYPERLINK("https://12go.asia/en/travel/shenzhen/neijiang", "12Go Link")</f>
        <v>12Go Link</v>
      </c>
      <c r="E955" s="2" t="s">
        <v>226</v>
      </c>
    </row>
    <row r="956">
      <c r="A956" s="2" t="s">
        <v>419</v>
      </c>
      <c r="B956" s="2" t="s">
        <v>497</v>
      </c>
      <c r="C956" s="2" t="s">
        <v>1368</v>
      </c>
      <c r="D956" s="3" t="str">
        <f>HYPERLINK("https://12go.asia/en/travel/shenzhen-east/shanghai-songjiang", "12Go Link")</f>
        <v>12Go Link</v>
      </c>
      <c r="E956" s="2" t="s">
        <v>226</v>
      </c>
    </row>
    <row r="957">
      <c r="A957" s="2" t="s">
        <v>419</v>
      </c>
      <c r="B957" s="2" t="s">
        <v>497</v>
      </c>
      <c r="C957" s="2" t="s">
        <v>1369</v>
      </c>
      <c r="D957" s="3" t="str">
        <f>HYPERLINK("https://12go.asia/en/travel/shenzhen/songjiang-shanghai", "12Go Link")</f>
        <v>12Go Link</v>
      </c>
      <c r="E957" s="2" t="s">
        <v>226</v>
      </c>
    </row>
    <row r="958">
      <c r="A958" s="2" t="s">
        <v>419</v>
      </c>
      <c r="B958" s="2" t="s">
        <v>676</v>
      </c>
      <c r="C958" s="2" t="s">
        <v>1370</v>
      </c>
      <c r="D958" s="3" t="str">
        <f>HYPERLINK("https://12go.asia/en/travel/shenzhen/taian", "12Go Link")</f>
        <v>12Go Link</v>
      </c>
      <c r="E958" s="2" t="s">
        <v>226</v>
      </c>
    </row>
    <row r="959">
      <c r="A959" s="2" t="s">
        <v>419</v>
      </c>
      <c r="B959" s="2" t="s">
        <v>550</v>
      </c>
      <c r="C959" s="2" t="s">
        <v>1371</v>
      </c>
      <c r="D959" s="3" t="str">
        <f>HYPERLINK("https://12go.asia/en/travel/shenzhen-north/zhangjiagang", "12Go Link")</f>
        <v>12Go Link</v>
      </c>
      <c r="E959" s="2" t="s">
        <v>226</v>
      </c>
    </row>
    <row r="960">
      <c r="A960" s="2" t="s">
        <v>419</v>
      </c>
      <c r="B960" s="2" t="s">
        <v>550</v>
      </c>
      <c r="C960" s="2" t="s">
        <v>1372</v>
      </c>
      <c r="D960" s="3" t="str">
        <f>HYPERLINK("https://12go.asia/en/travel/shenzhen/zhangjiagang", "12Go Link")</f>
        <v>12Go Link</v>
      </c>
      <c r="E960" s="2" t="s">
        <v>226</v>
      </c>
    </row>
    <row r="961">
      <c r="A961" s="2" t="s">
        <v>1373</v>
      </c>
      <c r="B961" s="2" t="s">
        <v>1374</v>
      </c>
      <c r="C961" s="2" t="s">
        <v>1375</v>
      </c>
      <c r="D961" s="3" t="str">
        <f>HYPERLINK("https://12go.asia/en/travel/sanyang/bengbu-south", "12Go Link")</f>
        <v>12Go Link</v>
      </c>
      <c r="E961" s="2" t="s">
        <v>226</v>
      </c>
    </row>
    <row r="962">
      <c r="A962" s="2" t="s">
        <v>1373</v>
      </c>
      <c r="B962" s="2" t="s">
        <v>1374</v>
      </c>
      <c r="C962" s="2" t="s">
        <v>1376</v>
      </c>
      <c r="D962" s="3" t="str">
        <f>HYPERLINK("https://12go.asia/en/travel/shexian/bengbu", "12Go Link")</f>
        <v>12Go Link</v>
      </c>
      <c r="E962" s="2" t="s">
        <v>226</v>
      </c>
    </row>
    <row r="963">
      <c r="A963" s="2" t="s">
        <v>404</v>
      </c>
      <c r="B963" s="2" t="s">
        <v>1259</v>
      </c>
      <c r="C963" s="2" t="s">
        <v>1377</v>
      </c>
      <c r="D963" s="3" t="str">
        <f>HYPERLINK("https://12go.asia/en/travel/shijiazhuang/boluo", "12Go Link")</f>
        <v>12Go Link</v>
      </c>
      <c r="E963" s="2" t="s">
        <v>226</v>
      </c>
    </row>
    <row r="964">
      <c r="A964" s="2" t="s">
        <v>404</v>
      </c>
      <c r="B964" s="2" t="s">
        <v>559</v>
      </c>
      <c r="C964" s="2" t="s">
        <v>1378</v>
      </c>
      <c r="D964" s="3" t="str">
        <f>HYPERLINK("https://12go.asia/en/travel/shijiazhuang/chengdu-airport", "12Go Link")</f>
        <v>12Go Link</v>
      </c>
      <c r="E964" s="2" t="s">
        <v>226</v>
      </c>
    </row>
    <row r="965">
      <c r="A965" s="2" t="s">
        <v>404</v>
      </c>
      <c r="B965" s="2" t="s">
        <v>559</v>
      </c>
      <c r="C965" s="2" t="s">
        <v>1379</v>
      </c>
      <c r="D965" s="3" t="str">
        <f>HYPERLINK("https://12go.asia/en/travel/shijiazhuang/shuangliu-airport", "12Go Link")</f>
        <v>12Go Link</v>
      </c>
      <c r="E965" s="2" t="s">
        <v>226</v>
      </c>
    </row>
    <row r="966">
      <c r="A966" s="2" t="s">
        <v>404</v>
      </c>
      <c r="B966" s="2" t="s">
        <v>634</v>
      </c>
      <c r="C966" s="2" t="s">
        <v>1380</v>
      </c>
      <c r="D966" s="3" t="str">
        <f>HYPERLINK("https://12go.asia/en/travel/shijiazhuang/haikou", "12Go Link")</f>
        <v>12Go Link</v>
      </c>
      <c r="E966" s="2" t="s">
        <v>226</v>
      </c>
    </row>
    <row r="967">
      <c r="A967" s="2" t="s">
        <v>404</v>
      </c>
      <c r="B967" s="2" t="s">
        <v>768</v>
      </c>
      <c r="C967" s="2" t="s">
        <v>1381</v>
      </c>
      <c r="D967" s="3" t="str">
        <f>HYPERLINK("https://12go.asia/en/travel/shijiazhuang/liupanshui", "12Go Link")</f>
        <v>12Go Link</v>
      </c>
      <c r="E967" s="2" t="s">
        <v>226</v>
      </c>
    </row>
    <row r="968">
      <c r="A968" s="2" t="s">
        <v>404</v>
      </c>
      <c r="B968" s="2" t="s">
        <v>770</v>
      </c>
      <c r="C968" s="2" t="s">
        <v>1382</v>
      </c>
      <c r="D968" s="3" t="str">
        <f>HYPERLINK("https://12go.asia/en/travel/shijiazhuang/siping", "12Go Link")</f>
        <v>12Go Link</v>
      </c>
      <c r="E968" s="2" t="s">
        <v>226</v>
      </c>
    </row>
    <row r="969">
      <c r="A969" s="2" t="s">
        <v>404</v>
      </c>
      <c r="B969" s="2" t="s">
        <v>770</v>
      </c>
      <c r="C969" s="2" t="s">
        <v>1383</v>
      </c>
      <c r="D969" s="3" t="str">
        <f>HYPERLINK("https://12go.asia/en/travel/shijiazhuang/siping-east", "12Go Link")</f>
        <v>12Go Link</v>
      </c>
      <c r="E969" s="2" t="s">
        <v>226</v>
      </c>
    </row>
    <row r="970">
      <c r="A970" s="2" t="s">
        <v>413</v>
      </c>
      <c r="B970" s="2" t="s">
        <v>604</v>
      </c>
      <c r="C970" s="2" t="s">
        <v>1384</v>
      </c>
      <c r="D970" s="3" t="str">
        <f>HYPERLINK("https://12go.asia/en/travel/shiyan/dongguan", "12Go Link")</f>
        <v>12Go Link</v>
      </c>
      <c r="E970" s="2" t="s">
        <v>226</v>
      </c>
    </row>
    <row r="971">
      <c r="A971" s="2" t="s">
        <v>413</v>
      </c>
      <c r="B971" s="2" t="s">
        <v>604</v>
      </c>
      <c r="C971" s="2" t="s">
        <v>1385</v>
      </c>
      <c r="D971" s="3" t="str">
        <f>HYPERLINK("https://12go.asia/en/travel/shiyan/dongguan-east", "12Go Link")</f>
        <v>12Go Link</v>
      </c>
      <c r="E971" s="2" t="s">
        <v>226</v>
      </c>
    </row>
    <row r="972">
      <c r="A972" s="2" t="s">
        <v>413</v>
      </c>
      <c r="B972" s="2" t="s">
        <v>758</v>
      </c>
      <c r="C972" s="2" t="s">
        <v>1386</v>
      </c>
      <c r="D972" s="3" t="str">
        <f>HYPERLINK("https://12go.asia/en/travel/shiyan/harbin", "12Go Link")</f>
        <v>12Go Link</v>
      </c>
      <c r="E972" s="2" t="s">
        <v>226</v>
      </c>
    </row>
    <row r="973">
      <c r="A973" s="2" t="s">
        <v>413</v>
      </c>
      <c r="B973" s="2" t="s">
        <v>758</v>
      </c>
      <c r="C973" s="2" t="s">
        <v>1387</v>
      </c>
      <c r="D973" s="3" t="str">
        <f>HYPERLINK("https://12go.asia/en/travel/shiyan/harbin-west", "12Go Link")</f>
        <v>12Go Link</v>
      </c>
      <c r="E973" s="2" t="s">
        <v>226</v>
      </c>
    </row>
    <row r="974">
      <c r="A974" s="2" t="s">
        <v>413</v>
      </c>
      <c r="B974" s="2" t="s">
        <v>926</v>
      </c>
      <c r="C974" s="2" t="s">
        <v>1388</v>
      </c>
      <c r="D974" s="3" t="str">
        <f>HYPERLINK("https://12go.asia/en/travel/shiyan-east/huanggang-west", "12Go Link")</f>
        <v>12Go Link</v>
      </c>
      <c r="E974" s="2" t="s">
        <v>226</v>
      </c>
    </row>
    <row r="975">
      <c r="A975" s="2" t="s">
        <v>413</v>
      </c>
      <c r="B975" s="2" t="s">
        <v>926</v>
      </c>
      <c r="C975" s="2" t="s">
        <v>1389</v>
      </c>
      <c r="D975" s="3" t="str">
        <f>HYPERLINK("https://12go.asia/en/travel/shiyan/huanggang", "12Go Link")</f>
        <v>12Go Link</v>
      </c>
      <c r="E975" s="2" t="s">
        <v>226</v>
      </c>
    </row>
    <row r="976">
      <c r="A976" s="2" t="s">
        <v>413</v>
      </c>
      <c r="B976" s="2" t="s">
        <v>1037</v>
      </c>
      <c r="C976" s="2" t="s">
        <v>1390</v>
      </c>
      <c r="D976" s="3" t="str">
        <f>HYPERLINK("https://12go.asia/en/travel/shiyan-east/humen", "12Go Link")</f>
        <v>12Go Link</v>
      </c>
      <c r="E976" s="2" t="s">
        <v>226</v>
      </c>
    </row>
    <row r="977">
      <c r="A977" s="2" t="s">
        <v>413</v>
      </c>
      <c r="B977" s="2" t="s">
        <v>1037</v>
      </c>
      <c r="C977" s="2" t="s">
        <v>1391</v>
      </c>
      <c r="D977" s="3" t="str">
        <f>HYPERLINK("https://12go.asia/en/travel/shiyan/humen-town", "12Go Link")</f>
        <v>12Go Link</v>
      </c>
      <c r="E977" s="2" t="s">
        <v>226</v>
      </c>
    </row>
    <row r="978">
      <c r="A978" s="2" t="s">
        <v>413</v>
      </c>
      <c r="B978" s="2" t="s">
        <v>640</v>
      </c>
      <c r="C978" s="2" t="s">
        <v>1392</v>
      </c>
      <c r="D978" s="3" t="str">
        <f>HYPERLINK("https://12go.asia/en/travel/shiyan/jiangbei", "12Go Link")</f>
        <v>12Go Link</v>
      </c>
      <c r="E978" s="2" t="s">
        <v>226</v>
      </c>
    </row>
    <row r="979">
      <c r="A979" s="2" t="s">
        <v>573</v>
      </c>
      <c r="B979" s="2" t="s">
        <v>1393</v>
      </c>
      <c r="C979" s="2" t="s">
        <v>1394</v>
      </c>
      <c r="D979" s="3" t="str">
        <f>HYPERLINK("https://12go.asia/en/travel/shuangliu/dayi", "12Go Link")</f>
        <v>12Go Link</v>
      </c>
      <c r="E979" s="2" t="s">
        <v>226</v>
      </c>
    </row>
    <row r="980">
      <c r="A980" s="2" t="s">
        <v>573</v>
      </c>
      <c r="B980" s="2" t="s">
        <v>629</v>
      </c>
      <c r="C980" s="2" t="s">
        <v>1395</v>
      </c>
      <c r="D980" s="3" t="str">
        <f>HYPERLINK("https://12go.asia/en/travel/shuangliu/dongsheng", "12Go Link")</f>
        <v>12Go Link</v>
      </c>
      <c r="E980" s="2" t="s">
        <v>226</v>
      </c>
    </row>
    <row r="981">
      <c r="A981" s="2" t="s">
        <v>573</v>
      </c>
      <c r="B981" s="2" t="s">
        <v>964</v>
      </c>
      <c r="C981" s="2" t="s">
        <v>1396</v>
      </c>
      <c r="D981" s="3" t="str">
        <f>HYPERLINK("https://12go.asia/en/travel/shuangliu/huashan", "12Go Link")</f>
        <v>12Go Link</v>
      </c>
      <c r="E981" s="2" t="s">
        <v>226</v>
      </c>
    </row>
    <row r="982">
      <c r="A982" s="2" t="s">
        <v>573</v>
      </c>
      <c r="B982" s="2" t="s">
        <v>1397</v>
      </c>
      <c r="C982" s="2" t="s">
        <v>1398</v>
      </c>
      <c r="D982" s="3" t="str">
        <f>HYPERLINK("https://12go.asia/en/travel/shuangliu/luliang", "12Go Link")</f>
        <v>12Go Link</v>
      </c>
      <c r="E982" s="2" t="s">
        <v>226</v>
      </c>
    </row>
    <row r="983">
      <c r="A983" s="2" t="s">
        <v>573</v>
      </c>
      <c r="B983" s="2" t="s">
        <v>1399</v>
      </c>
      <c r="C983" s="2" t="s">
        <v>1400</v>
      </c>
      <c r="D983" s="3" t="str">
        <f>HYPERLINK("https://12go.asia/en/travel/shuangliu/songpan", "12Go Link")</f>
        <v>12Go Link</v>
      </c>
      <c r="E983" s="2" t="s">
        <v>226</v>
      </c>
    </row>
    <row r="984">
      <c r="A984" s="2" t="s">
        <v>573</v>
      </c>
      <c r="B984" s="2" t="s">
        <v>1401</v>
      </c>
      <c r="C984" s="2" t="s">
        <v>1402</v>
      </c>
      <c r="D984" s="3" t="str">
        <f>HYPERLINK("https://12go.asia/en/travel/shuangliu/wanzhi", "12Go Link")</f>
        <v>12Go Link</v>
      </c>
      <c r="E984" s="2" t="s">
        <v>226</v>
      </c>
    </row>
    <row r="985">
      <c r="A985" s="2" t="s">
        <v>573</v>
      </c>
      <c r="B985" s="2" t="s">
        <v>691</v>
      </c>
      <c r="C985" s="2" t="s">
        <v>1403</v>
      </c>
      <c r="D985" s="3" t="str">
        <f>HYPERLINK("https://12go.asia/en/travel/shuangliu/wulong", "12Go Link")</f>
        <v>12Go Link</v>
      </c>
      <c r="E985" s="2" t="s">
        <v>226</v>
      </c>
    </row>
    <row r="986">
      <c r="A986" s="2" t="s">
        <v>1404</v>
      </c>
      <c r="B986" s="2" t="s">
        <v>590</v>
      </c>
      <c r="C986" s="2" t="s">
        <v>1405</v>
      </c>
      <c r="D986" s="3" t="str">
        <f>HYPERLINK("https://12go.asia/en/travel/beijiao-west/guangzhou-changlong", "12Go Link")</f>
        <v>12Go Link</v>
      </c>
      <c r="E986" s="2" t="s">
        <v>226</v>
      </c>
    </row>
    <row r="987">
      <c r="A987" s="2" t="s">
        <v>1404</v>
      </c>
      <c r="B987" s="2" t="s">
        <v>590</v>
      </c>
      <c r="C987" s="2" t="s">
        <v>1406</v>
      </c>
      <c r="D987" s="3" t="str">
        <f>HYPERLINK("https://12go.asia/en/travel/beijiao-west/panyu", "12Go Link")</f>
        <v>12Go Link</v>
      </c>
      <c r="E987" s="2" t="s">
        <v>226</v>
      </c>
    </row>
    <row r="988">
      <c r="A988" s="2" t="s">
        <v>1404</v>
      </c>
      <c r="B988" s="2" t="s">
        <v>590</v>
      </c>
      <c r="C988" s="2" t="s">
        <v>1407</v>
      </c>
      <c r="D988" s="3" t="str">
        <f>HYPERLINK("https://12go.asia/en/travel/beijiao-west/shishan-north", "12Go Link")</f>
        <v>12Go Link</v>
      </c>
      <c r="E988" s="2" t="s">
        <v>226</v>
      </c>
    </row>
    <row r="989">
      <c r="A989" s="2" t="s">
        <v>1404</v>
      </c>
      <c r="B989" s="2" t="s">
        <v>590</v>
      </c>
      <c r="C989" s="2" t="s">
        <v>1408</v>
      </c>
      <c r="D989" s="3" t="str">
        <f>HYPERLINK("https://12go.asia/en/travel/chencun/guangzhou-changlong", "12Go Link")</f>
        <v>12Go Link</v>
      </c>
      <c r="E989" s="2" t="s">
        <v>226</v>
      </c>
    </row>
    <row r="990">
      <c r="A990" s="2" t="s">
        <v>1404</v>
      </c>
      <c r="B990" s="2" t="s">
        <v>590</v>
      </c>
      <c r="C990" s="2" t="s">
        <v>1409</v>
      </c>
      <c r="D990" s="3" t="str">
        <f>HYPERLINK("https://12go.asia/en/travel/chencun/panyu", "12Go Link")</f>
        <v>12Go Link</v>
      </c>
      <c r="E990" s="2" t="s">
        <v>226</v>
      </c>
    </row>
    <row r="991">
      <c r="A991" s="2" t="s">
        <v>1404</v>
      </c>
      <c r="B991" s="2" t="s">
        <v>590</v>
      </c>
      <c r="C991" s="2" t="s">
        <v>1410</v>
      </c>
      <c r="D991" s="3" t="str">
        <f>HYPERLINK("https://12go.asia/en/travel/chencun/shishan-north", "12Go Link")</f>
        <v>12Go Link</v>
      </c>
      <c r="E991" s="2" t="s">
        <v>226</v>
      </c>
    </row>
    <row r="992">
      <c r="A992" s="2" t="s">
        <v>1404</v>
      </c>
      <c r="B992" s="2" t="s">
        <v>590</v>
      </c>
      <c r="C992" s="2" t="s">
        <v>1411</v>
      </c>
      <c r="D992" s="3" t="str">
        <f>HYPERLINK("https://12go.asia/en/travel/shunde/panyu", "12Go Link")</f>
        <v>12Go Link</v>
      </c>
      <c r="E992" s="2" t="s">
        <v>226</v>
      </c>
    </row>
    <row r="993">
      <c r="A993" s="2" t="s">
        <v>709</v>
      </c>
      <c r="B993" s="2" t="s">
        <v>1374</v>
      </c>
      <c r="C993" s="2" t="s">
        <v>1412</v>
      </c>
      <c r="D993" s="3" t="str">
        <f>HYPERLINK("https://12go.asia/en/travel/sichuan/bengbu", "12Go Link")</f>
        <v>12Go Link</v>
      </c>
      <c r="E993" s="2" t="s">
        <v>226</v>
      </c>
    </row>
    <row r="994">
      <c r="A994" s="2" t="s">
        <v>709</v>
      </c>
      <c r="B994" s="2" t="s">
        <v>1145</v>
      </c>
      <c r="C994" s="2" t="s">
        <v>1413</v>
      </c>
      <c r="D994" s="3" t="str">
        <f>HYPERLINK("https://12go.asia/en/travel/sichuan/chenzhou", "12Go Link")</f>
        <v>12Go Link</v>
      </c>
      <c r="E994" s="2" t="s">
        <v>226</v>
      </c>
    </row>
    <row r="995">
      <c r="A995" s="2" t="s">
        <v>709</v>
      </c>
      <c r="B995" s="2" t="s">
        <v>1393</v>
      </c>
      <c r="C995" s="2" t="s">
        <v>1414</v>
      </c>
      <c r="D995" s="3" t="str">
        <f>HYPERLINK("https://12go.asia/en/travel/sichuan/dayi", "12Go Link")</f>
        <v>12Go Link</v>
      </c>
      <c r="E995" s="2" t="s">
        <v>226</v>
      </c>
    </row>
    <row r="996">
      <c r="A996" s="2" t="s">
        <v>709</v>
      </c>
      <c r="B996" s="2" t="s">
        <v>576</v>
      </c>
      <c r="C996" s="2" t="s">
        <v>1415</v>
      </c>
      <c r="D996" s="3" t="str">
        <f>HYPERLINK("https://12go.asia/en/travel/sichuan/deyang", "12Go Link")</f>
        <v>12Go Link</v>
      </c>
      <c r="E996" s="2" t="s">
        <v>226</v>
      </c>
    </row>
    <row r="997">
      <c r="A997" s="2" t="s">
        <v>709</v>
      </c>
      <c r="B997" s="2" t="s">
        <v>1416</v>
      </c>
      <c r="C997" s="2" t="s">
        <v>1417</v>
      </c>
      <c r="D997" s="3" t="str">
        <f>HYPERLINK("https://12go.asia/en/travel/sichuan/guanghan", "12Go Link")</f>
        <v>12Go Link</v>
      </c>
      <c r="E997" s="2" t="s">
        <v>226</v>
      </c>
    </row>
    <row r="998">
      <c r="A998" s="2" t="s">
        <v>709</v>
      </c>
      <c r="B998" s="2" t="s">
        <v>821</v>
      </c>
      <c r="C998" s="2" t="s">
        <v>1418</v>
      </c>
      <c r="D998" s="3" t="str">
        <f>HYPERLINK("https://12go.asia/en/travel/sichuan/hezhou", "12Go Link")</f>
        <v>12Go Link</v>
      </c>
      <c r="E998" s="2" t="s">
        <v>226</v>
      </c>
    </row>
    <row r="999">
      <c r="A999" s="2" t="s">
        <v>709</v>
      </c>
      <c r="B999" s="2" t="s">
        <v>557</v>
      </c>
      <c r="C999" s="2" t="s">
        <v>1419</v>
      </c>
      <c r="D999" s="3" t="str">
        <f>HYPERLINK("https://12go.asia/en/travel/sichuan/hohhot", "12Go Link")</f>
        <v>12Go Link</v>
      </c>
      <c r="E999" s="2" t="s">
        <v>226</v>
      </c>
    </row>
    <row r="1000">
      <c r="A1000" s="2" t="s">
        <v>709</v>
      </c>
      <c r="B1000" s="2" t="s">
        <v>1084</v>
      </c>
      <c r="C1000" s="2" t="s">
        <v>1420</v>
      </c>
      <c r="D1000" s="3" t="str">
        <f>HYPERLINK("https://12go.asia/en/travel/sichuan/jiaxing", "12Go Link")</f>
        <v>12Go Link</v>
      </c>
      <c r="E1000" s="2" t="s">
        <v>226</v>
      </c>
    </row>
    <row r="1001">
      <c r="A1001" s="2" t="s">
        <v>709</v>
      </c>
      <c r="B1001" s="2" t="s">
        <v>1421</v>
      </c>
      <c r="C1001" s="2" t="s">
        <v>1422</v>
      </c>
      <c r="D1001" s="3" t="str">
        <f>HYPERLINK("https://12go.asia/en/travel/sichuan/puer-city", "12Go Link")</f>
        <v>12Go Link</v>
      </c>
      <c r="E1001" s="2" t="s">
        <v>226</v>
      </c>
    </row>
    <row r="1002">
      <c r="A1002" s="2" t="s">
        <v>709</v>
      </c>
      <c r="B1002" s="2" t="s">
        <v>1423</v>
      </c>
      <c r="C1002" s="2" t="s">
        <v>1424</v>
      </c>
      <c r="D1002" s="3" t="str">
        <f>HYPERLINK("https://12go.asia/en/travel/sichuan/qingbaijiang", "12Go Link")</f>
        <v>12Go Link</v>
      </c>
      <c r="E1002" s="2" t="s">
        <v>226</v>
      </c>
    </row>
    <row r="1003">
      <c r="A1003" s="2" t="s">
        <v>709</v>
      </c>
      <c r="B1003" s="2" t="s">
        <v>676</v>
      </c>
      <c r="C1003" s="2" t="s">
        <v>1425</v>
      </c>
      <c r="D1003" s="3" t="str">
        <f>HYPERLINK("https://12go.asia/en/travel/sichuan/taian", "12Go Link")</f>
        <v>12Go Link</v>
      </c>
      <c r="E1003" s="2" t="s">
        <v>226</v>
      </c>
    </row>
    <row r="1004">
      <c r="A1004" s="2" t="s">
        <v>709</v>
      </c>
      <c r="B1004" s="2" t="s">
        <v>437</v>
      </c>
      <c r="C1004" s="2" t="s">
        <v>1426</v>
      </c>
      <c r="D1004" s="3" t="str">
        <f>HYPERLINK("https://12go.asia/en/travel/sichuan/zhangjiakou", "12Go Link")</f>
        <v>12Go Link</v>
      </c>
      <c r="E1004" s="2" t="s">
        <v>226</v>
      </c>
    </row>
    <row r="1005">
      <c r="A1005" s="2" t="s">
        <v>495</v>
      </c>
      <c r="B1005" s="2" t="s">
        <v>478</v>
      </c>
      <c r="C1005" s="2" t="s">
        <v>1427</v>
      </c>
      <c r="D1005" s="3" t="str">
        <f>HYPERLINK("https://12go.asia/en/travel/sihui/henan", "12Go Link")</f>
        <v>12Go Link</v>
      </c>
      <c r="E1005" s="2" t="s">
        <v>226</v>
      </c>
    </row>
    <row r="1006">
      <c r="A1006" s="2" t="s">
        <v>495</v>
      </c>
      <c r="B1006" s="2" t="s">
        <v>458</v>
      </c>
      <c r="C1006" s="2" t="s">
        <v>1428</v>
      </c>
      <c r="D1006" s="3" t="str">
        <f>HYPERLINK("https://12go.asia/en/travel/jining-north/kaifeng-north", "12Go Link")</f>
        <v>12Go Link</v>
      </c>
      <c r="E1006" s="2" t="s">
        <v>226</v>
      </c>
    </row>
    <row r="1007">
      <c r="A1007" s="2" t="s">
        <v>495</v>
      </c>
      <c r="B1007" s="2" t="s">
        <v>458</v>
      </c>
      <c r="C1007" s="2" t="s">
        <v>1429</v>
      </c>
      <c r="D1007" s="3" t="str">
        <f>HYPERLINK("https://12go.asia/en/travel/sihui/kaifeng", "12Go Link")</f>
        <v>12Go Link</v>
      </c>
      <c r="E1007" s="2" t="s">
        <v>226</v>
      </c>
    </row>
    <row r="1008">
      <c r="A1008" s="2" t="s">
        <v>495</v>
      </c>
      <c r="B1008" s="2" t="s">
        <v>728</v>
      </c>
      <c r="C1008" s="2" t="s">
        <v>1430</v>
      </c>
      <c r="D1008" s="3" t="str">
        <f>HYPERLINK("https://12go.asia/en/travel/sihui/shaanxi", "12Go Link")</f>
        <v>12Go Link</v>
      </c>
      <c r="E1008" s="2" t="s">
        <v>226</v>
      </c>
    </row>
    <row r="1009">
      <c r="A1009" s="2" t="s">
        <v>495</v>
      </c>
      <c r="B1009" s="2" t="s">
        <v>497</v>
      </c>
      <c r="C1009" s="2" t="s">
        <v>1431</v>
      </c>
      <c r="D1009" s="3" t="str">
        <f>HYPERLINK("https://12go.asia/en/travel/sihui/songjiang-shanghai", "12Go Link")</f>
        <v>12Go Link</v>
      </c>
      <c r="E1009" s="2" t="s">
        <v>226</v>
      </c>
    </row>
    <row r="1010">
      <c r="A1010" s="2" t="s">
        <v>495</v>
      </c>
      <c r="B1010" s="2" t="s">
        <v>584</v>
      </c>
      <c r="C1010" s="2" t="s">
        <v>1432</v>
      </c>
      <c r="D1010" s="3" t="str">
        <f>HYPERLINK("https://12go.asia/en/travel/sihui/yiwu", "12Go Link")</f>
        <v>12Go Link</v>
      </c>
      <c r="E1010" s="2" t="s">
        <v>226</v>
      </c>
    </row>
    <row r="1011">
      <c r="A1011" s="2" t="s">
        <v>495</v>
      </c>
      <c r="B1011" s="2" t="s">
        <v>470</v>
      </c>
      <c r="C1011" s="2" t="s">
        <v>1433</v>
      </c>
      <c r="D1011" s="3" t="str">
        <f>HYPERLINK("https://12go.asia/en/travel/jining-north/zhengzhou-east", "12Go Link")</f>
        <v>12Go Link</v>
      </c>
      <c r="E1011" s="2" t="s">
        <v>226</v>
      </c>
    </row>
    <row r="1012">
      <c r="A1012" s="2" t="s">
        <v>495</v>
      </c>
      <c r="B1012" s="2" t="s">
        <v>470</v>
      </c>
      <c r="C1012" s="2" t="s">
        <v>1434</v>
      </c>
      <c r="D1012" s="3" t="str">
        <f>HYPERLINK("https://12go.asia/en/travel/sihui/zhengzhou", "12Go Link")</f>
        <v>12Go Link</v>
      </c>
      <c r="E1012" s="2" t="s">
        <v>226</v>
      </c>
    </row>
    <row r="1013">
      <c r="A1013" s="2" t="s">
        <v>497</v>
      </c>
      <c r="B1013" s="2" t="s">
        <v>395</v>
      </c>
      <c r="C1013" s="2" t="s">
        <v>1435</v>
      </c>
      <c r="D1013" s="3" t="str">
        <f>HYPERLINK("https://12go.asia/en/travel/shanghai-songjiang/anji", "12Go Link")</f>
        <v>12Go Link</v>
      </c>
      <c r="E1013" s="2" t="s">
        <v>226</v>
      </c>
    </row>
    <row r="1014">
      <c r="A1014" s="2" t="s">
        <v>497</v>
      </c>
      <c r="B1014" s="2" t="s">
        <v>395</v>
      </c>
      <c r="C1014" s="2" t="s">
        <v>1436</v>
      </c>
      <c r="D1014" s="3" t="str">
        <f>HYPERLINK("https://12go.asia/en/travel/songjiang-shanghai/anji", "12Go Link")</f>
        <v>12Go Link</v>
      </c>
      <c r="E1014" s="2" t="s">
        <v>226</v>
      </c>
    </row>
    <row r="1015">
      <c r="A1015" s="2" t="s">
        <v>497</v>
      </c>
      <c r="B1015" s="2" t="s">
        <v>399</v>
      </c>
      <c r="C1015" s="2" t="s">
        <v>1437</v>
      </c>
      <c r="D1015" s="3" t="str">
        <f>HYPERLINK("https://12go.asia/en/travel/shanghai-songjiang/ankang", "12Go Link")</f>
        <v>12Go Link</v>
      </c>
      <c r="E1015" s="2" t="s">
        <v>226</v>
      </c>
    </row>
    <row r="1016">
      <c r="A1016" s="2" t="s">
        <v>497</v>
      </c>
      <c r="B1016" s="2" t="s">
        <v>399</v>
      </c>
      <c r="C1016" s="2" t="s">
        <v>1438</v>
      </c>
      <c r="D1016" s="3" t="str">
        <f>HYPERLINK("https://12go.asia/en/travel/songjiang-shanghai/ankang", "12Go Link")</f>
        <v>12Go Link</v>
      </c>
      <c r="E1016" s="2" t="s">
        <v>226</v>
      </c>
    </row>
    <row r="1017">
      <c r="A1017" s="2" t="s">
        <v>497</v>
      </c>
      <c r="B1017" s="2" t="s">
        <v>416</v>
      </c>
      <c r="C1017" s="2" t="s">
        <v>1439</v>
      </c>
      <c r="D1017" s="3" t="str">
        <f>HYPERLINK("https://12go.asia/en/travel/shanghai-songjiang/baotou", "12Go Link")</f>
        <v>12Go Link</v>
      </c>
      <c r="E1017" s="2" t="s">
        <v>226</v>
      </c>
    </row>
    <row r="1018">
      <c r="A1018" s="2" t="s">
        <v>497</v>
      </c>
      <c r="B1018" s="2" t="s">
        <v>416</v>
      </c>
      <c r="C1018" s="2" t="s">
        <v>1440</v>
      </c>
      <c r="D1018" s="3" t="str">
        <f>HYPERLINK("https://12go.asia/en/travel/shanghai-songjiang/baotou-east", "12Go Link")</f>
        <v>12Go Link</v>
      </c>
      <c r="E1018" s="2" t="s">
        <v>226</v>
      </c>
    </row>
    <row r="1019">
      <c r="A1019" s="2" t="s">
        <v>497</v>
      </c>
      <c r="B1019" s="2" t="s">
        <v>416</v>
      </c>
      <c r="C1019" s="2" t="s">
        <v>1441</v>
      </c>
      <c r="D1019" s="3" t="str">
        <f>HYPERLINK("https://12go.asia/en/travel/songjiang-shanghai/baotou", "12Go Link")</f>
        <v>12Go Link</v>
      </c>
      <c r="E1019" s="2" t="s">
        <v>226</v>
      </c>
    </row>
    <row r="1020">
      <c r="A1020" s="2" t="s">
        <v>497</v>
      </c>
      <c r="B1020" s="2" t="s">
        <v>539</v>
      </c>
      <c r="C1020" s="2" t="s">
        <v>1442</v>
      </c>
      <c r="D1020" s="3" t="str">
        <f>HYPERLINK("https://12go.asia/en/travel/songjiang-shanghai/changzhi", "12Go Link")</f>
        <v>12Go Link</v>
      </c>
      <c r="E1020" s="2" t="s">
        <v>226</v>
      </c>
    </row>
    <row r="1021">
      <c r="A1021" s="2" t="s">
        <v>497</v>
      </c>
      <c r="B1021" s="2" t="s">
        <v>1145</v>
      </c>
      <c r="C1021" s="2" t="s">
        <v>1443</v>
      </c>
      <c r="D1021" s="3" t="str">
        <f>HYPERLINK("https://12go.asia/en/travel/shanghai-songjiang/chenzhou", "12Go Link")</f>
        <v>12Go Link</v>
      </c>
      <c r="E1021" s="2" t="s">
        <v>226</v>
      </c>
    </row>
    <row r="1022">
      <c r="A1022" s="2" t="s">
        <v>497</v>
      </c>
      <c r="B1022" s="2" t="s">
        <v>1145</v>
      </c>
      <c r="C1022" s="2" t="s">
        <v>1444</v>
      </c>
      <c r="D1022" s="3" t="str">
        <f>HYPERLINK("https://12go.asia/en/travel/songjiang-shanghai/chenzhou", "12Go Link")</f>
        <v>12Go Link</v>
      </c>
      <c r="E1022" s="2" t="s">
        <v>226</v>
      </c>
    </row>
    <row r="1023">
      <c r="A1023" s="2" t="s">
        <v>497</v>
      </c>
      <c r="B1023" s="2" t="s">
        <v>528</v>
      </c>
      <c r="C1023" s="2" t="s">
        <v>1445</v>
      </c>
      <c r="D1023" s="3" t="str">
        <f>HYPERLINK("https://12go.asia/en/travel/shanghai-songjiang/datong", "12Go Link")</f>
        <v>12Go Link</v>
      </c>
      <c r="E1023" s="2" t="s">
        <v>226</v>
      </c>
    </row>
    <row r="1024">
      <c r="A1024" s="2" t="s">
        <v>497</v>
      </c>
      <c r="B1024" s="2" t="s">
        <v>528</v>
      </c>
      <c r="C1024" s="2" t="s">
        <v>1446</v>
      </c>
      <c r="D1024" s="3" t="str">
        <f>HYPERLINK("https://12go.asia/en/travel/songjiang-shanghai/datong", "12Go Link")</f>
        <v>12Go Link</v>
      </c>
      <c r="E1024" s="2" t="s">
        <v>226</v>
      </c>
    </row>
    <row r="1025">
      <c r="A1025" s="2" t="s">
        <v>497</v>
      </c>
      <c r="B1025" s="2" t="s">
        <v>662</v>
      </c>
      <c r="C1025" s="2" t="s">
        <v>1447</v>
      </c>
      <c r="D1025" s="3" t="str">
        <f>HYPERLINK("https://12go.asia/en/travel/shanghai-songjiang/fenghuanggucheng", "12Go Link")</f>
        <v>12Go Link</v>
      </c>
      <c r="E1025" s="2" t="s">
        <v>226</v>
      </c>
    </row>
    <row r="1026">
      <c r="A1026" s="2" t="s">
        <v>497</v>
      </c>
      <c r="B1026" s="2" t="s">
        <v>662</v>
      </c>
      <c r="C1026" s="2" t="s">
        <v>1448</v>
      </c>
      <c r="D1026" s="3" t="str">
        <f>HYPERLINK("https://12go.asia/en/travel/songjiang-shanghai/fenghuang", "12Go Link")</f>
        <v>12Go Link</v>
      </c>
      <c r="E1026" s="2" t="s">
        <v>226</v>
      </c>
    </row>
    <row r="1027">
      <c r="A1027" s="2" t="s">
        <v>497</v>
      </c>
      <c r="B1027" s="2" t="s">
        <v>1449</v>
      </c>
      <c r="C1027" s="2" t="s">
        <v>1450</v>
      </c>
      <c r="D1027" s="3" t="str">
        <f>HYPERLINK("https://12go.asia/en/travel/shanghai-songjiang/ganzhou", "12Go Link")</f>
        <v>12Go Link</v>
      </c>
      <c r="E1027" s="2" t="s">
        <v>226</v>
      </c>
    </row>
    <row r="1028">
      <c r="A1028" s="2" t="s">
        <v>497</v>
      </c>
      <c r="B1028" s="2" t="s">
        <v>1449</v>
      </c>
      <c r="C1028" s="2" t="s">
        <v>1451</v>
      </c>
      <c r="D1028" s="3" t="str">
        <f>HYPERLINK("https://12go.asia/en/travel/songjiang-shanghai/ganzhou", "12Go Link")</f>
        <v>12Go Link</v>
      </c>
      <c r="E1028" s="2" t="s">
        <v>226</v>
      </c>
    </row>
    <row r="1029">
      <c r="A1029" s="2" t="s">
        <v>497</v>
      </c>
      <c r="B1029" s="2" t="s">
        <v>607</v>
      </c>
      <c r="C1029" s="2" t="s">
        <v>1452</v>
      </c>
      <c r="D1029" s="3" t="str">
        <f>HYPERLINK("https://12go.asia/en/travel/shanghai-songjiang/guangyuan", "12Go Link")</f>
        <v>12Go Link</v>
      </c>
      <c r="E1029" s="2" t="s">
        <v>226</v>
      </c>
    </row>
    <row r="1030">
      <c r="A1030" s="2" t="s">
        <v>497</v>
      </c>
      <c r="B1030" s="2" t="s">
        <v>607</v>
      </c>
      <c r="C1030" s="2" t="s">
        <v>1453</v>
      </c>
      <c r="D1030" s="3" t="str">
        <f>HYPERLINK("https://12go.asia/en/travel/songjiang-shanghai/guangyuan", "12Go Link")</f>
        <v>12Go Link</v>
      </c>
      <c r="E1030" s="2" t="s">
        <v>226</v>
      </c>
    </row>
    <row r="1031">
      <c r="A1031" s="2" t="s">
        <v>497</v>
      </c>
      <c r="B1031" s="2" t="s">
        <v>634</v>
      </c>
      <c r="C1031" s="2" t="s">
        <v>1454</v>
      </c>
      <c r="D1031" s="3" t="str">
        <f>HYPERLINK("https://12go.asia/en/travel/shanghai-songjiang/haikou", "12Go Link")</f>
        <v>12Go Link</v>
      </c>
      <c r="E1031" s="2" t="s">
        <v>226</v>
      </c>
    </row>
    <row r="1032">
      <c r="A1032" s="2" t="s">
        <v>497</v>
      </c>
      <c r="B1032" s="2" t="s">
        <v>634</v>
      </c>
      <c r="C1032" s="2" t="s">
        <v>1455</v>
      </c>
      <c r="D1032" s="3" t="str">
        <f>HYPERLINK("https://12go.asia/en/travel/songjiang-shanghai/haikou", "12Go Link")</f>
        <v>12Go Link</v>
      </c>
      <c r="E1032" s="2" t="s">
        <v>226</v>
      </c>
    </row>
    <row r="1033">
      <c r="A1033" s="2" t="s">
        <v>497</v>
      </c>
      <c r="B1033" s="2" t="s">
        <v>755</v>
      </c>
      <c r="C1033" s="2" t="s">
        <v>1456</v>
      </c>
      <c r="D1033" s="3" t="str">
        <f>HYPERLINK("https://12go.asia/en/travel/shanghai-songjiang/hanzhong", "12Go Link")</f>
        <v>12Go Link</v>
      </c>
      <c r="E1033" s="2" t="s">
        <v>226</v>
      </c>
    </row>
    <row r="1034">
      <c r="A1034" s="2" t="s">
        <v>497</v>
      </c>
      <c r="B1034" s="2" t="s">
        <v>755</v>
      </c>
      <c r="C1034" s="2" t="s">
        <v>1457</v>
      </c>
      <c r="D1034" s="3" t="str">
        <f>HYPERLINK("https://12go.asia/en/travel/songjiang-shanghai/hanzhong", "12Go Link")</f>
        <v>12Go Link</v>
      </c>
      <c r="E1034" s="2" t="s">
        <v>226</v>
      </c>
    </row>
    <row r="1035">
      <c r="A1035" s="2" t="s">
        <v>497</v>
      </c>
      <c r="B1035" s="2" t="s">
        <v>480</v>
      </c>
      <c r="C1035" s="2" t="s">
        <v>1458</v>
      </c>
      <c r="D1035" s="3" t="str">
        <f>HYPERLINK("https://12go.asia/en/travel/shanghai-songjiang/hengshui", "12Go Link")</f>
        <v>12Go Link</v>
      </c>
      <c r="E1035" s="2" t="s">
        <v>226</v>
      </c>
    </row>
    <row r="1036">
      <c r="A1036" s="2" t="s">
        <v>497</v>
      </c>
      <c r="B1036" s="2" t="s">
        <v>480</v>
      </c>
      <c r="C1036" s="2" t="s">
        <v>1459</v>
      </c>
      <c r="D1036" s="3" t="str">
        <f>HYPERLINK("https://12go.asia/en/travel/songjiang-shanghai/hengshui", "12Go Link")</f>
        <v>12Go Link</v>
      </c>
      <c r="E1036" s="2" t="s">
        <v>226</v>
      </c>
    </row>
    <row r="1037">
      <c r="A1037" s="2" t="s">
        <v>497</v>
      </c>
      <c r="B1037" s="2" t="s">
        <v>817</v>
      </c>
      <c r="C1037" s="2" t="s">
        <v>1460</v>
      </c>
      <c r="D1037" s="3" t="str">
        <f>HYPERLINK("https://12go.asia/en/travel/shanghai-songjiang/heze", "12Go Link")</f>
        <v>12Go Link</v>
      </c>
      <c r="E1037" s="2" t="s">
        <v>226</v>
      </c>
    </row>
    <row r="1038">
      <c r="A1038" s="2" t="s">
        <v>497</v>
      </c>
      <c r="B1038" s="2" t="s">
        <v>817</v>
      </c>
      <c r="C1038" s="2" t="s">
        <v>1461</v>
      </c>
      <c r="D1038" s="3" t="str">
        <f>HYPERLINK("https://12go.asia/en/travel/songjiang-shanghai/heze", "12Go Link")</f>
        <v>12Go Link</v>
      </c>
      <c r="E1038" s="2" t="s">
        <v>226</v>
      </c>
    </row>
    <row r="1039">
      <c r="A1039" s="2" t="s">
        <v>497</v>
      </c>
      <c r="B1039" s="2" t="s">
        <v>557</v>
      </c>
      <c r="C1039" s="2" t="s">
        <v>1462</v>
      </c>
      <c r="D1039" s="3" t="str">
        <f>HYPERLINK("https://12go.asia/en/travel/shanghai-songjiang/hohhot", "12Go Link")</f>
        <v>12Go Link</v>
      </c>
      <c r="E1039" s="2" t="s">
        <v>226</v>
      </c>
    </row>
    <row r="1040">
      <c r="A1040" s="2" t="s">
        <v>497</v>
      </c>
      <c r="B1040" s="2" t="s">
        <v>557</v>
      </c>
      <c r="C1040" s="2" t="s">
        <v>1463</v>
      </c>
      <c r="D1040" s="3" t="str">
        <f>HYPERLINK("https://12go.asia/en/travel/shanghai-songjiang/hohhot-east", "12Go Link")</f>
        <v>12Go Link</v>
      </c>
      <c r="E1040" s="2" t="s">
        <v>226</v>
      </c>
    </row>
    <row r="1041">
      <c r="A1041" s="2" t="s">
        <v>497</v>
      </c>
      <c r="B1041" s="2" t="s">
        <v>557</v>
      </c>
      <c r="C1041" s="2" t="s">
        <v>1464</v>
      </c>
      <c r="D1041" s="3" t="str">
        <f>HYPERLINK("https://12go.asia/en/travel/songjiang-shanghai/hohhot", "12Go Link")</f>
        <v>12Go Link</v>
      </c>
      <c r="E1041" s="2" t="s">
        <v>226</v>
      </c>
    </row>
    <row r="1042">
      <c r="A1042" s="2" t="s">
        <v>497</v>
      </c>
      <c r="B1042" s="2" t="s">
        <v>533</v>
      </c>
      <c r="C1042" s="2" t="s">
        <v>1465</v>
      </c>
      <c r="D1042" s="3" t="str">
        <f>HYPERLINK("https://12go.asia/en/travel/songjiang-shanghai/huade", "12Go Link")</f>
        <v>12Go Link</v>
      </c>
      <c r="E1042" s="2" t="s">
        <v>226</v>
      </c>
    </row>
    <row r="1043">
      <c r="A1043" s="2" t="s">
        <v>497</v>
      </c>
      <c r="B1043" s="2" t="s">
        <v>926</v>
      </c>
      <c r="C1043" s="2" t="s">
        <v>1466</v>
      </c>
      <c r="D1043" s="3" t="str">
        <f>HYPERLINK("https://12go.asia/en/travel/shanghai-songjiang/huanggang-west", "12Go Link")</f>
        <v>12Go Link</v>
      </c>
      <c r="E1043" s="2" t="s">
        <v>226</v>
      </c>
    </row>
    <row r="1044">
      <c r="A1044" s="2" t="s">
        <v>497</v>
      </c>
      <c r="B1044" s="2" t="s">
        <v>926</v>
      </c>
      <c r="C1044" s="2" t="s">
        <v>1467</v>
      </c>
      <c r="D1044" s="3" t="str">
        <f>HYPERLINK("https://12go.asia/en/travel/songjiang-shanghai/huanggang", "12Go Link")</f>
        <v>12Go Link</v>
      </c>
      <c r="E1044" s="2" t="s">
        <v>226</v>
      </c>
    </row>
    <row r="1045">
      <c r="A1045" s="2" t="s">
        <v>497</v>
      </c>
      <c r="B1045" s="2" t="s">
        <v>638</v>
      </c>
      <c r="C1045" s="2" t="s">
        <v>1468</v>
      </c>
      <c r="D1045" s="3" t="str">
        <f>HYPERLINK("https://12go.asia/en/travel/shanghai-songjiang/huizhou-north", "12Go Link")</f>
        <v>12Go Link</v>
      </c>
      <c r="E1045" s="2" t="s">
        <v>226</v>
      </c>
    </row>
    <row r="1046">
      <c r="A1046" s="2" t="s">
        <v>497</v>
      </c>
      <c r="B1046" s="2" t="s">
        <v>426</v>
      </c>
      <c r="C1046" s="2" t="s">
        <v>1469</v>
      </c>
      <c r="D1046" s="3" t="str">
        <f>HYPERLINK("https://12go.asia/en/travel/songjiang-shanghai/inner-mongolia", "12Go Link")</f>
        <v>12Go Link</v>
      </c>
      <c r="E1046" s="2" t="s">
        <v>226</v>
      </c>
    </row>
    <row r="1047">
      <c r="A1047" s="2" t="s">
        <v>497</v>
      </c>
      <c r="B1047" s="2" t="s">
        <v>698</v>
      </c>
      <c r="C1047" s="2" t="s">
        <v>1470</v>
      </c>
      <c r="D1047" s="3" t="str">
        <f>HYPERLINK("https://12go.asia/en/travel/shanghai-songjiang/jian-jiangxi", "12Go Link")</f>
        <v>12Go Link</v>
      </c>
      <c r="E1047" s="2" t="s">
        <v>226</v>
      </c>
    </row>
    <row r="1048">
      <c r="A1048" s="2" t="s">
        <v>497</v>
      </c>
      <c r="B1048" s="2" t="s">
        <v>698</v>
      </c>
      <c r="C1048" s="2" t="s">
        <v>1471</v>
      </c>
      <c r="D1048" s="3" t="str">
        <f>HYPERLINK("https://12go.asia/en/travel/songjiang-shanghai/jian-jiangxi", "12Go Link")</f>
        <v>12Go Link</v>
      </c>
      <c r="E1048" s="2" t="s">
        <v>226</v>
      </c>
    </row>
    <row r="1049">
      <c r="A1049" s="2" t="s">
        <v>497</v>
      </c>
      <c r="B1049" s="2" t="s">
        <v>640</v>
      </c>
      <c r="C1049" s="2" t="s">
        <v>1472</v>
      </c>
      <c r="D1049" s="3" t="str">
        <f>HYPERLINK("https://12go.asia/en/travel/songjiang-shanghai/jiangbei", "12Go Link")</f>
        <v>12Go Link</v>
      </c>
      <c r="E1049" s="2" t="s">
        <v>226</v>
      </c>
    </row>
    <row r="1050">
      <c r="A1050" s="2" t="s">
        <v>497</v>
      </c>
      <c r="B1050" s="2" t="s">
        <v>642</v>
      </c>
      <c r="C1050" s="2" t="s">
        <v>1473</v>
      </c>
      <c r="D1050" s="3" t="str">
        <f>HYPERLINK("https://12go.asia/en/travel/songjiang-shanghai/jiangjin", "12Go Link")</f>
        <v>12Go Link</v>
      </c>
      <c r="E1050" s="2" t="s">
        <v>226</v>
      </c>
    </row>
    <row r="1051">
      <c r="A1051" s="2" t="s">
        <v>497</v>
      </c>
      <c r="B1051" s="2" t="s">
        <v>1474</v>
      </c>
      <c r="C1051" s="2" t="s">
        <v>1475</v>
      </c>
      <c r="D1051" s="3" t="str">
        <f>HYPERLINK("https://12go.asia/en/travel/shanghai-songjiang/jingdezhen-north", "12Go Link")</f>
        <v>12Go Link</v>
      </c>
      <c r="E1051" s="2" t="s">
        <v>226</v>
      </c>
    </row>
    <row r="1052">
      <c r="A1052" s="2" t="s">
        <v>497</v>
      </c>
      <c r="B1052" s="2" t="s">
        <v>1474</v>
      </c>
      <c r="C1052" s="2" t="s">
        <v>1476</v>
      </c>
      <c r="D1052" s="3" t="str">
        <f>HYPERLINK("https://12go.asia/en/travel/songjiang-shanghai/jingdezhen", "12Go Link")</f>
        <v>12Go Link</v>
      </c>
      <c r="E1052" s="2" t="s">
        <v>226</v>
      </c>
    </row>
    <row r="1053">
      <c r="A1053" s="2" t="s">
        <v>497</v>
      </c>
      <c r="B1053" s="2" t="s">
        <v>458</v>
      </c>
      <c r="C1053" s="2" t="s">
        <v>1477</v>
      </c>
      <c r="D1053" s="3" t="str">
        <f>HYPERLINK("https://12go.asia/en/travel/shanghai-songjiang/kaifeng", "12Go Link")</f>
        <v>12Go Link</v>
      </c>
      <c r="E1053" s="2" t="s">
        <v>226</v>
      </c>
    </row>
    <row r="1054">
      <c r="A1054" s="2" t="s">
        <v>497</v>
      </c>
      <c r="B1054" s="2" t="s">
        <v>458</v>
      </c>
      <c r="C1054" s="2" t="s">
        <v>1478</v>
      </c>
      <c r="D1054" s="3" t="str">
        <f>HYPERLINK("https://12go.asia/en/travel/songjiang-shanghai/kaifeng", "12Go Link")</f>
        <v>12Go Link</v>
      </c>
      <c r="E1054" s="2" t="s">
        <v>226</v>
      </c>
    </row>
    <row r="1055">
      <c r="A1055" s="2" t="s">
        <v>497</v>
      </c>
      <c r="B1055" s="2" t="s">
        <v>1479</v>
      </c>
      <c r="C1055" s="2" t="s">
        <v>1480</v>
      </c>
      <c r="D1055" s="3" t="str">
        <f>HYPERLINK("https://12go.asia/en/travel/shanghai-songjiang/changzhi-east", "12Go Link")</f>
        <v>12Go Link</v>
      </c>
      <c r="E1055" s="2" t="s">
        <v>226</v>
      </c>
    </row>
    <row r="1056">
      <c r="A1056" s="2" t="s">
        <v>497</v>
      </c>
      <c r="B1056" s="2" t="s">
        <v>1479</v>
      </c>
      <c r="C1056" s="2" t="s">
        <v>1481</v>
      </c>
      <c r="D1056" s="3" t="str">
        <f>HYPERLINK("https://12go.asia/en/travel/songjiang-shanghai/luzhou", "12Go Link")</f>
        <v>12Go Link</v>
      </c>
      <c r="E1056" s="2" t="s">
        <v>226</v>
      </c>
    </row>
    <row r="1057">
      <c r="A1057" s="2" t="s">
        <v>497</v>
      </c>
      <c r="B1057" s="2" t="s">
        <v>1193</v>
      </c>
      <c r="C1057" s="2" t="s">
        <v>1482</v>
      </c>
      <c r="D1057" s="3" t="str">
        <f>HYPERLINK("https://12go.asia/en/travel/shanghai-songjiang/maoming", "12Go Link")</f>
        <v>12Go Link</v>
      </c>
      <c r="E1057" s="2" t="s">
        <v>226</v>
      </c>
    </row>
    <row r="1058">
      <c r="A1058" s="2" t="s">
        <v>497</v>
      </c>
      <c r="B1058" s="2" t="s">
        <v>1193</v>
      </c>
      <c r="C1058" s="2" t="s">
        <v>1483</v>
      </c>
      <c r="D1058" s="3" t="str">
        <f>HYPERLINK("https://12go.asia/en/travel/songjiang-shanghai/maoming", "12Go Link")</f>
        <v>12Go Link</v>
      </c>
      <c r="E1058" s="2" t="s">
        <v>226</v>
      </c>
    </row>
    <row r="1059">
      <c r="A1059" s="2" t="s">
        <v>497</v>
      </c>
      <c r="B1059" s="2" t="s">
        <v>461</v>
      </c>
      <c r="C1059" s="2" t="s">
        <v>1484</v>
      </c>
      <c r="D1059" s="3" t="str">
        <f>HYPERLINK("https://12go.asia/en/travel/shanghai-songjiang/nanyang", "12Go Link")</f>
        <v>12Go Link</v>
      </c>
      <c r="E1059" s="2" t="s">
        <v>226</v>
      </c>
    </row>
    <row r="1060">
      <c r="A1060" s="2" t="s">
        <v>497</v>
      </c>
      <c r="B1060" s="2" t="s">
        <v>461</v>
      </c>
      <c r="C1060" s="2" t="s">
        <v>1485</v>
      </c>
      <c r="D1060" s="3" t="str">
        <f>HYPERLINK("https://12go.asia/en/travel/songjiang-shanghai/nanyang", "12Go Link")</f>
        <v>12Go Link</v>
      </c>
      <c r="E1060" s="2" t="s">
        <v>226</v>
      </c>
    </row>
    <row r="1061">
      <c r="A1061" s="2" t="s">
        <v>497</v>
      </c>
      <c r="B1061" s="2" t="s">
        <v>728</v>
      </c>
      <c r="C1061" s="2" t="s">
        <v>1486</v>
      </c>
      <c r="D1061" s="3" t="str">
        <f>HYPERLINK("https://12go.asia/en/travel/songjiang-shanghai/shaanxi", "12Go Link")</f>
        <v>12Go Link</v>
      </c>
      <c r="E1061" s="2" t="s">
        <v>226</v>
      </c>
    </row>
    <row r="1062">
      <c r="A1062" s="2" t="s">
        <v>497</v>
      </c>
      <c r="B1062" s="2" t="s">
        <v>1340</v>
      </c>
      <c r="C1062" s="2" t="s">
        <v>1487</v>
      </c>
      <c r="D1062" s="3" t="str">
        <f>HYPERLINK("https://12go.asia/en/travel/shanghai-songjiang/shaoguan-east", "12Go Link")</f>
        <v>12Go Link</v>
      </c>
      <c r="E1062" s="2" t="s">
        <v>226</v>
      </c>
    </row>
    <row r="1063">
      <c r="A1063" s="2" t="s">
        <v>497</v>
      </c>
      <c r="B1063" s="2" t="s">
        <v>1340</v>
      </c>
      <c r="C1063" s="2" t="s">
        <v>1488</v>
      </c>
      <c r="D1063" s="3" t="str">
        <f>HYPERLINK("https://12go.asia/en/travel/songjiang-shanghai/shaoguan", "12Go Link")</f>
        <v>12Go Link</v>
      </c>
      <c r="E1063" s="2" t="s">
        <v>226</v>
      </c>
    </row>
    <row r="1064">
      <c r="A1064" s="2" t="s">
        <v>497</v>
      </c>
      <c r="B1064" s="2" t="s">
        <v>573</v>
      </c>
      <c r="C1064" s="2" t="s">
        <v>1489</v>
      </c>
      <c r="D1064" s="3" t="str">
        <f>HYPERLINK("https://12go.asia/en/travel/songjiang-shanghai/shuangliu", "12Go Link")</f>
        <v>12Go Link</v>
      </c>
      <c r="E1064" s="2" t="s">
        <v>226</v>
      </c>
    </row>
    <row r="1065">
      <c r="A1065" s="2" t="s">
        <v>497</v>
      </c>
      <c r="B1065" s="2" t="s">
        <v>495</v>
      </c>
      <c r="C1065" s="2" t="s">
        <v>1490</v>
      </c>
      <c r="D1065" s="3" t="str">
        <f>HYPERLINK("https://12go.asia/en/travel/songjiang-shanghai/sihui", "12Go Link")</f>
        <v>12Go Link</v>
      </c>
      <c r="E1065" s="2" t="s">
        <v>226</v>
      </c>
    </row>
    <row r="1066">
      <c r="A1066" s="2" t="s">
        <v>497</v>
      </c>
      <c r="B1066" s="2" t="s">
        <v>1491</v>
      </c>
      <c r="C1066" s="2" t="s">
        <v>1492</v>
      </c>
      <c r="D1066" s="3" t="str">
        <f>HYPERLINK("https://12go.asia/en/travel/shanghai-songjiang/suqian", "12Go Link")</f>
        <v>12Go Link</v>
      </c>
      <c r="E1066" s="2" t="s">
        <v>226</v>
      </c>
    </row>
    <row r="1067">
      <c r="A1067" s="2" t="s">
        <v>497</v>
      </c>
      <c r="B1067" s="2" t="s">
        <v>1491</v>
      </c>
      <c r="C1067" s="2" t="s">
        <v>1493</v>
      </c>
      <c r="D1067" s="3" t="str">
        <f>HYPERLINK("https://12go.asia/en/travel/songjiang-shanghai/suqian", "12Go Link")</f>
        <v>12Go Link</v>
      </c>
      <c r="E1067" s="2" t="s">
        <v>226</v>
      </c>
    </row>
    <row r="1068">
      <c r="A1068" s="2" t="s">
        <v>497</v>
      </c>
      <c r="B1068" s="2" t="s">
        <v>676</v>
      </c>
      <c r="C1068" s="2" t="s">
        <v>1494</v>
      </c>
      <c r="D1068" s="3" t="str">
        <f>HYPERLINK("https://12go.asia/en/travel/songjiang-shanghai/taian", "12Go Link")</f>
        <v>12Go Link</v>
      </c>
      <c r="E1068" s="2" t="s">
        <v>226</v>
      </c>
    </row>
    <row r="1069">
      <c r="A1069" s="2" t="s">
        <v>497</v>
      </c>
      <c r="B1069" s="2" t="s">
        <v>947</v>
      </c>
      <c r="C1069" s="2" t="s">
        <v>1495</v>
      </c>
      <c r="D1069" s="3" t="str">
        <f>HYPERLINK("https://12go.asia/en/travel/shanghai-songjiang/taizhou-jiangsu", "12Go Link")</f>
        <v>12Go Link</v>
      </c>
      <c r="E1069" s="2" t="s">
        <v>226</v>
      </c>
    </row>
    <row r="1070">
      <c r="A1070" s="2" t="s">
        <v>497</v>
      </c>
      <c r="B1070" s="2" t="s">
        <v>947</v>
      </c>
      <c r="C1070" s="2" t="s">
        <v>1496</v>
      </c>
      <c r="D1070" s="3" t="str">
        <f>HYPERLINK("https://12go.asia/en/travel/songjiang-shanghai/taizhou-jiangsu", "12Go Link")</f>
        <v>12Go Link</v>
      </c>
      <c r="E1070" s="2" t="s">
        <v>226</v>
      </c>
    </row>
    <row r="1071">
      <c r="A1071" s="2" t="s">
        <v>497</v>
      </c>
      <c r="B1071" s="2" t="s">
        <v>1497</v>
      </c>
      <c r="C1071" s="2" t="s">
        <v>1498</v>
      </c>
      <c r="D1071" s="3" t="str">
        <f>HYPERLINK("https://12go.asia/en/travel/shanghai-songjiang/tiantaishan", "12Go Link")</f>
        <v>12Go Link</v>
      </c>
      <c r="E1071" s="2" t="s">
        <v>226</v>
      </c>
    </row>
    <row r="1072">
      <c r="A1072" s="2" t="s">
        <v>497</v>
      </c>
      <c r="B1072" s="2" t="s">
        <v>1497</v>
      </c>
      <c r="C1072" s="2" t="s">
        <v>1499</v>
      </c>
      <c r="D1072" s="3" t="str">
        <f>HYPERLINK("https://12go.asia/en/travel/songjiang-shanghai/tiantai", "12Go Link")</f>
        <v>12Go Link</v>
      </c>
      <c r="E1072" s="2" t="s">
        <v>226</v>
      </c>
    </row>
    <row r="1073">
      <c r="A1073" s="2" t="s">
        <v>497</v>
      </c>
      <c r="B1073" s="2" t="s">
        <v>937</v>
      </c>
      <c r="C1073" s="2" t="s">
        <v>1500</v>
      </c>
      <c r="D1073" s="3" t="str">
        <f>HYPERLINK("https://12go.asia/en/travel/shanghai-songjiang/tongling", "12Go Link")</f>
        <v>12Go Link</v>
      </c>
      <c r="E1073" s="2" t="s">
        <v>226</v>
      </c>
    </row>
    <row r="1074">
      <c r="A1074" s="2" t="s">
        <v>497</v>
      </c>
      <c r="B1074" s="2" t="s">
        <v>937</v>
      </c>
      <c r="C1074" s="2" t="s">
        <v>1501</v>
      </c>
      <c r="D1074" s="3" t="str">
        <f>HYPERLINK("https://12go.asia/en/travel/songjiang-shanghai/tongling", "12Go Link")</f>
        <v>12Go Link</v>
      </c>
      <c r="E1074" s="2" t="s">
        <v>226</v>
      </c>
    </row>
    <row r="1075">
      <c r="A1075" s="2" t="s">
        <v>497</v>
      </c>
      <c r="B1075" s="2" t="s">
        <v>882</v>
      </c>
      <c r="C1075" s="2" t="s">
        <v>1502</v>
      </c>
      <c r="D1075" s="3" t="str">
        <f>HYPERLINK("https://12go.asia/en/travel/shanghai-songjiang/dayu", "12Go Link")</f>
        <v>12Go Link</v>
      </c>
      <c r="E1075" s="2" t="s">
        <v>226</v>
      </c>
    </row>
    <row r="1076">
      <c r="A1076" s="2" t="s">
        <v>497</v>
      </c>
      <c r="B1076" s="2" t="s">
        <v>882</v>
      </c>
      <c r="C1076" s="2" t="s">
        <v>1503</v>
      </c>
      <c r="D1076" s="3" t="str">
        <f>HYPERLINK("https://12go.asia/en/travel/songjiang-shanghai/weifang", "12Go Link")</f>
        <v>12Go Link</v>
      </c>
      <c r="E1076" s="2" t="s">
        <v>226</v>
      </c>
    </row>
    <row r="1077">
      <c r="A1077" s="2" t="s">
        <v>497</v>
      </c>
      <c r="B1077" s="2" t="s">
        <v>1504</v>
      </c>
      <c r="C1077" s="2" t="s">
        <v>1505</v>
      </c>
      <c r="D1077" s="3" t="str">
        <f>HYPERLINK("https://12go.asia/en/travel/shanghai-songjiang/weihai", "12Go Link")</f>
        <v>12Go Link</v>
      </c>
      <c r="E1077" s="2" t="s">
        <v>226</v>
      </c>
    </row>
    <row r="1078">
      <c r="A1078" s="2" t="s">
        <v>497</v>
      </c>
      <c r="B1078" s="2" t="s">
        <v>1504</v>
      </c>
      <c r="C1078" s="2" t="s">
        <v>1506</v>
      </c>
      <c r="D1078" s="3" t="str">
        <f>HYPERLINK("https://12go.asia/en/travel/shanghai-songjiang/weihai-north", "12Go Link")</f>
        <v>12Go Link</v>
      </c>
      <c r="E1078" s="2" t="s">
        <v>226</v>
      </c>
    </row>
    <row r="1079">
      <c r="A1079" s="2" t="s">
        <v>497</v>
      </c>
      <c r="B1079" s="2" t="s">
        <v>1504</v>
      </c>
      <c r="C1079" s="2" t="s">
        <v>1507</v>
      </c>
      <c r="D1079" s="3" t="str">
        <f>HYPERLINK("https://12go.asia/en/travel/songjiang-shanghai/weihai", "12Go Link")</f>
        <v>12Go Link</v>
      </c>
      <c r="E1079" s="2" t="s">
        <v>226</v>
      </c>
    </row>
    <row r="1080">
      <c r="A1080" s="2" t="s">
        <v>497</v>
      </c>
      <c r="B1080" s="2" t="s">
        <v>428</v>
      </c>
      <c r="C1080" s="2" t="s">
        <v>1508</v>
      </c>
      <c r="D1080" s="3" t="str">
        <f>HYPERLINK("https://12go.asia/en/travel/songjiang-shanghai/wenjiang", "12Go Link")</f>
        <v>12Go Link</v>
      </c>
      <c r="E1080" s="2" t="s">
        <v>226</v>
      </c>
    </row>
    <row r="1081">
      <c r="A1081" s="2" t="s">
        <v>497</v>
      </c>
      <c r="B1081" s="2" t="s">
        <v>804</v>
      </c>
      <c r="C1081" s="2" t="s">
        <v>1509</v>
      </c>
      <c r="D1081" s="3" t="str">
        <f>HYPERLINK("https://12go.asia/en/travel/shanghai-songjiang/wuhu-north", "12Go Link")</f>
        <v>12Go Link</v>
      </c>
      <c r="E1081" s="2" t="s">
        <v>226</v>
      </c>
    </row>
    <row r="1082">
      <c r="A1082" s="2" t="s">
        <v>497</v>
      </c>
      <c r="B1082" s="2" t="s">
        <v>804</v>
      </c>
      <c r="C1082" s="2" t="s">
        <v>1510</v>
      </c>
      <c r="D1082" s="3" t="str">
        <f>HYPERLINK("https://12go.asia/en/travel/songjiang-shanghai/xinmin", "12Go Link")</f>
        <v>12Go Link</v>
      </c>
      <c r="E1082" s="2" t="s">
        <v>226</v>
      </c>
    </row>
    <row r="1083">
      <c r="A1083" s="2" t="s">
        <v>497</v>
      </c>
      <c r="B1083" s="2" t="s">
        <v>520</v>
      </c>
      <c r="C1083" s="2" t="s">
        <v>1511</v>
      </c>
      <c r="D1083" s="3" t="str">
        <f>HYPERLINK("https://12go.asia/en/travel/shanghai-songjiang/xinyang", "12Go Link")</f>
        <v>12Go Link</v>
      </c>
      <c r="E1083" s="2" t="s">
        <v>226</v>
      </c>
    </row>
    <row r="1084">
      <c r="A1084" s="2" t="s">
        <v>497</v>
      </c>
      <c r="B1084" s="2" t="s">
        <v>520</v>
      </c>
      <c r="C1084" s="2" t="s">
        <v>1512</v>
      </c>
      <c r="D1084" s="3" t="str">
        <f>HYPERLINK("https://12go.asia/en/travel/songjiang-shanghai/xinyang", "12Go Link")</f>
        <v>12Go Link</v>
      </c>
      <c r="E1084" s="2" t="s">
        <v>226</v>
      </c>
    </row>
    <row r="1085">
      <c r="A1085" s="2" t="s">
        <v>497</v>
      </c>
      <c r="B1085" s="2" t="s">
        <v>1230</v>
      </c>
      <c r="C1085" s="2" t="s">
        <v>1513</v>
      </c>
      <c r="D1085" s="3" t="str">
        <f>HYPERLINK("https://12go.asia/en/travel/shanghai-songjiang/xuchang-north", "12Go Link")</f>
        <v>12Go Link</v>
      </c>
      <c r="E1085" s="2" t="s">
        <v>226</v>
      </c>
    </row>
    <row r="1086">
      <c r="A1086" s="2" t="s">
        <v>497</v>
      </c>
      <c r="B1086" s="2" t="s">
        <v>1230</v>
      </c>
      <c r="C1086" s="2" t="s">
        <v>1514</v>
      </c>
      <c r="D1086" s="3" t="str">
        <f>HYPERLINK("https://12go.asia/en/travel/songjiang-shanghai/xuchang", "12Go Link")</f>
        <v>12Go Link</v>
      </c>
      <c r="E1086" s="2" t="s">
        <v>226</v>
      </c>
    </row>
    <row r="1087">
      <c r="A1087" s="2" t="s">
        <v>497</v>
      </c>
      <c r="B1087" s="2" t="s">
        <v>1515</v>
      </c>
      <c r="C1087" s="2" t="s">
        <v>1516</v>
      </c>
      <c r="D1087" s="3" t="str">
        <f>HYPERLINK("https://12go.asia/en/travel/shanghai-songjiang/yiyang", "12Go Link")</f>
        <v>12Go Link</v>
      </c>
      <c r="E1087" s="2" t="s">
        <v>226</v>
      </c>
    </row>
    <row r="1088">
      <c r="A1088" s="2" t="s">
        <v>497</v>
      </c>
      <c r="B1088" s="2" t="s">
        <v>1515</v>
      </c>
      <c r="C1088" s="2" t="s">
        <v>1517</v>
      </c>
      <c r="D1088" s="3" t="str">
        <f>HYPERLINK("https://12go.asia/en/travel/songjiang-shanghai/yiyang", "12Go Link")</f>
        <v>12Go Link</v>
      </c>
      <c r="E1088" s="2" t="s">
        <v>226</v>
      </c>
    </row>
    <row r="1089">
      <c r="A1089" s="2" t="s">
        <v>497</v>
      </c>
      <c r="B1089" s="2" t="s">
        <v>1518</v>
      </c>
      <c r="C1089" s="2" t="s">
        <v>1519</v>
      </c>
      <c r="D1089" s="3" t="str">
        <f>HYPERLINK("https://12go.asia/en/travel/shanghai-songjiang/xishui-south", "12Go Link")</f>
        <v>12Go Link</v>
      </c>
      <c r="E1089" s="2" t="s">
        <v>226</v>
      </c>
    </row>
    <row r="1090">
      <c r="A1090" s="2" t="s">
        <v>497</v>
      </c>
      <c r="B1090" s="2" t="s">
        <v>1518</v>
      </c>
      <c r="C1090" s="2" t="s">
        <v>1520</v>
      </c>
      <c r="D1090" s="3" t="str">
        <f>HYPERLINK("https://12go.asia/en/travel/songjiang-shanghai/yueqing", "12Go Link")</f>
        <v>12Go Link</v>
      </c>
      <c r="E1090" s="2" t="s">
        <v>226</v>
      </c>
    </row>
    <row r="1091">
      <c r="A1091" s="2" t="s">
        <v>497</v>
      </c>
      <c r="B1091" s="2" t="s">
        <v>903</v>
      </c>
      <c r="C1091" s="2" t="s">
        <v>1521</v>
      </c>
      <c r="D1091" s="3" t="str">
        <f>HYPERLINK("https://12go.asia/en/travel/shanghai-songjiang/wuhu-south", "12Go Link")</f>
        <v>12Go Link</v>
      </c>
      <c r="E1091" s="2" t="s">
        <v>226</v>
      </c>
    </row>
    <row r="1092">
      <c r="A1092" s="2" t="s">
        <v>497</v>
      </c>
      <c r="B1092" s="2" t="s">
        <v>903</v>
      </c>
      <c r="C1092" s="2" t="s">
        <v>1522</v>
      </c>
      <c r="D1092" s="3" t="str">
        <f>HYPERLINK("https://12go.asia/en/travel/songjiang-shanghai/yutian", "12Go Link")</f>
        <v>12Go Link</v>
      </c>
      <c r="E1092" s="2" t="s">
        <v>226</v>
      </c>
    </row>
    <row r="1093">
      <c r="A1093" s="2" t="s">
        <v>497</v>
      </c>
      <c r="B1093" s="2" t="s">
        <v>835</v>
      </c>
      <c r="C1093" s="2" t="s">
        <v>1523</v>
      </c>
      <c r="D1093" s="3" t="str">
        <f>HYPERLINK("https://12go.asia/en/travel/shanghai-songjiang/xintang", "12Go Link")</f>
        <v>12Go Link</v>
      </c>
      <c r="E1093" s="2" t="s">
        <v>226</v>
      </c>
    </row>
    <row r="1094">
      <c r="A1094" s="2" t="s">
        <v>497</v>
      </c>
      <c r="B1094" s="2" t="s">
        <v>835</v>
      </c>
      <c r="C1094" s="2" t="s">
        <v>1524</v>
      </c>
      <c r="D1094" s="3" t="str">
        <f>HYPERLINK("https://12go.asia/en/travel/songjiang-shanghai/zengcheng", "12Go Link")</f>
        <v>12Go Link</v>
      </c>
      <c r="E1094" s="2" t="s">
        <v>226</v>
      </c>
    </row>
    <row r="1095">
      <c r="A1095" s="2" t="s">
        <v>497</v>
      </c>
      <c r="B1095" s="2" t="s">
        <v>1052</v>
      </c>
      <c r="C1095" s="2" t="s">
        <v>1525</v>
      </c>
      <c r="D1095" s="3" t="str">
        <f>HYPERLINK("https://12go.asia/en/travel/shanghai-songjiang/zhanjiang-west", "12Go Link")</f>
        <v>12Go Link</v>
      </c>
      <c r="E1095" s="2" t="s">
        <v>226</v>
      </c>
    </row>
    <row r="1096">
      <c r="A1096" s="2" t="s">
        <v>497</v>
      </c>
      <c r="B1096" s="2" t="s">
        <v>1052</v>
      </c>
      <c r="C1096" s="2" t="s">
        <v>1526</v>
      </c>
      <c r="D1096" s="3" t="str">
        <f>HYPERLINK("https://12go.asia/en/travel/songjiang-shanghai/zhanjiang", "12Go Link")</f>
        <v>12Go Link</v>
      </c>
      <c r="E1096" s="2" t="s">
        <v>226</v>
      </c>
    </row>
    <row r="1097">
      <c r="A1097" s="2" t="s">
        <v>1399</v>
      </c>
      <c r="B1097" s="2" t="s">
        <v>556</v>
      </c>
      <c r="C1097" s="2" t="s">
        <v>1527</v>
      </c>
      <c r="D1097" s="3" t="str">
        <f>HYPERLINK("https://12go.asia/en/travel/huanglong-jiuzhai/chengdu-south", "12Go Link")</f>
        <v>12Go Link</v>
      </c>
      <c r="E1097" s="2" t="s">
        <v>226</v>
      </c>
    </row>
    <row r="1098">
      <c r="A1098" s="2" t="s">
        <v>1399</v>
      </c>
      <c r="B1098" s="2" t="s">
        <v>559</v>
      </c>
      <c r="C1098" s="2" t="s">
        <v>1528</v>
      </c>
      <c r="D1098" s="3" t="str">
        <f>HYPERLINK("https://12go.asia/en/travel/songpan/chengdu-airport", "12Go Link")</f>
        <v>12Go Link</v>
      </c>
      <c r="E1098" s="2" t="s">
        <v>226</v>
      </c>
    </row>
    <row r="1099">
      <c r="A1099" s="2" t="s">
        <v>1399</v>
      </c>
      <c r="B1099" s="2" t="s">
        <v>559</v>
      </c>
      <c r="C1099" s="2" t="s">
        <v>1529</v>
      </c>
      <c r="D1099" s="3" t="str">
        <f>HYPERLINK("https://12go.asia/en/travel/songpan/shuangliu-airport", "12Go Link")</f>
        <v>12Go Link</v>
      </c>
      <c r="E1099" s="2" t="s">
        <v>226</v>
      </c>
    </row>
    <row r="1100">
      <c r="A1100" s="2" t="s">
        <v>1399</v>
      </c>
      <c r="B1100" s="2" t="s">
        <v>573</v>
      </c>
      <c r="C1100" s="2" t="s">
        <v>1530</v>
      </c>
      <c r="D1100" s="3" t="str">
        <f>HYPERLINK("https://12go.asia/en/travel/songpan/shuangliu", "12Go Link")</f>
        <v>12Go Link</v>
      </c>
      <c r="E1100" s="2" t="s">
        <v>226</v>
      </c>
    </row>
    <row r="1101">
      <c r="A1101" s="2" t="s">
        <v>1399</v>
      </c>
      <c r="B1101" s="2" t="s">
        <v>709</v>
      </c>
      <c r="C1101" s="2" t="s">
        <v>1531</v>
      </c>
      <c r="D1101" s="3" t="str">
        <f>HYPERLINK("https://12go.asia/en/travel/songpan/sichuan", "12Go Link")</f>
        <v>12Go Link</v>
      </c>
      <c r="E1101" s="2" t="s">
        <v>226</v>
      </c>
    </row>
    <row r="1102">
      <c r="A1102" s="2" t="s">
        <v>1399</v>
      </c>
      <c r="B1102" s="2" t="s">
        <v>1399</v>
      </c>
      <c r="C1102" s="2" t="s">
        <v>1532</v>
      </c>
      <c r="D1102" s="3" t="str">
        <f>HYPERLINK("https://12go.asia/en/travel/huangshengguan/songpan", "12Go Link")</f>
        <v>12Go Link</v>
      </c>
      <c r="E1102" s="2" t="s">
        <v>226</v>
      </c>
    </row>
    <row r="1103">
      <c r="A1103" s="2" t="s">
        <v>1533</v>
      </c>
      <c r="B1103" s="2" t="s">
        <v>1534</v>
      </c>
      <c r="C1103" s="2" t="s">
        <v>1535</v>
      </c>
      <c r="D1103" s="3" t="str">
        <f>HYPERLINK("https://12go.asia/en/travel/songyuan/jilin", "12Go Link")</f>
        <v>12Go Link</v>
      </c>
      <c r="E1103" s="2" t="s">
        <v>226</v>
      </c>
    </row>
    <row r="1104">
      <c r="A1104" s="2" t="s">
        <v>1533</v>
      </c>
      <c r="B1104" s="2" t="s">
        <v>1536</v>
      </c>
      <c r="C1104" s="2" t="s">
        <v>1537</v>
      </c>
      <c r="D1104" s="3" t="str">
        <f>HYPERLINK("https://12go.asia/en/travel/songyuan/tieling", "12Go Link")</f>
        <v>12Go Link</v>
      </c>
      <c r="E1104" s="2" t="s">
        <v>226</v>
      </c>
    </row>
    <row r="1105">
      <c r="A1105" s="2" t="s">
        <v>1538</v>
      </c>
      <c r="B1105" s="2" t="s">
        <v>778</v>
      </c>
      <c r="C1105" s="2" t="s">
        <v>1539</v>
      </c>
      <c r="D1105" s="3" t="str">
        <f>HYPERLINK("https://12go.asia/en/travel/suifenhe/mudanjiang", "12Go Link")</f>
        <v>12Go Link</v>
      </c>
      <c r="E1105" s="2" t="s">
        <v>226</v>
      </c>
    </row>
    <row r="1106">
      <c r="A1106" s="2" t="s">
        <v>1540</v>
      </c>
      <c r="B1106" s="2" t="s">
        <v>582</v>
      </c>
      <c r="C1106" s="2" t="s">
        <v>1541</v>
      </c>
      <c r="D1106" s="3" t="str">
        <f>HYPERLINK("https://12go.asia/en/travel/suihua/jiamusi", "12Go Link")</f>
        <v>12Go Link</v>
      </c>
      <c r="E1106" s="2" t="s">
        <v>226</v>
      </c>
    </row>
    <row r="1107">
      <c r="A1107" s="2" t="s">
        <v>1540</v>
      </c>
      <c r="B1107" s="2" t="s">
        <v>1542</v>
      </c>
      <c r="C1107" s="2" t="s">
        <v>1543</v>
      </c>
      <c r="D1107" s="3" t="str">
        <f>HYPERLINK("https://12go.asia/en/travel/suihua/yichun-heilongjiang", "12Go Link")</f>
        <v>12Go Link</v>
      </c>
      <c r="E1107" s="2" t="s">
        <v>226</v>
      </c>
    </row>
    <row r="1108">
      <c r="A1108" s="2" t="s">
        <v>1544</v>
      </c>
      <c r="B1108" s="2" t="s">
        <v>976</v>
      </c>
      <c r="C1108" s="2" t="s">
        <v>1545</v>
      </c>
      <c r="D1108" s="3" t="str">
        <f>HYPERLINK("https://12go.asia/en/travel/urumqi/hubei", "12Go Link")</f>
        <v>12Go Link</v>
      </c>
      <c r="E1108" s="2" t="s">
        <v>226</v>
      </c>
    </row>
    <row r="1109">
      <c r="A1109" s="2" t="s">
        <v>666</v>
      </c>
      <c r="B1109" s="2" t="s">
        <v>872</v>
      </c>
      <c r="C1109" s="2" t="s">
        <v>1546</v>
      </c>
      <c r="D1109" s="3" t="str">
        <f>HYPERLINK("https://12go.asia/en/travel/wuhan/chengyang", "12Go Link")</f>
        <v>12Go Link</v>
      </c>
      <c r="E1109" s="2" t="s">
        <v>226</v>
      </c>
    </row>
    <row r="1110">
      <c r="A1110" s="2" t="s">
        <v>666</v>
      </c>
      <c r="B1110" s="2" t="s">
        <v>982</v>
      </c>
      <c r="C1110" s="2" t="s">
        <v>1547</v>
      </c>
      <c r="D1110" s="3" t="str">
        <f>HYPERLINK("https://12go.asia/en/travel/wuchang/shaoyang", "12Go Link")</f>
        <v>12Go Link</v>
      </c>
      <c r="E1110" s="2" t="s">
        <v>226</v>
      </c>
    </row>
    <row r="1111">
      <c r="A1111" s="2" t="s">
        <v>407</v>
      </c>
      <c r="B1111" s="2" t="s">
        <v>1548</v>
      </c>
      <c r="C1111" s="2" t="s">
        <v>1549</v>
      </c>
      <c r="D1111" s="3" t="str">
        <f>HYPERLINK("https://12go.asia/en/travel/xiamen-north/nanan-north", "12Go Link")</f>
        <v>12Go Link</v>
      </c>
      <c r="E1111" s="2" t="s">
        <v>226</v>
      </c>
    </row>
    <row r="1112">
      <c r="A1112" s="2" t="s">
        <v>407</v>
      </c>
      <c r="B1112" s="2" t="s">
        <v>1548</v>
      </c>
      <c r="C1112" s="2" t="s">
        <v>1550</v>
      </c>
      <c r="D1112" s="3" t="str">
        <f>HYPERLINK("https://12go.asia/en/travel/xiamen/rugao", "12Go Link")</f>
        <v>12Go Link</v>
      </c>
      <c r="E1112" s="2" t="s">
        <v>226</v>
      </c>
    </row>
    <row r="1113">
      <c r="A1113" s="2" t="s">
        <v>1551</v>
      </c>
      <c r="B1113" s="2" t="s">
        <v>1552</v>
      </c>
      <c r="C1113" s="2" t="s">
        <v>1553</v>
      </c>
      <c r="D1113" s="3" t="str">
        <f>HYPERLINK("https://12go.asia/en/travel/xichang-west/lijiang", "12Go Link")</f>
        <v>12Go Link</v>
      </c>
      <c r="E1113" s="2" t="s">
        <v>226</v>
      </c>
    </row>
    <row r="1114">
      <c r="A1114" s="2" t="s">
        <v>1551</v>
      </c>
      <c r="B1114" s="2" t="s">
        <v>1552</v>
      </c>
      <c r="C1114" s="2" t="s">
        <v>1554</v>
      </c>
      <c r="D1114" s="3" t="str">
        <f>HYPERLINK("https://12go.asia/en/travel/xichang/lijiang", "12Go Link")</f>
        <v>12Go Link</v>
      </c>
      <c r="E1114" s="2" t="s">
        <v>226</v>
      </c>
    </row>
    <row r="1115">
      <c r="A1115" s="2" t="s">
        <v>1555</v>
      </c>
      <c r="B1115" s="2" t="s">
        <v>419</v>
      </c>
      <c r="C1115" s="2" t="s">
        <v>1556</v>
      </c>
      <c r="D1115" s="3" t="str">
        <f>HYPERLINK("https://12go.asia/en/travel/yangjiang/shenzhen", "12Go Link")</f>
        <v>12Go Link</v>
      </c>
      <c r="E1115" s="2" t="s">
        <v>226</v>
      </c>
    </row>
    <row r="1116">
      <c r="A1116" s="2" t="s">
        <v>1555</v>
      </c>
      <c r="B1116" s="2" t="s">
        <v>419</v>
      </c>
      <c r="C1116" s="2" t="s">
        <v>1557</v>
      </c>
      <c r="D1116" s="3" t="str">
        <f>HYPERLINK("https://12go.asia/en/travel/yangjiang/shenzhen-north", "12Go Link")</f>
        <v>12Go Link</v>
      </c>
      <c r="E1116" s="2" t="s">
        <v>226</v>
      </c>
    </row>
    <row r="1117">
      <c r="A1117" s="2" t="s">
        <v>437</v>
      </c>
      <c r="B1117" s="2" t="s">
        <v>404</v>
      </c>
      <c r="C1117" s="2" t="s">
        <v>1558</v>
      </c>
      <c r="D1117" s="3" t="str">
        <f>HYPERLINK("https://12go.asia/en/travel/zhangjiakou/shijiazhuang", "12Go Link")</f>
        <v>12Go Link</v>
      </c>
      <c r="E1117" s="2" t="s">
        <v>226</v>
      </c>
    </row>
    <row r="1118">
      <c r="A1118" s="2" t="s">
        <v>600</v>
      </c>
      <c r="B1118" s="2" t="s">
        <v>472</v>
      </c>
      <c r="C1118" s="2" t="s">
        <v>1559</v>
      </c>
      <c r="D1118" s="3" t="str">
        <f>HYPERLINK("https://12go.asia/en/travel/zhaoqing/changchun", "12Go Link")</f>
        <v>12Go Link</v>
      </c>
      <c r="E1118" s="2" t="s">
        <v>226</v>
      </c>
    </row>
    <row r="1119">
      <c r="A1119" s="2" t="s">
        <v>600</v>
      </c>
      <c r="B1119" s="2" t="s">
        <v>634</v>
      </c>
      <c r="C1119" s="2" t="s">
        <v>1560</v>
      </c>
      <c r="D1119" s="3" t="str">
        <f>HYPERLINK("https://12go.asia/en/travel/zhaoqing/haikou", "12Go Link")</f>
        <v>12Go Link</v>
      </c>
      <c r="E1119" s="2" t="s">
        <v>226</v>
      </c>
    </row>
    <row r="1120">
      <c r="A1120" s="2" t="s">
        <v>600</v>
      </c>
      <c r="B1120" s="2" t="s">
        <v>646</v>
      </c>
      <c r="C1120" s="2" t="s">
        <v>1561</v>
      </c>
      <c r="D1120" s="3" t="str">
        <f>HYPERLINK("https://12go.asia/en/travel/zhaoqing/jinhua", "12Go Link")</f>
        <v>12Go Link</v>
      </c>
      <c r="E1120" s="2" t="s">
        <v>226</v>
      </c>
    </row>
    <row r="1121">
      <c r="A1121" s="2" t="s">
        <v>470</v>
      </c>
      <c r="B1121" s="2" t="s">
        <v>453</v>
      </c>
      <c r="C1121" s="2" t="s">
        <v>1562</v>
      </c>
      <c r="D1121" s="3" t="str">
        <f>HYPERLINK("https://12go.asia/en/travel/zhengzhou/cangzhou", "12Go Link")</f>
        <v>12Go Link</v>
      </c>
      <c r="E1121" s="2" t="s">
        <v>226</v>
      </c>
    </row>
    <row r="1122">
      <c r="A1122" s="2" t="s">
        <v>470</v>
      </c>
      <c r="B1122" s="2" t="s">
        <v>493</v>
      </c>
      <c r="C1122" s="2" t="s">
        <v>1563</v>
      </c>
      <c r="D1122" s="3" t="str">
        <f>HYPERLINK("https://12go.asia/en/travel/zhengzhou-east/shanghai-south", "12Go Link")</f>
        <v>12Go Link</v>
      </c>
      <c r="E1122" s="2" t="s">
        <v>226</v>
      </c>
    </row>
    <row r="1123">
      <c r="A1123" s="2" t="s">
        <v>1564</v>
      </c>
      <c r="B1123" s="2" t="s">
        <v>1565</v>
      </c>
      <c r="C1123" s="2" t="s">
        <v>1566</v>
      </c>
      <c r="D1123" s="3" t="str">
        <f t="shared" ref="D1123:D1124" si="11">HYPERLINK("https://12go.asia/en/travel/Briancon-Transfer/Turin-Hotel-Transfer", "12Go Link")</f>
        <v>12Go Link</v>
      </c>
      <c r="E1123" s="2" t="s">
        <v>1567</v>
      </c>
    </row>
    <row r="1124">
      <c r="A1124" s="2" t="s">
        <v>1564</v>
      </c>
      <c r="B1124" s="2" t="s">
        <v>1565</v>
      </c>
      <c r="C1124" s="2" t="s">
        <v>1566</v>
      </c>
      <c r="D1124" s="3" t="str">
        <f t="shared" si="11"/>
        <v>12Go Link</v>
      </c>
      <c r="E1124" s="2" t="s">
        <v>1568</v>
      </c>
    </row>
    <row r="1125">
      <c r="A1125" s="2" t="s">
        <v>1569</v>
      </c>
      <c r="B1125" s="2" t="s">
        <v>1565</v>
      </c>
      <c r="C1125" s="2" t="s">
        <v>1570</v>
      </c>
      <c r="D1125" s="3" t="str">
        <f t="shared" ref="D1125:D1126" si="12">HYPERLINK("https://12go.asia/en/travel/Courchevel-Transfer/Turin-Hotel-Transfer", "12Go Link")</f>
        <v>12Go Link</v>
      </c>
      <c r="E1125" s="2" t="s">
        <v>1567</v>
      </c>
    </row>
    <row r="1126">
      <c r="A1126" s="2" t="s">
        <v>1569</v>
      </c>
      <c r="B1126" s="2" t="s">
        <v>1565</v>
      </c>
      <c r="C1126" s="2" t="s">
        <v>1570</v>
      </c>
      <c r="D1126" s="3" t="str">
        <f t="shared" si="12"/>
        <v>12Go Link</v>
      </c>
      <c r="E1126" s="2" t="s">
        <v>1568</v>
      </c>
    </row>
    <row r="1127">
      <c r="A1127" s="2" t="s">
        <v>1571</v>
      </c>
      <c r="B1127" s="2" t="s">
        <v>1565</v>
      </c>
      <c r="C1127" s="2" t="s">
        <v>1572</v>
      </c>
      <c r="D1127" s="3" t="str">
        <f t="shared" ref="D1127:D1128" si="13">HYPERLINK("https://12go.asia/en/travel/Le-Bez-Hotel-Transfer/Turin-Hotel-Transfer", "12Go Link")</f>
        <v>12Go Link</v>
      </c>
      <c r="E1127" s="2" t="s">
        <v>1567</v>
      </c>
    </row>
    <row r="1128">
      <c r="A1128" s="2" t="s">
        <v>1571</v>
      </c>
      <c r="B1128" s="2" t="s">
        <v>1565</v>
      </c>
      <c r="C1128" s="2" t="s">
        <v>1572</v>
      </c>
      <c r="D1128" s="3" t="str">
        <f t="shared" si="13"/>
        <v>12Go Link</v>
      </c>
      <c r="E1128" s="2" t="s">
        <v>1568</v>
      </c>
    </row>
    <row r="1129">
      <c r="A1129" s="2" t="s">
        <v>1571</v>
      </c>
      <c r="B1129" s="2" t="s">
        <v>1565</v>
      </c>
      <c r="C1129" s="2" t="s">
        <v>1573</v>
      </c>
      <c r="D1129" s="3" t="str">
        <f t="shared" ref="D1129:D1130" si="14">HYPERLINK("https://12go.asia/en/travel/Serre-Chevalier-Hotel-Transfer/Turin-Hotel-Transfer", "12Go Link")</f>
        <v>12Go Link</v>
      </c>
      <c r="E1129" s="2" t="s">
        <v>1567</v>
      </c>
    </row>
    <row r="1130">
      <c r="A1130" s="2" t="s">
        <v>1571</v>
      </c>
      <c r="B1130" s="2" t="s">
        <v>1565</v>
      </c>
      <c r="C1130" s="2" t="s">
        <v>1573</v>
      </c>
      <c r="D1130" s="3" t="str">
        <f t="shared" si="14"/>
        <v>12Go Link</v>
      </c>
      <c r="E1130" s="2" t="s">
        <v>1568</v>
      </c>
    </row>
    <row r="1131">
      <c r="A1131" s="2" t="s">
        <v>1574</v>
      </c>
      <c r="B1131" s="2" t="s">
        <v>1565</v>
      </c>
      <c r="C1131" s="2" t="s">
        <v>1575</v>
      </c>
      <c r="D1131" s="3" t="str">
        <f t="shared" ref="D1131:D1132" si="15">HYPERLINK("https://12go.asia/en/travel/Meribel-Hotel-Transfer/Turin-Hotel-Transfer", "12Go Link")</f>
        <v>12Go Link</v>
      </c>
      <c r="E1131" s="2" t="s">
        <v>1567</v>
      </c>
    </row>
    <row r="1132">
      <c r="A1132" s="2" t="s">
        <v>1574</v>
      </c>
      <c r="B1132" s="2" t="s">
        <v>1565</v>
      </c>
      <c r="C1132" s="2" t="s">
        <v>1575</v>
      </c>
      <c r="D1132" s="3" t="str">
        <f t="shared" si="15"/>
        <v>12Go Link</v>
      </c>
      <c r="E1132" s="2" t="s">
        <v>1568</v>
      </c>
    </row>
    <row r="1133">
      <c r="A1133" s="2" t="s">
        <v>1576</v>
      </c>
      <c r="B1133" s="2" t="s">
        <v>1565</v>
      </c>
      <c r="C1133" s="2" t="s">
        <v>1577</v>
      </c>
      <c r="D1133" s="3" t="str">
        <f t="shared" ref="D1133:D1134" si="16">HYPERLINK("https://12go.asia/en/travel/Valfrejus-Transfer/Turin-Hotel-Transfer", "12Go Link")</f>
        <v>12Go Link</v>
      </c>
      <c r="E1133" s="2" t="s">
        <v>1567</v>
      </c>
    </row>
    <row r="1134">
      <c r="A1134" s="2" t="s">
        <v>1576</v>
      </c>
      <c r="B1134" s="2" t="s">
        <v>1565</v>
      </c>
      <c r="C1134" s="2" t="s">
        <v>1577</v>
      </c>
      <c r="D1134" s="3" t="str">
        <f t="shared" si="16"/>
        <v>12Go Link</v>
      </c>
      <c r="E1134" s="2" t="s">
        <v>1568</v>
      </c>
    </row>
    <row r="1135">
      <c r="A1135" s="2" t="s">
        <v>1578</v>
      </c>
      <c r="B1135" s="2" t="s">
        <v>1565</v>
      </c>
      <c r="C1135" s="2" t="s">
        <v>1579</v>
      </c>
      <c r="D1135" s="3" t="str">
        <f t="shared" ref="D1135:D1136" si="17">HYPERLINK("https://12go.asia/en/travel/Montgenevre-Hotel-Transfer/Turin-Hotel-Transfer", "12Go Link")</f>
        <v>12Go Link</v>
      </c>
      <c r="E1135" s="2" t="s">
        <v>1567</v>
      </c>
    </row>
    <row r="1136">
      <c r="A1136" s="2" t="s">
        <v>1578</v>
      </c>
      <c r="B1136" s="2" t="s">
        <v>1565</v>
      </c>
      <c r="C1136" s="2" t="s">
        <v>1579</v>
      </c>
      <c r="D1136" s="3" t="str">
        <f t="shared" si="17"/>
        <v>12Go Link</v>
      </c>
      <c r="E1136" s="2" t="s">
        <v>1568</v>
      </c>
    </row>
    <row r="1137">
      <c r="A1137" s="2" t="s">
        <v>1580</v>
      </c>
      <c r="B1137" s="2" t="s">
        <v>1565</v>
      </c>
      <c r="C1137" s="2" t="s">
        <v>1581</v>
      </c>
      <c r="D1137" s="3" t="str">
        <f t="shared" ref="D1137:D1138" si="18">HYPERLINK("https://12go.asia/en/travel/Val-Cenis-Transfer/Turin-Hotel-Transfer", "12Go Link")</f>
        <v>12Go Link</v>
      </c>
      <c r="E1137" s="2" t="s">
        <v>1567</v>
      </c>
    </row>
    <row r="1138">
      <c r="A1138" s="2" t="s">
        <v>1580</v>
      </c>
      <c r="B1138" s="2" t="s">
        <v>1565</v>
      </c>
      <c r="C1138" s="2" t="s">
        <v>1581</v>
      </c>
      <c r="D1138" s="3" t="str">
        <f t="shared" si="18"/>
        <v>12Go Link</v>
      </c>
      <c r="E1138" s="2" t="s">
        <v>1568</v>
      </c>
    </row>
    <row r="1139">
      <c r="A1139" s="2" t="s">
        <v>1582</v>
      </c>
      <c r="B1139" s="2" t="s">
        <v>1565</v>
      </c>
      <c r="C1139" s="2" t="s">
        <v>1583</v>
      </c>
      <c r="D1139" s="3" t="str">
        <f t="shared" ref="D1139:D1140" si="19">HYPERLINK("https://12go.asia/en/travel/Val-d-Isere-Transfer/Turin-Hotel-Transfer", "12Go Link")</f>
        <v>12Go Link</v>
      </c>
      <c r="E1139" s="2" t="s">
        <v>1567</v>
      </c>
    </row>
    <row r="1140">
      <c r="A1140" s="2" t="s">
        <v>1582</v>
      </c>
      <c r="B1140" s="2" t="s">
        <v>1565</v>
      </c>
      <c r="C1140" s="2" t="s">
        <v>1583</v>
      </c>
      <c r="D1140" s="3" t="str">
        <f t="shared" si="19"/>
        <v>12Go Link</v>
      </c>
      <c r="E1140" s="2" t="s">
        <v>1568</v>
      </c>
    </row>
    <row r="1141">
      <c r="A1141" s="2" t="s">
        <v>1584</v>
      </c>
      <c r="B1141" s="2" t="s">
        <v>1585</v>
      </c>
      <c r="C1141" s="2" t="s">
        <v>1586</v>
      </c>
      <c r="D1141" s="3" t="str">
        <f t="shared" ref="D1141:D1143" si="20">HYPERLINK("https://12go.asia/en/travel/Adele-Hotel-Transfer/Chania-Airport", "12Go Link")</f>
        <v>12Go Link</v>
      </c>
      <c r="E1141" s="2" t="s">
        <v>1587</v>
      </c>
    </row>
    <row r="1142">
      <c r="A1142" s="2" t="s">
        <v>1584</v>
      </c>
      <c r="B1142" s="2" t="s">
        <v>1585</v>
      </c>
      <c r="C1142" s="2" t="s">
        <v>1586</v>
      </c>
      <c r="D1142" s="3" t="str">
        <f t="shared" si="20"/>
        <v>12Go Link</v>
      </c>
      <c r="E1142" s="2" t="s">
        <v>1588</v>
      </c>
    </row>
    <row r="1143">
      <c r="A1143" s="2" t="s">
        <v>1584</v>
      </c>
      <c r="B1143" s="2" t="s">
        <v>1585</v>
      </c>
      <c r="C1143" s="2" t="s">
        <v>1586</v>
      </c>
      <c r="D1143" s="3" t="str">
        <f t="shared" si="20"/>
        <v>12Go Link</v>
      </c>
      <c r="E1143" s="2" t="s">
        <v>1589</v>
      </c>
    </row>
    <row r="1144">
      <c r="A1144" s="2" t="s">
        <v>1584</v>
      </c>
      <c r="B1144" s="2" t="s">
        <v>1590</v>
      </c>
      <c r="C1144" s="2" t="s">
        <v>1591</v>
      </c>
      <c r="D1144" s="3" t="str">
        <f t="shared" ref="D1144:D1146" si="21">HYPERLINK("https://12go.asia/en/travel/Adele-Hotel-Transfer/Heraklion-Airport", "12Go Link")</f>
        <v>12Go Link</v>
      </c>
      <c r="E1144" s="2" t="s">
        <v>1587</v>
      </c>
    </row>
    <row r="1145">
      <c r="A1145" s="2" t="s">
        <v>1584</v>
      </c>
      <c r="B1145" s="2" t="s">
        <v>1590</v>
      </c>
      <c r="C1145" s="2" t="s">
        <v>1591</v>
      </c>
      <c r="D1145" s="3" t="str">
        <f t="shared" si="21"/>
        <v>12Go Link</v>
      </c>
      <c r="E1145" s="2" t="s">
        <v>1588</v>
      </c>
    </row>
    <row r="1146">
      <c r="A1146" s="2" t="s">
        <v>1584</v>
      </c>
      <c r="B1146" s="2" t="s">
        <v>1590</v>
      </c>
      <c r="C1146" s="2" t="s">
        <v>1591</v>
      </c>
      <c r="D1146" s="3" t="str">
        <f t="shared" si="21"/>
        <v>12Go Link</v>
      </c>
      <c r="E1146" s="2" t="s">
        <v>1589</v>
      </c>
    </row>
    <row r="1147">
      <c r="A1147" s="2" t="s">
        <v>1592</v>
      </c>
      <c r="B1147" s="2" t="s">
        <v>1585</v>
      </c>
      <c r="C1147" s="2" t="s">
        <v>1593</v>
      </c>
      <c r="D1147" s="3" t="str">
        <f t="shared" ref="D1147:D1149" si="22">HYPERLINK("https://12go.asia/en/travel/Adelianos-Kampos-Hotel-Transfer/Chania-Airport", "12Go Link")</f>
        <v>12Go Link</v>
      </c>
      <c r="E1147" s="2" t="s">
        <v>1587</v>
      </c>
    </row>
    <row r="1148">
      <c r="A1148" s="2" t="s">
        <v>1592</v>
      </c>
      <c r="B1148" s="2" t="s">
        <v>1585</v>
      </c>
      <c r="C1148" s="2" t="s">
        <v>1593</v>
      </c>
      <c r="D1148" s="3" t="str">
        <f t="shared" si="22"/>
        <v>12Go Link</v>
      </c>
      <c r="E1148" s="2" t="s">
        <v>1588</v>
      </c>
    </row>
    <row r="1149">
      <c r="A1149" s="2" t="s">
        <v>1592</v>
      </c>
      <c r="B1149" s="2" t="s">
        <v>1585</v>
      </c>
      <c r="C1149" s="2" t="s">
        <v>1593</v>
      </c>
      <c r="D1149" s="3" t="str">
        <f t="shared" si="22"/>
        <v>12Go Link</v>
      </c>
      <c r="E1149" s="2" t="s">
        <v>1589</v>
      </c>
    </row>
    <row r="1150">
      <c r="A1150" s="2" t="s">
        <v>1592</v>
      </c>
      <c r="B1150" s="2" t="s">
        <v>1590</v>
      </c>
      <c r="C1150" s="2" t="s">
        <v>1594</v>
      </c>
      <c r="D1150" s="3" t="str">
        <f t="shared" ref="D1150:D1152" si="23">HYPERLINK("https://12go.asia/en/travel/Adelianos-Kampos-Hotel-Transfer/Heraklion-Airport", "12Go Link")</f>
        <v>12Go Link</v>
      </c>
      <c r="E1150" s="2" t="s">
        <v>1587</v>
      </c>
    </row>
    <row r="1151">
      <c r="A1151" s="2" t="s">
        <v>1592</v>
      </c>
      <c r="B1151" s="2" t="s">
        <v>1590</v>
      </c>
      <c r="C1151" s="2" t="s">
        <v>1594</v>
      </c>
      <c r="D1151" s="3" t="str">
        <f t="shared" si="23"/>
        <v>12Go Link</v>
      </c>
      <c r="E1151" s="2" t="s">
        <v>1588</v>
      </c>
    </row>
    <row r="1152">
      <c r="A1152" s="2" t="s">
        <v>1592</v>
      </c>
      <c r="B1152" s="2" t="s">
        <v>1590</v>
      </c>
      <c r="C1152" s="2" t="s">
        <v>1594</v>
      </c>
      <c r="D1152" s="3" t="str">
        <f t="shared" si="23"/>
        <v>12Go Link</v>
      </c>
      <c r="E1152" s="2" t="s">
        <v>1589</v>
      </c>
    </row>
    <row r="1153">
      <c r="A1153" s="2" t="s">
        <v>1595</v>
      </c>
      <c r="B1153" s="2" t="s">
        <v>1585</v>
      </c>
      <c r="C1153" s="2" t="s">
        <v>1596</v>
      </c>
      <c r="D1153" s="3" t="str">
        <f t="shared" ref="D1153:D1155" si="24">HYPERLINK("https://12go.asia/en/travel/Agia-Galini-Hotel-Transfer/Chania-Airport", "12Go Link")</f>
        <v>12Go Link</v>
      </c>
      <c r="E1153" s="2" t="s">
        <v>1587</v>
      </c>
    </row>
    <row r="1154">
      <c r="A1154" s="2" t="s">
        <v>1595</v>
      </c>
      <c r="B1154" s="2" t="s">
        <v>1585</v>
      </c>
      <c r="C1154" s="2" t="s">
        <v>1596</v>
      </c>
      <c r="D1154" s="3" t="str">
        <f t="shared" si="24"/>
        <v>12Go Link</v>
      </c>
      <c r="E1154" s="2" t="s">
        <v>1588</v>
      </c>
    </row>
    <row r="1155">
      <c r="A1155" s="2" t="s">
        <v>1595</v>
      </c>
      <c r="B1155" s="2" t="s">
        <v>1585</v>
      </c>
      <c r="C1155" s="2" t="s">
        <v>1596</v>
      </c>
      <c r="D1155" s="3" t="str">
        <f t="shared" si="24"/>
        <v>12Go Link</v>
      </c>
      <c r="E1155" s="2" t="s">
        <v>1589</v>
      </c>
    </row>
    <row r="1156">
      <c r="A1156" s="2" t="s">
        <v>1595</v>
      </c>
      <c r="B1156" s="2" t="s">
        <v>1590</v>
      </c>
      <c r="C1156" s="2" t="s">
        <v>1597</v>
      </c>
      <c r="D1156" s="3" t="str">
        <f t="shared" ref="D1156:D1158" si="25">HYPERLINK("https://12go.asia/en/travel/Agia-Galini-Hotel-Transfer/Heraklion-Airport", "12Go Link")</f>
        <v>12Go Link</v>
      </c>
      <c r="E1156" s="2" t="s">
        <v>1587</v>
      </c>
    </row>
    <row r="1157">
      <c r="A1157" s="2" t="s">
        <v>1595</v>
      </c>
      <c r="B1157" s="2" t="s">
        <v>1590</v>
      </c>
      <c r="C1157" s="2" t="s">
        <v>1597</v>
      </c>
      <c r="D1157" s="3" t="str">
        <f t="shared" si="25"/>
        <v>12Go Link</v>
      </c>
      <c r="E1157" s="2" t="s">
        <v>1588</v>
      </c>
    </row>
    <row r="1158">
      <c r="A1158" s="2" t="s">
        <v>1595</v>
      </c>
      <c r="B1158" s="2" t="s">
        <v>1590</v>
      </c>
      <c r="C1158" s="2" t="s">
        <v>1597</v>
      </c>
      <c r="D1158" s="3" t="str">
        <f t="shared" si="25"/>
        <v>12Go Link</v>
      </c>
      <c r="E1158" s="2" t="s">
        <v>1589</v>
      </c>
    </row>
    <row r="1159">
      <c r="A1159" s="2" t="s">
        <v>1598</v>
      </c>
      <c r="B1159" s="2" t="s">
        <v>1585</v>
      </c>
      <c r="C1159" s="2" t="s">
        <v>1599</v>
      </c>
      <c r="D1159" s="3" t="str">
        <f t="shared" ref="D1159:D1161" si="26">HYPERLINK("https://12go.asia/en/travel/Agia-Marina-Hotel-Transfer/Chania-Airport", "12Go Link")</f>
        <v>12Go Link</v>
      </c>
      <c r="E1159" s="2" t="s">
        <v>1587</v>
      </c>
    </row>
    <row r="1160">
      <c r="A1160" s="2" t="s">
        <v>1598</v>
      </c>
      <c r="B1160" s="2" t="s">
        <v>1585</v>
      </c>
      <c r="C1160" s="2" t="s">
        <v>1599</v>
      </c>
      <c r="D1160" s="3" t="str">
        <f t="shared" si="26"/>
        <v>12Go Link</v>
      </c>
      <c r="E1160" s="2" t="s">
        <v>1588</v>
      </c>
    </row>
    <row r="1161">
      <c r="A1161" s="2" t="s">
        <v>1598</v>
      </c>
      <c r="B1161" s="2" t="s">
        <v>1585</v>
      </c>
      <c r="C1161" s="2" t="s">
        <v>1599</v>
      </c>
      <c r="D1161" s="3" t="str">
        <f t="shared" si="26"/>
        <v>12Go Link</v>
      </c>
      <c r="E1161" s="2" t="s">
        <v>1589</v>
      </c>
    </row>
    <row r="1162">
      <c r="A1162" s="2" t="s">
        <v>1598</v>
      </c>
      <c r="B1162" s="2" t="s">
        <v>1590</v>
      </c>
      <c r="C1162" s="2" t="s">
        <v>1600</v>
      </c>
      <c r="D1162" s="3" t="str">
        <f t="shared" ref="D1162:D1164" si="27">HYPERLINK("https://12go.asia/en/travel/Agia-Marina-Hotel-Transfer/Heraklion-Airport", "12Go Link")</f>
        <v>12Go Link</v>
      </c>
      <c r="E1162" s="2" t="s">
        <v>1587</v>
      </c>
    </row>
    <row r="1163">
      <c r="A1163" s="2" t="s">
        <v>1598</v>
      </c>
      <c r="B1163" s="2" t="s">
        <v>1590</v>
      </c>
      <c r="C1163" s="2" t="s">
        <v>1600</v>
      </c>
      <c r="D1163" s="3" t="str">
        <f t="shared" si="27"/>
        <v>12Go Link</v>
      </c>
      <c r="E1163" s="2" t="s">
        <v>1588</v>
      </c>
    </row>
    <row r="1164">
      <c r="A1164" s="2" t="s">
        <v>1598</v>
      </c>
      <c r="B1164" s="2" t="s">
        <v>1590</v>
      </c>
      <c r="C1164" s="2" t="s">
        <v>1600</v>
      </c>
      <c r="D1164" s="3" t="str">
        <f t="shared" si="27"/>
        <v>12Go Link</v>
      </c>
      <c r="E1164" s="2" t="s">
        <v>1589</v>
      </c>
    </row>
    <row r="1165">
      <c r="A1165" s="2" t="s">
        <v>1601</v>
      </c>
      <c r="B1165" s="2" t="s">
        <v>1585</v>
      </c>
      <c r="C1165" s="2" t="s">
        <v>1602</v>
      </c>
      <c r="D1165" s="3" t="str">
        <f t="shared" ref="D1165:D1167" si="28">HYPERLINK("https://12go.asia/en/travel/Agia-Pelagia-Hotel-Transfer/Chania-Airport", "12Go Link")</f>
        <v>12Go Link</v>
      </c>
      <c r="E1165" s="2" t="s">
        <v>1587</v>
      </c>
    </row>
    <row r="1166">
      <c r="A1166" s="2" t="s">
        <v>1601</v>
      </c>
      <c r="B1166" s="2" t="s">
        <v>1585</v>
      </c>
      <c r="C1166" s="2" t="s">
        <v>1602</v>
      </c>
      <c r="D1166" s="3" t="str">
        <f t="shared" si="28"/>
        <v>12Go Link</v>
      </c>
      <c r="E1166" s="2" t="s">
        <v>1588</v>
      </c>
    </row>
    <row r="1167">
      <c r="A1167" s="2" t="s">
        <v>1601</v>
      </c>
      <c r="B1167" s="2" t="s">
        <v>1585</v>
      </c>
      <c r="C1167" s="2" t="s">
        <v>1602</v>
      </c>
      <c r="D1167" s="3" t="str">
        <f t="shared" si="28"/>
        <v>12Go Link</v>
      </c>
      <c r="E1167" s="2" t="s">
        <v>1589</v>
      </c>
    </row>
    <row r="1168">
      <c r="A1168" s="2" t="s">
        <v>1601</v>
      </c>
      <c r="B1168" s="2" t="s">
        <v>1590</v>
      </c>
      <c r="C1168" s="2" t="s">
        <v>1603</v>
      </c>
      <c r="D1168" s="3" t="str">
        <f t="shared" ref="D1168:D1170" si="29">HYPERLINK("https://12go.asia/en/travel/Agia-Pelagia-Hotel-Transfer/Heraklion-Airport", "12Go Link")</f>
        <v>12Go Link</v>
      </c>
      <c r="E1168" s="2" t="s">
        <v>1587</v>
      </c>
    </row>
    <row r="1169">
      <c r="A1169" s="2" t="s">
        <v>1601</v>
      </c>
      <c r="B1169" s="2" t="s">
        <v>1590</v>
      </c>
      <c r="C1169" s="2" t="s">
        <v>1603</v>
      </c>
      <c r="D1169" s="3" t="str">
        <f t="shared" si="29"/>
        <v>12Go Link</v>
      </c>
      <c r="E1169" s="2" t="s">
        <v>1588</v>
      </c>
    </row>
    <row r="1170">
      <c r="A1170" s="2" t="s">
        <v>1601</v>
      </c>
      <c r="B1170" s="2" t="s">
        <v>1590</v>
      </c>
      <c r="C1170" s="2" t="s">
        <v>1603</v>
      </c>
      <c r="D1170" s="3" t="str">
        <f t="shared" si="29"/>
        <v>12Go Link</v>
      </c>
      <c r="E1170" s="2" t="s">
        <v>1589</v>
      </c>
    </row>
    <row r="1171">
      <c r="A1171" s="2" t="s">
        <v>1604</v>
      </c>
      <c r="B1171" s="2" t="s">
        <v>1585</v>
      </c>
      <c r="C1171" s="2" t="s">
        <v>1605</v>
      </c>
      <c r="D1171" s="3" t="str">
        <f t="shared" ref="D1171:D1173" si="30">HYPERLINK("https://12go.asia/en/travel/Agia-Triada-Hotel-Transfer/Chania-Airport", "12Go Link")</f>
        <v>12Go Link</v>
      </c>
      <c r="E1171" s="2" t="s">
        <v>1587</v>
      </c>
    </row>
    <row r="1172">
      <c r="A1172" s="2" t="s">
        <v>1604</v>
      </c>
      <c r="B1172" s="2" t="s">
        <v>1585</v>
      </c>
      <c r="C1172" s="2" t="s">
        <v>1605</v>
      </c>
      <c r="D1172" s="3" t="str">
        <f t="shared" si="30"/>
        <v>12Go Link</v>
      </c>
      <c r="E1172" s="2" t="s">
        <v>1588</v>
      </c>
    </row>
    <row r="1173">
      <c r="A1173" s="2" t="s">
        <v>1604</v>
      </c>
      <c r="B1173" s="2" t="s">
        <v>1585</v>
      </c>
      <c r="C1173" s="2" t="s">
        <v>1605</v>
      </c>
      <c r="D1173" s="3" t="str">
        <f t="shared" si="30"/>
        <v>12Go Link</v>
      </c>
      <c r="E1173" s="2" t="s">
        <v>1589</v>
      </c>
    </row>
    <row r="1174">
      <c r="A1174" s="2" t="s">
        <v>1604</v>
      </c>
      <c r="B1174" s="2" t="s">
        <v>1590</v>
      </c>
      <c r="C1174" s="2" t="s">
        <v>1606</v>
      </c>
      <c r="D1174" s="3" t="str">
        <f t="shared" ref="D1174:D1176" si="31">HYPERLINK("https://12go.asia/en/travel/Agia-Triada-Hotel-Transfer/Heraklion-Airport", "12Go Link")</f>
        <v>12Go Link</v>
      </c>
      <c r="E1174" s="2" t="s">
        <v>1587</v>
      </c>
    </row>
    <row r="1175">
      <c r="A1175" s="2" t="s">
        <v>1604</v>
      </c>
      <c r="B1175" s="2" t="s">
        <v>1590</v>
      </c>
      <c r="C1175" s="2" t="s">
        <v>1606</v>
      </c>
      <c r="D1175" s="3" t="str">
        <f t="shared" si="31"/>
        <v>12Go Link</v>
      </c>
      <c r="E1175" s="2" t="s">
        <v>1588</v>
      </c>
    </row>
    <row r="1176">
      <c r="A1176" s="2" t="s">
        <v>1604</v>
      </c>
      <c r="B1176" s="2" t="s">
        <v>1590</v>
      </c>
      <c r="C1176" s="2" t="s">
        <v>1606</v>
      </c>
      <c r="D1176" s="3" t="str">
        <f t="shared" si="31"/>
        <v>12Go Link</v>
      </c>
      <c r="E1176" s="2" t="s">
        <v>1589</v>
      </c>
    </row>
    <row r="1177">
      <c r="A1177" s="2" t="s">
        <v>1607</v>
      </c>
      <c r="B1177" s="2" t="s">
        <v>1585</v>
      </c>
      <c r="C1177" s="2" t="s">
        <v>1608</v>
      </c>
      <c r="D1177" s="3" t="str">
        <f t="shared" ref="D1177:D1179" si="32">HYPERLINK("https://12go.asia/en/travel/Agios-Nikolaos-Hotel-Transfer/Chania-Airport", "12Go Link")</f>
        <v>12Go Link</v>
      </c>
      <c r="E1177" s="2" t="s">
        <v>1587</v>
      </c>
    </row>
    <row r="1178">
      <c r="A1178" s="2" t="s">
        <v>1607</v>
      </c>
      <c r="B1178" s="2" t="s">
        <v>1585</v>
      </c>
      <c r="C1178" s="2" t="s">
        <v>1608</v>
      </c>
      <c r="D1178" s="3" t="str">
        <f t="shared" si="32"/>
        <v>12Go Link</v>
      </c>
      <c r="E1178" s="2" t="s">
        <v>1588</v>
      </c>
    </row>
    <row r="1179">
      <c r="A1179" s="2" t="s">
        <v>1607</v>
      </c>
      <c r="B1179" s="2" t="s">
        <v>1585</v>
      </c>
      <c r="C1179" s="2" t="s">
        <v>1608</v>
      </c>
      <c r="D1179" s="3" t="str">
        <f t="shared" si="32"/>
        <v>12Go Link</v>
      </c>
      <c r="E1179" s="2" t="s">
        <v>1589</v>
      </c>
    </row>
    <row r="1180">
      <c r="A1180" s="2" t="s">
        <v>1607</v>
      </c>
      <c r="B1180" s="2" t="s">
        <v>1590</v>
      </c>
      <c r="C1180" s="2" t="s">
        <v>1609</v>
      </c>
      <c r="D1180" s="3" t="str">
        <f t="shared" ref="D1180:D1182" si="33">HYPERLINK("https://12go.asia/en/travel/Agios-Nikolaos-Hotel-Transfer/Heraklion-Airport", "12Go Link")</f>
        <v>12Go Link</v>
      </c>
      <c r="E1180" s="2" t="s">
        <v>1587</v>
      </c>
    </row>
    <row r="1181">
      <c r="A1181" s="2" t="s">
        <v>1607</v>
      </c>
      <c r="B1181" s="2" t="s">
        <v>1590</v>
      </c>
      <c r="C1181" s="2" t="s">
        <v>1609</v>
      </c>
      <c r="D1181" s="3" t="str">
        <f t="shared" si="33"/>
        <v>12Go Link</v>
      </c>
      <c r="E1181" s="2" t="s">
        <v>1588</v>
      </c>
    </row>
    <row r="1182">
      <c r="A1182" s="2" t="s">
        <v>1607</v>
      </c>
      <c r="B1182" s="2" t="s">
        <v>1590</v>
      </c>
      <c r="C1182" s="2" t="s">
        <v>1609</v>
      </c>
      <c r="D1182" s="3" t="str">
        <f t="shared" si="33"/>
        <v>12Go Link</v>
      </c>
      <c r="E1182" s="2" t="s">
        <v>1589</v>
      </c>
    </row>
    <row r="1183">
      <c r="A1183" s="2" t="s">
        <v>1610</v>
      </c>
      <c r="B1183" s="2" t="s">
        <v>1585</v>
      </c>
      <c r="C1183" s="2" t="s">
        <v>1611</v>
      </c>
      <c r="D1183" s="3" t="str">
        <f t="shared" ref="D1183:D1185" si="34">HYPERLINK("https://12go.asia/en/travel/Agios-Pavlos-Hotel-Transfer/Chania-Airport", "12Go Link")</f>
        <v>12Go Link</v>
      </c>
      <c r="E1183" s="2" t="s">
        <v>1587</v>
      </c>
    </row>
    <row r="1184">
      <c r="A1184" s="2" t="s">
        <v>1610</v>
      </c>
      <c r="B1184" s="2" t="s">
        <v>1585</v>
      </c>
      <c r="C1184" s="2" t="s">
        <v>1611</v>
      </c>
      <c r="D1184" s="3" t="str">
        <f t="shared" si="34"/>
        <v>12Go Link</v>
      </c>
      <c r="E1184" s="2" t="s">
        <v>1588</v>
      </c>
    </row>
    <row r="1185">
      <c r="A1185" s="2" t="s">
        <v>1610</v>
      </c>
      <c r="B1185" s="2" t="s">
        <v>1585</v>
      </c>
      <c r="C1185" s="2" t="s">
        <v>1611</v>
      </c>
      <c r="D1185" s="3" t="str">
        <f t="shared" si="34"/>
        <v>12Go Link</v>
      </c>
      <c r="E1185" s="2" t="s">
        <v>1589</v>
      </c>
    </row>
    <row r="1186">
      <c r="A1186" s="2" t="s">
        <v>1610</v>
      </c>
      <c r="B1186" s="2" t="s">
        <v>1590</v>
      </c>
      <c r="C1186" s="2" t="s">
        <v>1612</v>
      </c>
      <c r="D1186" s="3" t="str">
        <f t="shared" ref="D1186:D1188" si="35">HYPERLINK("https://12go.asia/en/travel/Agios-Pavlos-Hotel-Transfer/Heraklion-Airport", "12Go Link")</f>
        <v>12Go Link</v>
      </c>
      <c r="E1186" s="2" t="s">
        <v>1587</v>
      </c>
    </row>
    <row r="1187">
      <c r="A1187" s="2" t="s">
        <v>1610</v>
      </c>
      <c r="B1187" s="2" t="s">
        <v>1590</v>
      </c>
      <c r="C1187" s="2" t="s">
        <v>1612</v>
      </c>
      <c r="D1187" s="3" t="str">
        <f t="shared" si="35"/>
        <v>12Go Link</v>
      </c>
      <c r="E1187" s="2" t="s">
        <v>1588</v>
      </c>
    </row>
    <row r="1188">
      <c r="A1188" s="2" t="s">
        <v>1610</v>
      </c>
      <c r="B1188" s="2" t="s">
        <v>1590</v>
      </c>
      <c r="C1188" s="2" t="s">
        <v>1612</v>
      </c>
      <c r="D1188" s="3" t="str">
        <f t="shared" si="35"/>
        <v>12Go Link</v>
      </c>
      <c r="E1188" s="2" t="s">
        <v>1589</v>
      </c>
    </row>
    <row r="1189">
      <c r="A1189" s="2" t="s">
        <v>1613</v>
      </c>
      <c r="B1189" s="2" t="s">
        <v>1585</v>
      </c>
      <c r="C1189" s="2" t="s">
        <v>1614</v>
      </c>
      <c r="D1189" s="3" t="str">
        <f t="shared" ref="D1189:D1191" si="36">HYPERLINK("https://12go.asia/en/travel/Akrotiri-Crete-Hotel-Transfer/Chania-Airport", "12Go Link")</f>
        <v>12Go Link</v>
      </c>
      <c r="E1189" s="2" t="s">
        <v>1587</v>
      </c>
    </row>
    <row r="1190">
      <c r="A1190" s="2" t="s">
        <v>1613</v>
      </c>
      <c r="B1190" s="2" t="s">
        <v>1585</v>
      </c>
      <c r="C1190" s="2" t="s">
        <v>1614</v>
      </c>
      <c r="D1190" s="3" t="str">
        <f t="shared" si="36"/>
        <v>12Go Link</v>
      </c>
      <c r="E1190" s="2" t="s">
        <v>1588</v>
      </c>
    </row>
    <row r="1191">
      <c r="A1191" s="2" t="s">
        <v>1613</v>
      </c>
      <c r="B1191" s="2" t="s">
        <v>1585</v>
      </c>
      <c r="C1191" s="2" t="s">
        <v>1614</v>
      </c>
      <c r="D1191" s="3" t="str">
        <f t="shared" si="36"/>
        <v>12Go Link</v>
      </c>
      <c r="E1191" s="2" t="s">
        <v>1589</v>
      </c>
    </row>
    <row r="1192">
      <c r="A1192" s="2" t="s">
        <v>1613</v>
      </c>
      <c r="B1192" s="2" t="s">
        <v>1590</v>
      </c>
      <c r="C1192" s="2" t="s">
        <v>1615</v>
      </c>
      <c r="D1192" s="3" t="str">
        <f t="shared" ref="D1192:D1194" si="37">HYPERLINK("https://12go.asia/en/travel/Akrotiri-Crete-Hotel-Transfer/Heraklion-Airport", "12Go Link")</f>
        <v>12Go Link</v>
      </c>
      <c r="E1192" s="2" t="s">
        <v>1587</v>
      </c>
    </row>
    <row r="1193">
      <c r="A1193" s="2" t="s">
        <v>1613</v>
      </c>
      <c r="B1193" s="2" t="s">
        <v>1590</v>
      </c>
      <c r="C1193" s="2" t="s">
        <v>1615</v>
      </c>
      <c r="D1193" s="3" t="str">
        <f t="shared" si="37"/>
        <v>12Go Link</v>
      </c>
      <c r="E1193" s="2" t="s">
        <v>1588</v>
      </c>
    </row>
    <row r="1194">
      <c r="A1194" s="2" t="s">
        <v>1613</v>
      </c>
      <c r="B1194" s="2" t="s">
        <v>1590</v>
      </c>
      <c r="C1194" s="2" t="s">
        <v>1615</v>
      </c>
      <c r="D1194" s="3" t="str">
        <f t="shared" si="37"/>
        <v>12Go Link</v>
      </c>
      <c r="E1194" s="2" t="s">
        <v>1589</v>
      </c>
    </row>
    <row r="1195">
      <c r="A1195" s="2" t="s">
        <v>1616</v>
      </c>
      <c r="B1195" s="2" t="s">
        <v>1585</v>
      </c>
      <c r="C1195" s="2" t="s">
        <v>1617</v>
      </c>
      <c r="D1195" s="3" t="str">
        <f t="shared" ref="D1195:D1197" si="38">HYPERLINK("https://12go.asia/en/travel/Almyrida-Hotel-Transfer/Chania-Airport", "12Go Link")</f>
        <v>12Go Link</v>
      </c>
      <c r="E1195" s="2" t="s">
        <v>1587</v>
      </c>
    </row>
    <row r="1196">
      <c r="A1196" s="2" t="s">
        <v>1616</v>
      </c>
      <c r="B1196" s="2" t="s">
        <v>1585</v>
      </c>
      <c r="C1196" s="2" t="s">
        <v>1617</v>
      </c>
      <c r="D1196" s="3" t="str">
        <f t="shared" si="38"/>
        <v>12Go Link</v>
      </c>
      <c r="E1196" s="2" t="s">
        <v>1588</v>
      </c>
    </row>
    <row r="1197">
      <c r="A1197" s="2" t="s">
        <v>1616</v>
      </c>
      <c r="B1197" s="2" t="s">
        <v>1585</v>
      </c>
      <c r="C1197" s="2" t="s">
        <v>1617</v>
      </c>
      <c r="D1197" s="3" t="str">
        <f t="shared" si="38"/>
        <v>12Go Link</v>
      </c>
      <c r="E1197" s="2" t="s">
        <v>1589</v>
      </c>
    </row>
    <row r="1198">
      <c r="A1198" s="2" t="s">
        <v>1616</v>
      </c>
      <c r="B1198" s="2" t="s">
        <v>1590</v>
      </c>
      <c r="C1198" s="2" t="s">
        <v>1618</v>
      </c>
      <c r="D1198" s="3" t="str">
        <f t="shared" ref="D1198:D1200" si="39">HYPERLINK("https://12go.asia/en/travel/Almyrida-Hotel-Transfer/Heraklion-Airport", "12Go Link")</f>
        <v>12Go Link</v>
      </c>
      <c r="E1198" s="2" t="s">
        <v>1587</v>
      </c>
    </row>
    <row r="1199">
      <c r="A1199" s="2" t="s">
        <v>1616</v>
      </c>
      <c r="B1199" s="2" t="s">
        <v>1590</v>
      </c>
      <c r="C1199" s="2" t="s">
        <v>1618</v>
      </c>
      <c r="D1199" s="3" t="str">
        <f t="shared" si="39"/>
        <v>12Go Link</v>
      </c>
      <c r="E1199" s="2" t="s">
        <v>1588</v>
      </c>
    </row>
    <row r="1200">
      <c r="A1200" s="2" t="s">
        <v>1616</v>
      </c>
      <c r="B1200" s="2" t="s">
        <v>1590</v>
      </c>
      <c r="C1200" s="2" t="s">
        <v>1618</v>
      </c>
      <c r="D1200" s="3" t="str">
        <f t="shared" si="39"/>
        <v>12Go Link</v>
      </c>
      <c r="E1200" s="2" t="s">
        <v>1589</v>
      </c>
    </row>
    <row r="1201">
      <c r="A1201" s="2" t="s">
        <v>1619</v>
      </c>
      <c r="B1201" s="2" t="s">
        <v>1585</v>
      </c>
      <c r="C1201" s="2" t="s">
        <v>1620</v>
      </c>
      <c r="D1201" s="3" t="str">
        <f t="shared" ref="D1201:D1203" si="40">HYPERLINK("https://12go.asia/en/travel/Ammoudara-Hotel-Transfer/Chania-Airport", "12Go Link")</f>
        <v>12Go Link</v>
      </c>
      <c r="E1201" s="2" t="s">
        <v>1587</v>
      </c>
    </row>
    <row r="1202">
      <c r="A1202" s="2" t="s">
        <v>1619</v>
      </c>
      <c r="B1202" s="2" t="s">
        <v>1585</v>
      </c>
      <c r="C1202" s="2" t="s">
        <v>1620</v>
      </c>
      <c r="D1202" s="3" t="str">
        <f t="shared" si="40"/>
        <v>12Go Link</v>
      </c>
      <c r="E1202" s="2" t="s">
        <v>1588</v>
      </c>
    </row>
    <row r="1203">
      <c r="A1203" s="2" t="s">
        <v>1619</v>
      </c>
      <c r="B1203" s="2" t="s">
        <v>1585</v>
      </c>
      <c r="C1203" s="2" t="s">
        <v>1620</v>
      </c>
      <c r="D1203" s="3" t="str">
        <f t="shared" si="40"/>
        <v>12Go Link</v>
      </c>
      <c r="E1203" s="2" t="s">
        <v>1589</v>
      </c>
    </row>
    <row r="1204">
      <c r="A1204" s="2" t="s">
        <v>1619</v>
      </c>
      <c r="B1204" s="2" t="s">
        <v>1590</v>
      </c>
      <c r="C1204" s="2" t="s">
        <v>1621</v>
      </c>
      <c r="D1204" s="3" t="str">
        <f t="shared" ref="D1204:D1206" si="41">HYPERLINK("https://12go.asia/en/travel/Ammoudara-Hotel-Transfer/Heraklion-Airport", "12Go Link")</f>
        <v>12Go Link</v>
      </c>
      <c r="E1204" s="2" t="s">
        <v>1587</v>
      </c>
    </row>
    <row r="1205">
      <c r="A1205" s="2" t="s">
        <v>1619</v>
      </c>
      <c r="B1205" s="2" t="s">
        <v>1590</v>
      </c>
      <c r="C1205" s="2" t="s">
        <v>1621</v>
      </c>
      <c r="D1205" s="3" t="str">
        <f t="shared" si="41"/>
        <v>12Go Link</v>
      </c>
      <c r="E1205" s="2" t="s">
        <v>1588</v>
      </c>
    </row>
    <row r="1206">
      <c r="A1206" s="2" t="s">
        <v>1619</v>
      </c>
      <c r="B1206" s="2" t="s">
        <v>1590</v>
      </c>
      <c r="C1206" s="2" t="s">
        <v>1621</v>
      </c>
      <c r="D1206" s="3" t="str">
        <f t="shared" si="41"/>
        <v>12Go Link</v>
      </c>
      <c r="E1206" s="2" t="s">
        <v>1589</v>
      </c>
    </row>
    <row r="1207">
      <c r="A1207" s="2" t="s">
        <v>1622</v>
      </c>
      <c r="B1207" s="2" t="s">
        <v>1585</v>
      </c>
      <c r="C1207" s="2" t="s">
        <v>1623</v>
      </c>
      <c r="D1207" s="3" t="str">
        <f t="shared" ref="D1207:D1209" si="42">HYPERLINK("https://12go.asia/en/travel/Analipsi-Hotel-Transfer/Chania-Airport", "12Go Link")</f>
        <v>12Go Link</v>
      </c>
      <c r="E1207" s="2" t="s">
        <v>1587</v>
      </c>
    </row>
    <row r="1208">
      <c r="A1208" s="2" t="s">
        <v>1622</v>
      </c>
      <c r="B1208" s="2" t="s">
        <v>1585</v>
      </c>
      <c r="C1208" s="2" t="s">
        <v>1623</v>
      </c>
      <c r="D1208" s="3" t="str">
        <f t="shared" si="42"/>
        <v>12Go Link</v>
      </c>
      <c r="E1208" s="2" t="s">
        <v>1588</v>
      </c>
    </row>
    <row r="1209">
      <c r="A1209" s="2" t="s">
        <v>1622</v>
      </c>
      <c r="B1209" s="2" t="s">
        <v>1585</v>
      </c>
      <c r="C1209" s="2" t="s">
        <v>1623</v>
      </c>
      <c r="D1209" s="3" t="str">
        <f t="shared" si="42"/>
        <v>12Go Link</v>
      </c>
      <c r="E1209" s="2" t="s">
        <v>1589</v>
      </c>
    </row>
    <row r="1210">
      <c r="A1210" s="2" t="s">
        <v>1622</v>
      </c>
      <c r="B1210" s="2" t="s">
        <v>1590</v>
      </c>
      <c r="C1210" s="2" t="s">
        <v>1624</v>
      </c>
      <c r="D1210" s="3" t="str">
        <f t="shared" ref="D1210:D1212" si="43">HYPERLINK("https://12go.asia/en/travel/Analipsi-Hotel-Transfer/Heraklion-Airport", "12Go Link")</f>
        <v>12Go Link</v>
      </c>
      <c r="E1210" s="2" t="s">
        <v>1587</v>
      </c>
    </row>
    <row r="1211">
      <c r="A1211" s="2" t="s">
        <v>1622</v>
      </c>
      <c r="B1211" s="2" t="s">
        <v>1590</v>
      </c>
      <c r="C1211" s="2" t="s">
        <v>1624</v>
      </c>
      <c r="D1211" s="3" t="str">
        <f t="shared" si="43"/>
        <v>12Go Link</v>
      </c>
      <c r="E1211" s="2" t="s">
        <v>1588</v>
      </c>
    </row>
    <row r="1212">
      <c r="A1212" s="2" t="s">
        <v>1622</v>
      </c>
      <c r="B1212" s="2" t="s">
        <v>1590</v>
      </c>
      <c r="C1212" s="2" t="s">
        <v>1624</v>
      </c>
      <c r="D1212" s="3" t="str">
        <f t="shared" si="43"/>
        <v>12Go Link</v>
      </c>
      <c r="E1212" s="2" t="s">
        <v>1589</v>
      </c>
    </row>
    <row r="1213">
      <c r="A1213" s="2" t="s">
        <v>1625</v>
      </c>
      <c r="B1213" s="2" t="s">
        <v>1585</v>
      </c>
      <c r="C1213" s="2" t="s">
        <v>1626</v>
      </c>
      <c r="D1213" s="3" t="str">
        <f t="shared" ref="D1213:D1215" si="44">HYPERLINK("https://12go.asia/en/travel/Anissaras-Hotel-Transfer/Chania-Airport", "12Go Link")</f>
        <v>12Go Link</v>
      </c>
      <c r="E1213" s="2" t="s">
        <v>1587</v>
      </c>
    </row>
    <row r="1214">
      <c r="A1214" s="2" t="s">
        <v>1625</v>
      </c>
      <c r="B1214" s="2" t="s">
        <v>1585</v>
      </c>
      <c r="C1214" s="2" t="s">
        <v>1626</v>
      </c>
      <c r="D1214" s="3" t="str">
        <f t="shared" si="44"/>
        <v>12Go Link</v>
      </c>
      <c r="E1214" s="2" t="s">
        <v>1588</v>
      </c>
    </row>
    <row r="1215">
      <c r="A1215" s="2" t="s">
        <v>1625</v>
      </c>
      <c r="B1215" s="2" t="s">
        <v>1585</v>
      </c>
      <c r="C1215" s="2" t="s">
        <v>1626</v>
      </c>
      <c r="D1215" s="3" t="str">
        <f t="shared" si="44"/>
        <v>12Go Link</v>
      </c>
      <c r="E1215" s="2" t="s">
        <v>1589</v>
      </c>
    </row>
    <row r="1216">
      <c r="A1216" s="2" t="s">
        <v>1625</v>
      </c>
      <c r="B1216" s="2" t="s">
        <v>1590</v>
      </c>
      <c r="C1216" s="2" t="s">
        <v>1627</v>
      </c>
      <c r="D1216" s="3" t="str">
        <f t="shared" ref="D1216:D1218" si="45">HYPERLINK("https://12go.asia/en/travel/Anissaras-Hotel-Transfer/Heraklion-Airport", "12Go Link")</f>
        <v>12Go Link</v>
      </c>
      <c r="E1216" s="2" t="s">
        <v>1587</v>
      </c>
    </row>
    <row r="1217">
      <c r="A1217" s="2" t="s">
        <v>1625</v>
      </c>
      <c r="B1217" s="2" t="s">
        <v>1590</v>
      </c>
      <c r="C1217" s="2" t="s">
        <v>1627</v>
      </c>
      <c r="D1217" s="3" t="str">
        <f t="shared" si="45"/>
        <v>12Go Link</v>
      </c>
      <c r="E1217" s="2" t="s">
        <v>1588</v>
      </c>
    </row>
    <row r="1218">
      <c r="A1218" s="2" t="s">
        <v>1625</v>
      </c>
      <c r="B1218" s="2" t="s">
        <v>1590</v>
      </c>
      <c r="C1218" s="2" t="s">
        <v>1627</v>
      </c>
      <c r="D1218" s="3" t="str">
        <f t="shared" si="45"/>
        <v>12Go Link</v>
      </c>
      <c r="E1218" s="2" t="s">
        <v>1589</v>
      </c>
    </row>
    <row r="1219">
      <c r="A1219" s="2" t="s">
        <v>1628</v>
      </c>
      <c r="B1219" s="2" t="s">
        <v>1585</v>
      </c>
      <c r="C1219" s="2" t="s">
        <v>1629</v>
      </c>
      <c r="D1219" s="3" t="str">
        <f t="shared" ref="D1219:D1221" si="46">HYPERLINK("https://12go.asia/en/travel/Anopoli-Hotel-Transfer/Chania-Airport", "12Go Link")</f>
        <v>12Go Link</v>
      </c>
      <c r="E1219" s="2" t="s">
        <v>1587</v>
      </c>
    </row>
    <row r="1220">
      <c r="A1220" s="2" t="s">
        <v>1628</v>
      </c>
      <c r="B1220" s="2" t="s">
        <v>1585</v>
      </c>
      <c r="C1220" s="2" t="s">
        <v>1629</v>
      </c>
      <c r="D1220" s="3" t="str">
        <f t="shared" si="46"/>
        <v>12Go Link</v>
      </c>
      <c r="E1220" s="2" t="s">
        <v>1588</v>
      </c>
    </row>
    <row r="1221">
      <c r="A1221" s="2" t="s">
        <v>1628</v>
      </c>
      <c r="B1221" s="2" t="s">
        <v>1585</v>
      </c>
      <c r="C1221" s="2" t="s">
        <v>1629</v>
      </c>
      <c r="D1221" s="3" t="str">
        <f t="shared" si="46"/>
        <v>12Go Link</v>
      </c>
      <c r="E1221" s="2" t="s">
        <v>1589</v>
      </c>
    </row>
    <row r="1222">
      <c r="A1222" s="2" t="s">
        <v>1628</v>
      </c>
      <c r="B1222" s="2" t="s">
        <v>1590</v>
      </c>
      <c r="C1222" s="2" t="s">
        <v>1630</v>
      </c>
      <c r="D1222" s="3" t="str">
        <f t="shared" ref="D1222:D1224" si="47">HYPERLINK("https://12go.asia/en/travel/Anopoli-Hotel-Transfer/Heraklion-Airport", "12Go Link")</f>
        <v>12Go Link</v>
      </c>
      <c r="E1222" s="2" t="s">
        <v>1587</v>
      </c>
    </row>
    <row r="1223">
      <c r="A1223" s="2" t="s">
        <v>1628</v>
      </c>
      <c r="B1223" s="2" t="s">
        <v>1590</v>
      </c>
      <c r="C1223" s="2" t="s">
        <v>1630</v>
      </c>
      <c r="D1223" s="3" t="str">
        <f t="shared" si="47"/>
        <v>12Go Link</v>
      </c>
      <c r="E1223" s="2" t="s">
        <v>1588</v>
      </c>
    </row>
    <row r="1224">
      <c r="A1224" s="2" t="s">
        <v>1628</v>
      </c>
      <c r="B1224" s="2" t="s">
        <v>1590</v>
      </c>
      <c r="C1224" s="2" t="s">
        <v>1630</v>
      </c>
      <c r="D1224" s="3" t="str">
        <f t="shared" si="47"/>
        <v>12Go Link</v>
      </c>
      <c r="E1224" s="2" t="s">
        <v>1589</v>
      </c>
    </row>
    <row r="1225">
      <c r="A1225" s="2" t="s">
        <v>1631</v>
      </c>
      <c r="B1225" s="2" t="s">
        <v>1585</v>
      </c>
      <c r="C1225" s="2" t="s">
        <v>1632</v>
      </c>
      <c r="D1225" s="3" t="str">
        <f t="shared" ref="D1225:D1227" si="48">HYPERLINK("https://12go.asia/en/travel/Aptera-Hotel-Transfer/Chania-Airport", "12Go Link")</f>
        <v>12Go Link</v>
      </c>
      <c r="E1225" s="2" t="s">
        <v>1587</v>
      </c>
    </row>
    <row r="1226">
      <c r="A1226" s="2" t="s">
        <v>1631</v>
      </c>
      <c r="B1226" s="2" t="s">
        <v>1585</v>
      </c>
      <c r="C1226" s="2" t="s">
        <v>1632</v>
      </c>
      <c r="D1226" s="3" t="str">
        <f t="shared" si="48"/>
        <v>12Go Link</v>
      </c>
      <c r="E1226" s="2" t="s">
        <v>1588</v>
      </c>
    </row>
    <row r="1227">
      <c r="A1227" s="2" t="s">
        <v>1631</v>
      </c>
      <c r="B1227" s="2" t="s">
        <v>1585</v>
      </c>
      <c r="C1227" s="2" t="s">
        <v>1632</v>
      </c>
      <c r="D1227" s="3" t="str">
        <f t="shared" si="48"/>
        <v>12Go Link</v>
      </c>
      <c r="E1227" s="2" t="s">
        <v>1589</v>
      </c>
    </row>
    <row r="1228">
      <c r="A1228" s="2" t="s">
        <v>1631</v>
      </c>
      <c r="B1228" s="2" t="s">
        <v>1590</v>
      </c>
      <c r="C1228" s="2" t="s">
        <v>1633</v>
      </c>
      <c r="D1228" s="3" t="str">
        <f t="shared" ref="D1228:D1230" si="49">HYPERLINK("https://12go.asia/en/travel/Aptera-Hotel-Transfer/Heraklion-Airport", "12Go Link")</f>
        <v>12Go Link</v>
      </c>
      <c r="E1228" s="2" t="s">
        <v>1587</v>
      </c>
    </row>
    <row r="1229">
      <c r="A1229" s="2" t="s">
        <v>1631</v>
      </c>
      <c r="B1229" s="2" t="s">
        <v>1590</v>
      </c>
      <c r="C1229" s="2" t="s">
        <v>1633</v>
      </c>
      <c r="D1229" s="3" t="str">
        <f t="shared" si="49"/>
        <v>12Go Link</v>
      </c>
      <c r="E1229" s="2" t="s">
        <v>1588</v>
      </c>
    </row>
    <row r="1230">
      <c r="A1230" s="2" t="s">
        <v>1631</v>
      </c>
      <c r="B1230" s="2" t="s">
        <v>1590</v>
      </c>
      <c r="C1230" s="2" t="s">
        <v>1633</v>
      </c>
      <c r="D1230" s="3" t="str">
        <f t="shared" si="49"/>
        <v>12Go Link</v>
      </c>
      <c r="E1230" s="2" t="s">
        <v>1589</v>
      </c>
    </row>
    <row r="1231">
      <c r="A1231" s="2" t="s">
        <v>1634</v>
      </c>
      <c r="B1231" s="2" t="s">
        <v>1585</v>
      </c>
      <c r="C1231" s="2" t="s">
        <v>1635</v>
      </c>
      <c r="D1231" s="3" t="str">
        <f t="shared" ref="D1231:D1233" si="50">HYPERLINK("https://12go.asia/en/travel/Armenoi-Hotel-Transfer/Chania-Airport", "12Go Link")</f>
        <v>12Go Link</v>
      </c>
      <c r="E1231" s="2" t="s">
        <v>1587</v>
      </c>
    </row>
    <row r="1232">
      <c r="A1232" s="2" t="s">
        <v>1634</v>
      </c>
      <c r="B1232" s="2" t="s">
        <v>1585</v>
      </c>
      <c r="C1232" s="2" t="s">
        <v>1635</v>
      </c>
      <c r="D1232" s="3" t="str">
        <f t="shared" si="50"/>
        <v>12Go Link</v>
      </c>
      <c r="E1232" s="2" t="s">
        <v>1588</v>
      </c>
    </row>
    <row r="1233">
      <c r="A1233" s="2" t="s">
        <v>1634</v>
      </c>
      <c r="B1233" s="2" t="s">
        <v>1585</v>
      </c>
      <c r="C1233" s="2" t="s">
        <v>1635</v>
      </c>
      <c r="D1233" s="3" t="str">
        <f t="shared" si="50"/>
        <v>12Go Link</v>
      </c>
      <c r="E1233" s="2" t="s">
        <v>1589</v>
      </c>
    </row>
    <row r="1234">
      <c r="A1234" s="2" t="s">
        <v>1634</v>
      </c>
      <c r="B1234" s="2" t="s">
        <v>1590</v>
      </c>
      <c r="C1234" s="2" t="s">
        <v>1636</v>
      </c>
      <c r="D1234" s="3" t="str">
        <f t="shared" ref="D1234:D1236" si="51">HYPERLINK("https://12go.asia/en/travel/Armenoi-Hotel-Transfer/Heraklion-Airport", "12Go Link")</f>
        <v>12Go Link</v>
      </c>
      <c r="E1234" s="2" t="s">
        <v>1587</v>
      </c>
    </row>
    <row r="1235">
      <c r="A1235" s="2" t="s">
        <v>1634</v>
      </c>
      <c r="B1235" s="2" t="s">
        <v>1590</v>
      </c>
      <c r="C1235" s="2" t="s">
        <v>1636</v>
      </c>
      <c r="D1235" s="3" t="str">
        <f t="shared" si="51"/>
        <v>12Go Link</v>
      </c>
      <c r="E1235" s="2" t="s">
        <v>1588</v>
      </c>
    </row>
    <row r="1236">
      <c r="A1236" s="2" t="s">
        <v>1634</v>
      </c>
      <c r="B1236" s="2" t="s">
        <v>1590</v>
      </c>
      <c r="C1236" s="2" t="s">
        <v>1636</v>
      </c>
      <c r="D1236" s="3" t="str">
        <f t="shared" si="51"/>
        <v>12Go Link</v>
      </c>
      <c r="E1236" s="2" t="s">
        <v>1589</v>
      </c>
    </row>
    <row r="1237">
      <c r="A1237" s="2" t="s">
        <v>1637</v>
      </c>
      <c r="B1237" s="2" t="s">
        <v>1585</v>
      </c>
      <c r="C1237" s="2" t="s">
        <v>1638</v>
      </c>
      <c r="D1237" s="3" t="str">
        <f t="shared" ref="D1237:D1239" si="52">HYPERLINK("https://12go.asia/en/travel/Aspro-Hotel-Transfer/Chania-Airport", "12Go Link")</f>
        <v>12Go Link</v>
      </c>
      <c r="E1237" s="2" t="s">
        <v>1587</v>
      </c>
    </row>
    <row r="1238">
      <c r="A1238" s="2" t="s">
        <v>1637</v>
      </c>
      <c r="B1238" s="2" t="s">
        <v>1585</v>
      </c>
      <c r="C1238" s="2" t="s">
        <v>1638</v>
      </c>
      <c r="D1238" s="3" t="str">
        <f t="shared" si="52"/>
        <v>12Go Link</v>
      </c>
      <c r="E1238" s="2" t="s">
        <v>1588</v>
      </c>
    </row>
    <row r="1239">
      <c r="A1239" s="2" t="s">
        <v>1637</v>
      </c>
      <c r="B1239" s="2" t="s">
        <v>1585</v>
      </c>
      <c r="C1239" s="2" t="s">
        <v>1638</v>
      </c>
      <c r="D1239" s="3" t="str">
        <f t="shared" si="52"/>
        <v>12Go Link</v>
      </c>
      <c r="E1239" s="2" t="s">
        <v>1589</v>
      </c>
    </row>
    <row r="1240">
      <c r="A1240" s="2" t="s">
        <v>1637</v>
      </c>
      <c r="B1240" s="2" t="s">
        <v>1590</v>
      </c>
      <c r="C1240" s="2" t="s">
        <v>1639</v>
      </c>
      <c r="D1240" s="3" t="str">
        <f t="shared" ref="D1240:D1242" si="53">HYPERLINK("https://12go.asia/en/travel/Aspro-Hotel-Transfer/Heraklion-Airport", "12Go Link")</f>
        <v>12Go Link</v>
      </c>
      <c r="E1240" s="2" t="s">
        <v>1587</v>
      </c>
    </row>
    <row r="1241">
      <c r="A1241" s="2" t="s">
        <v>1637</v>
      </c>
      <c r="B1241" s="2" t="s">
        <v>1590</v>
      </c>
      <c r="C1241" s="2" t="s">
        <v>1639</v>
      </c>
      <c r="D1241" s="3" t="str">
        <f t="shared" si="53"/>
        <v>12Go Link</v>
      </c>
      <c r="E1241" s="2" t="s">
        <v>1588</v>
      </c>
    </row>
    <row r="1242">
      <c r="A1242" s="2" t="s">
        <v>1637</v>
      </c>
      <c r="B1242" s="2" t="s">
        <v>1590</v>
      </c>
      <c r="C1242" s="2" t="s">
        <v>1639</v>
      </c>
      <c r="D1242" s="3" t="str">
        <f t="shared" si="53"/>
        <v>12Go Link</v>
      </c>
      <c r="E1242" s="2" t="s">
        <v>1589</v>
      </c>
    </row>
    <row r="1243">
      <c r="A1243" s="2" t="s">
        <v>1640</v>
      </c>
      <c r="B1243" s="2" t="s">
        <v>1585</v>
      </c>
      <c r="C1243" s="2" t="s">
        <v>1641</v>
      </c>
      <c r="D1243" s="3" t="str">
        <f t="shared" ref="D1243:D1245" si="54">HYPERLINK("https://12go.asia/en/travel/Atsipopoulo-Hotel-Transfer/Chania-Airport", "12Go Link")</f>
        <v>12Go Link</v>
      </c>
      <c r="E1243" s="2" t="s">
        <v>1587</v>
      </c>
    </row>
    <row r="1244">
      <c r="A1244" s="2" t="s">
        <v>1640</v>
      </c>
      <c r="B1244" s="2" t="s">
        <v>1585</v>
      </c>
      <c r="C1244" s="2" t="s">
        <v>1641</v>
      </c>
      <c r="D1244" s="3" t="str">
        <f t="shared" si="54"/>
        <v>12Go Link</v>
      </c>
      <c r="E1244" s="2" t="s">
        <v>1588</v>
      </c>
    </row>
    <row r="1245">
      <c r="A1245" s="2" t="s">
        <v>1640</v>
      </c>
      <c r="B1245" s="2" t="s">
        <v>1585</v>
      </c>
      <c r="C1245" s="2" t="s">
        <v>1641</v>
      </c>
      <c r="D1245" s="3" t="str">
        <f t="shared" si="54"/>
        <v>12Go Link</v>
      </c>
      <c r="E1245" s="2" t="s">
        <v>1589</v>
      </c>
    </row>
    <row r="1246">
      <c r="A1246" s="2" t="s">
        <v>1640</v>
      </c>
      <c r="B1246" s="2" t="s">
        <v>1590</v>
      </c>
      <c r="C1246" s="2" t="s">
        <v>1642</v>
      </c>
      <c r="D1246" s="3" t="str">
        <f t="shared" ref="D1246:D1248" si="55">HYPERLINK("https://12go.asia/en/travel/Atsipopoulo-Hotel-Transfer/Heraklion-Airport", "12Go Link")</f>
        <v>12Go Link</v>
      </c>
      <c r="E1246" s="2" t="s">
        <v>1587</v>
      </c>
    </row>
    <row r="1247">
      <c r="A1247" s="2" t="s">
        <v>1640</v>
      </c>
      <c r="B1247" s="2" t="s">
        <v>1590</v>
      </c>
      <c r="C1247" s="2" t="s">
        <v>1642</v>
      </c>
      <c r="D1247" s="3" t="str">
        <f t="shared" si="55"/>
        <v>12Go Link</v>
      </c>
      <c r="E1247" s="2" t="s">
        <v>1588</v>
      </c>
    </row>
    <row r="1248">
      <c r="A1248" s="2" t="s">
        <v>1640</v>
      </c>
      <c r="B1248" s="2" t="s">
        <v>1590</v>
      </c>
      <c r="C1248" s="2" t="s">
        <v>1642</v>
      </c>
      <c r="D1248" s="3" t="str">
        <f t="shared" si="55"/>
        <v>12Go Link</v>
      </c>
      <c r="E1248" s="2" t="s">
        <v>1589</v>
      </c>
    </row>
    <row r="1249">
      <c r="A1249" s="2" t="s">
        <v>1643</v>
      </c>
      <c r="B1249" s="2" t="s">
        <v>1585</v>
      </c>
      <c r="C1249" s="2" t="s">
        <v>1644</v>
      </c>
      <c r="D1249" s="3" t="str">
        <f t="shared" ref="D1249:D1251" si="56">HYPERLINK("https://12go.asia/en/travel/Bali-Rethymno-Hotel-Transfer/Chania-Airport", "12Go Link")</f>
        <v>12Go Link</v>
      </c>
      <c r="E1249" s="2" t="s">
        <v>1587</v>
      </c>
    </row>
    <row r="1250">
      <c r="A1250" s="2" t="s">
        <v>1643</v>
      </c>
      <c r="B1250" s="2" t="s">
        <v>1585</v>
      </c>
      <c r="C1250" s="2" t="s">
        <v>1644</v>
      </c>
      <c r="D1250" s="3" t="str">
        <f t="shared" si="56"/>
        <v>12Go Link</v>
      </c>
      <c r="E1250" s="2" t="s">
        <v>1588</v>
      </c>
    </row>
    <row r="1251">
      <c r="A1251" s="2" t="s">
        <v>1643</v>
      </c>
      <c r="B1251" s="2" t="s">
        <v>1585</v>
      </c>
      <c r="C1251" s="2" t="s">
        <v>1644</v>
      </c>
      <c r="D1251" s="3" t="str">
        <f t="shared" si="56"/>
        <v>12Go Link</v>
      </c>
      <c r="E1251" s="2" t="s">
        <v>1589</v>
      </c>
    </row>
    <row r="1252">
      <c r="A1252" s="2" t="s">
        <v>1643</v>
      </c>
      <c r="B1252" s="2" t="s">
        <v>1590</v>
      </c>
      <c r="C1252" s="2" t="s">
        <v>1645</v>
      </c>
      <c r="D1252" s="3" t="str">
        <f t="shared" ref="D1252:D1254" si="57">HYPERLINK("https://12go.asia/en/travel/Bali-Rethymno-Hotel-Transfer/Heraklion-Airport", "12Go Link")</f>
        <v>12Go Link</v>
      </c>
      <c r="E1252" s="2" t="s">
        <v>1587</v>
      </c>
    </row>
    <row r="1253">
      <c r="A1253" s="2" t="s">
        <v>1643</v>
      </c>
      <c r="B1253" s="2" t="s">
        <v>1590</v>
      </c>
      <c r="C1253" s="2" t="s">
        <v>1645</v>
      </c>
      <c r="D1253" s="3" t="str">
        <f t="shared" si="57"/>
        <v>12Go Link</v>
      </c>
      <c r="E1253" s="2" t="s">
        <v>1588</v>
      </c>
    </row>
    <row r="1254">
      <c r="A1254" s="2" t="s">
        <v>1643</v>
      </c>
      <c r="B1254" s="2" t="s">
        <v>1590</v>
      </c>
      <c r="C1254" s="2" t="s">
        <v>1645</v>
      </c>
      <c r="D1254" s="3" t="str">
        <f t="shared" si="57"/>
        <v>12Go Link</v>
      </c>
      <c r="E1254" s="2" t="s">
        <v>1589</v>
      </c>
    </row>
    <row r="1255">
      <c r="A1255" s="2" t="s">
        <v>1585</v>
      </c>
      <c r="B1255" s="2" t="s">
        <v>1584</v>
      </c>
      <c r="C1255" s="2" t="s">
        <v>1646</v>
      </c>
      <c r="D1255" s="3" t="str">
        <f t="shared" ref="D1255:D1257" si="58">HYPERLINK("https://12go.asia/en/travel/Chania-Airport/Adele-Hotel-Transfer", "12Go Link")</f>
        <v>12Go Link</v>
      </c>
      <c r="E1255" s="2" t="s">
        <v>1587</v>
      </c>
    </row>
    <row r="1256">
      <c r="A1256" s="2" t="s">
        <v>1585</v>
      </c>
      <c r="B1256" s="2" t="s">
        <v>1584</v>
      </c>
      <c r="C1256" s="2" t="s">
        <v>1646</v>
      </c>
      <c r="D1256" s="3" t="str">
        <f t="shared" si="58"/>
        <v>12Go Link</v>
      </c>
      <c r="E1256" s="2" t="s">
        <v>1588</v>
      </c>
    </row>
    <row r="1257">
      <c r="A1257" s="2" t="s">
        <v>1585</v>
      </c>
      <c r="B1257" s="2" t="s">
        <v>1584</v>
      </c>
      <c r="C1257" s="2" t="s">
        <v>1646</v>
      </c>
      <c r="D1257" s="3" t="str">
        <f t="shared" si="58"/>
        <v>12Go Link</v>
      </c>
      <c r="E1257" s="2" t="s">
        <v>1589</v>
      </c>
    </row>
    <row r="1258">
      <c r="A1258" s="2" t="s">
        <v>1585</v>
      </c>
      <c r="B1258" s="2" t="s">
        <v>1592</v>
      </c>
      <c r="C1258" s="2" t="s">
        <v>1647</v>
      </c>
      <c r="D1258" s="3" t="str">
        <f t="shared" ref="D1258:D1260" si="59">HYPERLINK("https://12go.asia/en/travel/Chania-Airport/Adelianos-Kampos-Hotel-Transfer", "12Go Link")</f>
        <v>12Go Link</v>
      </c>
      <c r="E1258" s="2" t="s">
        <v>1587</v>
      </c>
    </row>
    <row r="1259">
      <c r="A1259" s="2" t="s">
        <v>1585</v>
      </c>
      <c r="B1259" s="2" t="s">
        <v>1592</v>
      </c>
      <c r="C1259" s="2" t="s">
        <v>1647</v>
      </c>
      <c r="D1259" s="3" t="str">
        <f t="shared" si="59"/>
        <v>12Go Link</v>
      </c>
      <c r="E1259" s="2" t="s">
        <v>1588</v>
      </c>
    </row>
    <row r="1260">
      <c r="A1260" s="2" t="s">
        <v>1585</v>
      </c>
      <c r="B1260" s="2" t="s">
        <v>1592</v>
      </c>
      <c r="C1260" s="2" t="s">
        <v>1647</v>
      </c>
      <c r="D1260" s="3" t="str">
        <f t="shared" si="59"/>
        <v>12Go Link</v>
      </c>
      <c r="E1260" s="2" t="s">
        <v>1589</v>
      </c>
    </row>
    <row r="1261">
      <c r="A1261" s="2" t="s">
        <v>1585</v>
      </c>
      <c r="B1261" s="2" t="s">
        <v>1595</v>
      </c>
      <c r="C1261" s="2" t="s">
        <v>1648</v>
      </c>
      <c r="D1261" s="3" t="str">
        <f t="shared" ref="D1261:D1263" si="60">HYPERLINK("https://12go.asia/en/travel/Chania-Airport/Agia-Galini-Hotel-Transfer", "12Go Link")</f>
        <v>12Go Link</v>
      </c>
      <c r="E1261" s="2" t="s">
        <v>1587</v>
      </c>
    </row>
    <row r="1262">
      <c r="A1262" s="2" t="s">
        <v>1585</v>
      </c>
      <c r="B1262" s="2" t="s">
        <v>1595</v>
      </c>
      <c r="C1262" s="2" t="s">
        <v>1648</v>
      </c>
      <c r="D1262" s="3" t="str">
        <f t="shared" si="60"/>
        <v>12Go Link</v>
      </c>
      <c r="E1262" s="2" t="s">
        <v>1588</v>
      </c>
    </row>
    <row r="1263">
      <c r="A1263" s="2" t="s">
        <v>1585</v>
      </c>
      <c r="B1263" s="2" t="s">
        <v>1595</v>
      </c>
      <c r="C1263" s="2" t="s">
        <v>1648</v>
      </c>
      <c r="D1263" s="3" t="str">
        <f t="shared" si="60"/>
        <v>12Go Link</v>
      </c>
      <c r="E1263" s="2" t="s">
        <v>1589</v>
      </c>
    </row>
    <row r="1264">
      <c r="A1264" s="2" t="s">
        <v>1585</v>
      </c>
      <c r="B1264" s="2" t="s">
        <v>1598</v>
      </c>
      <c r="C1264" s="2" t="s">
        <v>1649</v>
      </c>
      <c r="D1264" s="3" t="str">
        <f t="shared" ref="D1264:D1266" si="61">HYPERLINK("https://12go.asia/en/travel/Chania-Airport/Agia-Marina-Hotel-Transfer", "12Go Link")</f>
        <v>12Go Link</v>
      </c>
      <c r="E1264" s="2" t="s">
        <v>1587</v>
      </c>
    </row>
    <row r="1265">
      <c r="A1265" s="2" t="s">
        <v>1585</v>
      </c>
      <c r="B1265" s="2" t="s">
        <v>1598</v>
      </c>
      <c r="C1265" s="2" t="s">
        <v>1649</v>
      </c>
      <c r="D1265" s="3" t="str">
        <f t="shared" si="61"/>
        <v>12Go Link</v>
      </c>
      <c r="E1265" s="2" t="s">
        <v>1588</v>
      </c>
    </row>
    <row r="1266">
      <c r="A1266" s="2" t="s">
        <v>1585</v>
      </c>
      <c r="B1266" s="2" t="s">
        <v>1598</v>
      </c>
      <c r="C1266" s="2" t="s">
        <v>1649</v>
      </c>
      <c r="D1266" s="3" t="str">
        <f t="shared" si="61"/>
        <v>12Go Link</v>
      </c>
      <c r="E1266" s="2" t="s">
        <v>1589</v>
      </c>
    </row>
    <row r="1267">
      <c r="A1267" s="2" t="s">
        <v>1585</v>
      </c>
      <c r="B1267" s="2" t="s">
        <v>1601</v>
      </c>
      <c r="C1267" s="2" t="s">
        <v>1650</v>
      </c>
      <c r="D1267" s="3" t="str">
        <f t="shared" ref="D1267:D1269" si="62">HYPERLINK("https://12go.asia/en/travel/Chania-Airport/Agia-Pelagia-Hotel-Transfer", "12Go Link")</f>
        <v>12Go Link</v>
      </c>
      <c r="E1267" s="2" t="s">
        <v>1587</v>
      </c>
    </row>
    <row r="1268">
      <c r="A1268" s="2" t="s">
        <v>1585</v>
      </c>
      <c r="B1268" s="2" t="s">
        <v>1601</v>
      </c>
      <c r="C1268" s="2" t="s">
        <v>1650</v>
      </c>
      <c r="D1268" s="3" t="str">
        <f t="shared" si="62"/>
        <v>12Go Link</v>
      </c>
      <c r="E1268" s="2" t="s">
        <v>1588</v>
      </c>
    </row>
    <row r="1269">
      <c r="A1269" s="2" t="s">
        <v>1585</v>
      </c>
      <c r="B1269" s="2" t="s">
        <v>1601</v>
      </c>
      <c r="C1269" s="2" t="s">
        <v>1650</v>
      </c>
      <c r="D1269" s="3" t="str">
        <f t="shared" si="62"/>
        <v>12Go Link</v>
      </c>
      <c r="E1269" s="2" t="s">
        <v>1589</v>
      </c>
    </row>
    <row r="1270">
      <c r="A1270" s="2" t="s">
        <v>1585</v>
      </c>
      <c r="B1270" s="2" t="s">
        <v>1604</v>
      </c>
      <c r="C1270" s="2" t="s">
        <v>1651</v>
      </c>
      <c r="D1270" s="3" t="str">
        <f t="shared" ref="D1270:D1272" si="63">HYPERLINK("https://12go.asia/en/travel/Chania-Airport/Agia-Triada-Hotel-Transfer", "12Go Link")</f>
        <v>12Go Link</v>
      </c>
      <c r="E1270" s="2" t="s">
        <v>1587</v>
      </c>
    </row>
    <row r="1271">
      <c r="A1271" s="2" t="s">
        <v>1585</v>
      </c>
      <c r="B1271" s="2" t="s">
        <v>1604</v>
      </c>
      <c r="C1271" s="2" t="s">
        <v>1651</v>
      </c>
      <c r="D1271" s="3" t="str">
        <f t="shared" si="63"/>
        <v>12Go Link</v>
      </c>
      <c r="E1271" s="2" t="s">
        <v>1588</v>
      </c>
    </row>
    <row r="1272">
      <c r="A1272" s="2" t="s">
        <v>1585</v>
      </c>
      <c r="B1272" s="2" t="s">
        <v>1604</v>
      </c>
      <c r="C1272" s="2" t="s">
        <v>1651</v>
      </c>
      <c r="D1272" s="3" t="str">
        <f t="shared" si="63"/>
        <v>12Go Link</v>
      </c>
      <c r="E1272" s="2" t="s">
        <v>1589</v>
      </c>
    </row>
    <row r="1273">
      <c r="A1273" s="2" t="s">
        <v>1585</v>
      </c>
      <c r="B1273" s="2" t="s">
        <v>1607</v>
      </c>
      <c r="C1273" s="2" t="s">
        <v>1652</v>
      </c>
      <c r="D1273" s="3" t="str">
        <f t="shared" ref="D1273:D1275" si="64">HYPERLINK("https://12go.asia/en/travel/Chania-Airport/Agios-Nikolaos-Hotel-Transfer", "12Go Link")</f>
        <v>12Go Link</v>
      </c>
      <c r="E1273" s="2" t="s">
        <v>1587</v>
      </c>
    </row>
    <row r="1274">
      <c r="A1274" s="2" t="s">
        <v>1585</v>
      </c>
      <c r="B1274" s="2" t="s">
        <v>1607</v>
      </c>
      <c r="C1274" s="2" t="s">
        <v>1652</v>
      </c>
      <c r="D1274" s="3" t="str">
        <f t="shared" si="64"/>
        <v>12Go Link</v>
      </c>
      <c r="E1274" s="2" t="s">
        <v>1588</v>
      </c>
    </row>
    <row r="1275">
      <c r="A1275" s="2" t="s">
        <v>1585</v>
      </c>
      <c r="B1275" s="2" t="s">
        <v>1607</v>
      </c>
      <c r="C1275" s="2" t="s">
        <v>1652</v>
      </c>
      <c r="D1275" s="3" t="str">
        <f t="shared" si="64"/>
        <v>12Go Link</v>
      </c>
      <c r="E1275" s="2" t="s">
        <v>1589</v>
      </c>
    </row>
    <row r="1276">
      <c r="A1276" s="2" t="s">
        <v>1585</v>
      </c>
      <c r="B1276" s="2" t="s">
        <v>1610</v>
      </c>
      <c r="C1276" s="2" t="s">
        <v>1653</v>
      </c>
      <c r="D1276" s="3" t="str">
        <f t="shared" ref="D1276:D1278" si="65">HYPERLINK("https://12go.asia/en/travel/Chania-Airport/Agios-Pavlos-Hotel-Transfer", "12Go Link")</f>
        <v>12Go Link</v>
      </c>
      <c r="E1276" s="2" t="s">
        <v>1587</v>
      </c>
    </row>
    <row r="1277">
      <c r="A1277" s="2" t="s">
        <v>1585</v>
      </c>
      <c r="B1277" s="2" t="s">
        <v>1610</v>
      </c>
      <c r="C1277" s="2" t="s">
        <v>1653</v>
      </c>
      <c r="D1277" s="3" t="str">
        <f t="shared" si="65"/>
        <v>12Go Link</v>
      </c>
      <c r="E1277" s="2" t="s">
        <v>1588</v>
      </c>
    </row>
    <row r="1278">
      <c r="A1278" s="2" t="s">
        <v>1585</v>
      </c>
      <c r="B1278" s="2" t="s">
        <v>1610</v>
      </c>
      <c r="C1278" s="2" t="s">
        <v>1653</v>
      </c>
      <c r="D1278" s="3" t="str">
        <f t="shared" si="65"/>
        <v>12Go Link</v>
      </c>
      <c r="E1278" s="2" t="s">
        <v>1589</v>
      </c>
    </row>
    <row r="1279">
      <c r="A1279" s="2" t="s">
        <v>1585</v>
      </c>
      <c r="B1279" s="2" t="s">
        <v>1613</v>
      </c>
      <c r="C1279" s="2" t="s">
        <v>1654</v>
      </c>
      <c r="D1279" s="3" t="str">
        <f t="shared" ref="D1279:D1281" si="66">HYPERLINK("https://12go.asia/en/travel/Chania-Airport/Akrotiri-Crete-Hotel-Transfer", "12Go Link")</f>
        <v>12Go Link</v>
      </c>
      <c r="E1279" s="2" t="s">
        <v>1587</v>
      </c>
    </row>
    <row r="1280">
      <c r="A1280" s="2" t="s">
        <v>1585</v>
      </c>
      <c r="B1280" s="2" t="s">
        <v>1613</v>
      </c>
      <c r="C1280" s="2" t="s">
        <v>1654</v>
      </c>
      <c r="D1280" s="3" t="str">
        <f t="shared" si="66"/>
        <v>12Go Link</v>
      </c>
      <c r="E1280" s="2" t="s">
        <v>1588</v>
      </c>
    </row>
    <row r="1281">
      <c r="A1281" s="2" t="s">
        <v>1585</v>
      </c>
      <c r="B1281" s="2" t="s">
        <v>1613</v>
      </c>
      <c r="C1281" s="2" t="s">
        <v>1654</v>
      </c>
      <c r="D1281" s="3" t="str">
        <f t="shared" si="66"/>
        <v>12Go Link</v>
      </c>
      <c r="E1281" s="2" t="s">
        <v>1589</v>
      </c>
    </row>
    <row r="1282">
      <c r="A1282" s="2" t="s">
        <v>1585</v>
      </c>
      <c r="B1282" s="2" t="s">
        <v>1616</v>
      </c>
      <c r="C1282" s="2" t="s">
        <v>1655</v>
      </c>
      <c r="D1282" s="3" t="str">
        <f t="shared" ref="D1282:D1284" si="67">HYPERLINK("https://12go.asia/en/travel/Chania-Airport/Almyrida-Hotel-Transfer", "12Go Link")</f>
        <v>12Go Link</v>
      </c>
      <c r="E1282" s="2" t="s">
        <v>1587</v>
      </c>
    </row>
    <row r="1283">
      <c r="A1283" s="2" t="s">
        <v>1585</v>
      </c>
      <c r="B1283" s="2" t="s">
        <v>1616</v>
      </c>
      <c r="C1283" s="2" t="s">
        <v>1655</v>
      </c>
      <c r="D1283" s="3" t="str">
        <f t="shared" si="67"/>
        <v>12Go Link</v>
      </c>
      <c r="E1283" s="2" t="s">
        <v>1588</v>
      </c>
    </row>
    <row r="1284">
      <c r="A1284" s="2" t="s">
        <v>1585</v>
      </c>
      <c r="B1284" s="2" t="s">
        <v>1616</v>
      </c>
      <c r="C1284" s="2" t="s">
        <v>1655</v>
      </c>
      <c r="D1284" s="3" t="str">
        <f t="shared" si="67"/>
        <v>12Go Link</v>
      </c>
      <c r="E1284" s="2" t="s">
        <v>1589</v>
      </c>
    </row>
    <row r="1285">
      <c r="A1285" s="2" t="s">
        <v>1585</v>
      </c>
      <c r="B1285" s="2" t="s">
        <v>1619</v>
      </c>
      <c r="C1285" s="2" t="s">
        <v>1656</v>
      </c>
      <c r="D1285" s="3" t="str">
        <f t="shared" ref="D1285:D1287" si="68">HYPERLINK("https://12go.asia/en/travel/Chania-Airport/Ammoudara-Hotel-Transfer", "12Go Link")</f>
        <v>12Go Link</v>
      </c>
      <c r="E1285" s="2" t="s">
        <v>1587</v>
      </c>
    </row>
    <row r="1286">
      <c r="A1286" s="2" t="s">
        <v>1585</v>
      </c>
      <c r="B1286" s="2" t="s">
        <v>1619</v>
      </c>
      <c r="C1286" s="2" t="s">
        <v>1656</v>
      </c>
      <c r="D1286" s="3" t="str">
        <f t="shared" si="68"/>
        <v>12Go Link</v>
      </c>
      <c r="E1286" s="2" t="s">
        <v>1588</v>
      </c>
    </row>
    <row r="1287">
      <c r="A1287" s="2" t="s">
        <v>1585</v>
      </c>
      <c r="B1287" s="2" t="s">
        <v>1619</v>
      </c>
      <c r="C1287" s="2" t="s">
        <v>1656</v>
      </c>
      <c r="D1287" s="3" t="str">
        <f t="shared" si="68"/>
        <v>12Go Link</v>
      </c>
      <c r="E1287" s="2" t="s">
        <v>1589</v>
      </c>
    </row>
    <row r="1288">
      <c r="A1288" s="2" t="s">
        <v>1585</v>
      </c>
      <c r="B1288" s="2" t="s">
        <v>1622</v>
      </c>
      <c r="C1288" s="2" t="s">
        <v>1657</v>
      </c>
      <c r="D1288" s="3" t="str">
        <f t="shared" ref="D1288:D1290" si="69">HYPERLINK("https://12go.asia/en/travel/Chania-Airport/Analipsi-Hotel-Transfer", "12Go Link")</f>
        <v>12Go Link</v>
      </c>
      <c r="E1288" s="2" t="s">
        <v>1587</v>
      </c>
    </row>
    <row r="1289">
      <c r="A1289" s="2" t="s">
        <v>1585</v>
      </c>
      <c r="B1289" s="2" t="s">
        <v>1622</v>
      </c>
      <c r="C1289" s="2" t="s">
        <v>1657</v>
      </c>
      <c r="D1289" s="3" t="str">
        <f t="shared" si="69"/>
        <v>12Go Link</v>
      </c>
      <c r="E1289" s="2" t="s">
        <v>1588</v>
      </c>
    </row>
    <row r="1290">
      <c r="A1290" s="2" t="s">
        <v>1585</v>
      </c>
      <c r="B1290" s="2" t="s">
        <v>1622</v>
      </c>
      <c r="C1290" s="2" t="s">
        <v>1657</v>
      </c>
      <c r="D1290" s="3" t="str">
        <f t="shared" si="69"/>
        <v>12Go Link</v>
      </c>
      <c r="E1290" s="2" t="s">
        <v>1589</v>
      </c>
    </row>
    <row r="1291">
      <c r="A1291" s="2" t="s">
        <v>1585</v>
      </c>
      <c r="B1291" s="2" t="s">
        <v>1625</v>
      </c>
      <c r="C1291" s="2" t="s">
        <v>1658</v>
      </c>
      <c r="D1291" s="3" t="str">
        <f t="shared" ref="D1291:D1293" si="70">HYPERLINK("https://12go.asia/en/travel/Chania-Airport/Anissaras-Hotel-Transfer", "12Go Link")</f>
        <v>12Go Link</v>
      </c>
      <c r="E1291" s="2" t="s">
        <v>1587</v>
      </c>
    </row>
    <row r="1292">
      <c r="A1292" s="2" t="s">
        <v>1585</v>
      </c>
      <c r="B1292" s="2" t="s">
        <v>1625</v>
      </c>
      <c r="C1292" s="2" t="s">
        <v>1658</v>
      </c>
      <c r="D1292" s="3" t="str">
        <f t="shared" si="70"/>
        <v>12Go Link</v>
      </c>
      <c r="E1292" s="2" t="s">
        <v>1588</v>
      </c>
    </row>
    <row r="1293">
      <c r="A1293" s="2" t="s">
        <v>1585</v>
      </c>
      <c r="B1293" s="2" t="s">
        <v>1625</v>
      </c>
      <c r="C1293" s="2" t="s">
        <v>1658</v>
      </c>
      <c r="D1293" s="3" t="str">
        <f t="shared" si="70"/>
        <v>12Go Link</v>
      </c>
      <c r="E1293" s="2" t="s">
        <v>1589</v>
      </c>
    </row>
    <row r="1294">
      <c r="A1294" s="2" t="s">
        <v>1585</v>
      </c>
      <c r="B1294" s="2" t="s">
        <v>1628</v>
      </c>
      <c r="C1294" s="2" t="s">
        <v>1659</v>
      </c>
      <c r="D1294" s="3" t="str">
        <f t="shared" ref="D1294:D1296" si="71">HYPERLINK("https://12go.asia/en/travel/Chania-Airport/Anopoli-Hotel-Transfer", "12Go Link")</f>
        <v>12Go Link</v>
      </c>
      <c r="E1294" s="2" t="s">
        <v>1587</v>
      </c>
    </row>
    <row r="1295">
      <c r="A1295" s="2" t="s">
        <v>1585</v>
      </c>
      <c r="B1295" s="2" t="s">
        <v>1628</v>
      </c>
      <c r="C1295" s="2" t="s">
        <v>1659</v>
      </c>
      <c r="D1295" s="3" t="str">
        <f t="shared" si="71"/>
        <v>12Go Link</v>
      </c>
      <c r="E1295" s="2" t="s">
        <v>1588</v>
      </c>
    </row>
    <row r="1296">
      <c r="A1296" s="2" t="s">
        <v>1585</v>
      </c>
      <c r="B1296" s="2" t="s">
        <v>1628</v>
      </c>
      <c r="C1296" s="2" t="s">
        <v>1659</v>
      </c>
      <c r="D1296" s="3" t="str">
        <f t="shared" si="71"/>
        <v>12Go Link</v>
      </c>
      <c r="E1296" s="2" t="s">
        <v>1589</v>
      </c>
    </row>
    <row r="1297">
      <c r="A1297" s="2" t="s">
        <v>1585</v>
      </c>
      <c r="B1297" s="2" t="s">
        <v>1631</v>
      </c>
      <c r="C1297" s="2" t="s">
        <v>1660</v>
      </c>
      <c r="D1297" s="3" t="str">
        <f t="shared" ref="D1297:D1299" si="72">HYPERLINK("https://12go.asia/en/travel/Chania-Airport/Aptera-Hotel-Transfer", "12Go Link")</f>
        <v>12Go Link</v>
      </c>
      <c r="E1297" s="2" t="s">
        <v>1587</v>
      </c>
    </row>
    <row r="1298">
      <c r="A1298" s="2" t="s">
        <v>1585</v>
      </c>
      <c r="B1298" s="2" t="s">
        <v>1631</v>
      </c>
      <c r="C1298" s="2" t="s">
        <v>1660</v>
      </c>
      <c r="D1298" s="3" t="str">
        <f t="shared" si="72"/>
        <v>12Go Link</v>
      </c>
      <c r="E1298" s="2" t="s">
        <v>1588</v>
      </c>
    </row>
    <row r="1299">
      <c r="A1299" s="2" t="s">
        <v>1585</v>
      </c>
      <c r="B1299" s="2" t="s">
        <v>1631</v>
      </c>
      <c r="C1299" s="2" t="s">
        <v>1660</v>
      </c>
      <c r="D1299" s="3" t="str">
        <f t="shared" si="72"/>
        <v>12Go Link</v>
      </c>
      <c r="E1299" s="2" t="s">
        <v>1589</v>
      </c>
    </row>
    <row r="1300">
      <c r="A1300" s="2" t="s">
        <v>1585</v>
      </c>
      <c r="B1300" s="2" t="s">
        <v>1634</v>
      </c>
      <c r="C1300" s="2" t="s">
        <v>1661</v>
      </c>
      <c r="D1300" s="3" t="str">
        <f t="shared" ref="D1300:D1302" si="73">HYPERLINK("https://12go.asia/en/travel/Chania-Airport/Armenoi-Hotel-Transfer", "12Go Link")</f>
        <v>12Go Link</v>
      </c>
      <c r="E1300" s="2" t="s">
        <v>1587</v>
      </c>
    </row>
    <row r="1301">
      <c r="A1301" s="2" t="s">
        <v>1585</v>
      </c>
      <c r="B1301" s="2" t="s">
        <v>1634</v>
      </c>
      <c r="C1301" s="2" t="s">
        <v>1661</v>
      </c>
      <c r="D1301" s="3" t="str">
        <f t="shared" si="73"/>
        <v>12Go Link</v>
      </c>
      <c r="E1301" s="2" t="s">
        <v>1588</v>
      </c>
    </row>
    <row r="1302">
      <c r="A1302" s="2" t="s">
        <v>1585</v>
      </c>
      <c r="B1302" s="2" t="s">
        <v>1634</v>
      </c>
      <c r="C1302" s="2" t="s">
        <v>1661</v>
      </c>
      <c r="D1302" s="3" t="str">
        <f t="shared" si="73"/>
        <v>12Go Link</v>
      </c>
      <c r="E1302" s="2" t="s">
        <v>1589</v>
      </c>
    </row>
    <row r="1303">
      <c r="A1303" s="2" t="s">
        <v>1585</v>
      </c>
      <c r="B1303" s="2" t="s">
        <v>1637</v>
      </c>
      <c r="C1303" s="2" t="s">
        <v>1662</v>
      </c>
      <c r="D1303" s="3" t="str">
        <f t="shared" ref="D1303:D1305" si="74">HYPERLINK("https://12go.asia/en/travel/Chania-Airport/Aspro-Hotel-Transfer", "12Go Link")</f>
        <v>12Go Link</v>
      </c>
      <c r="E1303" s="2" t="s">
        <v>1587</v>
      </c>
    </row>
    <row r="1304">
      <c r="A1304" s="2" t="s">
        <v>1585</v>
      </c>
      <c r="B1304" s="2" t="s">
        <v>1637</v>
      </c>
      <c r="C1304" s="2" t="s">
        <v>1662</v>
      </c>
      <c r="D1304" s="3" t="str">
        <f t="shared" si="74"/>
        <v>12Go Link</v>
      </c>
      <c r="E1304" s="2" t="s">
        <v>1588</v>
      </c>
    </row>
    <row r="1305">
      <c r="A1305" s="2" t="s">
        <v>1585</v>
      </c>
      <c r="B1305" s="2" t="s">
        <v>1637</v>
      </c>
      <c r="C1305" s="2" t="s">
        <v>1662</v>
      </c>
      <c r="D1305" s="3" t="str">
        <f t="shared" si="74"/>
        <v>12Go Link</v>
      </c>
      <c r="E1305" s="2" t="s">
        <v>1589</v>
      </c>
    </row>
    <row r="1306">
      <c r="A1306" s="2" t="s">
        <v>1585</v>
      </c>
      <c r="B1306" s="2" t="s">
        <v>1640</v>
      </c>
      <c r="C1306" s="2" t="s">
        <v>1663</v>
      </c>
      <c r="D1306" s="3" t="str">
        <f t="shared" ref="D1306:D1308" si="75">HYPERLINK("https://12go.asia/en/travel/Chania-Airport/Atsipopoulo-Hotel-Transfer", "12Go Link")</f>
        <v>12Go Link</v>
      </c>
      <c r="E1306" s="2" t="s">
        <v>1587</v>
      </c>
    </row>
    <row r="1307">
      <c r="A1307" s="2" t="s">
        <v>1585</v>
      </c>
      <c r="B1307" s="2" t="s">
        <v>1640</v>
      </c>
      <c r="C1307" s="2" t="s">
        <v>1663</v>
      </c>
      <c r="D1307" s="3" t="str">
        <f t="shared" si="75"/>
        <v>12Go Link</v>
      </c>
      <c r="E1307" s="2" t="s">
        <v>1588</v>
      </c>
    </row>
    <row r="1308">
      <c r="A1308" s="2" t="s">
        <v>1585</v>
      </c>
      <c r="B1308" s="2" t="s">
        <v>1640</v>
      </c>
      <c r="C1308" s="2" t="s">
        <v>1663</v>
      </c>
      <c r="D1308" s="3" t="str">
        <f t="shared" si="75"/>
        <v>12Go Link</v>
      </c>
      <c r="E1308" s="2" t="s">
        <v>1589</v>
      </c>
    </row>
    <row r="1309">
      <c r="A1309" s="2" t="s">
        <v>1585</v>
      </c>
      <c r="B1309" s="2" t="s">
        <v>1643</v>
      </c>
      <c r="C1309" s="2" t="s">
        <v>1664</v>
      </c>
      <c r="D1309" s="3" t="str">
        <f t="shared" ref="D1309:D1311" si="76">HYPERLINK("https://12go.asia/en/travel/Chania-Airport/Bali-Rethymno-Hotel-Transfer", "12Go Link")</f>
        <v>12Go Link</v>
      </c>
      <c r="E1309" s="2" t="s">
        <v>1587</v>
      </c>
    </row>
    <row r="1310">
      <c r="A1310" s="2" t="s">
        <v>1585</v>
      </c>
      <c r="B1310" s="2" t="s">
        <v>1643</v>
      </c>
      <c r="C1310" s="2" t="s">
        <v>1664</v>
      </c>
      <c r="D1310" s="3" t="str">
        <f t="shared" si="76"/>
        <v>12Go Link</v>
      </c>
      <c r="E1310" s="2" t="s">
        <v>1588</v>
      </c>
    </row>
    <row r="1311">
      <c r="A1311" s="2" t="s">
        <v>1585</v>
      </c>
      <c r="B1311" s="2" t="s">
        <v>1643</v>
      </c>
      <c r="C1311" s="2" t="s">
        <v>1664</v>
      </c>
      <c r="D1311" s="3" t="str">
        <f t="shared" si="76"/>
        <v>12Go Link</v>
      </c>
      <c r="E1311" s="2" t="s">
        <v>1589</v>
      </c>
    </row>
    <row r="1312">
      <c r="A1312" s="2" t="s">
        <v>1585</v>
      </c>
      <c r="B1312" s="2" t="s">
        <v>1585</v>
      </c>
      <c r="C1312" s="2" t="s">
        <v>1665</v>
      </c>
      <c r="D1312" s="3" t="str">
        <f t="shared" ref="D1312:D1314" si="77">HYPERLINK("https://12go.asia/en/travel/Agioi-Apostoli-Hotel-Transfer/Chania-Airport", "12Go Link")</f>
        <v>12Go Link</v>
      </c>
      <c r="E1312" s="2" t="s">
        <v>1587</v>
      </c>
    </row>
    <row r="1313">
      <c r="A1313" s="2" t="s">
        <v>1585</v>
      </c>
      <c r="B1313" s="2" t="s">
        <v>1585</v>
      </c>
      <c r="C1313" s="2" t="s">
        <v>1665</v>
      </c>
      <c r="D1313" s="3" t="str">
        <f t="shared" si="77"/>
        <v>12Go Link</v>
      </c>
      <c r="E1313" s="2" t="s">
        <v>1588</v>
      </c>
    </row>
    <row r="1314">
      <c r="A1314" s="2" t="s">
        <v>1585</v>
      </c>
      <c r="B1314" s="2" t="s">
        <v>1585</v>
      </c>
      <c r="C1314" s="2" t="s">
        <v>1665</v>
      </c>
      <c r="D1314" s="3" t="str">
        <f t="shared" si="77"/>
        <v>12Go Link</v>
      </c>
      <c r="E1314" s="2" t="s">
        <v>1589</v>
      </c>
    </row>
    <row r="1315">
      <c r="A1315" s="2" t="s">
        <v>1585</v>
      </c>
      <c r="B1315" s="2" t="s">
        <v>1585</v>
      </c>
      <c r="C1315" s="2" t="s">
        <v>1666</v>
      </c>
      <c r="D1315" s="3" t="str">
        <f t="shared" ref="D1315:D1317" si="78">HYPERLINK("https://12go.asia/en/travel/Chania-Airport/Agioi-Apostoli-Hotel-Transfer", "12Go Link")</f>
        <v>12Go Link</v>
      </c>
      <c r="E1315" s="2" t="s">
        <v>1587</v>
      </c>
    </row>
    <row r="1316">
      <c r="A1316" s="2" t="s">
        <v>1585</v>
      </c>
      <c r="B1316" s="2" t="s">
        <v>1585</v>
      </c>
      <c r="C1316" s="2" t="s">
        <v>1666</v>
      </c>
      <c r="D1316" s="3" t="str">
        <f t="shared" si="78"/>
        <v>12Go Link</v>
      </c>
      <c r="E1316" s="2" t="s">
        <v>1588</v>
      </c>
    </row>
    <row r="1317">
      <c r="A1317" s="2" t="s">
        <v>1585</v>
      </c>
      <c r="B1317" s="2" t="s">
        <v>1585</v>
      </c>
      <c r="C1317" s="2" t="s">
        <v>1666</v>
      </c>
      <c r="D1317" s="3" t="str">
        <f t="shared" si="78"/>
        <v>12Go Link</v>
      </c>
      <c r="E1317" s="2" t="s">
        <v>1589</v>
      </c>
    </row>
    <row r="1318">
      <c r="A1318" s="2" t="s">
        <v>1585</v>
      </c>
      <c r="B1318" s="2" t="s">
        <v>1585</v>
      </c>
      <c r="C1318" s="2" t="s">
        <v>1667</v>
      </c>
      <c r="D1318" s="3" t="str">
        <f t="shared" ref="D1318:D1320" si="79">HYPERLINK("https://12go.asia/en/travel/Chania-Airport/Chania-Hotel-Transfer", "12Go Link")</f>
        <v>12Go Link</v>
      </c>
      <c r="E1318" s="2" t="s">
        <v>1587</v>
      </c>
    </row>
    <row r="1319">
      <c r="A1319" s="2" t="s">
        <v>1585</v>
      </c>
      <c r="B1319" s="2" t="s">
        <v>1585</v>
      </c>
      <c r="C1319" s="2" t="s">
        <v>1667</v>
      </c>
      <c r="D1319" s="3" t="str">
        <f t="shared" si="79"/>
        <v>12Go Link</v>
      </c>
      <c r="E1319" s="2" t="s">
        <v>1588</v>
      </c>
    </row>
    <row r="1320">
      <c r="A1320" s="2" t="s">
        <v>1585</v>
      </c>
      <c r="B1320" s="2" t="s">
        <v>1585</v>
      </c>
      <c r="C1320" s="2" t="s">
        <v>1667</v>
      </c>
      <c r="D1320" s="3" t="str">
        <f t="shared" si="79"/>
        <v>12Go Link</v>
      </c>
      <c r="E1320" s="2" t="s">
        <v>1589</v>
      </c>
    </row>
    <row r="1321">
      <c r="A1321" s="2" t="s">
        <v>1585</v>
      </c>
      <c r="B1321" s="2" t="s">
        <v>1585</v>
      </c>
      <c r="C1321" s="2" t="s">
        <v>1668</v>
      </c>
      <c r="D1321" s="3" t="str">
        <f t="shared" ref="D1321:D1323" si="80">HYPERLINK("https://12go.asia/en/travel/Chania-Airport/Chania-Port", "12Go Link")</f>
        <v>12Go Link</v>
      </c>
      <c r="E1321" s="2" t="s">
        <v>1587</v>
      </c>
    </row>
    <row r="1322">
      <c r="A1322" s="2" t="s">
        <v>1585</v>
      </c>
      <c r="B1322" s="2" t="s">
        <v>1585</v>
      </c>
      <c r="C1322" s="2" t="s">
        <v>1668</v>
      </c>
      <c r="D1322" s="3" t="str">
        <f t="shared" si="80"/>
        <v>12Go Link</v>
      </c>
      <c r="E1322" s="2" t="s">
        <v>1588</v>
      </c>
    </row>
    <row r="1323">
      <c r="A1323" s="2" t="s">
        <v>1585</v>
      </c>
      <c r="B1323" s="2" t="s">
        <v>1585</v>
      </c>
      <c r="C1323" s="2" t="s">
        <v>1668</v>
      </c>
      <c r="D1323" s="3" t="str">
        <f t="shared" si="80"/>
        <v>12Go Link</v>
      </c>
      <c r="E1323" s="2" t="s">
        <v>1589</v>
      </c>
    </row>
    <row r="1324">
      <c r="A1324" s="2" t="s">
        <v>1585</v>
      </c>
      <c r="B1324" s="2" t="s">
        <v>1585</v>
      </c>
      <c r="C1324" s="2" t="s">
        <v>1669</v>
      </c>
      <c r="D1324" s="3" t="str">
        <f t="shared" ref="D1324:D1326" si="81">HYPERLINK("https://12go.asia/en/travel/Chania-Airport/Kalamaki-Hotel-Transfer", "12Go Link")</f>
        <v>12Go Link</v>
      </c>
      <c r="E1324" s="2" t="s">
        <v>1587</v>
      </c>
    </row>
    <row r="1325">
      <c r="A1325" s="2" t="s">
        <v>1585</v>
      </c>
      <c r="B1325" s="2" t="s">
        <v>1585</v>
      </c>
      <c r="C1325" s="2" t="s">
        <v>1669</v>
      </c>
      <c r="D1325" s="3" t="str">
        <f t="shared" si="81"/>
        <v>12Go Link</v>
      </c>
      <c r="E1325" s="2" t="s">
        <v>1588</v>
      </c>
    </row>
    <row r="1326">
      <c r="A1326" s="2" t="s">
        <v>1585</v>
      </c>
      <c r="B1326" s="2" t="s">
        <v>1585</v>
      </c>
      <c r="C1326" s="2" t="s">
        <v>1669</v>
      </c>
      <c r="D1326" s="3" t="str">
        <f t="shared" si="81"/>
        <v>12Go Link</v>
      </c>
      <c r="E1326" s="2" t="s">
        <v>1589</v>
      </c>
    </row>
    <row r="1327">
      <c r="A1327" s="2" t="s">
        <v>1585</v>
      </c>
      <c r="B1327" s="2" t="s">
        <v>1585</v>
      </c>
      <c r="C1327" s="2" t="s">
        <v>1670</v>
      </c>
      <c r="D1327" s="3" t="str">
        <f t="shared" ref="D1327:D1329" si="82">HYPERLINK("https://12go.asia/en/travel/Chania-Airport/Kato-Daratso-Hotel-Transfer", "12Go Link")</f>
        <v>12Go Link</v>
      </c>
      <c r="E1327" s="2" t="s">
        <v>1587</v>
      </c>
    </row>
    <row r="1328">
      <c r="A1328" s="2" t="s">
        <v>1585</v>
      </c>
      <c r="B1328" s="2" t="s">
        <v>1585</v>
      </c>
      <c r="C1328" s="2" t="s">
        <v>1670</v>
      </c>
      <c r="D1328" s="3" t="str">
        <f t="shared" si="82"/>
        <v>12Go Link</v>
      </c>
      <c r="E1328" s="2" t="s">
        <v>1588</v>
      </c>
    </row>
    <row r="1329">
      <c r="A1329" s="2" t="s">
        <v>1585</v>
      </c>
      <c r="B1329" s="2" t="s">
        <v>1585</v>
      </c>
      <c r="C1329" s="2" t="s">
        <v>1670</v>
      </c>
      <c r="D1329" s="3" t="str">
        <f t="shared" si="82"/>
        <v>12Go Link</v>
      </c>
      <c r="E1329" s="2" t="s">
        <v>1589</v>
      </c>
    </row>
    <row r="1330">
      <c r="A1330" s="2" t="s">
        <v>1585</v>
      </c>
      <c r="B1330" s="2" t="s">
        <v>1585</v>
      </c>
      <c r="C1330" s="2" t="s">
        <v>1671</v>
      </c>
      <c r="D1330" s="3" t="str">
        <f t="shared" ref="D1330:D1332" si="83">HYPERLINK("https://12go.asia/en/travel/Chania-Airport/Kato-Galatas-Hotel-Transfer", "12Go Link")</f>
        <v>12Go Link</v>
      </c>
      <c r="E1330" s="2" t="s">
        <v>1587</v>
      </c>
    </row>
    <row r="1331">
      <c r="A1331" s="2" t="s">
        <v>1585</v>
      </c>
      <c r="B1331" s="2" t="s">
        <v>1585</v>
      </c>
      <c r="C1331" s="2" t="s">
        <v>1671</v>
      </c>
      <c r="D1331" s="3" t="str">
        <f t="shared" si="83"/>
        <v>12Go Link</v>
      </c>
      <c r="E1331" s="2" t="s">
        <v>1588</v>
      </c>
    </row>
    <row r="1332">
      <c r="A1332" s="2" t="s">
        <v>1585</v>
      </c>
      <c r="B1332" s="2" t="s">
        <v>1585</v>
      </c>
      <c r="C1332" s="2" t="s">
        <v>1671</v>
      </c>
      <c r="D1332" s="3" t="str">
        <f t="shared" si="83"/>
        <v>12Go Link</v>
      </c>
      <c r="E1332" s="2" t="s">
        <v>1589</v>
      </c>
    </row>
    <row r="1333">
      <c r="A1333" s="2" t="s">
        <v>1585</v>
      </c>
      <c r="B1333" s="2" t="s">
        <v>1585</v>
      </c>
      <c r="C1333" s="2" t="s">
        <v>1672</v>
      </c>
      <c r="D1333" s="3" t="str">
        <f t="shared" ref="D1333:D1335" si="84">HYPERLINK("https://12go.asia/en/travel/Chania-Airport/Kato-Stalos-Hotel-Transfer", "12Go Link")</f>
        <v>12Go Link</v>
      </c>
      <c r="E1333" s="2" t="s">
        <v>1587</v>
      </c>
    </row>
    <row r="1334">
      <c r="A1334" s="2" t="s">
        <v>1585</v>
      </c>
      <c r="B1334" s="2" t="s">
        <v>1585</v>
      </c>
      <c r="C1334" s="2" t="s">
        <v>1672</v>
      </c>
      <c r="D1334" s="3" t="str">
        <f t="shared" si="84"/>
        <v>12Go Link</v>
      </c>
      <c r="E1334" s="2" t="s">
        <v>1588</v>
      </c>
    </row>
    <row r="1335">
      <c r="A1335" s="2" t="s">
        <v>1585</v>
      </c>
      <c r="B1335" s="2" t="s">
        <v>1585</v>
      </c>
      <c r="C1335" s="2" t="s">
        <v>1672</v>
      </c>
      <c r="D1335" s="3" t="str">
        <f t="shared" si="84"/>
        <v>12Go Link</v>
      </c>
      <c r="E1335" s="2" t="s">
        <v>1589</v>
      </c>
    </row>
    <row r="1336">
      <c r="A1336" s="2" t="s">
        <v>1585</v>
      </c>
      <c r="B1336" s="2" t="s">
        <v>1585</v>
      </c>
      <c r="C1336" s="2" t="s">
        <v>1673</v>
      </c>
      <c r="D1336" s="3" t="str">
        <f t="shared" ref="D1336:D1338" si="85">HYPERLINK("https://12go.asia/en/travel/Chania-Airport/Makris-Tichos-Hotel-Transfer", "12Go Link")</f>
        <v>12Go Link</v>
      </c>
      <c r="E1336" s="2" t="s">
        <v>1587</v>
      </c>
    </row>
    <row r="1337">
      <c r="A1337" s="2" t="s">
        <v>1585</v>
      </c>
      <c r="B1337" s="2" t="s">
        <v>1585</v>
      </c>
      <c r="C1337" s="2" t="s">
        <v>1673</v>
      </c>
      <c r="D1337" s="3" t="str">
        <f t="shared" si="85"/>
        <v>12Go Link</v>
      </c>
      <c r="E1337" s="2" t="s">
        <v>1588</v>
      </c>
    </row>
    <row r="1338">
      <c r="A1338" s="2" t="s">
        <v>1585</v>
      </c>
      <c r="B1338" s="2" t="s">
        <v>1585</v>
      </c>
      <c r="C1338" s="2" t="s">
        <v>1673</v>
      </c>
      <c r="D1338" s="3" t="str">
        <f t="shared" si="85"/>
        <v>12Go Link</v>
      </c>
      <c r="E1338" s="2" t="s">
        <v>1589</v>
      </c>
    </row>
    <row r="1339">
      <c r="A1339" s="2" t="s">
        <v>1585</v>
      </c>
      <c r="B1339" s="2" t="s">
        <v>1585</v>
      </c>
      <c r="C1339" s="2" t="s">
        <v>1674</v>
      </c>
      <c r="D1339" s="3" t="str">
        <f t="shared" ref="D1339:D1341" si="86">HYPERLINK("https://12go.asia/en/travel/Chania-Hotel-Transfer/Chania-Airport", "12Go Link")</f>
        <v>12Go Link</v>
      </c>
      <c r="E1339" s="2" t="s">
        <v>1587</v>
      </c>
    </row>
    <row r="1340">
      <c r="A1340" s="2" t="s">
        <v>1585</v>
      </c>
      <c r="B1340" s="2" t="s">
        <v>1585</v>
      </c>
      <c r="C1340" s="2" t="s">
        <v>1674</v>
      </c>
      <c r="D1340" s="3" t="str">
        <f t="shared" si="86"/>
        <v>12Go Link</v>
      </c>
      <c r="E1340" s="2" t="s">
        <v>1588</v>
      </c>
    </row>
    <row r="1341">
      <c r="A1341" s="2" t="s">
        <v>1585</v>
      </c>
      <c r="B1341" s="2" t="s">
        <v>1585</v>
      </c>
      <c r="C1341" s="2" t="s">
        <v>1674</v>
      </c>
      <c r="D1341" s="3" t="str">
        <f t="shared" si="86"/>
        <v>12Go Link</v>
      </c>
      <c r="E1341" s="2" t="s">
        <v>1589</v>
      </c>
    </row>
    <row r="1342">
      <c r="A1342" s="2" t="s">
        <v>1585</v>
      </c>
      <c r="B1342" s="2" t="s">
        <v>1585</v>
      </c>
      <c r="C1342" s="2" t="s">
        <v>1675</v>
      </c>
      <c r="D1342" s="3" t="str">
        <f t="shared" ref="D1342:D1344" si="87">HYPERLINK("https://12go.asia/en/travel/Chania-Port/Chania-Airport", "12Go Link")</f>
        <v>12Go Link</v>
      </c>
      <c r="E1342" s="2" t="s">
        <v>1587</v>
      </c>
    </row>
    <row r="1343">
      <c r="A1343" s="2" t="s">
        <v>1585</v>
      </c>
      <c r="B1343" s="2" t="s">
        <v>1585</v>
      </c>
      <c r="C1343" s="2" t="s">
        <v>1675</v>
      </c>
      <c r="D1343" s="3" t="str">
        <f t="shared" si="87"/>
        <v>12Go Link</v>
      </c>
      <c r="E1343" s="2" t="s">
        <v>1588</v>
      </c>
    </row>
    <row r="1344">
      <c r="A1344" s="2" t="s">
        <v>1585</v>
      </c>
      <c r="B1344" s="2" t="s">
        <v>1585</v>
      </c>
      <c r="C1344" s="2" t="s">
        <v>1675</v>
      </c>
      <c r="D1344" s="3" t="str">
        <f t="shared" si="87"/>
        <v>12Go Link</v>
      </c>
      <c r="E1344" s="2" t="s">
        <v>1589</v>
      </c>
    </row>
    <row r="1345">
      <c r="A1345" s="2" t="s">
        <v>1585</v>
      </c>
      <c r="B1345" s="2" t="s">
        <v>1585</v>
      </c>
      <c r="C1345" s="2" t="s">
        <v>1676</v>
      </c>
      <c r="D1345" s="3" t="str">
        <f t="shared" ref="D1345:D1347" si="88">HYPERLINK("https://12go.asia/en/travel/Kalamaki-Hotel-Transfer/Chania-Airport", "12Go Link")</f>
        <v>12Go Link</v>
      </c>
      <c r="E1345" s="2" t="s">
        <v>1587</v>
      </c>
    </row>
    <row r="1346">
      <c r="A1346" s="2" t="s">
        <v>1585</v>
      </c>
      <c r="B1346" s="2" t="s">
        <v>1585</v>
      </c>
      <c r="C1346" s="2" t="s">
        <v>1676</v>
      </c>
      <c r="D1346" s="3" t="str">
        <f t="shared" si="88"/>
        <v>12Go Link</v>
      </c>
      <c r="E1346" s="2" t="s">
        <v>1588</v>
      </c>
    </row>
    <row r="1347">
      <c r="A1347" s="2" t="s">
        <v>1585</v>
      </c>
      <c r="B1347" s="2" t="s">
        <v>1585</v>
      </c>
      <c r="C1347" s="2" t="s">
        <v>1676</v>
      </c>
      <c r="D1347" s="3" t="str">
        <f t="shared" si="88"/>
        <v>12Go Link</v>
      </c>
      <c r="E1347" s="2" t="s">
        <v>1589</v>
      </c>
    </row>
    <row r="1348">
      <c r="A1348" s="2" t="s">
        <v>1585</v>
      </c>
      <c r="B1348" s="2" t="s">
        <v>1585</v>
      </c>
      <c r="C1348" s="2" t="s">
        <v>1677</v>
      </c>
      <c r="D1348" s="3" t="str">
        <f t="shared" ref="D1348:D1350" si="89">HYPERLINK("https://12go.asia/en/travel/Kato-Daratso-Hotel-Transfer/Chania-Airport", "12Go Link")</f>
        <v>12Go Link</v>
      </c>
      <c r="E1348" s="2" t="s">
        <v>1587</v>
      </c>
    </row>
    <row r="1349">
      <c r="A1349" s="2" t="s">
        <v>1585</v>
      </c>
      <c r="B1349" s="2" t="s">
        <v>1585</v>
      </c>
      <c r="C1349" s="2" t="s">
        <v>1677</v>
      </c>
      <c r="D1349" s="3" t="str">
        <f t="shared" si="89"/>
        <v>12Go Link</v>
      </c>
      <c r="E1349" s="2" t="s">
        <v>1588</v>
      </c>
    </row>
    <row r="1350">
      <c r="A1350" s="2" t="s">
        <v>1585</v>
      </c>
      <c r="B1350" s="2" t="s">
        <v>1585</v>
      </c>
      <c r="C1350" s="2" t="s">
        <v>1677</v>
      </c>
      <c r="D1350" s="3" t="str">
        <f t="shared" si="89"/>
        <v>12Go Link</v>
      </c>
      <c r="E1350" s="2" t="s">
        <v>1589</v>
      </c>
    </row>
    <row r="1351">
      <c r="A1351" s="2" t="s">
        <v>1585</v>
      </c>
      <c r="B1351" s="2" t="s">
        <v>1585</v>
      </c>
      <c r="C1351" s="2" t="s">
        <v>1678</v>
      </c>
      <c r="D1351" s="3" t="str">
        <f t="shared" ref="D1351:D1353" si="90">HYPERLINK("https://12go.asia/en/travel/Kato-Galatas-Hotel-Transfer/Chania-Airport", "12Go Link")</f>
        <v>12Go Link</v>
      </c>
      <c r="E1351" s="2" t="s">
        <v>1587</v>
      </c>
    </row>
    <row r="1352">
      <c r="A1352" s="2" t="s">
        <v>1585</v>
      </c>
      <c r="B1352" s="2" t="s">
        <v>1585</v>
      </c>
      <c r="C1352" s="2" t="s">
        <v>1678</v>
      </c>
      <c r="D1352" s="3" t="str">
        <f t="shared" si="90"/>
        <v>12Go Link</v>
      </c>
      <c r="E1352" s="2" t="s">
        <v>1588</v>
      </c>
    </row>
    <row r="1353">
      <c r="A1353" s="2" t="s">
        <v>1585</v>
      </c>
      <c r="B1353" s="2" t="s">
        <v>1585</v>
      </c>
      <c r="C1353" s="2" t="s">
        <v>1678</v>
      </c>
      <c r="D1353" s="3" t="str">
        <f t="shared" si="90"/>
        <v>12Go Link</v>
      </c>
      <c r="E1353" s="2" t="s">
        <v>1589</v>
      </c>
    </row>
    <row r="1354">
      <c r="A1354" s="2" t="s">
        <v>1585</v>
      </c>
      <c r="B1354" s="2" t="s">
        <v>1585</v>
      </c>
      <c r="C1354" s="2" t="s">
        <v>1679</v>
      </c>
      <c r="D1354" s="3" t="str">
        <f t="shared" ref="D1354:D1356" si="91">HYPERLINK("https://12go.asia/en/travel/Kato-Stalos-Hotel-Transfer/Chania-Airport", "12Go Link")</f>
        <v>12Go Link</v>
      </c>
      <c r="E1354" s="2" t="s">
        <v>1587</v>
      </c>
    </row>
    <row r="1355">
      <c r="A1355" s="2" t="s">
        <v>1585</v>
      </c>
      <c r="B1355" s="2" t="s">
        <v>1585</v>
      </c>
      <c r="C1355" s="2" t="s">
        <v>1679</v>
      </c>
      <c r="D1355" s="3" t="str">
        <f t="shared" si="91"/>
        <v>12Go Link</v>
      </c>
      <c r="E1355" s="2" t="s">
        <v>1588</v>
      </c>
    </row>
    <row r="1356">
      <c r="A1356" s="2" t="s">
        <v>1585</v>
      </c>
      <c r="B1356" s="2" t="s">
        <v>1585</v>
      </c>
      <c r="C1356" s="2" t="s">
        <v>1679</v>
      </c>
      <c r="D1356" s="3" t="str">
        <f t="shared" si="91"/>
        <v>12Go Link</v>
      </c>
      <c r="E1356" s="2" t="s">
        <v>1589</v>
      </c>
    </row>
    <row r="1357">
      <c r="A1357" s="2" t="s">
        <v>1585</v>
      </c>
      <c r="B1357" s="2" t="s">
        <v>1585</v>
      </c>
      <c r="C1357" s="2" t="s">
        <v>1680</v>
      </c>
      <c r="D1357" s="3" t="str">
        <f t="shared" ref="D1357:D1359" si="92">HYPERLINK("https://12go.asia/en/travel/Makris-Tichos-Hotel-Transfer/Chania-Airport", "12Go Link")</f>
        <v>12Go Link</v>
      </c>
      <c r="E1357" s="2" t="s">
        <v>1587</v>
      </c>
    </row>
    <row r="1358">
      <c r="A1358" s="2" t="s">
        <v>1585</v>
      </c>
      <c r="B1358" s="2" t="s">
        <v>1585</v>
      </c>
      <c r="C1358" s="2" t="s">
        <v>1680</v>
      </c>
      <c r="D1358" s="3" t="str">
        <f t="shared" si="92"/>
        <v>12Go Link</v>
      </c>
      <c r="E1358" s="2" t="s">
        <v>1588</v>
      </c>
    </row>
    <row r="1359">
      <c r="A1359" s="2" t="s">
        <v>1585</v>
      </c>
      <c r="B1359" s="2" t="s">
        <v>1585</v>
      </c>
      <c r="C1359" s="2" t="s">
        <v>1680</v>
      </c>
      <c r="D1359" s="3" t="str">
        <f t="shared" si="92"/>
        <v>12Go Link</v>
      </c>
      <c r="E1359" s="2" t="s">
        <v>1589</v>
      </c>
    </row>
    <row r="1360">
      <c r="A1360" s="2" t="s">
        <v>1585</v>
      </c>
      <c r="B1360" s="2" t="s">
        <v>1681</v>
      </c>
      <c r="C1360" s="2" t="s">
        <v>1682</v>
      </c>
      <c r="D1360" s="3" t="str">
        <f t="shared" ref="D1360:D1362" si="93">HYPERLINK("https://12go.asia/en/travel/Chania-Airport/Chorafakia-Hotel-Transfer", "12Go Link")</f>
        <v>12Go Link</v>
      </c>
      <c r="E1360" s="2" t="s">
        <v>1587</v>
      </c>
    </row>
    <row r="1361">
      <c r="A1361" s="2" t="s">
        <v>1585</v>
      </c>
      <c r="B1361" s="2" t="s">
        <v>1681</v>
      </c>
      <c r="C1361" s="2" t="s">
        <v>1682</v>
      </c>
      <c r="D1361" s="3" t="str">
        <f t="shared" si="93"/>
        <v>12Go Link</v>
      </c>
      <c r="E1361" s="2" t="s">
        <v>1588</v>
      </c>
    </row>
    <row r="1362">
      <c r="A1362" s="2" t="s">
        <v>1585</v>
      </c>
      <c r="B1362" s="2" t="s">
        <v>1681</v>
      </c>
      <c r="C1362" s="2" t="s">
        <v>1682</v>
      </c>
      <c r="D1362" s="3" t="str">
        <f t="shared" si="93"/>
        <v>12Go Link</v>
      </c>
      <c r="E1362" s="2" t="s">
        <v>1589</v>
      </c>
    </row>
    <row r="1363">
      <c r="A1363" s="2" t="s">
        <v>1585</v>
      </c>
      <c r="B1363" s="2" t="s">
        <v>1683</v>
      </c>
      <c r="C1363" s="2" t="s">
        <v>1684</v>
      </c>
      <c r="D1363" s="3" t="str">
        <f t="shared" ref="D1363:D1365" si="94">HYPERLINK("https://12go.asia/en/travel/Chania-Airport/Elafonissi-Beach", "12Go Link")</f>
        <v>12Go Link</v>
      </c>
      <c r="E1363" s="2" t="s">
        <v>1587</v>
      </c>
    </row>
    <row r="1364">
      <c r="A1364" s="2" t="s">
        <v>1585</v>
      </c>
      <c r="B1364" s="2" t="s">
        <v>1683</v>
      </c>
      <c r="C1364" s="2" t="s">
        <v>1684</v>
      </c>
      <c r="D1364" s="3" t="str">
        <f t="shared" si="94"/>
        <v>12Go Link</v>
      </c>
      <c r="E1364" s="2" t="s">
        <v>1588</v>
      </c>
    </row>
    <row r="1365">
      <c r="A1365" s="2" t="s">
        <v>1585</v>
      </c>
      <c r="B1365" s="2" t="s">
        <v>1683</v>
      </c>
      <c r="C1365" s="2" t="s">
        <v>1684</v>
      </c>
      <c r="D1365" s="3" t="str">
        <f t="shared" si="94"/>
        <v>12Go Link</v>
      </c>
      <c r="E1365" s="2" t="s">
        <v>1589</v>
      </c>
    </row>
    <row r="1366">
      <c r="A1366" s="2" t="s">
        <v>1585</v>
      </c>
      <c r="B1366" s="2" t="s">
        <v>1683</v>
      </c>
      <c r="C1366" s="2" t="s">
        <v>1685</v>
      </c>
      <c r="D1366" s="3" t="str">
        <f t="shared" ref="D1366:D1368" si="95">HYPERLINK("https://12go.asia/en/travel/Chania-Airport/Pano-Stalos-Hotel-Transfer", "12Go Link")</f>
        <v>12Go Link</v>
      </c>
      <c r="E1366" s="2" t="s">
        <v>1587</v>
      </c>
    </row>
    <row r="1367">
      <c r="A1367" s="2" t="s">
        <v>1585</v>
      </c>
      <c r="B1367" s="2" t="s">
        <v>1683</v>
      </c>
      <c r="C1367" s="2" t="s">
        <v>1685</v>
      </c>
      <c r="D1367" s="3" t="str">
        <f t="shared" si="95"/>
        <v>12Go Link</v>
      </c>
      <c r="E1367" s="2" t="s">
        <v>1588</v>
      </c>
    </row>
    <row r="1368">
      <c r="A1368" s="2" t="s">
        <v>1585</v>
      </c>
      <c r="B1368" s="2" t="s">
        <v>1683</v>
      </c>
      <c r="C1368" s="2" t="s">
        <v>1685</v>
      </c>
      <c r="D1368" s="3" t="str">
        <f t="shared" si="95"/>
        <v>12Go Link</v>
      </c>
      <c r="E1368" s="2" t="s">
        <v>1589</v>
      </c>
    </row>
    <row r="1369">
      <c r="A1369" s="2" t="s">
        <v>1585</v>
      </c>
      <c r="B1369" s="2" t="s">
        <v>1686</v>
      </c>
      <c r="C1369" s="2" t="s">
        <v>1687</v>
      </c>
      <c r="D1369" s="3" t="str">
        <f t="shared" ref="D1369:D1371" si="96">HYPERLINK("https://12go.asia/en/travel/Chania-Airport/Damnoni-Hotel-Transfer", "12Go Link")</f>
        <v>12Go Link</v>
      </c>
      <c r="E1369" s="2" t="s">
        <v>1587</v>
      </c>
    </row>
    <row r="1370">
      <c r="A1370" s="2" t="s">
        <v>1585</v>
      </c>
      <c r="B1370" s="2" t="s">
        <v>1686</v>
      </c>
      <c r="C1370" s="2" t="s">
        <v>1687</v>
      </c>
      <c r="D1370" s="3" t="str">
        <f t="shared" si="96"/>
        <v>12Go Link</v>
      </c>
      <c r="E1370" s="2" t="s">
        <v>1588</v>
      </c>
    </row>
    <row r="1371">
      <c r="A1371" s="2" t="s">
        <v>1585</v>
      </c>
      <c r="B1371" s="2" t="s">
        <v>1686</v>
      </c>
      <c r="C1371" s="2" t="s">
        <v>1687</v>
      </c>
      <c r="D1371" s="3" t="str">
        <f t="shared" si="96"/>
        <v>12Go Link</v>
      </c>
      <c r="E1371" s="2" t="s">
        <v>1589</v>
      </c>
    </row>
    <row r="1372">
      <c r="A1372" s="2" t="s">
        <v>1585</v>
      </c>
      <c r="B1372" s="2" t="s">
        <v>1688</v>
      </c>
      <c r="C1372" s="2" t="s">
        <v>1689</v>
      </c>
      <c r="D1372" s="3" t="str">
        <f t="shared" ref="D1372:D1374" si="97">HYPERLINK("https://12go.asia/en/travel/Chania-Airport/Dramia-Hotel-Transfer", "12Go Link")</f>
        <v>12Go Link</v>
      </c>
      <c r="E1372" s="2" t="s">
        <v>1587</v>
      </c>
    </row>
    <row r="1373">
      <c r="A1373" s="2" t="s">
        <v>1585</v>
      </c>
      <c r="B1373" s="2" t="s">
        <v>1688</v>
      </c>
      <c r="C1373" s="2" t="s">
        <v>1689</v>
      </c>
      <c r="D1373" s="3" t="str">
        <f t="shared" si="97"/>
        <v>12Go Link</v>
      </c>
      <c r="E1373" s="2" t="s">
        <v>1588</v>
      </c>
    </row>
    <row r="1374">
      <c r="A1374" s="2" t="s">
        <v>1585</v>
      </c>
      <c r="B1374" s="2" t="s">
        <v>1688</v>
      </c>
      <c r="C1374" s="2" t="s">
        <v>1689</v>
      </c>
      <c r="D1374" s="3" t="str">
        <f t="shared" si="97"/>
        <v>12Go Link</v>
      </c>
      <c r="E1374" s="2" t="s">
        <v>1589</v>
      </c>
    </row>
    <row r="1375">
      <c r="A1375" s="2" t="s">
        <v>1585</v>
      </c>
      <c r="B1375" s="2" t="s">
        <v>1690</v>
      </c>
      <c r="C1375" s="2" t="s">
        <v>1691</v>
      </c>
      <c r="D1375" s="3" t="str">
        <f t="shared" ref="D1375:D1377" si="98">HYPERLINK("https://12go.asia/en/travel/Chania-Airport/Elounda-Hotel-Transfer", "12Go Link")</f>
        <v>12Go Link</v>
      </c>
      <c r="E1375" s="2" t="s">
        <v>1587</v>
      </c>
    </row>
    <row r="1376">
      <c r="A1376" s="2" t="s">
        <v>1585</v>
      </c>
      <c r="B1376" s="2" t="s">
        <v>1690</v>
      </c>
      <c r="C1376" s="2" t="s">
        <v>1691</v>
      </c>
      <c r="D1376" s="3" t="str">
        <f t="shared" si="98"/>
        <v>12Go Link</v>
      </c>
      <c r="E1376" s="2" t="s">
        <v>1588</v>
      </c>
    </row>
    <row r="1377">
      <c r="A1377" s="2" t="s">
        <v>1585</v>
      </c>
      <c r="B1377" s="2" t="s">
        <v>1690</v>
      </c>
      <c r="C1377" s="2" t="s">
        <v>1691</v>
      </c>
      <c r="D1377" s="3" t="str">
        <f t="shared" si="98"/>
        <v>12Go Link</v>
      </c>
      <c r="E1377" s="2" t="s">
        <v>1589</v>
      </c>
    </row>
    <row r="1378">
      <c r="A1378" s="2" t="s">
        <v>1585</v>
      </c>
      <c r="B1378" s="2" t="s">
        <v>1692</v>
      </c>
      <c r="C1378" s="2" t="s">
        <v>1693</v>
      </c>
      <c r="D1378" s="3" t="str">
        <f t="shared" ref="D1378:D1380" si="99">HYPERLINK("https://12go.asia/en/travel/Chania-Airport/Episkopi-Rethymno-Hotel-Transfer", "12Go Link")</f>
        <v>12Go Link</v>
      </c>
      <c r="E1378" s="2" t="s">
        <v>1587</v>
      </c>
    </row>
    <row r="1379">
      <c r="A1379" s="2" t="s">
        <v>1585</v>
      </c>
      <c r="B1379" s="2" t="s">
        <v>1692</v>
      </c>
      <c r="C1379" s="2" t="s">
        <v>1693</v>
      </c>
      <c r="D1379" s="3" t="str">
        <f t="shared" si="99"/>
        <v>12Go Link</v>
      </c>
      <c r="E1379" s="2" t="s">
        <v>1588</v>
      </c>
    </row>
    <row r="1380">
      <c r="A1380" s="2" t="s">
        <v>1585</v>
      </c>
      <c r="B1380" s="2" t="s">
        <v>1692</v>
      </c>
      <c r="C1380" s="2" t="s">
        <v>1693</v>
      </c>
      <c r="D1380" s="3" t="str">
        <f t="shared" si="99"/>
        <v>12Go Link</v>
      </c>
      <c r="E1380" s="2" t="s">
        <v>1589</v>
      </c>
    </row>
    <row r="1381">
      <c r="A1381" s="2" t="s">
        <v>1585</v>
      </c>
      <c r="B1381" s="2" t="s">
        <v>1694</v>
      </c>
      <c r="C1381" s="2" t="s">
        <v>1695</v>
      </c>
      <c r="D1381" s="3" t="str">
        <f t="shared" ref="D1381:D1383" si="100">HYPERLINK("https://12go.asia/en/travel/Chania-Airport/Exopoli-Hotel-Transfer", "12Go Link")</f>
        <v>12Go Link</v>
      </c>
      <c r="E1381" s="2" t="s">
        <v>1587</v>
      </c>
    </row>
    <row r="1382">
      <c r="A1382" s="2" t="s">
        <v>1585</v>
      </c>
      <c r="B1382" s="2" t="s">
        <v>1694</v>
      </c>
      <c r="C1382" s="2" t="s">
        <v>1695</v>
      </c>
      <c r="D1382" s="3" t="str">
        <f t="shared" si="100"/>
        <v>12Go Link</v>
      </c>
      <c r="E1382" s="2" t="s">
        <v>1588</v>
      </c>
    </row>
    <row r="1383">
      <c r="A1383" s="2" t="s">
        <v>1585</v>
      </c>
      <c r="B1383" s="2" t="s">
        <v>1694</v>
      </c>
      <c r="C1383" s="2" t="s">
        <v>1695</v>
      </c>
      <c r="D1383" s="3" t="str">
        <f t="shared" si="100"/>
        <v>12Go Link</v>
      </c>
      <c r="E1383" s="2" t="s">
        <v>1589</v>
      </c>
    </row>
    <row r="1384">
      <c r="A1384" s="2" t="s">
        <v>1585</v>
      </c>
      <c r="B1384" s="2" t="s">
        <v>1696</v>
      </c>
      <c r="C1384" s="2" t="s">
        <v>1697</v>
      </c>
      <c r="D1384" s="3" t="str">
        <f t="shared" ref="D1384:D1386" si="101">HYPERLINK("https://12go.asia/en/travel/Chania-Airport/Falasarna-Hotel-Transfer", "12Go Link")</f>
        <v>12Go Link</v>
      </c>
      <c r="E1384" s="2" t="s">
        <v>1587</v>
      </c>
    </row>
    <row r="1385">
      <c r="A1385" s="2" t="s">
        <v>1585</v>
      </c>
      <c r="B1385" s="2" t="s">
        <v>1696</v>
      </c>
      <c r="C1385" s="2" t="s">
        <v>1697</v>
      </c>
      <c r="D1385" s="3" t="str">
        <f t="shared" si="101"/>
        <v>12Go Link</v>
      </c>
      <c r="E1385" s="2" t="s">
        <v>1588</v>
      </c>
    </row>
    <row r="1386">
      <c r="A1386" s="2" t="s">
        <v>1585</v>
      </c>
      <c r="B1386" s="2" t="s">
        <v>1696</v>
      </c>
      <c r="C1386" s="2" t="s">
        <v>1697</v>
      </c>
      <c r="D1386" s="3" t="str">
        <f t="shared" si="101"/>
        <v>12Go Link</v>
      </c>
      <c r="E1386" s="2" t="s">
        <v>1589</v>
      </c>
    </row>
    <row r="1387">
      <c r="A1387" s="2" t="s">
        <v>1585</v>
      </c>
      <c r="B1387" s="2" t="s">
        <v>1698</v>
      </c>
      <c r="C1387" s="2" t="s">
        <v>1699</v>
      </c>
      <c r="D1387" s="3" t="str">
        <f t="shared" ref="D1387:D1389" si="102">HYPERLINK("https://12go.asia/en/travel/Chania-Airport/Ferma-Hotel-Transfer", "12Go Link")</f>
        <v>12Go Link</v>
      </c>
      <c r="E1387" s="2" t="s">
        <v>1587</v>
      </c>
    </row>
    <row r="1388">
      <c r="A1388" s="2" t="s">
        <v>1585</v>
      </c>
      <c r="B1388" s="2" t="s">
        <v>1698</v>
      </c>
      <c r="C1388" s="2" t="s">
        <v>1699</v>
      </c>
      <c r="D1388" s="3" t="str">
        <f t="shared" si="102"/>
        <v>12Go Link</v>
      </c>
      <c r="E1388" s="2" t="s">
        <v>1588</v>
      </c>
    </row>
    <row r="1389">
      <c r="A1389" s="2" t="s">
        <v>1585</v>
      </c>
      <c r="B1389" s="2" t="s">
        <v>1698</v>
      </c>
      <c r="C1389" s="2" t="s">
        <v>1699</v>
      </c>
      <c r="D1389" s="3" t="str">
        <f t="shared" si="102"/>
        <v>12Go Link</v>
      </c>
      <c r="E1389" s="2" t="s">
        <v>1589</v>
      </c>
    </row>
    <row r="1390">
      <c r="A1390" s="2" t="s">
        <v>1585</v>
      </c>
      <c r="B1390" s="2" t="s">
        <v>1700</v>
      </c>
      <c r="C1390" s="2" t="s">
        <v>1701</v>
      </c>
      <c r="D1390" s="3" t="str">
        <f t="shared" ref="D1390:D1392" si="103">HYPERLINK("https://12go.asia/en/travel/Chania-Airport/Fodele-Hotel-Transfer", "12Go Link")</f>
        <v>12Go Link</v>
      </c>
      <c r="E1390" s="2" t="s">
        <v>1587</v>
      </c>
    </row>
    <row r="1391">
      <c r="A1391" s="2" t="s">
        <v>1585</v>
      </c>
      <c r="B1391" s="2" t="s">
        <v>1700</v>
      </c>
      <c r="C1391" s="2" t="s">
        <v>1701</v>
      </c>
      <c r="D1391" s="3" t="str">
        <f t="shared" si="103"/>
        <v>12Go Link</v>
      </c>
      <c r="E1391" s="2" t="s">
        <v>1588</v>
      </c>
    </row>
    <row r="1392">
      <c r="A1392" s="2" t="s">
        <v>1585</v>
      </c>
      <c r="B1392" s="2" t="s">
        <v>1700</v>
      </c>
      <c r="C1392" s="2" t="s">
        <v>1701</v>
      </c>
      <c r="D1392" s="3" t="str">
        <f t="shared" si="103"/>
        <v>12Go Link</v>
      </c>
      <c r="E1392" s="2" t="s">
        <v>1589</v>
      </c>
    </row>
    <row r="1393">
      <c r="A1393" s="2" t="s">
        <v>1585</v>
      </c>
      <c r="B1393" s="2" t="s">
        <v>1702</v>
      </c>
      <c r="C1393" s="2" t="s">
        <v>1703</v>
      </c>
      <c r="D1393" s="3" t="str">
        <f t="shared" ref="D1393:D1395" si="104">HYPERLINK("https://12go.asia/en/travel/Chania-Airport/Frangokastello-Hotel-Transfer", "12Go Link")</f>
        <v>12Go Link</v>
      </c>
      <c r="E1393" s="2" t="s">
        <v>1587</v>
      </c>
    </row>
    <row r="1394">
      <c r="A1394" s="2" t="s">
        <v>1585</v>
      </c>
      <c r="B1394" s="2" t="s">
        <v>1702</v>
      </c>
      <c r="C1394" s="2" t="s">
        <v>1703</v>
      </c>
      <c r="D1394" s="3" t="str">
        <f t="shared" si="104"/>
        <v>12Go Link</v>
      </c>
      <c r="E1394" s="2" t="s">
        <v>1588</v>
      </c>
    </row>
    <row r="1395">
      <c r="A1395" s="2" t="s">
        <v>1585</v>
      </c>
      <c r="B1395" s="2" t="s">
        <v>1702</v>
      </c>
      <c r="C1395" s="2" t="s">
        <v>1703</v>
      </c>
      <c r="D1395" s="3" t="str">
        <f t="shared" si="104"/>
        <v>12Go Link</v>
      </c>
      <c r="E1395" s="2" t="s">
        <v>1589</v>
      </c>
    </row>
    <row r="1396">
      <c r="A1396" s="2" t="s">
        <v>1585</v>
      </c>
      <c r="B1396" s="2" t="s">
        <v>1704</v>
      </c>
      <c r="C1396" s="2" t="s">
        <v>1705</v>
      </c>
      <c r="D1396" s="3" t="str">
        <f t="shared" ref="D1396:D1398" si="105">HYPERLINK("https://12go.asia/en/travel/Chania-Airport/Galatas-Chania-Hotel-Transfer", "12Go Link")</f>
        <v>12Go Link</v>
      </c>
      <c r="E1396" s="2" t="s">
        <v>1587</v>
      </c>
    </row>
    <row r="1397">
      <c r="A1397" s="2" t="s">
        <v>1585</v>
      </c>
      <c r="B1397" s="2" t="s">
        <v>1704</v>
      </c>
      <c r="C1397" s="2" t="s">
        <v>1705</v>
      </c>
      <c r="D1397" s="3" t="str">
        <f t="shared" si="105"/>
        <v>12Go Link</v>
      </c>
      <c r="E1397" s="2" t="s">
        <v>1588</v>
      </c>
    </row>
    <row r="1398">
      <c r="A1398" s="2" t="s">
        <v>1585</v>
      </c>
      <c r="B1398" s="2" t="s">
        <v>1704</v>
      </c>
      <c r="C1398" s="2" t="s">
        <v>1705</v>
      </c>
      <c r="D1398" s="3" t="str">
        <f t="shared" si="105"/>
        <v>12Go Link</v>
      </c>
      <c r="E1398" s="2" t="s">
        <v>1589</v>
      </c>
    </row>
    <row r="1399">
      <c r="A1399" s="2" t="s">
        <v>1585</v>
      </c>
      <c r="B1399" s="2" t="s">
        <v>1706</v>
      </c>
      <c r="C1399" s="2" t="s">
        <v>1707</v>
      </c>
      <c r="D1399" s="3" t="str">
        <f t="shared" ref="D1399:D1401" si="106">HYPERLINK("https://12go.asia/en/travel/Chania-Airport/Gavalochori-Hotel-Transfer", "12Go Link")</f>
        <v>12Go Link</v>
      </c>
      <c r="E1399" s="2" t="s">
        <v>1587</v>
      </c>
    </row>
    <row r="1400">
      <c r="A1400" s="2" t="s">
        <v>1585</v>
      </c>
      <c r="B1400" s="2" t="s">
        <v>1706</v>
      </c>
      <c r="C1400" s="2" t="s">
        <v>1707</v>
      </c>
      <c r="D1400" s="3" t="str">
        <f t="shared" si="106"/>
        <v>12Go Link</v>
      </c>
      <c r="E1400" s="2" t="s">
        <v>1588</v>
      </c>
    </row>
    <row r="1401">
      <c r="A1401" s="2" t="s">
        <v>1585</v>
      </c>
      <c r="B1401" s="2" t="s">
        <v>1706</v>
      </c>
      <c r="C1401" s="2" t="s">
        <v>1707</v>
      </c>
      <c r="D1401" s="3" t="str">
        <f t="shared" si="106"/>
        <v>12Go Link</v>
      </c>
      <c r="E1401" s="2" t="s">
        <v>1589</v>
      </c>
    </row>
    <row r="1402">
      <c r="A1402" s="2" t="s">
        <v>1585</v>
      </c>
      <c r="B1402" s="2" t="s">
        <v>1708</v>
      </c>
      <c r="C1402" s="2" t="s">
        <v>1709</v>
      </c>
      <c r="D1402" s="3" t="str">
        <f t="shared" ref="D1402:D1404" si="107">HYPERLINK("https://12go.asia/en/travel/Chania-Airport/Gazi-Hotel-Transfer", "12Go Link")</f>
        <v>12Go Link</v>
      </c>
      <c r="E1402" s="2" t="s">
        <v>1587</v>
      </c>
    </row>
    <row r="1403">
      <c r="A1403" s="2" t="s">
        <v>1585</v>
      </c>
      <c r="B1403" s="2" t="s">
        <v>1708</v>
      </c>
      <c r="C1403" s="2" t="s">
        <v>1709</v>
      </c>
      <c r="D1403" s="3" t="str">
        <f t="shared" si="107"/>
        <v>12Go Link</v>
      </c>
      <c r="E1403" s="2" t="s">
        <v>1588</v>
      </c>
    </row>
    <row r="1404">
      <c r="A1404" s="2" t="s">
        <v>1585</v>
      </c>
      <c r="B1404" s="2" t="s">
        <v>1708</v>
      </c>
      <c r="C1404" s="2" t="s">
        <v>1709</v>
      </c>
      <c r="D1404" s="3" t="str">
        <f t="shared" si="107"/>
        <v>12Go Link</v>
      </c>
      <c r="E1404" s="2" t="s">
        <v>1589</v>
      </c>
    </row>
    <row r="1405">
      <c r="A1405" s="2" t="s">
        <v>1585</v>
      </c>
      <c r="B1405" s="2" t="s">
        <v>1710</v>
      </c>
      <c r="C1405" s="2" t="s">
        <v>1711</v>
      </c>
      <c r="D1405" s="3" t="str">
        <f t="shared" ref="D1405:D1407" si="108">HYPERLINK("https://12go.asia/en/travel/Chania-Airport/Georgioupoli-Hotel-Transfer", "12Go Link")</f>
        <v>12Go Link</v>
      </c>
      <c r="E1405" s="2" t="s">
        <v>1587</v>
      </c>
    </row>
    <row r="1406">
      <c r="A1406" s="2" t="s">
        <v>1585</v>
      </c>
      <c r="B1406" s="2" t="s">
        <v>1710</v>
      </c>
      <c r="C1406" s="2" t="s">
        <v>1711</v>
      </c>
      <c r="D1406" s="3" t="str">
        <f t="shared" si="108"/>
        <v>12Go Link</v>
      </c>
      <c r="E1406" s="2" t="s">
        <v>1588</v>
      </c>
    </row>
    <row r="1407">
      <c r="A1407" s="2" t="s">
        <v>1585</v>
      </c>
      <c r="B1407" s="2" t="s">
        <v>1710</v>
      </c>
      <c r="C1407" s="2" t="s">
        <v>1711</v>
      </c>
      <c r="D1407" s="3" t="str">
        <f t="shared" si="108"/>
        <v>12Go Link</v>
      </c>
      <c r="E1407" s="2" t="s">
        <v>1589</v>
      </c>
    </row>
    <row r="1408">
      <c r="A1408" s="2" t="s">
        <v>1585</v>
      </c>
      <c r="B1408" s="2" t="s">
        <v>1712</v>
      </c>
      <c r="C1408" s="2" t="s">
        <v>1713</v>
      </c>
      <c r="D1408" s="3" t="str">
        <f t="shared" ref="D1408:D1410" si="109">HYPERLINK("https://12go.asia/en/travel/Chania-Airport/Gerani-Chania-Hotel-Transfer", "12Go Link")</f>
        <v>12Go Link</v>
      </c>
      <c r="E1408" s="2" t="s">
        <v>1587</v>
      </c>
    </row>
    <row r="1409">
      <c r="A1409" s="2" t="s">
        <v>1585</v>
      </c>
      <c r="B1409" s="2" t="s">
        <v>1712</v>
      </c>
      <c r="C1409" s="2" t="s">
        <v>1713</v>
      </c>
      <c r="D1409" s="3" t="str">
        <f t="shared" si="109"/>
        <v>12Go Link</v>
      </c>
      <c r="E1409" s="2" t="s">
        <v>1588</v>
      </c>
    </row>
    <row r="1410">
      <c r="A1410" s="2" t="s">
        <v>1585</v>
      </c>
      <c r="B1410" s="2" t="s">
        <v>1712</v>
      </c>
      <c r="C1410" s="2" t="s">
        <v>1713</v>
      </c>
      <c r="D1410" s="3" t="str">
        <f t="shared" si="109"/>
        <v>12Go Link</v>
      </c>
      <c r="E1410" s="2" t="s">
        <v>1589</v>
      </c>
    </row>
    <row r="1411">
      <c r="A1411" s="2" t="s">
        <v>1585</v>
      </c>
      <c r="B1411" s="2" t="s">
        <v>1714</v>
      </c>
      <c r="C1411" s="2" t="s">
        <v>1715</v>
      </c>
      <c r="D1411" s="3" t="str">
        <f t="shared" ref="D1411:D1413" si="110">HYPERLINK("https://12go.asia/en/travel/Chania-Airport/Gerani-Rethymno-Hotel-Transfer", "12Go Link")</f>
        <v>12Go Link</v>
      </c>
      <c r="E1411" s="2" t="s">
        <v>1587</v>
      </c>
    </row>
    <row r="1412">
      <c r="A1412" s="2" t="s">
        <v>1585</v>
      </c>
      <c r="B1412" s="2" t="s">
        <v>1714</v>
      </c>
      <c r="C1412" s="2" t="s">
        <v>1715</v>
      </c>
      <c r="D1412" s="3" t="str">
        <f t="shared" si="110"/>
        <v>12Go Link</v>
      </c>
      <c r="E1412" s="2" t="s">
        <v>1588</v>
      </c>
    </row>
    <row r="1413">
      <c r="A1413" s="2" t="s">
        <v>1585</v>
      </c>
      <c r="B1413" s="2" t="s">
        <v>1714</v>
      </c>
      <c r="C1413" s="2" t="s">
        <v>1715</v>
      </c>
      <c r="D1413" s="3" t="str">
        <f t="shared" si="110"/>
        <v>12Go Link</v>
      </c>
      <c r="E1413" s="2" t="s">
        <v>1589</v>
      </c>
    </row>
    <row r="1414">
      <c r="A1414" s="2" t="s">
        <v>1585</v>
      </c>
      <c r="B1414" s="2" t="s">
        <v>1716</v>
      </c>
      <c r="C1414" s="2" t="s">
        <v>1717</v>
      </c>
      <c r="D1414" s="3" t="str">
        <f t="shared" ref="D1414:D1416" si="111">HYPERLINK("https://12go.asia/en/travel/Chania-Airport/Gournes-Gouvon-Hotel-Transfer", "12Go Link")</f>
        <v>12Go Link</v>
      </c>
      <c r="E1414" s="2" t="s">
        <v>1587</v>
      </c>
    </row>
    <row r="1415">
      <c r="A1415" s="2" t="s">
        <v>1585</v>
      </c>
      <c r="B1415" s="2" t="s">
        <v>1716</v>
      </c>
      <c r="C1415" s="2" t="s">
        <v>1717</v>
      </c>
      <c r="D1415" s="3" t="str">
        <f t="shared" si="111"/>
        <v>12Go Link</v>
      </c>
      <c r="E1415" s="2" t="s">
        <v>1588</v>
      </c>
    </row>
    <row r="1416">
      <c r="A1416" s="2" t="s">
        <v>1585</v>
      </c>
      <c r="B1416" s="2" t="s">
        <v>1716</v>
      </c>
      <c r="C1416" s="2" t="s">
        <v>1717</v>
      </c>
      <c r="D1416" s="3" t="str">
        <f t="shared" si="111"/>
        <v>12Go Link</v>
      </c>
      <c r="E1416" s="2" t="s">
        <v>1589</v>
      </c>
    </row>
    <row r="1417">
      <c r="A1417" s="2" t="s">
        <v>1585</v>
      </c>
      <c r="B1417" s="2" t="s">
        <v>1718</v>
      </c>
      <c r="C1417" s="2" t="s">
        <v>1719</v>
      </c>
      <c r="D1417" s="3" t="str">
        <f t="shared" ref="D1417:D1419" si="112">HYPERLINK("https://12go.asia/en/travel/Chania-Airport/Gouves-Hotel-Transfer", "12Go Link")</f>
        <v>12Go Link</v>
      </c>
      <c r="E1417" s="2" t="s">
        <v>1587</v>
      </c>
    </row>
    <row r="1418">
      <c r="A1418" s="2" t="s">
        <v>1585</v>
      </c>
      <c r="B1418" s="2" t="s">
        <v>1718</v>
      </c>
      <c r="C1418" s="2" t="s">
        <v>1719</v>
      </c>
      <c r="D1418" s="3" t="str">
        <f t="shared" si="112"/>
        <v>12Go Link</v>
      </c>
      <c r="E1418" s="2" t="s">
        <v>1588</v>
      </c>
    </row>
    <row r="1419">
      <c r="A1419" s="2" t="s">
        <v>1585</v>
      </c>
      <c r="B1419" s="2" t="s">
        <v>1718</v>
      </c>
      <c r="C1419" s="2" t="s">
        <v>1719</v>
      </c>
      <c r="D1419" s="3" t="str">
        <f t="shared" si="112"/>
        <v>12Go Link</v>
      </c>
      <c r="E1419" s="2" t="s">
        <v>1589</v>
      </c>
    </row>
    <row r="1420">
      <c r="A1420" s="2" t="s">
        <v>1585</v>
      </c>
      <c r="B1420" s="2" t="s">
        <v>1590</v>
      </c>
      <c r="C1420" s="2" t="s">
        <v>1720</v>
      </c>
      <c r="D1420" s="3" t="str">
        <f t="shared" ref="D1420:D1422" si="113">HYPERLINK("https://12go.asia/en/travel/Agioi-Apostoli-Hotel-Transfer/Heraklion-Airport", "12Go Link")</f>
        <v>12Go Link</v>
      </c>
      <c r="E1420" s="2" t="s">
        <v>1587</v>
      </c>
    </row>
    <row r="1421">
      <c r="A1421" s="2" t="s">
        <v>1585</v>
      </c>
      <c r="B1421" s="2" t="s">
        <v>1590</v>
      </c>
      <c r="C1421" s="2" t="s">
        <v>1720</v>
      </c>
      <c r="D1421" s="3" t="str">
        <f t="shared" si="113"/>
        <v>12Go Link</v>
      </c>
      <c r="E1421" s="2" t="s">
        <v>1588</v>
      </c>
    </row>
    <row r="1422">
      <c r="A1422" s="2" t="s">
        <v>1585</v>
      </c>
      <c r="B1422" s="2" t="s">
        <v>1590</v>
      </c>
      <c r="C1422" s="2" t="s">
        <v>1720</v>
      </c>
      <c r="D1422" s="3" t="str">
        <f t="shared" si="113"/>
        <v>12Go Link</v>
      </c>
      <c r="E1422" s="2" t="s">
        <v>1589</v>
      </c>
    </row>
    <row r="1423">
      <c r="A1423" s="2" t="s">
        <v>1585</v>
      </c>
      <c r="B1423" s="2" t="s">
        <v>1590</v>
      </c>
      <c r="C1423" s="2" t="s">
        <v>1721</v>
      </c>
      <c r="D1423" s="3" t="str">
        <f t="shared" ref="D1423:D1425" si="114">HYPERLINK("https://12go.asia/en/travel/Chania-Airport/Ammoudara-Heraklion-Hotel-Transfer", "12Go Link")</f>
        <v>12Go Link</v>
      </c>
      <c r="E1423" s="2" t="s">
        <v>1587</v>
      </c>
    </row>
    <row r="1424">
      <c r="A1424" s="2" t="s">
        <v>1585</v>
      </c>
      <c r="B1424" s="2" t="s">
        <v>1590</v>
      </c>
      <c r="C1424" s="2" t="s">
        <v>1721</v>
      </c>
      <c r="D1424" s="3" t="str">
        <f t="shared" si="114"/>
        <v>12Go Link</v>
      </c>
      <c r="E1424" s="2" t="s">
        <v>1588</v>
      </c>
    </row>
    <row r="1425">
      <c r="A1425" s="2" t="s">
        <v>1585</v>
      </c>
      <c r="B1425" s="2" t="s">
        <v>1590</v>
      </c>
      <c r="C1425" s="2" t="s">
        <v>1721</v>
      </c>
      <c r="D1425" s="3" t="str">
        <f t="shared" si="114"/>
        <v>12Go Link</v>
      </c>
      <c r="E1425" s="2" t="s">
        <v>1589</v>
      </c>
    </row>
    <row r="1426">
      <c r="A1426" s="2" t="s">
        <v>1585</v>
      </c>
      <c r="B1426" s="2" t="s">
        <v>1590</v>
      </c>
      <c r="C1426" s="2" t="s">
        <v>1722</v>
      </c>
      <c r="D1426" s="3" t="str">
        <f t="shared" ref="D1426:D1428" si="115">HYPERLINK("https://12go.asia/en/travel/Chania-Airport/Amnissos-Hotel-Transfer", "12Go Link")</f>
        <v>12Go Link</v>
      </c>
      <c r="E1426" s="2" t="s">
        <v>1587</v>
      </c>
    </row>
    <row r="1427">
      <c r="A1427" s="2" t="s">
        <v>1585</v>
      </c>
      <c r="B1427" s="2" t="s">
        <v>1590</v>
      </c>
      <c r="C1427" s="2" t="s">
        <v>1722</v>
      </c>
      <c r="D1427" s="3" t="str">
        <f t="shared" si="115"/>
        <v>12Go Link</v>
      </c>
      <c r="E1427" s="2" t="s">
        <v>1588</v>
      </c>
    </row>
    <row r="1428">
      <c r="A1428" s="2" t="s">
        <v>1585</v>
      </c>
      <c r="B1428" s="2" t="s">
        <v>1590</v>
      </c>
      <c r="C1428" s="2" t="s">
        <v>1722</v>
      </c>
      <c r="D1428" s="3" t="str">
        <f t="shared" si="115"/>
        <v>12Go Link</v>
      </c>
      <c r="E1428" s="2" t="s">
        <v>1589</v>
      </c>
    </row>
    <row r="1429">
      <c r="A1429" s="2" t="s">
        <v>1585</v>
      </c>
      <c r="B1429" s="2" t="s">
        <v>1590</v>
      </c>
      <c r="C1429" s="2" t="s">
        <v>1723</v>
      </c>
      <c r="D1429" s="3" t="str">
        <f t="shared" ref="D1429:D1431" si="116">HYPERLINK("https://12go.asia/en/travel/Chania-Airport/Arolithos-Traditional-Cretan-Village", "12Go Link")</f>
        <v>12Go Link</v>
      </c>
      <c r="E1429" s="2" t="s">
        <v>1587</v>
      </c>
    </row>
    <row r="1430">
      <c r="A1430" s="2" t="s">
        <v>1585</v>
      </c>
      <c r="B1430" s="2" t="s">
        <v>1590</v>
      </c>
      <c r="C1430" s="2" t="s">
        <v>1723</v>
      </c>
      <c r="D1430" s="3" t="str">
        <f t="shared" si="116"/>
        <v>12Go Link</v>
      </c>
      <c r="E1430" s="2" t="s">
        <v>1588</v>
      </c>
    </row>
    <row r="1431">
      <c r="A1431" s="2" t="s">
        <v>1585</v>
      </c>
      <c r="B1431" s="2" t="s">
        <v>1590</v>
      </c>
      <c r="C1431" s="2" t="s">
        <v>1723</v>
      </c>
      <c r="D1431" s="3" t="str">
        <f t="shared" si="116"/>
        <v>12Go Link</v>
      </c>
      <c r="E1431" s="2" t="s">
        <v>1589</v>
      </c>
    </row>
    <row r="1432">
      <c r="A1432" s="2" t="s">
        <v>1585</v>
      </c>
      <c r="B1432" s="2" t="s">
        <v>1590</v>
      </c>
      <c r="C1432" s="2" t="s">
        <v>1724</v>
      </c>
      <c r="D1432" s="3" t="str">
        <f t="shared" ref="D1432:D1434" si="117">HYPERLINK("https://12go.asia/en/travel/Chania-Airport/Heraklion-Airport", "12Go Link")</f>
        <v>12Go Link</v>
      </c>
      <c r="E1432" s="2" t="s">
        <v>1587</v>
      </c>
    </row>
    <row r="1433">
      <c r="A1433" s="2" t="s">
        <v>1585</v>
      </c>
      <c r="B1433" s="2" t="s">
        <v>1590</v>
      </c>
      <c r="C1433" s="2" t="s">
        <v>1724</v>
      </c>
      <c r="D1433" s="3" t="str">
        <f t="shared" si="117"/>
        <v>12Go Link</v>
      </c>
      <c r="E1433" s="2" t="s">
        <v>1588</v>
      </c>
    </row>
    <row r="1434">
      <c r="A1434" s="2" t="s">
        <v>1585</v>
      </c>
      <c r="B1434" s="2" t="s">
        <v>1590</v>
      </c>
      <c r="C1434" s="2" t="s">
        <v>1724</v>
      </c>
      <c r="D1434" s="3" t="str">
        <f t="shared" si="117"/>
        <v>12Go Link</v>
      </c>
      <c r="E1434" s="2" t="s">
        <v>1589</v>
      </c>
    </row>
    <row r="1435">
      <c r="A1435" s="2" t="s">
        <v>1585</v>
      </c>
      <c r="B1435" s="2" t="s">
        <v>1590</v>
      </c>
      <c r="C1435" s="2" t="s">
        <v>1725</v>
      </c>
      <c r="D1435" s="3" t="str">
        <f t="shared" ref="D1435:D1437" si="118">HYPERLINK("https://12go.asia/en/travel/Chania-Airport/Heraklion-Hotel-Transfer", "12Go Link")</f>
        <v>12Go Link</v>
      </c>
      <c r="E1435" s="2" t="s">
        <v>1587</v>
      </c>
    </row>
    <row r="1436">
      <c r="A1436" s="2" t="s">
        <v>1585</v>
      </c>
      <c r="B1436" s="2" t="s">
        <v>1590</v>
      </c>
      <c r="C1436" s="2" t="s">
        <v>1725</v>
      </c>
      <c r="D1436" s="3" t="str">
        <f t="shared" si="118"/>
        <v>12Go Link</v>
      </c>
      <c r="E1436" s="2" t="s">
        <v>1588</v>
      </c>
    </row>
    <row r="1437">
      <c r="A1437" s="2" t="s">
        <v>1585</v>
      </c>
      <c r="B1437" s="2" t="s">
        <v>1590</v>
      </c>
      <c r="C1437" s="2" t="s">
        <v>1725</v>
      </c>
      <c r="D1437" s="3" t="str">
        <f t="shared" si="118"/>
        <v>12Go Link</v>
      </c>
      <c r="E1437" s="2" t="s">
        <v>1589</v>
      </c>
    </row>
    <row r="1438">
      <c r="A1438" s="2" t="s">
        <v>1585</v>
      </c>
      <c r="B1438" s="2" t="s">
        <v>1590</v>
      </c>
      <c r="C1438" s="2" t="s">
        <v>1726</v>
      </c>
      <c r="D1438" s="3" t="str">
        <f t="shared" ref="D1438:D1440" si="119">HYPERLINK("https://12go.asia/en/travel/Chania-Airport/Heraklion-Port", "12Go Link")</f>
        <v>12Go Link</v>
      </c>
      <c r="E1438" s="2" t="s">
        <v>1587</v>
      </c>
    </row>
    <row r="1439">
      <c r="A1439" s="2" t="s">
        <v>1585</v>
      </c>
      <c r="B1439" s="2" t="s">
        <v>1590</v>
      </c>
      <c r="C1439" s="2" t="s">
        <v>1726</v>
      </c>
      <c r="D1439" s="3" t="str">
        <f t="shared" si="119"/>
        <v>12Go Link</v>
      </c>
      <c r="E1439" s="2" t="s">
        <v>1588</v>
      </c>
    </row>
    <row r="1440">
      <c r="A1440" s="2" t="s">
        <v>1585</v>
      </c>
      <c r="B1440" s="2" t="s">
        <v>1590</v>
      </c>
      <c r="C1440" s="2" t="s">
        <v>1726</v>
      </c>
      <c r="D1440" s="3" t="str">
        <f t="shared" si="119"/>
        <v>12Go Link</v>
      </c>
      <c r="E1440" s="2" t="s">
        <v>1589</v>
      </c>
    </row>
    <row r="1441">
      <c r="A1441" s="2" t="s">
        <v>1585</v>
      </c>
      <c r="B1441" s="2" t="s">
        <v>1590</v>
      </c>
      <c r="C1441" s="2" t="s">
        <v>1727</v>
      </c>
      <c r="D1441" s="3" t="str">
        <f t="shared" ref="D1441:D1443" si="120">HYPERLINK("https://12go.asia/en/travel/Chania-Hotel-Transfer/Heraklion-Airport", "12Go Link")</f>
        <v>12Go Link</v>
      </c>
      <c r="E1441" s="2" t="s">
        <v>1587</v>
      </c>
    </row>
    <row r="1442">
      <c r="A1442" s="2" t="s">
        <v>1585</v>
      </c>
      <c r="B1442" s="2" t="s">
        <v>1590</v>
      </c>
      <c r="C1442" s="2" t="s">
        <v>1727</v>
      </c>
      <c r="D1442" s="3" t="str">
        <f t="shared" si="120"/>
        <v>12Go Link</v>
      </c>
      <c r="E1442" s="2" t="s">
        <v>1588</v>
      </c>
    </row>
    <row r="1443">
      <c r="A1443" s="2" t="s">
        <v>1585</v>
      </c>
      <c r="B1443" s="2" t="s">
        <v>1590</v>
      </c>
      <c r="C1443" s="2" t="s">
        <v>1727</v>
      </c>
      <c r="D1443" s="3" t="str">
        <f t="shared" si="120"/>
        <v>12Go Link</v>
      </c>
      <c r="E1443" s="2" t="s">
        <v>1589</v>
      </c>
    </row>
    <row r="1444">
      <c r="A1444" s="2" t="s">
        <v>1585</v>
      </c>
      <c r="B1444" s="2" t="s">
        <v>1590</v>
      </c>
      <c r="C1444" s="2" t="s">
        <v>1728</v>
      </c>
      <c r="D1444" s="3" t="str">
        <f t="shared" ref="D1444:D1446" si="121">HYPERLINK("https://12go.asia/en/travel/Chania-Port/Heraklion-Airport", "12Go Link")</f>
        <v>12Go Link</v>
      </c>
      <c r="E1444" s="2" t="s">
        <v>1587</v>
      </c>
    </row>
    <row r="1445">
      <c r="A1445" s="2" t="s">
        <v>1585</v>
      </c>
      <c r="B1445" s="2" t="s">
        <v>1590</v>
      </c>
      <c r="C1445" s="2" t="s">
        <v>1728</v>
      </c>
      <c r="D1445" s="3" t="str">
        <f t="shared" si="121"/>
        <v>12Go Link</v>
      </c>
      <c r="E1445" s="2" t="s">
        <v>1588</v>
      </c>
    </row>
    <row r="1446">
      <c r="A1446" s="2" t="s">
        <v>1585</v>
      </c>
      <c r="B1446" s="2" t="s">
        <v>1590</v>
      </c>
      <c r="C1446" s="2" t="s">
        <v>1728</v>
      </c>
      <c r="D1446" s="3" t="str">
        <f t="shared" si="121"/>
        <v>12Go Link</v>
      </c>
      <c r="E1446" s="2" t="s">
        <v>1589</v>
      </c>
    </row>
    <row r="1447">
      <c r="A1447" s="2" t="s">
        <v>1585</v>
      </c>
      <c r="B1447" s="2" t="s">
        <v>1590</v>
      </c>
      <c r="C1447" s="2" t="s">
        <v>1729</v>
      </c>
      <c r="D1447" s="3" t="str">
        <f t="shared" ref="D1447:D1449" si="122">HYPERLINK("https://12go.asia/en/travel/Kalamaki-Hotel-Transfer/Heraklion-Airport", "12Go Link")</f>
        <v>12Go Link</v>
      </c>
      <c r="E1447" s="2" t="s">
        <v>1587</v>
      </c>
    </row>
    <row r="1448">
      <c r="A1448" s="2" t="s">
        <v>1585</v>
      </c>
      <c r="B1448" s="2" t="s">
        <v>1590</v>
      </c>
      <c r="C1448" s="2" t="s">
        <v>1729</v>
      </c>
      <c r="D1448" s="3" t="str">
        <f t="shared" si="122"/>
        <v>12Go Link</v>
      </c>
      <c r="E1448" s="2" t="s">
        <v>1588</v>
      </c>
    </row>
    <row r="1449">
      <c r="A1449" s="2" t="s">
        <v>1585</v>
      </c>
      <c r="B1449" s="2" t="s">
        <v>1590</v>
      </c>
      <c r="C1449" s="2" t="s">
        <v>1729</v>
      </c>
      <c r="D1449" s="3" t="str">
        <f t="shared" si="122"/>
        <v>12Go Link</v>
      </c>
      <c r="E1449" s="2" t="s">
        <v>1589</v>
      </c>
    </row>
    <row r="1450">
      <c r="A1450" s="2" t="s">
        <v>1585</v>
      </c>
      <c r="B1450" s="2" t="s">
        <v>1590</v>
      </c>
      <c r="C1450" s="2" t="s">
        <v>1730</v>
      </c>
      <c r="D1450" s="3" t="str">
        <f t="shared" ref="D1450:D1452" si="123">HYPERLINK("https://12go.asia/en/travel/Kato-Daratso-Hotel-Transfer/Heraklion-Airport", "12Go Link")</f>
        <v>12Go Link</v>
      </c>
      <c r="E1450" s="2" t="s">
        <v>1587</v>
      </c>
    </row>
    <row r="1451">
      <c r="A1451" s="2" t="s">
        <v>1585</v>
      </c>
      <c r="B1451" s="2" t="s">
        <v>1590</v>
      </c>
      <c r="C1451" s="2" t="s">
        <v>1730</v>
      </c>
      <c r="D1451" s="3" t="str">
        <f t="shared" si="123"/>
        <v>12Go Link</v>
      </c>
      <c r="E1451" s="2" t="s">
        <v>1588</v>
      </c>
    </row>
    <row r="1452">
      <c r="A1452" s="2" t="s">
        <v>1585</v>
      </c>
      <c r="B1452" s="2" t="s">
        <v>1590</v>
      </c>
      <c r="C1452" s="2" t="s">
        <v>1730</v>
      </c>
      <c r="D1452" s="3" t="str">
        <f t="shared" si="123"/>
        <v>12Go Link</v>
      </c>
      <c r="E1452" s="2" t="s">
        <v>1589</v>
      </c>
    </row>
    <row r="1453">
      <c r="A1453" s="2" t="s">
        <v>1585</v>
      </c>
      <c r="B1453" s="2" t="s">
        <v>1590</v>
      </c>
      <c r="C1453" s="2" t="s">
        <v>1731</v>
      </c>
      <c r="D1453" s="3" t="str">
        <f t="shared" ref="D1453:D1455" si="124">HYPERLINK("https://12go.asia/en/travel/Kato-Galatas-Hotel-Transfer/Heraklion-Airport", "12Go Link")</f>
        <v>12Go Link</v>
      </c>
      <c r="E1453" s="2" t="s">
        <v>1587</v>
      </c>
    </row>
    <row r="1454">
      <c r="A1454" s="2" t="s">
        <v>1585</v>
      </c>
      <c r="B1454" s="2" t="s">
        <v>1590</v>
      </c>
      <c r="C1454" s="2" t="s">
        <v>1731</v>
      </c>
      <c r="D1454" s="3" t="str">
        <f t="shared" si="124"/>
        <v>12Go Link</v>
      </c>
      <c r="E1454" s="2" t="s">
        <v>1588</v>
      </c>
    </row>
    <row r="1455">
      <c r="A1455" s="2" t="s">
        <v>1585</v>
      </c>
      <c r="B1455" s="2" t="s">
        <v>1590</v>
      </c>
      <c r="C1455" s="2" t="s">
        <v>1731</v>
      </c>
      <c r="D1455" s="3" t="str">
        <f t="shared" si="124"/>
        <v>12Go Link</v>
      </c>
      <c r="E1455" s="2" t="s">
        <v>1589</v>
      </c>
    </row>
    <row r="1456">
      <c r="A1456" s="2" t="s">
        <v>1585</v>
      </c>
      <c r="B1456" s="2" t="s">
        <v>1590</v>
      </c>
      <c r="C1456" s="2" t="s">
        <v>1732</v>
      </c>
      <c r="D1456" s="3" t="str">
        <f t="shared" ref="D1456:D1458" si="125">HYPERLINK("https://12go.asia/en/travel/Kato-Stalos-Hotel-Transfer/Heraklion-Airport", "12Go Link")</f>
        <v>12Go Link</v>
      </c>
      <c r="E1456" s="2" t="s">
        <v>1587</v>
      </c>
    </row>
    <row r="1457">
      <c r="A1457" s="2" t="s">
        <v>1585</v>
      </c>
      <c r="B1457" s="2" t="s">
        <v>1590</v>
      </c>
      <c r="C1457" s="2" t="s">
        <v>1732</v>
      </c>
      <c r="D1457" s="3" t="str">
        <f t="shared" si="125"/>
        <v>12Go Link</v>
      </c>
      <c r="E1457" s="2" t="s">
        <v>1588</v>
      </c>
    </row>
    <row r="1458">
      <c r="A1458" s="2" t="s">
        <v>1585</v>
      </c>
      <c r="B1458" s="2" t="s">
        <v>1590</v>
      </c>
      <c r="C1458" s="2" t="s">
        <v>1732</v>
      </c>
      <c r="D1458" s="3" t="str">
        <f t="shared" si="125"/>
        <v>12Go Link</v>
      </c>
      <c r="E1458" s="2" t="s">
        <v>1589</v>
      </c>
    </row>
    <row r="1459">
      <c r="A1459" s="2" t="s">
        <v>1585</v>
      </c>
      <c r="B1459" s="2" t="s">
        <v>1590</v>
      </c>
      <c r="C1459" s="2" t="s">
        <v>1733</v>
      </c>
      <c r="D1459" s="3" t="str">
        <f t="shared" ref="D1459:D1461" si="126">HYPERLINK("https://12go.asia/en/travel/Makris-Tichos-Hotel-Transfer/Heraklion-Airport", "12Go Link")</f>
        <v>12Go Link</v>
      </c>
      <c r="E1459" s="2" t="s">
        <v>1587</v>
      </c>
    </row>
    <row r="1460">
      <c r="A1460" s="2" t="s">
        <v>1585</v>
      </c>
      <c r="B1460" s="2" t="s">
        <v>1590</v>
      </c>
      <c r="C1460" s="2" t="s">
        <v>1733</v>
      </c>
      <c r="D1460" s="3" t="str">
        <f t="shared" si="126"/>
        <v>12Go Link</v>
      </c>
      <c r="E1460" s="2" t="s">
        <v>1588</v>
      </c>
    </row>
    <row r="1461">
      <c r="A1461" s="2" t="s">
        <v>1585</v>
      </c>
      <c r="B1461" s="2" t="s">
        <v>1590</v>
      </c>
      <c r="C1461" s="2" t="s">
        <v>1733</v>
      </c>
      <c r="D1461" s="3" t="str">
        <f t="shared" si="126"/>
        <v>12Go Link</v>
      </c>
      <c r="E1461" s="2" t="s">
        <v>1589</v>
      </c>
    </row>
    <row r="1462">
      <c r="A1462" s="2" t="s">
        <v>1585</v>
      </c>
      <c r="B1462" s="2" t="s">
        <v>1734</v>
      </c>
      <c r="C1462" s="2" t="s">
        <v>1735</v>
      </c>
      <c r="D1462" s="3" t="str">
        <f t="shared" ref="D1462:D1464" si="127">HYPERLINK("https://12go.asia/en/travel/Chania-Airport/Hersonissos-Hotel-Transfer", "12Go Link")</f>
        <v>12Go Link</v>
      </c>
      <c r="E1462" s="2" t="s">
        <v>1587</v>
      </c>
    </row>
    <row r="1463">
      <c r="A1463" s="2" t="s">
        <v>1585</v>
      </c>
      <c r="B1463" s="2" t="s">
        <v>1734</v>
      </c>
      <c r="C1463" s="2" t="s">
        <v>1735</v>
      </c>
      <c r="D1463" s="3" t="str">
        <f t="shared" si="127"/>
        <v>12Go Link</v>
      </c>
      <c r="E1463" s="2" t="s">
        <v>1588</v>
      </c>
    </row>
    <row r="1464">
      <c r="A1464" s="2" t="s">
        <v>1585</v>
      </c>
      <c r="B1464" s="2" t="s">
        <v>1734</v>
      </c>
      <c r="C1464" s="2" t="s">
        <v>1735</v>
      </c>
      <c r="D1464" s="3" t="str">
        <f t="shared" si="127"/>
        <v>12Go Link</v>
      </c>
      <c r="E1464" s="2" t="s">
        <v>1589</v>
      </c>
    </row>
    <row r="1465">
      <c r="A1465" s="2" t="s">
        <v>1585</v>
      </c>
      <c r="B1465" s="2" t="s">
        <v>1736</v>
      </c>
      <c r="C1465" s="2" t="s">
        <v>1737</v>
      </c>
      <c r="D1465" s="3" t="str">
        <f t="shared" ref="D1465:D1467" si="128">HYPERLINK("https://12go.asia/en/travel/Chania-Airport/Hora-Sfakion-Hotel-Transfer", "12Go Link")</f>
        <v>12Go Link</v>
      </c>
      <c r="E1465" s="2" t="s">
        <v>1587</v>
      </c>
    </row>
    <row r="1466">
      <c r="A1466" s="2" t="s">
        <v>1585</v>
      </c>
      <c r="B1466" s="2" t="s">
        <v>1736</v>
      </c>
      <c r="C1466" s="2" t="s">
        <v>1737</v>
      </c>
      <c r="D1466" s="3" t="str">
        <f t="shared" si="128"/>
        <v>12Go Link</v>
      </c>
      <c r="E1466" s="2" t="s">
        <v>1588</v>
      </c>
    </row>
    <row r="1467">
      <c r="A1467" s="2" t="s">
        <v>1585</v>
      </c>
      <c r="B1467" s="2" t="s">
        <v>1736</v>
      </c>
      <c r="C1467" s="2" t="s">
        <v>1737</v>
      </c>
      <c r="D1467" s="3" t="str">
        <f t="shared" si="128"/>
        <v>12Go Link</v>
      </c>
      <c r="E1467" s="2" t="s">
        <v>1589</v>
      </c>
    </row>
    <row r="1468">
      <c r="A1468" s="2" t="s">
        <v>1585</v>
      </c>
      <c r="B1468" s="2" t="s">
        <v>1738</v>
      </c>
      <c r="C1468" s="2" t="s">
        <v>1739</v>
      </c>
      <c r="D1468" s="3" t="str">
        <f t="shared" ref="D1468:D1470" si="129">HYPERLINK("https://12go.asia/en/travel/Chania-Airport/Ierapetra-Hotel-Transfer", "12Go Link")</f>
        <v>12Go Link</v>
      </c>
      <c r="E1468" s="2" t="s">
        <v>1587</v>
      </c>
    </row>
    <row r="1469">
      <c r="A1469" s="2" t="s">
        <v>1585</v>
      </c>
      <c r="B1469" s="2" t="s">
        <v>1738</v>
      </c>
      <c r="C1469" s="2" t="s">
        <v>1739</v>
      </c>
      <c r="D1469" s="3" t="str">
        <f t="shared" si="129"/>
        <v>12Go Link</v>
      </c>
      <c r="E1469" s="2" t="s">
        <v>1588</v>
      </c>
    </row>
    <row r="1470">
      <c r="A1470" s="2" t="s">
        <v>1585</v>
      </c>
      <c r="B1470" s="2" t="s">
        <v>1738</v>
      </c>
      <c r="C1470" s="2" t="s">
        <v>1739</v>
      </c>
      <c r="D1470" s="3" t="str">
        <f t="shared" si="129"/>
        <v>12Go Link</v>
      </c>
      <c r="E1470" s="2" t="s">
        <v>1589</v>
      </c>
    </row>
    <row r="1471">
      <c r="A1471" s="2" t="s">
        <v>1585</v>
      </c>
      <c r="B1471" s="2" t="s">
        <v>1740</v>
      </c>
      <c r="C1471" s="2" t="s">
        <v>1741</v>
      </c>
      <c r="D1471" s="3" t="str">
        <f t="shared" ref="D1471:D1473" si="130">HYPERLINK("https://12go.asia/en/travel/Chania-Airport/Istro-Hotel-Transfer", "12Go Link")</f>
        <v>12Go Link</v>
      </c>
      <c r="E1471" s="2" t="s">
        <v>1587</v>
      </c>
    </row>
    <row r="1472">
      <c r="A1472" s="2" t="s">
        <v>1585</v>
      </c>
      <c r="B1472" s="2" t="s">
        <v>1740</v>
      </c>
      <c r="C1472" s="2" t="s">
        <v>1741</v>
      </c>
      <c r="D1472" s="3" t="str">
        <f t="shared" si="130"/>
        <v>12Go Link</v>
      </c>
      <c r="E1472" s="2" t="s">
        <v>1588</v>
      </c>
    </row>
    <row r="1473">
      <c r="A1473" s="2" t="s">
        <v>1585</v>
      </c>
      <c r="B1473" s="2" t="s">
        <v>1740</v>
      </c>
      <c r="C1473" s="2" t="s">
        <v>1741</v>
      </c>
      <c r="D1473" s="3" t="str">
        <f t="shared" si="130"/>
        <v>12Go Link</v>
      </c>
      <c r="E1473" s="2" t="s">
        <v>1589</v>
      </c>
    </row>
    <row r="1474">
      <c r="A1474" s="2" t="s">
        <v>1585</v>
      </c>
      <c r="B1474" s="2" t="s">
        <v>1742</v>
      </c>
      <c r="C1474" s="2" t="s">
        <v>1743</v>
      </c>
      <c r="D1474" s="3" t="str">
        <f t="shared" ref="D1474:D1476" si="131">HYPERLINK("https://12go.asia/en/travel/Chania-Airport/Kalamaki-Heraklion-Hotel-Transfer", "12Go Link")</f>
        <v>12Go Link</v>
      </c>
      <c r="E1474" s="2" t="s">
        <v>1587</v>
      </c>
    </row>
    <row r="1475">
      <c r="A1475" s="2" t="s">
        <v>1585</v>
      </c>
      <c r="B1475" s="2" t="s">
        <v>1742</v>
      </c>
      <c r="C1475" s="2" t="s">
        <v>1743</v>
      </c>
      <c r="D1475" s="3" t="str">
        <f t="shared" si="131"/>
        <v>12Go Link</v>
      </c>
      <c r="E1475" s="2" t="s">
        <v>1588</v>
      </c>
    </row>
    <row r="1476">
      <c r="A1476" s="2" t="s">
        <v>1585</v>
      </c>
      <c r="B1476" s="2" t="s">
        <v>1742</v>
      </c>
      <c r="C1476" s="2" t="s">
        <v>1743</v>
      </c>
      <c r="D1476" s="3" t="str">
        <f t="shared" si="131"/>
        <v>12Go Link</v>
      </c>
      <c r="E1476" s="2" t="s">
        <v>1589</v>
      </c>
    </row>
    <row r="1477">
      <c r="A1477" s="2" t="s">
        <v>1585</v>
      </c>
      <c r="B1477" s="2" t="s">
        <v>1744</v>
      </c>
      <c r="C1477" s="2" t="s">
        <v>1745</v>
      </c>
      <c r="D1477" s="3" t="str">
        <f t="shared" ref="D1477:D1479" si="132">HYPERLINK("https://12go.asia/en/travel/Chania-Airport/Kalyves-Hotel-Transfer", "12Go Link")</f>
        <v>12Go Link</v>
      </c>
      <c r="E1477" s="2" t="s">
        <v>1587</v>
      </c>
    </row>
    <row r="1478">
      <c r="A1478" s="2" t="s">
        <v>1585</v>
      </c>
      <c r="B1478" s="2" t="s">
        <v>1744</v>
      </c>
      <c r="C1478" s="2" t="s">
        <v>1745</v>
      </c>
      <c r="D1478" s="3" t="str">
        <f t="shared" si="132"/>
        <v>12Go Link</v>
      </c>
      <c r="E1478" s="2" t="s">
        <v>1588</v>
      </c>
    </row>
    <row r="1479">
      <c r="A1479" s="2" t="s">
        <v>1585</v>
      </c>
      <c r="B1479" s="2" t="s">
        <v>1744</v>
      </c>
      <c r="C1479" s="2" t="s">
        <v>1745</v>
      </c>
      <c r="D1479" s="3" t="str">
        <f t="shared" si="132"/>
        <v>12Go Link</v>
      </c>
      <c r="E1479" s="2" t="s">
        <v>1589</v>
      </c>
    </row>
    <row r="1480">
      <c r="A1480" s="2" t="s">
        <v>1585</v>
      </c>
      <c r="B1480" s="2" t="s">
        <v>1746</v>
      </c>
      <c r="C1480" s="2" t="s">
        <v>1747</v>
      </c>
      <c r="D1480" s="3" t="str">
        <f t="shared" ref="D1480:D1482" si="133">HYPERLINK("https://12go.asia/en/travel/Chania-Airport/Kamilari-Hotel-Transfer", "12Go Link")</f>
        <v>12Go Link</v>
      </c>
      <c r="E1480" s="2" t="s">
        <v>1587</v>
      </c>
    </row>
    <row r="1481">
      <c r="A1481" s="2" t="s">
        <v>1585</v>
      </c>
      <c r="B1481" s="2" t="s">
        <v>1746</v>
      </c>
      <c r="C1481" s="2" t="s">
        <v>1747</v>
      </c>
      <c r="D1481" s="3" t="str">
        <f t="shared" si="133"/>
        <v>12Go Link</v>
      </c>
      <c r="E1481" s="2" t="s">
        <v>1588</v>
      </c>
    </row>
    <row r="1482">
      <c r="A1482" s="2" t="s">
        <v>1585</v>
      </c>
      <c r="B1482" s="2" t="s">
        <v>1746</v>
      </c>
      <c r="C1482" s="2" t="s">
        <v>1747</v>
      </c>
      <c r="D1482" s="3" t="str">
        <f t="shared" si="133"/>
        <v>12Go Link</v>
      </c>
      <c r="E1482" s="2" t="s">
        <v>1589</v>
      </c>
    </row>
    <row r="1483">
      <c r="A1483" s="2" t="s">
        <v>1585</v>
      </c>
      <c r="B1483" s="2" t="s">
        <v>1748</v>
      </c>
      <c r="C1483" s="2" t="s">
        <v>1749</v>
      </c>
      <c r="D1483" s="3" t="str">
        <f t="shared" ref="D1483:D1485" si="134">HYPERLINK("https://12go.asia/en/travel/Chania-Airport/Kamisiana-Hotel-Transfer", "12Go Link")</f>
        <v>12Go Link</v>
      </c>
      <c r="E1483" s="2" t="s">
        <v>1587</v>
      </c>
    </row>
    <row r="1484">
      <c r="A1484" s="2" t="s">
        <v>1585</v>
      </c>
      <c r="B1484" s="2" t="s">
        <v>1748</v>
      </c>
      <c r="C1484" s="2" t="s">
        <v>1749</v>
      </c>
      <c r="D1484" s="3" t="str">
        <f t="shared" si="134"/>
        <v>12Go Link</v>
      </c>
      <c r="E1484" s="2" t="s">
        <v>1588</v>
      </c>
    </row>
    <row r="1485">
      <c r="A1485" s="2" t="s">
        <v>1585</v>
      </c>
      <c r="B1485" s="2" t="s">
        <v>1748</v>
      </c>
      <c r="C1485" s="2" t="s">
        <v>1749</v>
      </c>
      <c r="D1485" s="3" t="str">
        <f t="shared" si="134"/>
        <v>12Go Link</v>
      </c>
      <c r="E1485" s="2" t="s">
        <v>1589</v>
      </c>
    </row>
    <row r="1486">
      <c r="A1486" s="2" t="s">
        <v>1585</v>
      </c>
      <c r="B1486" s="2" t="s">
        <v>1750</v>
      </c>
      <c r="C1486" s="2" t="s">
        <v>1751</v>
      </c>
      <c r="D1486" s="3" t="str">
        <f t="shared" ref="D1486:D1488" si="135">HYPERLINK("https://12go.asia/en/travel/Chania-Airport/Karteros-Hotel-Transfer", "12Go Link")</f>
        <v>12Go Link</v>
      </c>
      <c r="E1486" s="2" t="s">
        <v>1587</v>
      </c>
    </row>
    <row r="1487">
      <c r="A1487" s="2" t="s">
        <v>1585</v>
      </c>
      <c r="B1487" s="2" t="s">
        <v>1750</v>
      </c>
      <c r="C1487" s="2" t="s">
        <v>1751</v>
      </c>
      <c r="D1487" s="3" t="str">
        <f t="shared" si="135"/>
        <v>12Go Link</v>
      </c>
      <c r="E1487" s="2" t="s">
        <v>1588</v>
      </c>
    </row>
    <row r="1488">
      <c r="A1488" s="2" t="s">
        <v>1585</v>
      </c>
      <c r="B1488" s="2" t="s">
        <v>1750</v>
      </c>
      <c r="C1488" s="2" t="s">
        <v>1751</v>
      </c>
      <c r="D1488" s="3" t="str">
        <f t="shared" si="135"/>
        <v>12Go Link</v>
      </c>
      <c r="E1488" s="2" t="s">
        <v>1589</v>
      </c>
    </row>
    <row r="1489">
      <c r="A1489" s="2" t="s">
        <v>1585</v>
      </c>
      <c r="B1489" s="2" t="s">
        <v>1752</v>
      </c>
      <c r="C1489" s="2" t="s">
        <v>1753</v>
      </c>
      <c r="D1489" s="3" t="str">
        <f t="shared" ref="D1489:D1491" si="136">HYPERLINK("https://12go.asia/en/travel/Chania-Airport/Kato-Gouves-Hotel-Transfer", "12Go Link")</f>
        <v>12Go Link</v>
      </c>
      <c r="E1489" s="2" t="s">
        <v>1587</v>
      </c>
    </row>
    <row r="1490">
      <c r="A1490" s="2" t="s">
        <v>1585</v>
      </c>
      <c r="B1490" s="2" t="s">
        <v>1752</v>
      </c>
      <c r="C1490" s="2" t="s">
        <v>1753</v>
      </c>
      <c r="D1490" s="3" t="str">
        <f t="shared" si="136"/>
        <v>12Go Link</v>
      </c>
      <c r="E1490" s="2" t="s">
        <v>1588</v>
      </c>
    </row>
    <row r="1491">
      <c r="A1491" s="2" t="s">
        <v>1585</v>
      </c>
      <c r="B1491" s="2" t="s">
        <v>1752</v>
      </c>
      <c r="C1491" s="2" t="s">
        <v>1753</v>
      </c>
      <c r="D1491" s="3" t="str">
        <f t="shared" si="136"/>
        <v>12Go Link</v>
      </c>
      <c r="E1491" s="2" t="s">
        <v>1589</v>
      </c>
    </row>
    <row r="1492">
      <c r="A1492" s="2" t="s">
        <v>1585</v>
      </c>
      <c r="B1492" s="2" t="s">
        <v>1754</v>
      </c>
      <c r="C1492" s="2" t="s">
        <v>1755</v>
      </c>
      <c r="D1492" s="3" t="str">
        <f t="shared" ref="D1492:D1494" si="137">HYPERLINK("https://12go.asia/en/travel/Chania-Airport/Katsikia-Hotel-Transfer", "12Go Link")</f>
        <v>12Go Link</v>
      </c>
      <c r="E1492" s="2" t="s">
        <v>1587</v>
      </c>
    </row>
    <row r="1493">
      <c r="A1493" s="2" t="s">
        <v>1585</v>
      </c>
      <c r="B1493" s="2" t="s">
        <v>1754</v>
      </c>
      <c r="C1493" s="2" t="s">
        <v>1755</v>
      </c>
      <c r="D1493" s="3" t="str">
        <f t="shared" si="137"/>
        <v>12Go Link</v>
      </c>
      <c r="E1493" s="2" t="s">
        <v>1588</v>
      </c>
    </row>
    <row r="1494">
      <c r="A1494" s="2" t="s">
        <v>1585</v>
      </c>
      <c r="B1494" s="2" t="s">
        <v>1754</v>
      </c>
      <c r="C1494" s="2" t="s">
        <v>1755</v>
      </c>
      <c r="D1494" s="3" t="str">
        <f t="shared" si="137"/>
        <v>12Go Link</v>
      </c>
      <c r="E1494" s="2" t="s">
        <v>1589</v>
      </c>
    </row>
    <row r="1495">
      <c r="A1495" s="2" t="s">
        <v>1585</v>
      </c>
      <c r="B1495" s="2" t="s">
        <v>1756</v>
      </c>
      <c r="C1495" s="2" t="s">
        <v>1757</v>
      </c>
      <c r="D1495" s="3" t="str">
        <f t="shared" ref="D1495:D1497" si="138">HYPERLINK("https://12go.asia/en/travel/Chania-Airport/Kefalas-Hotel-Transfer", "12Go Link")</f>
        <v>12Go Link</v>
      </c>
      <c r="E1495" s="2" t="s">
        <v>1587</v>
      </c>
    </row>
    <row r="1496">
      <c r="A1496" s="2" t="s">
        <v>1585</v>
      </c>
      <c r="B1496" s="2" t="s">
        <v>1756</v>
      </c>
      <c r="C1496" s="2" t="s">
        <v>1757</v>
      </c>
      <c r="D1496" s="3" t="str">
        <f t="shared" si="138"/>
        <v>12Go Link</v>
      </c>
      <c r="E1496" s="2" t="s">
        <v>1588</v>
      </c>
    </row>
    <row r="1497">
      <c r="A1497" s="2" t="s">
        <v>1585</v>
      </c>
      <c r="B1497" s="2" t="s">
        <v>1756</v>
      </c>
      <c r="C1497" s="2" t="s">
        <v>1757</v>
      </c>
      <c r="D1497" s="3" t="str">
        <f t="shared" si="138"/>
        <v>12Go Link</v>
      </c>
      <c r="E1497" s="2" t="s">
        <v>1589</v>
      </c>
    </row>
    <row r="1498">
      <c r="A1498" s="2" t="s">
        <v>1585</v>
      </c>
      <c r="B1498" s="2" t="s">
        <v>1758</v>
      </c>
      <c r="C1498" s="2" t="s">
        <v>1759</v>
      </c>
      <c r="D1498" s="3" t="str">
        <f t="shared" ref="D1498:D1500" si="139">HYPERLINK("https://12go.asia/en/travel/Chania-Airport/Keratokampos-Hotel-Transfer", "12Go Link")</f>
        <v>12Go Link</v>
      </c>
      <c r="E1498" s="2" t="s">
        <v>1587</v>
      </c>
    </row>
    <row r="1499">
      <c r="A1499" s="2" t="s">
        <v>1585</v>
      </c>
      <c r="B1499" s="2" t="s">
        <v>1758</v>
      </c>
      <c r="C1499" s="2" t="s">
        <v>1759</v>
      </c>
      <c r="D1499" s="3" t="str">
        <f t="shared" si="139"/>
        <v>12Go Link</v>
      </c>
      <c r="E1499" s="2" t="s">
        <v>1588</v>
      </c>
    </row>
    <row r="1500">
      <c r="A1500" s="2" t="s">
        <v>1585</v>
      </c>
      <c r="B1500" s="2" t="s">
        <v>1758</v>
      </c>
      <c r="C1500" s="2" t="s">
        <v>1759</v>
      </c>
      <c r="D1500" s="3" t="str">
        <f t="shared" si="139"/>
        <v>12Go Link</v>
      </c>
      <c r="E1500" s="2" t="s">
        <v>1589</v>
      </c>
    </row>
    <row r="1501">
      <c r="A1501" s="2" t="s">
        <v>1585</v>
      </c>
      <c r="B1501" s="2" t="s">
        <v>1760</v>
      </c>
      <c r="C1501" s="2" t="s">
        <v>1761</v>
      </c>
      <c r="D1501" s="3" t="str">
        <f t="shared" ref="D1501:D1503" si="140">HYPERLINK("https://12go.asia/en/travel/Chania-Airport/Kissamos-Hotel-Transfer", "12Go Link")</f>
        <v>12Go Link</v>
      </c>
      <c r="E1501" s="2" t="s">
        <v>1587</v>
      </c>
    </row>
    <row r="1502">
      <c r="A1502" s="2" t="s">
        <v>1585</v>
      </c>
      <c r="B1502" s="2" t="s">
        <v>1760</v>
      </c>
      <c r="C1502" s="2" t="s">
        <v>1761</v>
      </c>
      <c r="D1502" s="3" t="str">
        <f t="shared" si="140"/>
        <v>12Go Link</v>
      </c>
      <c r="E1502" s="2" t="s">
        <v>1588</v>
      </c>
    </row>
    <row r="1503">
      <c r="A1503" s="2" t="s">
        <v>1585</v>
      </c>
      <c r="B1503" s="2" t="s">
        <v>1760</v>
      </c>
      <c r="C1503" s="2" t="s">
        <v>1761</v>
      </c>
      <c r="D1503" s="3" t="str">
        <f t="shared" si="140"/>
        <v>12Go Link</v>
      </c>
      <c r="E1503" s="2" t="s">
        <v>1589</v>
      </c>
    </row>
    <row r="1504">
      <c r="A1504" s="2" t="s">
        <v>1585</v>
      </c>
      <c r="B1504" s="2" t="s">
        <v>1762</v>
      </c>
      <c r="C1504" s="2" t="s">
        <v>1763</v>
      </c>
      <c r="D1504" s="3" t="str">
        <f t="shared" ref="D1504:D1506" si="141">HYPERLINK("https://12go.asia/en/travel/Chania-Airport/Knossos-Hotel-Transfer", "12Go Link")</f>
        <v>12Go Link</v>
      </c>
      <c r="E1504" s="2" t="s">
        <v>1587</v>
      </c>
    </row>
    <row r="1505">
      <c r="A1505" s="2" t="s">
        <v>1585</v>
      </c>
      <c r="B1505" s="2" t="s">
        <v>1762</v>
      </c>
      <c r="C1505" s="2" t="s">
        <v>1763</v>
      </c>
      <c r="D1505" s="3" t="str">
        <f t="shared" si="141"/>
        <v>12Go Link</v>
      </c>
      <c r="E1505" s="2" t="s">
        <v>1588</v>
      </c>
    </row>
    <row r="1506">
      <c r="A1506" s="2" t="s">
        <v>1585</v>
      </c>
      <c r="B1506" s="2" t="s">
        <v>1762</v>
      </c>
      <c r="C1506" s="2" t="s">
        <v>1763</v>
      </c>
      <c r="D1506" s="3" t="str">
        <f t="shared" si="141"/>
        <v>12Go Link</v>
      </c>
      <c r="E1506" s="2" t="s">
        <v>1589</v>
      </c>
    </row>
    <row r="1507">
      <c r="A1507" s="2" t="s">
        <v>1585</v>
      </c>
      <c r="B1507" s="2" t="s">
        <v>1764</v>
      </c>
      <c r="C1507" s="2" t="s">
        <v>1765</v>
      </c>
      <c r="D1507" s="3" t="str">
        <f t="shared" ref="D1507:D1509" si="142">HYPERLINK("https://12go.asia/en/travel/Chania-Airport/Kokkini-Hani-Hotel-Transfer", "12Go Link")</f>
        <v>12Go Link</v>
      </c>
      <c r="E1507" s="2" t="s">
        <v>1587</v>
      </c>
    </row>
    <row r="1508">
      <c r="A1508" s="2" t="s">
        <v>1585</v>
      </c>
      <c r="B1508" s="2" t="s">
        <v>1764</v>
      </c>
      <c r="C1508" s="2" t="s">
        <v>1765</v>
      </c>
      <c r="D1508" s="3" t="str">
        <f t="shared" si="142"/>
        <v>12Go Link</v>
      </c>
      <c r="E1508" s="2" t="s">
        <v>1588</v>
      </c>
    </row>
    <row r="1509">
      <c r="A1509" s="2" t="s">
        <v>1585</v>
      </c>
      <c r="B1509" s="2" t="s">
        <v>1764</v>
      </c>
      <c r="C1509" s="2" t="s">
        <v>1765</v>
      </c>
      <c r="D1509" s="3" t="str">
        <f t="shared" si="142"/>
        <v>12Go Link</v>
      </c>
      <c r="E1509" s="2" t="s">
        <v>1589</v>
      </c>
    </row>
    <row r="1510">
      <c r="A1510" s="2" t="s">
        <v>1585</v>
      </c>
      <c r="B1510" s="2" t="s">
        <v>1766</v>
      </c>
      <c r="C1510" s="2" t="s">
        <v>1767</v>
      </c>
      <c r="D1510" s="3" t="str">
        <f t="shared" ref="D1510:D1512" si="143">HYPERLINK("https://12go.asia/en/travel/Chania-Airport/Kokkino-Chorio-Hotel-Transfer", "12Go Link")</f>
        <v>12Go Link</v>
      </c>
      <c r="E1510" s="2" t="s">
        <v>1587</v>
      </c>
    </row>
    <row r="1511">
      <c r="A1511" s="2" t="s">
        <v>1585</v>
      </c>
      <c r="B1511" s="2" t="s">
        <v>1766</v>
      </c>
      <c r="C1511" s="2" t="s">
        <v>1767</v>
      </c>
      <c r="D1511" s="3" t="str">
        <f t="shared" si="143"/>
        <v>12Go Link</v>
      </c>
      <c r="E1511" s="2" t="s">
        <v>1588</v>
      </c>
    </row>
    <row r="1512">
      <c r="A1512" s="2" t="s">
        <v>1585</v>
      </c>
      <c r="B1512" s="2" t="s">
        <v>1766</v>
      </c>
      <c r="C1512" s="2" t="s">
        <v>1767</v>
      </c>
      <c r="D1512" s="3" t="str">
        <f t="shared" si="143"/>
        <v>12Go Link</v>
      </c>
      <c r="E1512" s="2" t="s">
        <v>1589</v>
      </c>
    </row>
    <row r="1513">
      <c r="A1513" s="2" t="s">
        <v>1585</v>
      </c>
      <c r="B1513" s="2" t="s">
        <v>1768</v>
      </c>
      <c r="C1513" s="2" t="s">
        <v>1769</v>
      </c>
      <c r="D1513" s="3" t="str">
        <f t="shared" ref="D1513:D1515" si="144">HYPERLINK("https://12go.asia/en/travel/Chania-Airport/Kokkinos-Pirgos-Hotel-Transfer", "12Go Link")</f>
        <v>12Go Link</v>
      </c>
      <c r="E1513" s="2" t="s">
        <v>1587</v>
      </c>
    </row>
    <row r="1514">
      <c r="A1514" s="2" t="s">
        <v>1585</v>
      </c>
      <c r="B1514" s="2" t="s">
        <v>1768</v>
      </c>
      <c r="C1514" s="2" t="s">
        <v>1769</v>
      </c>
      <c r="D1514" s="3" t="str">
        <f t="shared" si="144"/>
        <v>12Go Link</v>
      </c>
      <c r="E1514" s="2" t="s">
        <v>1588</v>
      </c>
    </row>
    <row r="1515">
      <c r="A1515" s="2" t="s">
        <v>1585</v>
      </c>
      <c r="B1515" s="2" t="s">
        <v>1768</v>
      </c>
      <c r="C1515" s="2" t="s">
        <v>1769</v>
      </c>
      <c r="D1515" s="3" t="str">
        <f t="shared" si="144"/>
        <v>12Go Link</v>
      </c>
      <c r="E1515" s="2" t="s">
        <v>1589</v>
      </c>
    </row>
    <row r="1516">
      <c r="A1516" s="2" t="s">
        <v>1585</v>
      </c>
      <c r="B1516" s="2" t="s">
        <v>1770</v>
      </c>
      <c r="C1516" s="2" t="s">
        <v>1771</v>
      </c>
      <c r="D1516" s="3" t="str">
        <f t="shared" ref="D1516:D1518" si="145">HYPERLINK("https://12go.asia/en/travel/Chania-Airport/Kolymvari-Hotel-Transfer", "12Go Link")</f>
        <v>12Go Link</v>
      </c>
      <c r="E1516" s="2" t="s">
        <v>1587</v>
      </c>
    </row>
    <row r="1517">
      <c r="A1517" s="2" t="s">
        <v>1585</v>
      </c>
      <c r="B1517" s="2" t="s">
        <v>1770</v>
      </c>
      <c r="C1517" s="2" t="s">
        <v>1771</v>
      </c>
      <c r="D1517" s="3" t="str">
        <f t="shared" si="145"/>
        <v>12Go Link</v>
      </c>
      <c r="E1517" s="2" t="s">
        <v>1588</v>
      </c>
    </row>
    <row r="1518">
      <c r="A1518" s="2" t="s">
        <v>1585</v>
      </c>
      <c r="B1518" s="2" t="s">
        <v>1770</v>
      </c>
      <c r="C1518" s="2" t="s">
        <v>1771</v>
      </c>
      <c r="D1518" s="3" t="str">
        <f t="shared" si="145"/>
        <v>12Go Link</v>
      </c>
      <c r="E1518" s="2" t="s">
        <v>1589</v>
      </c>
    </row>
    <row r="1519">
      <c r="A1519" s="2" t="s">
        <v>1585</v>
      </c>
      <c r="B1519" s="2" t="s">
        <v>1772</v>
      </c>
      <c r="C1519" s="2" t="s">
        <v>1773</v>
      </c>
      <c r="D1519" s="3" t="str">
        <f t="shared" ref="D1519:D1521" si="146">HYPERLINK("https://12go.asia/en/travel/Chania-Airport/Koutouloufari-Hotel-Transfer", "12Go Link")</f>
        <v>12Go Link</v>
      </c>
      <c r="E1519" s="2" t="s">
        <v>1587</v>
      </c>
    </row>
    <row r="1520">
      <c r="A1520" s="2" t="s">
        <v>1585</v>
      </c>
      <c r="B1520" s="2" t="s">
        <v>1772</v>
      </c>
      <c r="C1520" s="2" t="s">
        <v>1773</v>
      </c>
      <c r="D1520" s="3" t="str">
        <f t="shared" si="146"/>
        <v>12Go Link</v>
      </c>
      <c r="E1520" s="2" t="s">
        <v>1588</v>
      </c>
    </row>
    <row r="1521">
      <c r="A1521" s="2" t="s">
        <v>1585</v>
      </c>
      <c r="B1521" s="2" t="s">
        <v>1772</v>
      </c>
      <c r="C1521" s="2" t="s">
        <v>1773</v>
      </c>
      <c r="D1521" s="3" t="str">
        <f t="shared" si="146"/>
        <v>12Go Link</v>
      </c>
      <c r="E1521" s="2" t="s">
        <v>1589</v>
      </c>
    </row>
    <row r="1522">
      <c r="A1522" s="2" t="s">
        <v>1585</v>
      </c>
      <c r="B1522" s="2" t="s">
        <v>1774</v>
      </c>
      <c r="C1522" s="2" t="s">
        <v>1775</v>
      </c>
      <c r="D1522" s="3" t="str">
        <f t="shared" ref="D1522:D1524" si="147">HYPERLINK("https://12go.asia/en/travel/Chania-Airport/Koutsounari-Hotel-Transfer", "12Go Link")</f>
        <v>12Go Link</v>
      </c>
      <c r="E1522" s="2" t="s">
        <v>1587</v>
      </c>
    </row>
    <row r="1523">
      <c r="A1523" s="2" t="s">
        <v>1585</v>
      </c>
      <c r="B1523" s="2" t="s">
        <v>1774</v>
      </c>
      <c r="C1523" s="2" t="s">
        <v>1775</v>
      </c>
      <c r="D1523" s="3" t="str">
        <f t="shared" si="147"/>
        <v>12Go Link</v>
      </c>
      <c r="E1523" s="2" t="s">
        <v>1588</v>
      </c>
    </row>
    <row r="1524">
      <c r="A1524" s="2" t="s">
        <v>1585</v>
      </c>
      <c r="B1524" s="2" t="s">
        <v>1774</v>
      </c>
      <c r="C1524" s="2" t="s">
        <v>1775</v>
      </c>
      <c r="D1524" s="3" t="str">
        <f t="shared" si="147"/>
        <v>12Go Link</v>
      </c>
      <c r="E1524" s="2" t="s">
        <v>1589</v>
      </c>
    </row>
    <row r="1525">
      <c r="A1525" s="2" t="s">
        <v>1585</v>
      </c>
      <c r="B1525" s="2" t="s">
        <v>1776</v>
      </c>
      <c r="C1525" s="2" t="s">
        <v>1777</v>
      </c>
      <c r="D1525" s="3" t="str">
        <f t="shared" ref="D1525:D1527" si="148">HYPERLINK("https://12go.asia/en/travel/Chania-Airport/Lavris-Hotel-Transfer", "12Go Link")</f>
        <v>12Go Link</v>
      </c>
      <c r="E1525" s="2" t="s">
        <v>1587</v>
      </c>
    </row>
    <row r="1526">
      <c r="A1526" s="2" t="s">
        <v>1585</v>
      </c>
      <c r="B1526" s="2" t="s">
        <v>1776</v>
      </c>
      <c r="C1526" s="2" t="s">
        <v>1777</v>
      </c>
      <c r="D1526" s="3" t="str">
        <f t="shared" si="148"/>
        <v>12Go Link</v>
      </c>
      <c r="E1526" s="2" t="s">
        <v>1588</v>
      </c>
    </row>
    <row r="1527">
      <c r="A1527" s="2" t="s">
        <v>1585</v>
      </c>
      <c r="B1527" s="2" t="s">
        <v>1776</v>
      </c>
      <c r="C1527" s="2" t="s">
        <v>1777</v>
      </c>
      <c r="D1527" s="3" t="str">
        <f t="shared" si="148"/>
        <v>12Go Link</v>
      </c>
      <c r="E1527" s="2" t="s">
        <v>1589</v>
      </c>
    </row>
    <row r="1528">
      <c r="A1528" s="2" t="s">
        <v>1585</v>
      </c>
      <c r="B1528" s="2" t="s">
        <v>1778</v>
      </c>
      <c r="C1528" s="2" t="s">
        <v>1779</v>
      </c>
      <c r="D1528" s="3" t="str">
        <f t="shared" ref="D1528:D1530" si="149">HYPERLINK("https://12go.asia/en/travel/Chania-Airport/Lentas-Hotel-Transfer", "12Go Link")</f>
        <v>12Go Link</v>
      </c>
      <c r="E1528" s="2" t="s">
        <v>1587</v>
      </c>
    </row>
    <row r="1529">
      <c r="A1529" s="2" t="s">
        <v>1585</v>
      </c>
      <c r="B1529" s="2" t="s">
        <v>1778</v>
      </c>
      <c r="C1529" s="2" t="s">
        <v>1779</v>
      </c>
      <c r="D1529" s="3" t="str">
        <f t="shared" si="149"/>
        <v>12Go Link</v>
      </c>
      <c r="E1529" s="2" t="s">
        <v>1588</v>
      </c>
    </row>
    <row r="1530">
      <c r="A1530" s="2" t="s">
        <v>1585</v>
      </c>
      <c r="B1530" s="2" t="s">
        <v>1778</v>
      </c>
      <c r="C1530" s="2" t="s">
        <v>1779</v>
      </c>
      <c r="D1530" s="3" t="str">
        <f t="shared" si="149"/>
        <v>12Go Link</v>
      </c>
      <c r="E1530" s="2" t="s">
        <v>1589</v>
      </c>
    </row>
    <row r="1531">
      <c r="A1531" s="2" t="s">
        <v>1585</v>
      </c>
      <c r="B1531" s="2" t="s">
        <v>1780</v>
      </c>
      <c r="C1531" s="2" t="s">
        <v>1781</v>
      </c>
      <c r="D1531" s="3" t="str">
        <f t="shared" ref="D1531:D1533" si="150">HYPERLINK("https://12go.asia/en/travel/Chania-Airport/Ligaria-Hotel-Transfer", "12Go Link")</f>
        <v>12Go Link</v>
      </c>
      <c r="E1531" s="2" t="s">
        <v>1587</v>
      </c>
    </row>
    <row r="1532">
      <c r="A1532" s="2" t="s">
        <v>1585</v>
      </c>
      <c r="B1532" s="2" t="s">
        <v>1780</v>
      </c>
      <c r="C1532" s="2" t="s">
        <v>1781</v>
      </c>
      <c r="D1532" s="3" t="str">
        <f t="shared" si="150"/>
        <v>12Go Link</v>
      </c>
      <c r="E1532" s="2" t="s">
        <v>1588</v>
      </c>
    </row>
    <row r="1533">
      <c r="A1533" s="2" t="s">
        <v>1585</v>
      </c>
      <c r="B1533" s="2" t="s">
        <v>1780</v>
      </c>
      <c r="C1533" s="2" t="s">
        <v>1781</v>
      </c>
      <c r="D1533" s="3" t="str">
        <f t="shared" si="150"/>
        <v>12Go Link</v>
      </c>
      <c r="E1533" s="2" t="s">
        <v>1589</v>
      </c>
    </row>
    <row r="1534">
      <c r="A1534" s="2" t="s">
        <v>1585</v>
      </c>
      <c r="B1534" s="2" t="s">
        <v>1782</v>
      </c>
      <c r="C1534" s="2" t="s">
        <v>1783</v>
      </c>
      <c r="D1534" s="3" t="str">
        <f t="shared" ref="D1534:D1536" si="151">HYPERLINK("https://12go.asia/en/travel/Chania-Airport/Linoperamata-Hotel-Transfer", "12Go Link")</f>
        <v>12Go Link</v>
      </c>
      <c r="E1534" s="2" t="s">
        <v>1587</v>
      </c>
    </row>
    <row r="1535">
      <c r="A1535" s="2" t="s">
        <v>1585</v>
      </c>
      <c r="B1535" s="2" t="s">
        <v>1782</v>
      </c>
      <c r="C1535" s="2" t="s">
        <v>1783</v>
      </c>
      <c r="D1535" s="3" t="str">
        <f t="shared" si="151"/>
        <v>12Go Link</v>
      </c>
      <c r="E1535" s="2" t="s">
        <v>1588</v>
      </c>
    </row>
    <row r="1536">
      <c r="A1536" s="2" t="s">
        <v>1585</v>
      </c>
      <c r="B1536" s="2" t="s">
        <v>1782</v>
      </c>
      <c r="C1536" s="2" t="s">
        <v>1783</v>
      </c>
      <c r="D1536" s="3" t="str">
        <f t="shared" si="151"/>
        <v>12Go Link</v>
      </c>
      <c r="E1536" s="2" t="s">
        <v>1589</v>
      </c>
    </row>
    <row r="1537">
      <c r="A1537" s="2" t="s">
        <v>1585</v>
      </c>
      <c r="B1537" s="2" t="s">
        <v>1784</v>
      </c>
      <c r="C1537" s="2" t="s">
        <v>1785</v>
      </c>
      <c r="D1537" s="3" t="str">
        <f t="shared" ref="D1537:D1539" si="152">HYPERLINK("https://12go.asia/en/travel/Chania-Airport/Magnisia-Hotel-Transfer", "12Go Link")</f>
        <v>12Go Link</v>
      </c>
      <c r="E1537" s="2" t="s">
        <v>1587</v>
      </c>
    </row>
    <row r="1538">
      <c r="A1538" s="2" t="s">
        <v>1585</v>
      </c>
      <c r="B1538" s="2" t="s">
        <v>1784</v>
      </c>
      <c r="C1538" s="2" t="s">
        <v>1785</v>
      </c>
      <c r="D1538" s="3" t="str">
        <f t="shared" si="152"/>
        <v>12Go Link</v>
      </c>
      <c r="E1538" s="2" t="s">
        <v>1588</v>
      </c>
    </row>
    <row r="1539">
      <c r="A1539" s="2" t="s">
        <v>1585</v>
      </c>
      <c r="B1539" s="2" t="s">
        <v>1784</v>
      </c>
      <c r="C1539" s="2" t="s">
        <v>1785</v>
      </c>
      <c r="D1539" s="3" t="str">
        <f t="shared" si="152"/>
        <v>12Go Link</v>
      </c>
      <c r="E1539" s="2" t="s">
        <v>1589</v>
      </c>
    </row>
    <row r="1540">
      <c r="A1540" s="2" t="s">
        <v>1585</v>
      </c>
      <c r="B1540" s="2" t="s">
        <v>1786</v>
      </c>
      <c r="C1540" s="2" t="s">
        <v>1787</v>
      </c>
      <c r="D1540" s="3" t="str">
        <f t="shared" ref="D1540:D1542" si="153">HYPERLINK("https://12go.asia/en/travel/Chania-Airport/Makry-Gialos-Hotel-Transfer", "12Go Link")</f>
        <v>12Go Link</v>
      </c>
      <c r="E1540" s="2" t="s">
        <v>1587</v>
      </c>
    </row>
    <row r="1541">
      <c r="A1541" s="2" t="s">
        <v>1585</v>
      </c>
      <c r="B1541" s="2" t="s">
        <v>1786</v>
      </c>
      <c r="C1541" s="2" t="s">
        <v>1787</v>
      </c>
      <c r="D1541" s="3" t="str">
        <f t="shared" si="153"/>
        <v>12Go Link</v>
      </c>
      <c r="E1541" s="2" t="s">
        <v>1588</v>
      </c>
    </row>
    <row r="1542">
      <c r="A1542" s="2" t="s">
        <v>1585</v>
      </c>
      <c r="B1542" s="2" t="s">
        <v>1786</v>
      </c>
      <c r="C1542" s="2" t="s">
        <v>1787</v>
      </c>
      <c r="D1542" s="3" t="str">
        <f t="shared" si="153"/>
        <v>12Go Link</v>
      </c>
      <c r="E1542" s="2" t="s">
        <v>1589</v>
      </c>
    </row>
    <row r="1543">
      <c r="A1543" s="2" t="s">
        <v>1585</v>
      </c>
      <c r="B1543" s="2" t="s">
        <v>1788</v>
      </c>
      <c r="C1543" s="2" t="s">
        <v>1789</v>
      </c>
      <c r="D1543" s="3" t="str">
        <f t="shared" ref="D1543:D1545" si="154">HYPERLINK("https://12go.asia/en/travel/Chania-Airport/Maleme-Hotel-Transfer", "12Go Link")</f>
        <v>12Go Link</v>
      </c>
      <c r="E1543" s="2" t="s">
        <v>1587</v>
      </c>
    </row>
    <row r="1544">
      <c r="A1544" s="2" t="s">
        <v>1585</v>
      </c>
      <c r="B1544" s="2" t="s">
        <v>1788</v>
      </c>
      <c r="C1544" s="2" t="s">
        <v>1789</v>
      </c>
      <c r="D1544" s="3" t="str">
        <f t="shared" si="154"/>
        <v>12Go Link</v>
      </c>
      <c r="E1544" s="2" t="s">
        <v>1588</v>
      </c>
    </row>
    <row r="1545">
      <c r="A1545" s="2" t="s">
        <v>1585</v>
      </c>
      <c r="B1545" s="2" t="s">
        <v>1788</v>
      </c>
      <c r="C1545" s="2" t="s">
        <v>1789</v>
      </c>
      <c r="D1545" s="3" t="str">
        <f t="shared" si="154"/>
        <v>12Go Link</v>
      </c>
      <c r="E1545" s="2" t="s">
        <v>1589</v>
      </c>
    </row>
    <row r="1546">
      <c r="A1546" s="2" t="s">
        <v>1585</v>
      </c>
      <c r="B1546" s="2" t="s">
        <v>1790</v>
      </c>
      <c r="C1546" s="2" t="s">
        <v>1791</v>
      </c>
      <c r="D1546" s="3" t="str">
        <f t="shared" ref="D1546:D1548" si="155">HYPERLINK("https://12go.asia/en/travel/Chania-Airport/Malia-Hotel-Transfer", "12Go Link")</f>
        <v>12Go Link</v>
      </c>
      <c r="E1546" s="2" t="s">
        <v>1587</v>
      </c>
    </row>
    <row r="1547">
      <c r="A1547" s="2" t="s">
        <v>1585</v>
      </c>
      <c r="B1547" s="2" t="s">
        <v>1790</v>
      </c>
      <c r="C1547" s="2" t="s">
        <v>1791</v>
      </c>
      <c r="D1547" s="3" t="str">
        <f t="shared" si="155"/>
        <v>12Go Link</v>
      </c>
      <c r="E1547" s="2" t="s">
        <v>1588</v>
      </c>
    </row>
    <row r="1548">
      <c r="A1548" s="2" t="s">
        <v>1585</v>
      </c>
      <c r="B1548" s="2" t="s">
        <v>1790</v>
      </c>
      <c r="C1548" s="2" t="s">
        <v>1791</v>
      </c>
      <c r="D1548" s="3" t="str">
        <f t="shared" si="155"/>
        <v>12Go Link</v>
      </c>
      <c r="E1548" s="2" t="s">
        <v>1589</v>
      </c>
    </row>
    <row r="1549">
      <c r="A1549" s="2" t="s">
        <v>1585</v>
      </c>
      <c r="B1549" s="2" t="s">
        <v>1792</v>
      </c>
      <c r="C1549" s="2" t="s">
        <v>1793</v>
      </c>
      <c r="D1549" s="3" t="str">
        <f t="shared" ref="D1549:D1551" si="156">HYPERLINK("https://12go.asia/en/travel/Chania-Airport/Marathi-Hotel-Transfer", "12Go Link")</f>
        <v>12Go Link</v>
      </c>
      <c r="E1549" s="2" t="s">
        <v>1587</v>
      </c>
    </row>
    <row r="1550">
      <c r="A1550" s="2" t="s">
        <v>1585</v>
      </c>
      <c r="B1550" s="2" t="s">
        <v>1792</v>
      </c>
      <c r="C1550" s="2" t="s">
        <v>1793</v>
      </c>
      <c r="D1550" s="3" t="str">
        <f t="shared" si="156"/>
        <v>12Go Link</v>
      </c>
      <c r="E1550" s="2" t="s">
        <v>1588</v>
      </c>
    </row>
    <row r="1551">
      <c r="A1551" s="2" t="s">
        <v>1585</v>
      </c>
      <c r="B1551" s="2" t="s">
        <v>1792</v>
      </c>
      <c r="C1551" s="2" t="s">
        <v>1793</v>
      </c>
      <c r="D1551" s="3" t="str">
        <f t="shared" si="156"/>
        <v>12Go Link</v>
      </c>
      <c r="E1551" s="2" t="s">
        <v>1589</v>
      </c>
    </row>
    <row r="1552">
      <c r="A1552" s="2" t="s">
        <v>1585</v>
      </c>
      <c r="B1552" s="2" t="s">
        <v>1794</v>
      </c>
      <c r="C1552" s="2" t="s">
        <v>1795</v>
      </c>
      <c r="D1552" s="3" t="str">
        <f t="shared" ref="D1552:D1554" si="157">HYPERLINK("https://12go.asia/en/travel/Chania-Airport/Matala-Hotel-Transfer", "12Go Link")</f>
        <v>12Go Link</v>
      </c>
      <c r="E1552" s="2" t="s">
        <v>1587</v>
      </c>
    </row>
    <row r="1553">
      <c r="A1553" s="2" t="s">
        <v>1585</v>
      </c>
      <c r="B1553" s="2" t="s">
        <v>1794</v>
      </c>
      <c r="C1553" s="2" t="s">
        <v>1795</v>
      </c>
      <c r="D1553" s="3" t="str">
        <f t="shared" si="157"/>
        <v>12Go Link</v>
      </c>
      <c r="E1553" s="2" t="s">
        <v>1588</v>
      </c>
    </row>
    <row r="1554">
      <c r="A1554" s="2" t="s">
        <v>1585</v>
      </c>
      <c r="B1554" s="2" t="s">
        <v>1794</v>
      </c>
      <c r="C1554" s="2" t="s">
        <v>1795</v>
      </c>
      <c r="D1554" s="3" t="str">
        <f t="shared" si="157"/>
        <v>12Go Link</v>
      </c>
      <c r="E1554" s="2" t="s">
        <v>1589</v>
      </c>
    </row>
    <row r="1555">
      <c r="A1555" s="2" t="s">
        <v>1585</v>
      </c>
      <c r="B1555" s="2" t="s">
        <v>1796</v>
      </c>
      <c r="C1555" s="2" t="s">
        <v>1797</v>
      </c>
      <c r="D1555" s="3" t="str">
        <f t="shared" ref="D1555:D1557" si="158">HYPERLINK("https://12go.asia/en/travel/Chania-Airport/Milatos-Hotel-Transfer", "12Go Link")</f>
        <v>12Go Link</v>
      </c>
      <c r="E1555" s="2" t="s">
        <v>1587</v>
      </c>
    </row>
    <row r="1556">
      <c r="A1556" s="2" t="s">
        <v>1585</v>
      </c>
      <c r="B1556" s="2" t="s">
        <v>1796</v>
      </c>
      <c r="C1556" s="2" t="s">
        <v>1797</v>
      </c>
      <c r="D1556" s="3" t="str">
        <f t="shared" si="158"/>
        <v>12Go Link</v>
      </c>
      <c r="E1556" s="2" t="s">
        <v>1588</v>
      </c>
    </row>
    <row r="1557">
      <c r="A1557" s="2" t="s">
        <v>1585</v>
      </c>
      <c r="B1557" s="2" t="s">
        <v>1796</v>
      </c>
      <c r="C1557" s="2" t="s">
        <v>1797</v>
      </c>
      <c r="D1557" s="3" t="str">
        <f t="shared" si="158"/>
        <v>12Go Link</v>
      </c>
      <c r="E1557" s="2" t="s">
        <v>1589</v>
      </c>
    </row>
    <row r="1558">
      <c r="A1558" s="2" t="s">
        <v>1585</v>
      </c>
      <c r="B1558" s="2" t="s">
        <v>1798</v>
      </c>
      <c r="C1558" s="2" t="s">
        <v>1799</v>
      </c>
      <c r="D1558" s="3" t="str">
        <f t="shared" ref="D1558:D1560" si="159">HYPERLINK("https://12go.asia/en/travel/Chania-Airport/Mochlos-Hotel-Transfer", "12Go Link")</f>
        <v>12Go Link</v>
      </c>
      <c r="E1558" s="2" t="s">
        <v>1587</v>
      </c>
    </row>
    <row r="1559">
      <c r="A1559" s="2" t="s">
        <v>1585</v>
      </c>
      <c r="B1559" s="2" t="s">
        <v>1798</v>
      </c>
      <c r="C1559" s="2" t="s">
        <v>1799</v>
      </c>
      <c r="D1559" s="3" t="str">
        <f t="shared" si="159"/>
        <v>12Go Link</v>
      </c>
      <c r="E1559" s="2" t="s">
        <v>1588</v>
      </c>
    </row>
    <row r="1560">
      <c r="A1560" s="2" t="s">
        <v>1585</v>
      </c>
      <c r="B1560" s="2" t="s">
        <v>1798</v>
      </c>
      <c r="C1560" s="2" t="s">
        <v>1799</v>
      </c>
      <c r="D1560" s="3" t="str">
        <f t="shared" si="159"/>
        <v>12Go Link</v>
      </c>
      <c r="E1560" s="2" t="s">
        <v>1589</v>
      </c>
    </row>
    <row r="1561">
      <c r="A1561" s="2" t="s">
        <v>1585</v>
      </c>
      <c r="B1561" s="2" t="s">
        <v>1800</v>
      </c>
      <c r="C1561" s="2" t="s">
        <v>1801</v>
      </c>
      <c r="D1561" s="3" t="str">
        <f t="shared" ref="D1561:D1563" si="160">HYPERLINK("https://12go.asia/en/travel/Chania-Airport/Myrtos-Hotel-Transfer", "12Go Link")</f>
        <v>12Go Link</v>
      </c>
      <c r="E1561" s="2" t="s">
        <v>1587</v>
      </c>
    </row>
    <row r="1562">
      <c r="A1562" s="2" t="s">
        <v>1585</v>
      </c>
      <c r="B1562" s="2" t="s">
        <v>1800</v>
      </c>
      <c r="C1562" s="2" t="s">
        <v>1801</v>
      </c>
      <c r="D1562" s="3" t="str">
        <f t="shared" si="160"/>
        <v>12Go Link</v>
      </c>
      <c r="E1562" s="2" t="s">
        <v>1588</v>
      </c>
    </row>
    <row r="1563">
      <c r="A1563" s="2" t="s">
        <v>1585</v>
      </c>
      <c r="B1563" s="2" t="s">
        <v>1800</v>
      </c>
      <c r="C1563" s="2" t="s">
        <v>1801</v>
      </c>
      <c r="D1563" s="3" t="str">
        <f t="shared" si="160"/>
        <v>12Go Link</v>
      </c>
      <c r="E1563" s="2" t="s">
        <v>1589</v>
      </c>
    </row>
    <row r="1564">
      <c r="A1564" s="2" t="s">
        <v>1585</v>
      </c>
      <c r="B1564" s="2" t="s">
        <v>1802</v>
      </c>
      <c r="C1564" s="2" t="s">
        <v>1803</v>
      </c>
      <c r="D1564" s="3" t="str">
        <f t="shared" ref="D1564:D1566" si="161">HYPERLINK("https://12go.asia/en/travel/Chania-Airport/Neo-Chorio-Hotel-Transfer", "12Go Link")</f>
        <v>12Go Link</v>
      </c>
      <c r="E1564" s="2" t="s">
        <v>1587</v>
      </c>
    </row>
    <row r="1565">
      <c r="A1565" s="2" t="s">
        <v>1585</v>
      </c>
      <c r="B1565" s="2" t="s">
        <v>1802</v>
      </c>
      <c r="C1565" s="2" t="s">
        <v>1803</v>
      </c>
      <c r="D1565" s="3" t="str">
        <f t="shared" si="161"/>
        <v>12Go Link</v>
      </c>
      <c r="E1565" s="2" t="s">
        <v>1588</v>
      </c>
    </row>
    <row r="1566">
      <c r="A1566" s="2" t="s">
        <v>1585</v>
      </c>
      <c r="B1566" s="2" t="s">
        <v>1802</v>
      </c>
      <c r="C1566" s="2" t="s">
        <v>1803</v>
      </c>
      <c r="D1566" s="3" t="str">
        <f t="shared" si="161"/>
        <v>12Go Link</v>
      </c>
      <c r="E1566" s="2" t="s">
        <v>1589</v>
      </c>
    </row>
    <row r="1567">
      <c r="A1567" s="2" t="s">
        <v>1585</v>
      </c>
      <c r="B1567" s="2" t="s">
        <v>1804</v>
      </c>
      <c r="C1567" s="2" t="s">
        <v>1805</v>
      </c>
      <c r="D1567" s="3" t="str">
        <f t="shared" ref="D1567:D1569" si="162">HYPERLINK("https://12go.asia/en/travel/Chania-Airport/Omalos-Hotel-Transfer", "12Go Link")</f>
        <v>12Go Link</v>
      </c>
      <c r="E1567" s="2" t="s">
        <v>1587</v>
      </c>
    </row>
    <row r="1568">
      <c r="A1568" s="2" t="s">
        <v>1585</v>
      </c>
      <c r="B1568" s="2" t="s">
        <v>1804</v>
      </c>
      <c r="C1568" s="2" t="s">
        <v>1805</v>
      </c>
      <c r="D1568" s="3" t="str">
        <f t="shared" si="162"/>
        <v>12Go Link</v>
      </c>
      <c r="E1568" s="2" t="s">
        <v>1588</v>
      </c>
    </row>
    <row r="1569">
      <c r="A1569" s="2" t="s">
        <v>1585</v>
      </c>
      <c r="B1569" s="2" t="s">
        <v>1804</v>
      </c>
      <c r="C1569" s="2" t="s">
        <v>1805</v>
      </c>
      <c r="D1569" s="3" t="str">
        <f t="shared" si="162"/>
        <v>12Go Link</v>
      </c>
      <c r="E1569" s="2" t="s">
        <v>1589</v>
      </c>
    </row>
    <row r="1570">
      <c r="A1570" s="2" t="s">
        <v>1585</v>
      </c>
      <c r="B1570" s="2" t="s">
        <v>1806</v>
      </c>
      <c r="C1570" s="2" t="s">
        <v>1807</v>
      </c>
      <c r="D1570" s="3" t="str">
        <f t="shared" ref="D1570:D1572" si="163">HYPERLINK("https://12go.asia/en/travel/Chania-Airport/Pachia-Ammos-Hotel-Transfer", "12Go Link")</f>
        <v>12Go Link</v>
      </c>
      <c r="E1570" s="2" t="s">
        <v>1587</v>
      </c>
    </row>
    <row r="1571">
      <c r="A1571" s="2" t="s">
        <v>1585</v>
      </c>
      <c r="B1571" s="2" t="s">
        <v>1806</v>
      </c>
      <c r="C1571" s="2" t="s">
        <v>1807</v>
      </c>
      <c r="D1571" s="3" t="str">
        <f t="shared" si="163"/>
        <v>12Go Link</v>
      </c>
      <c r="E1571" s="2" t="s">
        <v>1588</v>
      </c>
    </row>
    <row r="1572">
      <c r="A1572" s="2" t="s">
        <v>1585</v>
      </c>
      <c r="B1572" s="2" t="s">
        <v>1806</v>
      </c>
      <c r="C1572" s="2" t="s">
        <v>1807</v>
      </c>
      <c r="D1572" s="3" t="str">
        <f t="shared" si="163"/>
        <v>12Go Link</v>
      </c>
      <c r="E1572" s="2" t="s">
        <v>1589</v>
      </c>
    </row>
    <row r="1573">
      <c r="A1573" s="2" t="s">
        <v>1585</v>
      </c>
      <c r="B1573" s="2" t="s">
        <v>1808</v>
      </c>
      <c r="C1573" s="2" t="s">
        <v>1809</v>
      </c>
      <c r="D1573" s="3" t="str">
        <f t="shared" ref="D1573:D1575" si="164">HYPERLINK("https://12go.asia/en/travel/Chania-Airport/Paleochora-Hotel-Transfer", "12Go Link")</f>
        <v>12Go Link</v>
      </c>
      <c r="E1573" s="2" t="s">
        <v>1587</v>
      </c>
    </row>
    <row r="1574">
      <c r="A1574" s="2" t="s">
        <v>1585</v>
      </c>
      <c r="B1574" s="2" t="s">
        <v>1808</v>
      </c>
      <c r="C1574" s="2" t="s">
        <v>1809</v>
      </c>
      <c r="D1574" s="3" t="str">
        <f t="shared" si="164"/>
        <v>12Go Link</v>
      </c>
      <c r="E1574" s="2" t="s">
        <v>1588</v>
      </c>
    </row>
    <row r="1575">
      <c r="A1575" s="2" t="s">
        <v>1585</v>
      </c>
      <c r="B1575" s="2" t="s">
        <v>1808</v>
      </c>
      <c r="C1575" s="2" t="s">
        <v>1809</v>
      </c>
      <c r="D1575" s="3" t="str">
        <f t="shared" si="164"/>
        <v>12Go Link</v>
      </c>
      <c r="E1575" s="2" t="s">
        <v>1589</v>
      </c>
    </row>
    <row r="1576">
      <c r="A1576" s="2" t="s">
        <v>1585</v>
      </c>
      <c r="B1576" s="2" t="s">
        <v>1810</v>
      </c>
      <c r="C1576" s="2" t="s">
        <v>1811</v>
      </c>
      <c r="D1576" s="3" t="str">
        <f t="shared" ref="D1576:D1578" si="165">HYPERLINK("https://12go.asia/en/travel/Chania-Airport/Panormos-in-Rethymno-Hotel-Transfer", "12Go Link")</f>
        <v>12Go Link</v>
      </c>
      <c r="E1576" s="2" t="s">
        <v>1587</v>
      </c>
    </row>
    <row r="1577">
      <c r="A1577" s="2" t="s">
        <v>1585</v>
      </c>
      <c r="B1577" s="2" t="s">
        <v>1810</v>
      </c>
      <c r="C1577" s="2" t="s">
        <v>1811</v>
      </c>
      <c r="D1577" s="3" t="str">
        <f t="shared" si="165"/>
        <v>12Go Link</v>
      </c>
      <c r="E1577" s="2" t="s">
        <v>1588</v>
      </c>
    </row>
    <row r="1578">
      <c r="A1578" s="2" t="s">
        <v>1585</v>
      </c>
      <c r="B1578" s="2" t="s">
        <v>1810</v>
      </c>
      <c r="C1578" s="2" t="s">
        <v>1811</v>
      </c>
      <c r="D1578" s="3" t="str">
        <f t="shared" si="165"/>
        <v>12Go Link</v>
      </c>
      <c r="E1578" s="2" t="s">
        <v>1589</v>
      </c>
    </row>
    <row r="1579">
      <c r="A1579" s="2" t="s">
        <v>1585</v>
      </c>
      <c r="B1579" s="2" t="s">
        <v>1812</v>
      </c>
      <c r="C1579" s="2" t="s">
        <v>1813</v>
      </c>
      <c r="D1579" s="3" t="str">
        <f t="shared" ref="D1579:D1581" si="166">HYPERLINK("https://12go.asia/en/travel/Chania-Airport/Paralia-Kourna-Hotel-Transfer", "12Go Link")</f>
        <v>12Go Link</v>
      </c>
      <c r="E1579" s="2" t="s">
        <v>1587</v>
      </c>
    </row>
    <row r="1580">
      <c r="A1580" s="2" t="s">
        <v>1585</v>
      </c>
      <c r="B1580" s="2" t="s">
        <v>1812</v>
      </c>
      <c r="C1580" s="2" t="s">
        <v>1813</v>
      </c>
      <c r="D1580" s="3" t="str">
        <f t="shared" si="166"/>
        <v>12Go Link</v>
      </c>
      <c r="E1580" s="2" t="s">
        <v>1588</v>
      </c>
    </row>
    <row r="1581">
      <c r="A1581" s="2" t="s">
        <v>1585</v>
      </c>
      <c r="B1581" s="2" t="s">
        <v>1812</v>
      </c>
      <c r="C1581" s="2" t="s">
        <v>1813</v>
      </c>
      <c r="D1581" s="3" t="str">
        <f t="shared" si="166"/>
        <v>12Go Link</v>
      </c>
      <c r="E1581" s="2" t="s">
        <v>1589</v>
      </c>
    </row>
    <row r="1582">
      <c r="A1582" s="2" t="s">
        <v>1585</v>
      </c>
      <c r="B1582" s="2" t="s">
        <v>1814</v>
      </c>
      <c r="C1582" s="2" t="s">
        <v>1815</v>
      </c>
      <c r="D1582" s="3" t="str">
        <f t="shared" ref="D1582:D1584" si="167">HYPERLINK("https://12go.asia/en/travel/Chania-Airport/Pigi-Hotel-Transfer", "12Go Link")</f>
        <v>12Go Link</v>
      </c>
      <c r="E1582" s="2" t="s">
        <v>1587</v>
      </c>
    </row>
    <row r="1583">
      <c r="A1583" s="2" t="s">
        <v>1585</v>
      </c>
      <c r="B1583" s="2" t="s">
        <v>1814</v>
      </c>
      <c r="C1583" s="2" t="s">
        <v>1815</v>
      </c>
      <c r="D1583" s="3" t="str">
        <f t="shared" si="167"/>
        <v>12Go Link</v>
      </c>
      <c r="E1583" s="2" t="s">
        <v>1588</v>
      </c>
    </row>
    <row r="1584">
      <c r="A1584" s="2" t="s">
        <v>1585</v>
      </c>
      <c r="B1584" s="2" t="s">
        <v>1814</v>
      </c>
      <c r="C1584" s="2" t="s">
        <v>1815</v>
      </c>
      <c r="D1584" s="3" t="str">
        <f t="shared" si="167"/>
        <v>12Go Link</v>
      </c>
      <c r="E1584" s="2" t="s">
        <v>1589</v>
      </c>
    </row>
    <row r="1585">
      <c r="A1585" s="2" t="s">
        <v>1585</v>
      </c>
      <c r="B1585" s="2" t="s">
        <v>1816</v>
      </c>
      <c r="C1585" s="2" t="s">
        <v>1817</v>
      </c>
      <c r="D1585" s="3" t="str">
        <f t="shared" ref="D1585:D1587" si="168">HYPERLINK("https://12go.asia/en/travel/Chania-Airport/Piskopiano-Hotel-Transfer", "12Go Link")</f>
        <v>12Go Link</v>
      </c>
      <c r="E1585" s="2" t="s">
        <v>1587</v>
      </c>
    </row>
    <row r="1586">
      <c r="A1586" s="2" t="s">
        <v>1585</v>
      </c>
      <c r="B1586" s="2" t="s">
        <v>1816</v>
      </c>
      <c r="C1586" s="2" t="s">
        <v>1817</v>
      </c>
      <c r="D1586" s="3" t="str">
        <f t="shared" si="168"/>
        <v>12Go Link</v>
      </c>
      <c r="E1586" s="2" t="s">
        <v>1588</v>
      </c>
    </row>
    <row r="1587">
      <c r="A1587" s="2" t="s">
        <v>1585</v>
      </c>
      <c r="B1587" s="2" t="s">
        <v>1816</v>
      </c>
      <c r="C1587" s="2" t="s">
        <v>1817</v>
      </c>
      <c r="D1587" s="3" t="str">
        <f t="shared" si="168"/>
        <v>12Go Link</v>
      </c>
      <c r="E1587" s="2" t="s">
        <v>1589</v>
      </c>
    </row>
    <row r="1588">
      <c r="A1588" s="2" t="s">
        <v>1585</v>
      </c>
      <c r="B1588" s="2" t="s">
        <v>1818</v>
      </c>
      <c r="C1588" s="2" t="s">
        <v>1819</v>
      </c>
      <c r="D1588" s="3" t="str">
        <f t="shared" ref="D1588:D1590" si="169">HYPERLINK("https://12go.asia/en/travel/Chania-Airport/Pitsidia-Hotel-Transfer", "12Go Link")</f>
        <v>12Go Link</v>
      </c>
      <c r="E1588" s="2" t="s">
        <v>1587</v>
      </c>
    </row>
    <row r="1589">
      <c r="A1589" s="2" t="s">
        <v>1585</v>
      </c>
      <c r="B1589" s="2" t="s">
        <v>1818</v>
      </c>
      <c r="C1589" s="2" t="s">
        <v>1819</v>
      </c>
      <c r="D1589" s="3" t="str">
        <f t="shared" si="169"/>
        <v>12Go Link</v>
      </c>
      <c r="E1589" s="2" t="s">
        <v>1588</v>
      </c>
    </row>
    <row r="1590">
      <c r="A1590" s="2" t="s">
        <v>1585</v>
      </c>
      <c r="B1590" s="2" t="s">
        <v>1818</v>
      </c>
      <c r="C1590" s="2" t="s">
        <v>1819</v>
      </c>
      <c r="D1590" s="3" t="str">
        <f t="shared" si="169"/>
        <v>12Go Link</v>
      </c>
      <c r="E1590" s="2" t="s">
        <v>1589</v>
      </c>
    </row>
    <row r="1591">
      <c r="A1591" s="2" t="s">
        <v>1585</v>
      </c>
      <c r="B1591" s="2" t="s">
        <v>1820</v>
      </c>
      <c r="C1591" s="2" t="s">
        <v>1821</v>
      </c>
      <c r="D1591" s="3" t="str">
        <f t="shared" ref="D1591:D1593" si="170">HYPERLINK("https://12go.asia/en/travel/Chania-Airport/Plaka-Chania-Hotel-Transfer", "12Go Link")</f>
        <v>12Go Link</v>
      </c>
      <c r="E1591" s="2" t="s">
        <v>1587</v>
      </c>
    </row>
    <row r="1592">
      <c r="A1592" s="2" t="s">
        <v>1585</v>
      </c>
      <c r="B1592" s="2" t="s">
        <v>1820</v>
      </c>
      <c r="C1592" s="2" t="s">
        <v>1821</v>
      </c>
      <c r="D1592" s="3" t="str">
        <f t="shared" si="170"/>
        <v>12Go Link</v>
      </c>
      <c r="E1592" s="2" t="s">
        <v>1588</v>
      </c>
    </row>
    <row r="1593">
      <c r="A1593" s="2" t="s">
        <v>1585</v>
      </c>
      <c r="B1593" s="2" t="s">
        <v>1820</v>
      </c>
      <c r="C1593" s="2" t="s">
        <v>1821</v>
      </c>
      <c r="D1593" s="3" t="str">
        <f t="shared" si="170"/>
        <v>12Go Link</v>
      </c>
      <c r="E1593" s="2" t="s">
        <v>1589</v>
      </c>
    </row>
    <row r="1594">
      <c r="A1594" s="2" t="s">
        <v>1585</v>
      </c>
      <c r="B1594" s="2" t="s">
        <v>1822</v>
      </c>
      <c r="C1594" s="2" t="s">
        <v>1823</v>
      </c>
      <c r="D1594" s="3" t="str">
        <f t="shared" ref="D1594:D1596" si="171">HYPERLINK("https://12go.asia/en/travel/Chania-Airport/Plaka-Hotel-Transfer", "12Go Link")</f>
        <v>12Go Link</v>
      </c>
      <c r="E1594" s="2" t="s">
        <v>1587</v>
      </c>
    </row>
    <row r="1595">
      <c r="A1595" s="2" t="s">
        <v>1585</v>
      </c>
      <c r="B1595" s="2" t="s">
        <v>1822</v>
      </c>
      <c r="C1595" s="2" t="s">
        <v>1823</v>
      </c>
      <c r="D1595" s="3" t="str">
        <f t="shared" si="171"/>
        <v>12Go Link</v>
      </c>
      <c r="E1595" s="2" t="s">
        <v>1588</v>
      </c>
    </row>
    <row r="1596">
      <c r="A1596" s="2" t="s">
        <v>1585</v>
      </c>
      <c r="B1596" s="2" t="s">
        <v>1822</v>
      </c>
      <c r="C1596" s="2" t="s">
        <v>1823</v>
      </c>
      <c r="D1596" s="3" t="str">
        <f t="shared" si="171"/>
        <v>12Go Link</v>
      </c>
      <c r="E1596" s="2" t="s">
        <v>1589</v>
      </c>
    </row>
    <row r="1597">
      <c r="A1597" s="2" t="s">
        <v>1585</v>
      </c>
      <c r="B1597" s="2" t="s">
        <v>1824</v>
      </c>
      <c r="C1597" s="2" t="s">
        <v>1825</v>
      </c>
      <c r="D1597" s="3" t="str">
        <f t="shared" ref="D1597:D1599" si="172">HYPERLINK("https://12go.asia/en/travel/Chania-Airport/Plakias-Hotel-Transfer", "12Go Link")</f>
        <v>12Go Link</v>
      </c>
      <c r="E1597" s="2" t="s">
        <v>1587</v>
      </c>
    </row>
    <row r="1598">
      <c r="A1598" s="2" t="s">
        <v>1585</v>
      </c>
      <c r="B1598" s="2" t="s">
        <v>1824</v>
      </c>
      <c r="C1598" s="2" t="s">
        <v>1825</v>
      </c>
      <c r="D1598" s="3" t="str">
        <f t="shared" si="172"/>
        <v>12Go Link</v>
      </c>
      <c r="E1598" s="2" t="s">
        <v>1588</v>
      </c>
    </row>
    <row r="1599">
      <c r="A1599" s="2" t="s">
        <v>1585</v>
      </c>
      <c r="B1599" s="2" t="s">
        <v>1824</v>
      </c>
      <c r="C1599" s="2" t="s">
        <v>1825</v>
      </c>
      <c r="D1599" s="3" t="str">
        <f t="shared" si="172"/>
        <v>12Go Link</v>
      </c>
      <c r="E1599" s="2" t="s">
        <v>1589</v>
      </c>
    </row>
    <row r="1600">
      <c r="A1600" s="2" t="s">
        <v>1585</v>
      </c>
      <c r="B1600" s="2" t="s">
        <v>1826</v>
      </c>
      <c r="C1600" s="2" t="s">
        <v>1827</v>
      </c>
      <c r="D1600" s="3" t="str">
        <f t="shared" ref="D1600:D1602" si="173">HYPERLINK("https://12go.asia/en/travel/Chania-Airport/Platanias-Hotel-Transfer", "12Go Link")</f>
        <v>12Go Link</v>
      </c>
      <c r="E1600" s="2" t="s">
        <v>1587</v>
      </c>
    </row>
    <row r="1601">
      <c r="A1601" s="2" t="s">
        <v>1585</v>
      </c>
      <c r="B1601" s="2" t="s">
        <v>1826</v>
      </c>
      <c r="C1601" s="2" t="s">
        <v>1827</v>
      </c>
      <c r="D1601" s="3" t="str">
        <f t="shared" si="173"/>
        <v>12Go Link</v>
      </c>
      <c r="E1601" s="2" t="s">
        <v>1588</v>
      </c>
    </row>
    <row r="1602">
      <c r="A1602" s="2" t="s">
        <v>1585</v>
      </c>
      <c r="B1602" s="2" t="s">
        <v>1826</v>
      </c>
      <c r="C1602" s="2" t="s">
        <v>1827</v>
      </c>
      <c r="D1602" s="3" t="str">
        <f t="shared" si="173"/>
        <v>12Go Link</v>
      </c>
      <c r="E1602" s="2" t="s">
        <v>1589</v>
      </c>
    </row>
    <row r="1603">
      <c r="A1603" s="2" t="s">
        <v>1585</v>
      </c>
      <c r="B1603" s="2" t="s">
        <v>1828</v>
      </c>
      <c r="C1603" s="2" t="s">
        <v>1829</v>
      </c>
      <c r="D1603" s="3" t="str">
        <f t="shared" ref="D1603:D1605" si="174">HYPERLINK("https://12go.asia/en/travel/Chania-Airport/Prines-Hotel-Transfer", "12Go Link")</f>
        <v>12Go Link</v>
      </c>
      <c r="E1603" s="2" t="s">
        <v>1587</v>
      </c>
    </row>
    <row r="1604">
      <c r="A1604" s="2" t="s">
        <v>1585</v>
      </c>
      <c r="B1604" s="2" t="s">
        <v>1828</v>
      </c>
      <c r="C1604" s="2" t="s">
        <v>1829</v>
      </c>
      <c r="D1604" s="3" t="str">
        <f t="shared" si="174"/>
        <v>12Go Link</v>
      </c>
      <c r="E1604" s="2" t="s">
        <v>1588</v>
      </c>
    </row>
    <row r="1605">
      <c r="A1605" s="2" t="s">
        <v>1585</v>
      </c>
      <c r="B1605" s="2" t="s">
        <v>1828</v>
      </c>
      <c r="C1605" s="2" t="s">
        <v>1829</v>
      </c>
      <c r="D1605" s="3" t="str">
        <f t="shared" si="174"/>
        <v>12Go Link</v>
      </c>
      <c r="E1605" s="2" t="s">
        <v>1589</v>
      </c>
    </row>
    <row r="1606">
      <c r="A1606" s="2" t="s">
        <v>1585</v>
      </c>
      <c r="B1606" s="2" t="s">
        <v>1830</v>
      </c>
      <c r="C1606" s="2" t="s">
        <v>1831</v>
      </c>
      <c r="D1606" s="3" t="str">
        <f t="shared" ref="D1606:D1608" si="175">HYPERLINK("https://12go.asia/en/travel/Chania-Airport/Rapaniana-Hotel-Transfer", "12Go Link")</f>
        <v>12Go Link</v>
      </c>
      <c r="E1606" s="2" t="s">
        <v>1587</v>
      </c>
    </row>
    <row r="1607">
      <c r="A1607" s="2" t="s">
        <v>1585</v>
      </c>
      <c r="B1607" s="2" t="s">
        <v>1830</v>
      </c>
      <c r="C1607" s="2" t="s">
        <v>1831</v>
      </c>
      <c r="D1607" s="3" t="str">
        <f t="shared" si="175"/>
        <v>12Go Link</v>
      </c>
      <c r="E1607" s="2" t="s">
        <v>1588</v>
      </c>
    </row>
    <row r="1608">
      <c r="A1608" s="2" t="s">
        <v>1585</v>
      </c>
      <c r="B1608" s="2" t="s">
        <v>1830</v>
      </c>
      <c r="C1608" s="2" t="s">
        <v>1831</v>
      </c>
      <c r="D1608" s="3" t="str">
        <f t="shared" si="175"/>
        <v>12Go Link</v>
      </c>
      <c r="E1608" s="2" t="s">
        <v>1589</v>
      </c>
    </row>
    <row r="1609">
      <c r="A1609" s="2" t="s">
        <v>1585</v>
      </c>
      <c r="B1609" s="2" t="s">
        <v>1832</v>
      </c>
      <c r="C1609" s="2" t="s">
        <v>1833</v>
      </c>
      <c r="D1609" s="3" t="str">
        <f t="shared" ref="D1609:D1611" si="176">HYPERLINK("https://12go.asia/en/travel/Chania-Airport/Misiria-Hotel-Transfer", "12Go Link")</f>
        <v>12Go Link</v>
      </c>
      <c r="E1609" s="2" t="s">
        <v>1587</v>
      </c>
    </row>
    <row r="1610">
      <c r="A1610" s="2" t="s">
        <v>1585</v>
      </c>
      <c r="B1610" s="2" t="s">
        <v>1832</v>
      </c>
      <c r="C1610" s="2" t="s">
        <v>1833</v>
      </c>
      <c r="D1610" s="3" t="str">
        <f t="shared" si="176"/>
        <v>12Go Link</v>
      </c>
      <c r="E1610" s="2" t="s">
        <v>1588</v>
      </c>
    </row>
    <row r="1611">
      <c r="A1611" s="2" t="s">
        <v>1585</v>
      </c>
      <c r="B1611" s="2" t="s">
        <v>1832</v>
      </c>
      <c r="C1611" s="2" t="s">
        <v>1833</v>
      </c>
      <c r="D1611" s="3" t="str">
        <f t="shared" si="176"/>
        <v>12Go Link</v>
      </c>
      <c r="E1611" s="2" t="s">
        <v>1589</v>
      </c>
    </row>
    <row r="1612">
      <c r="A1612" s="2" t="s">
        <v>1585</v>
      </c>
      <c r="B1612" s="2" t="s">
        <v>1832</v>
      </c>
      <c r="C1612" s="2" t="s">
        <v>1834</v>
      </c>
      <c r="D1612" s="3" t="str">
        <f t="shared" ref="D1612:D1614" si="177">HYPERLINK("https://12go.asia/en/travel/Chania-Airport/Perivolia-Hotel-Transfer", "12Go Link")</f>
        <v>12Go Link</v>
      </c>
      <c r="E1612" s="2" t="s">
        <v>1587</v>
      </c>
    </row>
    <row r="1613">
      <c r="A1613" s="2" t="s">
        <v>1585</v>
      </c>
      <c r="B1613" s="2" t="s">
        <v>1832</v>
      </c>
      <c r="C1613" s="2" t="s">
        <v>1834</v>
      </c>
      <c r="D1613" s="3" t="str">
        <f t="shared" si="177"/>
        <v>12Go Link</v>
      </c>
      <c r="E1613" s="2" t="s">
        <v>1588</v>
      </c>
    </row>
    <row r="1614">
      <c r="A1614" s="2" t="s">
        <v>1585</v>
      </c>
      <c r="B1614" s="2" t="s">
        <v>1832</v>
      </c>
      <c r="C1614" s="2" t="s">
        <v>1834</v>
      </c>
      <c r="D1614" s="3" t="str">
        <f t="shared" si="177"/>
        <v>12Go Link</v>
      </c>
      <c r="E1614" s="2" t="s">
        <v>1589</v>
      </c>
    </row>
    <row r="1615">
      <c r="A1615" s="2" t="s">
        <v>1585</v>
      </c>
      <c r="B1615" s="2" t="s">
        <v>1832</v>
      </c>
      <c r="C1615" s="2" t="s">
        <v>1835</v>
      </c>
      <c r="D1615" s="3" t="str">
        <f t="shared" ref="D1615:D1617" si="178">HYPERLINK("https://12go.asia/en/travel/Chania-Airport/Platanes-Hotel-Transfer", "12Go Link")</f>
        <v>12Go Link</v>
      </c>
      <c r="E1615" s="2" t="s">
        <v>1587</v>
      </c>
    </row>
    <row r="1616">
      <c r="A1616" s="2" t="s">
        <v>1585</v>
      </c>
      <c r="B1616" s="2" t="s">
        <v>1832</v>
      </c>
      <c r="C1616" s="2" t="s">
        <v>1835</v>
      </c>
      <c r="D1616" s="3" t="str">
        <f t="shared" si="178"/>
        <v>12Go Link</v>
      </c>
      <c r="E1616" s="2" t="s">
        <v>1588</v>
      </c>
    </row>
    <row r="1617">
      <c r="A1617" s="2" t="s">
        <v>1585</v>
      </c>
      <c r="B1617" s="2" t="s">
        <v>1832</v>
      </c>
      <c r="C1617" s="2" t="s">
        <v>1835</v>
      </c>
      <c r="D1617" s="3" t="str">
        <f t="shared" si="178"/>
        <v>12Go Link</v>
      </c>
      <c r="E1617" s="2" t="s">
        <v>1589</v>
      </c>
    </row>
    <row r="1618">
      <c r="A1618" s="2" t="s">
        <v>1585</v>
      </c>
      <c r="B1618" s="2" t="s">
        <v>1832</v>
      </c>
      <c r="C1618" s="2" t="s">
        <v>1836</v>
      </c>
      <c r="D1618" s="3" t="str">
        <f t="shared" ref="D1618:D1620" si="179">HYPERLINK("https://12go.asia/en/travel/Chania-Airport/Rethymno-Hotel-Transfer", "12Go Link")</f>
        <v>12Go Link</v>
      </c>
      <c r="E1618" s="2" t="s">
        <v>1587</v>
      </c>
    </row>
    <row r="1619">
      <c r="A1619" s="2" t="s">
        <v>1585</v>
      </c>
      <c r="B1619" s="2" t="s">
        <v>1832</v>
      </c>
      <c r="C1619" s="2" t="s">
        <v>1836</v>
      </c>
      <c r="D1619" s="3" t="str">
        <f t="shared" si="179"/>
        <v>12Go Link</v>
      </c>
      <c r="E1619" s="2" t="s">
        <v>1588</v>
      </c>
    </row>
    <row r="1620">
      <c r="A1620" s="2" t="s">
        <v>1585</v>
      </c>
      <c r="B1620" s="2" t="s">
        <v>1832</v>
      </c>
      <c r="C1620" s="2" t="s">
        <v>1836</v>
      </c>
      <c r="D1620" s="3" t="str">
        <f t="shared" si="179"/>
        <v>12Go Link</v>
      </c>
      <c r="E1620" s="2" t="s">
        <v>1589</v>
      </c>
    </row>
    <row r="1621">
      <c r="A1621" s="2" t="s">
        <v>1585</v>
      </c>
      <c r="B1621" s="2" t="s">
        <v>1837</v>
      </c>
      <c r="C1621" s="2" t="s">
        <v>1838</v>
      </c>
      <c r="D1621" s="3" t="str">
        <f t="shared" ref="D1621:D1623" si="180">HYPERLINK("https://12go.asia/en/travel/Chania-Airport/Roumeli-Hotel-Transfer", "12Go Link")</f>
        <v>12Go Link</v>
      </c>
      <c r="E1621" s="2" t="s">
        <v>1587</v>
      </c>
    </row>
    <row r="1622">
      <c r="A1622" s="2" t="s">
        <v>1585</v>
      </c>
      <c r="B1622" s="2" t="s">
        <v>1837</v>
      </c>
      <c r="C1622" s="2" t="s">
        <v>1838</v>
      </c>
      <c r="D1622" s="3" t="str">
        <f t="shared" si="180"/>
        <v>12Go Link</v>
      </c>
      <c r="E1622" s="2" t="s">
        <v>1588</v>
      </c>
    </row>
    <row r="1623">
      <c r="A1623" s="2" t="s">
        <v>1585</v>
      </c>
      <c r="B1623" s="2" t="s">
        <v>1837</v>
      </c>
      <c r="C1623" s="2" t="s">
        <v>1838</v>
      </c>
      <c r="D1623" s="3" t="str">
        <f t="shared" si="180"/>
        <v>12Go Link</v>
      </c>
      <c r="E1623" s="2" t="s">
        <v>1589</v>
      </c>
    </row>
    <row r="1624">
      <c r="A1624" s="2" t="s">
        <v>1585</v>
      </c>
      <c r="B1624" s="2" t="s">
        <v>1839</v>
      </c>
      <c r="C1624" s="2" t="s">
        <v>1840</v>
      </c>
      <c r="D1624" s="3" t="str">
        <f t="shared" ref="D1624:D1626" si="181">HYPERLINK("https://12go.asia/en/travel/Chania-Airport/Roussospiti-Hotel-Transfer", "12Go Link")</f>
        <v>12Go Link</v>
      </c>
      <c r="E1624" s="2" t="s">
        <v>1587</v>
      </c>
    </row>
    <row r="1625">
      <c r="A1625" s="2" t="s">
        <v>1585</v>
      </c>
      <c r="B1625" s="2" t="s">
        <v>1839</v>
      </c>
      <c r="C1625" s="2" t="s">
        <v>1840</v>
      </c>
      <c r="D1625" s="3" t="str">
        <f t="shared" si="181"/>
        <v>12Go Link</v>
      </c>
      <c r="E1625" s="2" t="s">
        <v>1588</v>
      </c>
    </row>
    <row r="1626">
      <c r="A1626" s="2" t="s">
        <v>1585</v>
      </c>
      <c r="B1626" s="2" t="s">
        <v>1839</v>
      </c>
      <c r="C1626" s="2" t="s">
        <v>1840</v>
      </c>
      <c r="D1626" s="3" t="str">
        <f t="shared" si="181"/>
        <v>12Go Link</v>
      </c>
      <c r="E1626" s="2" t="s">
        <v>1589</v>
      </c>
    </row>
    <row r="1627">
      <c r="A1627" s="2" t="s">
        <v>1585</v>
      </c>
      <c r="B1627" s="2" t="s">
        <v>1841</v>
      </c>
      <c r="C1627" s="2" t="s">
        <v>1842</v>
      </c>
      <c r="D1627" s="3" t="str">
        <f t="shared" ref="D1627:D1629" si="182">HYPERLINK("https://12go.asia/en/travel/Chania-Airport/Sfakaki-Hotel-Transfer", "12Go Link")</f>
        <v>12Go Link</v>
      </c>
      <c r="E1627" s="2" t="s">
        <v>1587</v>
      </c>
    </row>
    <row r="1628">
      <c r="A1628" s="2" t="s">
        <v>1585</v>
      </c>
      <c r="B1628" s="2" t="s">
        <v>1841</v>
      </c>
      <c r="C1628" s="2" t="s">
        <v>1842</v>
      </c>
      <c r="D1628" s="3" t="str">
        <f t="shared" si="182"/>
        <v>12Go Link</v>
      </c>
      <c r="E1628" s="2" t="s">
        <v>1588</v>
      </c>
    </row>
    <row r="1629">
      <c r="A1629" s="2" t="s">
        <v>1585</v>
      </c>
      <c r="B1629" s="2" t="s">
        <v>1841</v>
      </c>
      <c r="C1629" s="2" t="s">
        <v>1842</v>
      </c>
      <c r="D1629" s="3" t="str">
        <f t="shared" si="182"/>
        <v>12Go Link</v>
      </c>
      <c r="E1629" s="2" t="s">
        <v>1589</v>
      </c>
    </row>
    <row r="1630">
      <c r="A1630" s="2" t="s">
        <v>1585</v>
      </c>
      <c r="B1630" s="2" t="s">
        <v>1843</v>
      </c>
      <c r="C1630" s="2" t="s">
        <v>1844</v>
      </c>
      <c r="D1630" s="3" t="str">
        <f t="shared" ref="D1630:D1632" si="183">HYPERLINK("https://12go.asia/en/travel/Chania-Airport/Sisi-Hotel-Transfer", "12Go Link")</f>
        <v>12Go Link</v>
      </c>
      <c r="E1630" s="2" t="s">
        <v>1587</v>
      </c>
    </row>
    <row r="1631">
      <c r="A1631" s="2" t="s">
        <v>1585</v>
      </c>
      <c r="B1631" s="2" t="s">
        <v>1843</v>
      </c>
      <c r="C1631" s="2" t="s">
        <v>1844</v>
      </c>
      <c r="D1631" s="3" t="str">
        <f t="shared" si="183"/>
        <v>12Go Link</v>
      </c>
      <c r="E1631" s="2" t="s">
        <v>1588</v>
      </c>
    </row>
    <row r="1632">
      <c r="A1632" s="2" t="s">
        <v>1585</v>
      </c>
      <c r="B1632" s="2" t="s">
        <v>1843</v>
      </c>
      <c r="C1632" s="2" t="s">
        <v>1844</v>
      </c>
      <c r="D1632" s="3" t="str">
        <f t="shared" si="183"/>
        <v>12Go Link</v>
      </c>
      <c r="E1632" s="2" t="s">
        <v>1589</v>
      </c>
    </row>
    <row r="1633">
      <c r="A1633" s="2" t="s">
        <v>1585</v>
      </c>
      <c r="B1633" s="2" t="s">
        <v>1845</v>
      </c>
      <c r="C1633" s="2" t="s">
        <v>1846</v>
      </c>
      <c r="D1633" s="3" t="str">
        <f t="shared" ref="D1633:D1635" si="184">HYPERLINK("https://12go.asia/en/travel/Chania-Airport/Sitia-Hotel-Transfer", "12Go Link")</f>
        <v>12Go Link</v>
      </c>
      <c r="E1633" s="2" t="s">
        <v>1587</v>
      </c>
    </row>
    <row r="1634">
      <c r="A1634" s="2" t="s">
        <v>1585</v>
      </c>
      <c r="B1634" s="2" t="s">
        <v>1845</v>
      </c>
      <c r="C1634" s="2" t="s">
        <v>1846</v>
      </c>
      <c r="D1634" s="3" t="str">
        <f t="shared" si="184"/>
        <v>12Go Link</v>
      </c>
      <c r="E1634" s="2" t="s">
        <v>1588</v>
      </c>
    </row>
    <row r="1635">
      <c r="A1635" s="2" t="s">
        <v>1585</v>
      </c>
      <c r="B1635" s="2" t="s">
        <v>1845</v>
      </c>
      <c r="C1635" s="2" t="s">
        <v>1846</v>
      </c>
      <c r="D1635" s="3" t="str">
        <f t="shared" si="184"/>
        <v>12Go Link</v>
      </c>
      <c r="E1635" s="2" t="s">
        <v>1589</v>
      </c>
    </row>
    <row r="1636">
      <c r="A1636" s="2" t="s">
        <v>1585</v>
      </c>
      <c r="B1636" s="2" t="s">
        <v>1847</v>
      </c>
      <c r="C1636" s="2" t="s">
        <v>1848</v>
      </c>
      <c r="D1636" s="3" t="str">
        <f t="shared" ref="D1636:D1638" si="185">HYPERLINK("https://12go.asia/en/travel/Chania-Airport/Skaleta-Hotel-Transfer", "12Go Link")</f>
        <v>12Go Link</v>
      </c>
      <c r="E1636" s="2" t="s">
        <v>1587</v>
      </c>
    </row>
    <row r="1637">
      <c r="A1637" s="2" t="s">
        <v>1585</v>
      </c>
      <c r="B1637" s="2" t="s">
        <v>1847</v>
      </c>
      <c r="C1637" s="2" t="s">
        <v>1848</v>
      </c>
      <c r="D1637" s="3" t="str">
        <f t="shared" si="185"/>
        <v>12Go Link</v>
      </c>
      <c r="E1637" s="2" t="s">
        <v>1588</v>
      </c>
    </row>
    <row r="1638">
      <c r="A1638" s="2" t="s">
        <v>1585</v>
      </c>
      <c r="B1638" s="2" t="s">
        <v>1847</v>
      </c>
      <c r="C1638" s="2" t="s">
        <v>1848</v>
      </c>
      <c r="D1638" s="3" t="str">
        <f t="shared" si="185"/>
        <v>12Go Link</v>
      </c>
      <c r="E1638" s="2" t="s">
        <v>1589</v>
      </c>
    </row>
    <row r="1639">
      <c r="A1639" s="2" t="s">
        <v>1585</v>
      </c>
      <c r="B1639" s="2" t="s">
        <v>1849</v>
      </c>
      <c r="C1639" s="2" t="s">
        <v>1850</v>
      </c>
      <c r="D1639" s="3" t="str">
        <f t="shared" ref="D1639:D1641" si="186">HYPERLINK("https://12go.asia/en/travel/Chania-Airport/Souda-Hotel-Transfer", "12Go Link")</f>
        <v>12Go Link</v>
      </c>
      <c r="E1639" s="2" t="s">
        <v>1587</v>
      </c>
    </row>
    <row r="1640">
      <c r="A1640" s="2" t="s">
        <v>1585</v>
      </c>
      <c r="B1640" s="2" t="s">
        <v>1849</v>
      </c>
      <c r="C1640" s="2" t="s">
        <v>1850</v>
      </c>
      <c r="D1640" s="3" t="str">
        <f t="shared" si="186"/>
        <v>12Go Link</v>
      </c>
      <c r="E1640" s="2" t="s">
        <v>1588</v>
      </c>
    </row>
    <row r="1641">
      <c r="A1641" s="2" t="s">
        <v>1585</v>
      </c>
      <c r="B1641" s="2" t="s">
        <v>1849</v>
      </c>
      <c r="C1641" s="2" t="s">
        <v>1850</v>
      </c>
      <c r="D1641" s="3" t="str">
        <f t="shared" si="186"/>
        <v>12Go Link</v>
      </c>
      <c r="E1641" s="2" t="s">
        <v>1589</v>
      </c>
    </row>
    <row r="1642">
      <c r="A1642" s="2" t="s">
        <v>1585</v>
      </c>
      <c r="B1642" s="2" t="s">
        <v>1851</v>
      </c>
      <c r="C1642" s="2" t="s">
        <v>1852</v>
      </c>
      <c r="D1642" s="3" t="str">
        <f t="shared" ref="D1642:D1644" si="187">HYPERLINK("https://12go.asia/en/travel/Chania-Airport/Sougia-Hotel-Transfer", "12Go Link")</f>
        <v>12Go Link</v>
      </c>
      <c r="E1642" s="2" t="s">
        <v>1587</v>
      </c>
    </row>
    <row r="1643">
      <c r="A1643" s="2" t="s">
        <v>1585</v>
      </c>
      <c r="B1643" s="2" t="s">
        <v>1851</v>
      </c>
      <c r="C1643" s="2" t="s">
        <v>1852</v>
      </c>
      <c r="D1643" s="3" t="str">
        <f t="shared" si="187"/>
        <v>12Go Link</v>
      </c>
      <c r="E1643" s="2" t="s">
        <v>1588</v>
      </c>
    </row>
    <row r="1644">
      <c r="A1644" s="2" t="s">
        <v>1585</v>
      </c>
      <c r="B1644" s="2" t="s">
        <v>1851</v>
      </c>
      <c r="C1644" s="2" t="s">
        <v>1852</v>
      </c>
      <c r="D1644" s="3" t="str">
        <f t="shared" si="187"/>
        <v>12Go Link</v>
      </c>
      <c r="E1644" s="2" t="s">
        <v>1589</v>
      </c>
    </row>
    <row r="1645">
      <c r="A1645" s="2" t="s">
        <v>1585</v>
      </c>
      <c r="B1645" s="2" t="s">
        <v>1853</v>
      </c>
      <c r="C1645" s="2" t="s">
        <v>1854</v>
      </c>
      <c r="D1645" s="3" t="str">
        <f t="shared" ref="D1645:D1647" si="188">HYPERLINK("https://12go.asia/en/travel/Chania-Airport/Stalida-Hotel-Transfer", "12Go Link")</f>
        <v>12Go Link</v>
      </c>
      <c r="E1645" s="2" t="s">
        <v>1587</v>
      </c>
    </row>
    <row r="1646">
      <c r="A1646" s="2" t="s">
        <v>1585</v>
      </c>
      <c r="B1646" s="2" t="s">
        <v>1853</v>
      </c>
      <c r="C1646" s="2" t="s">
        <v>1854</v>
      </c>
      <c r="D1646" s="3" t="str">
        <f t="shared" si="188"/>
        <v>12Go Link</v>
      </c>
      <c r="E1646" s="2" t="s">
        <v>1588</v>
      </c>
    </row>
    <row r="1647">
      <c r="A1647" s="2" t="s">
        <v>1585</v>
      </c>
      <c r="B1647" s="2" t="s">
        <v>1853</v>
      </c>
      <c r="C1647" s="2" t="s">
        <v>1854</v>
      </c>
      <c r="D1647" s="3" t="str">
        <f t="shared" si="188"/>
        <v>12Go Link</v>
      </c>
      <c r="E1647" s="2" t="s">
        <v>1589</v>
      </c>
    </row>
    <row r="1648">
      <c r="A1648" s="2" t="s">
        <v>1585</v>
      </c>
      <c r="B1648" s="2" t="s">
        <v>1855</v>
      </c>
      <c r="C1648" s="2" t="s">
        <v>1856</v>
      </c>
      <c r="D1648" s="3" t="str">
        <f t="shared" ref="D1648:D1650" si="189">HYPERLINK("https://12go.asia/en/travel/Chania-Airport/Stalos-Hotel-Transfer", "12Go Link")</f>
        <v>12Go Link</v>
      </c>
      <c r="E1648" s="2" t="s">
        <v>1587</v>
      </c>
    </row>
    <row r="1649">
      <c r="A1649" s="2" t="s">
        <v>1585</v>
      </c>
      <c r="B1649" s="2" t="s">
        <v>1855</v>
      </c>
      <c r="C1649" s="2" t="s">
        <v>1856</v>
      </c>
      <c r="D1649" s="3" t="str">
        <f t="shared" si="189"/>
        <v>12Go Link</v>
      </c>
      <c r="E1649" s="2" t="s">
        <v>1588</v>
      </c>
    </row>
    <row r="1650">
      <c r="A1650" s="2" t="s">
        <v>1585</v>
      </c>
      <c r="B1650" s="2" t="s">
        <v>1855</v>
      </c>
      <c r="C1650" s="2" t="s">
        <v>1856</v>
      </c>
      <c r="D1650" s="3" t="str">
        <f t="shared" si="189"/>
        <v>12Go Link</v>
      </c>
      <c r="E1650" s="2" t="s">
        <v>1589</v>
      </c>
    </row>
    <row r="1651">
      <c r="A1651" s="2" t="s">
        <v>1585</v>
      </c>
      <c r="B1651" s="2" t="s">
        <v>1857</v>
      </c>
      <c r="C1651" s="2" t="s">
        <v>1858</v>
      </c>
      <c r="D1651" s="3" t="str">
        <f t="shared" ref="D1651:D1653" si="190">HYPERLINK("https://12go.asia/en/travel/Chania-Airport/Stavros-Chania-Hotel-Transfer", "12Go Link")</f>
        <v>12Go Link</v>
      </c>
      <c r="E1651" s="2" t="s">
        <v>1587</v>
      </c>
    </row>
    <row r="1652">
      <c r="A1652" s="2" t="s">
        <v>1585</v>
      </c>
      <c r="B1652" s="2" t="s">
        <v>1857</v>
      </c>
      <c r="C1652" s="2" t="s">
        <v>1858</v>
      </c>
      <c r="D1652" s="3" t="str">
        <f t="shared" si="190"/>
        <v>12Go Link</v>
      </c>
      <c r="E1652" s="2" t="s">
        <v>1588</v>
      </c>
    </row>
    <row r="1653">
      <c r="A1653" s="2" t="s">
        <v>1585</v>
      </c>
      <c r="B1653" s="2" t="s">
        <v>1857</v>
      </c>
      <c r="C1653" s="2" t="s">
        <v>1858</v>
      </c>
      <c r="D1653" s="3" t="str">
        <f t="shared" si="190"/>
        <v>12Go Link</v>
      </c>
      <c r="E1653" s="2" t="s">
        <v>1589</v>
      </c>
    </row>
    <row r="1654">
      <c r="A1654" s="2" t="s">
        <v>1585</v>
      </c>
      <c r="B1654" s="2" t="s">
        <v>1859</v>
      </c>
      <c r="C1654" s="2" t="s">
        <v>1860</v>
      </c>
      <c r="D1654" s="3" t="str">
        <f t="shared" ref="D1654:D1656" si="191">HYPERLINK("https://12go.asia/en/travel/Chania-Airport/Tavronitis-Hotel-Transfer", "12Go Link")</f>
        <v>12Go Link</v>
      </c>
      <c r="E1654" s="2" t="s">
        <v>1587</v>
      </c>
    </row>
    <row r="1655">
      <c r="A1655" s="2" t="s">
        <v>1585</v>
      </c>
      <c r="B1655" s="2" t="s">
        <v>1859</v>
      </c>
      <c r="C1655" s="2" t="s">
        <v>1860</v>
      </c>
      <c r="D1655" s="3" t="str">
        <f t="shared" si="191"/>
        <v>12Go Link</v>
      </c>
      <c r="E1655" s="2" t="s">
        <v>1588</v>
      </c>
    </row>
    <row r="1656">
      <c r="A1656" s="2" t="s">
        <v>1585</v>
      </c>
      <c r="B1656" s="2" t="s">
        <v>1859</v>
      </c>
      <c r="C1656" s="2" t="s">
        <v>1860</v>
      </c>
      <c r="D1656" s="3" t="str">
        <f t="shared" si="191"/>
        <v>12Go Link</v>
      </c>
      <c r="E1656" s="2" t="s">
        <v>1589</v>
      </c>
    </row>
    <row r="1657">
      <c r="A1657" s="2" t="s">
        <v>1585</v>
      </c>
      <c r="B1657" s="2" t="s">
        <v>1861</v>
      </c>
      <c r="C1657" s="2" t="s">
        <v>1862</v>
      </c>
      <c r="D1657" s="3" t="str">
        <f t="shared" ref="D1657:D1659" si="192">HYPERLINK("https://12go.asia/en/travel/Chania-Airport/Tsoutsouros-Hotel-Transfer", "12Go Link")</f>
        <v>12Go Link</v>
      </c>
      <c r="E1657" s="2" t="s">
        <v>1587</v>
      </c>
    </row>
    <row r="1658">
      <c r="A1658" s="2" t="s">
        <v>1585</v>
      </c>
      <c r="B1658" s="2" t="s">
        <v>1861</v>
      </c>
      <c r="C1658" s="2" t="s">
        <v>1862</v>
      </c>
      <c r="D1658" s="3" t="str">
        <f t="shared" si="192"/>
        <v>12Go Link</v>
      </c>
      <c r="E1658" s="2" t="s">
        <v>1588</v>
      </c>
    </row>
    <row r="1659">
      <c r="A1659" s="2" t="s">
        <v>1585</v>
      </c>
      <c r="B1659" s="2" t="s">
        <v>1861</v>
      </c>
      <c r="C1659" s="2" t="s">
        <v>1862</v>
      </c>
      <c r="D1659" s="3" t="str">
        <f t="shared" si="192"/>
        <v>12Go Link</v>
      </c>
      <c r="E1659" s="2" t="s">
        <v>1589</v>
      </c>
    </row>
    <row r="1660">
      <c r="A1660" s="2" t="s">
        <v>1585</v>
      </c>
      <c r="B1660" s="2" t="s">
        <v>1863</v>
      </c>
      <c r="C1660" s="2" t="s">
        <v>1864</v>
      </c>
      <c r="D1660" s="3" t="str">
        <f t="shared" ref="D1660:D1662" si="193">HYPERLINK("https://12go.asia/en/travel/Chania-Airport/Vamos-Hotel-Transfer", "12Go Link")</f>
        <v>12Go Link</v>
      </c>
      <c r="E1660" s="2" t="s">
        <v>1587</v>
      </c>
    </row>
    <row r="1661">
      <c r="A1661" s="2" t="s">
        <v>1585</v>
      </c>
      <c r="B1661" s="2" t="s">
        <v>1863</v>
      </c>
      <c r="C1661" s="2" t="s">
        <v>1864</v>
      </c>
      <c r="D1661" s="3" t="str">
        <f t="shared" si="193"/>
        <v>12Go Link</v>
      </c>
      <c r="E1661" s="2" t="s">
        <v>1588</v>
      </c>
    </row>
    <row r="1662">
      <c r="A1662" s="2" t="s">
        <v>1585</v>
      </c>
      <c r="B1662" s="2" t="s">
        <v>1863</v>
      </c>
      <c r="C1662" s="2" t="s">
        <v>1864</v>
      </c>
      <c r="D1662" s="3" t="str">
        <f t="shared" si="193"/>
        <v>12Go Link</v>
      </c>
      <c r="E1662" s="2" t="s">
        <v>1589</v>
      </c>
    </row>
    <row r="1663">
      <c r="A1663" s="2" t="s">
        <v>1585</v>
      </c>
      <c r="B1663" s="2" t="s">
        <v>1865</v>
      </c>
      <c r="C1663" s="2" t="s">
        <v>1866</v>
      </c>
      <c r="D1663" s="3" t="str">
        <f t="shared" ref="D1663:D1665" si="194">HYPERLINK("https://12go.asia/en/travel/Chania-Airport/Vathi-Hotel-Transfer", "12Go Link")</f>
        <v>12Go Link</v>
      </c>
      <c r="E1663" s="2" t="s">
        <v>1587</v>
      </c>
    </row>
    <row r="1664">
      <c r="A1664" s="2" t="s">
        <v>1585</v>
      </c>
      <c r="B1664" s="2" t="s">
        <v>1865</v>
      </c>
      <c r="C1664" s="2" t="s">
        <v>1866</v>
      </c>
      <c r="D1664" s="3" t="str">
        <f t="shared" si="194"/>
        <v>12Go Link</v>
      </c>
      <c r="E1664" s="2" t="s">
        <v>1588</v>
      </c>
    </row>
    <row r="1665">
      <c r="A1665" s="2" t="s">
        <v>1585</v>
      </c>
      <c r="B1665" s="2" t="s">
        <v>1865</v>
      </c>
      <c r="C1665" s="2" t="s">
        <v>1866</v>
      </c>
      <c r="D1665" s="3" t="str">
        <f t="shared" si="194"/>
        <v>12Go Link</v>
      </c>
      <c r="E1665" s="2" t="s">
        <v>1589</v>
      </c>
    </row>
    <row r="1666">
      <c r="A1666" s="2" t="s">
        <v>1585</v>
      </c>
      <c r="B1666" s="2" t="s">
        <v>1867</v>
      </c>
      <c r="C1666" s="2" t="s">
        <v>1868</v>
      </c>
      <c r="D1666" s="3" t="str">
        <f t="shared" ref="D1666:D1668" si="195">HYPERLINK("https://12go.asia/en/travel/Chania-Airport/Viranepiskopi-Hotel-Transfer", "12Go Link")</f>
        <v>12Go Link</v>
      </c>
      <c r="E1666" s="2" t="s">
        <v>1587</v>
      </c>
    </row>
    <row r="1667">
      <c r="A1667" s="2" t="s">
        <v>1585</v>
      </c>
      <c r="B1667" s="2" t="s">
        <v>1867</v>
      </c>
      <c r="C1667" s="2" t="s">
        <v>1868</v>
      </c>
      <c r="D1667" s="3" t="str">
        <f t="shared" si="195"/>
        <v>12Go Link</v>
      </c>
      <c r="E1667" s="2" t="s">
        <v>1588</v>
      </c>
    </row>
    <row r="1668">
      <c r="A1668" s="2" t="s">
        <v>1585</v>
      </c>
      <c r="B1668" s="2" t="s">
        <v>1867</v>
      </c>
      <c r="C1668" s="2" t="s">
        <v>1868</v>
      </c>
      <c r="D1668" s="3" t="str">
        <f t="shared" si="195"/>
        <v>12Go Link</v>
      </c>
      <c r="E1668" s="2" t="s">
        <v>1589</v>
      </c>
    </row>
    <row r="1669">
      <c r="A1669" s="2" t="s">
        <v>1585</v>
      </c>
      <c r="B1669" s="2" t="s">
        <v>1869</v>
      </c>
      <c r="C1669" s="2" t="s">
        <v>1870</v>
      </c>
      <c r="D1669" s="3" t="str">
        <f t="shared" ref="D1669:D1671" si="196">HYPERLINK("https://12go.asia/en/travel/Chania-Airport/Vryses-Hotel-Transfer", "12Go Link")</f>
        <v>12Go Link</v>
      </c>
      <c r="E1669" s="2" t="s">
        <v>1587</v>
      </c>
    </row>
    <row r="1670">
      <c r="A1670" s="2" t="s">
        <v>1585</v>
      </c>
      <c r="B1670" s="2" t="s">
        <v>1869</v>
      </c>
      <c r="C1670" s="2" t="s">
        <v>1870</v>
      </c>
      <c r="D1670" s="3" t="str">
        <f t="shared" si="196"/>
        <v>12Go Link</v>
      </c>
      <c r="E1670" s="2" t="s">
        <v>1588</v>
      </c>
    </row>
    <row r="1671">
      <c r="A1671" s="2" t="s">
        <v>1585</v>
      </c>
      <c r="B1671" s="2" t="s">
        <v>1869</v>
      </c>
      <c r="C1671" s="2" t="s">
        <v>1870</v>
      </c>
      <c r="D1671" s="3" t="str">
        <f t="shared" si="196"/>
        <v>12Go Link</v>
      </c>
      <c r="E1671" s="2" t="s">
        <v>1589</v>
      </c>
    </row>
    <row r="1672">
      <c r="A1672" s="2" t="s">
        <v>1681</v>
      </c>
      <c r="B1672" s="2" t="s">
        <v>1585</v>
      </c>
      <c r="C1672" s="2" t="s">
        <v>1871</v>
      </c>
      <c r="D1672" s="3" t="str">
        <f t="shared" ref="D1672:D1674" si="197">HYPERLINK("https://12go.asia/en/travel/Chorafakia-Hotel-Transfer/Chania-Airport", "12Go Link")</f>
        <v>12Go Link</v>
      </c>
      <c r="E1672" s="2" t="s">
        <v>1587</v>
      </c>
    </row>
    <row r="1673">
      <c r="A1673" s="2" t="s">
        <v>1681</v>
      </c>
      <c r="B1673" s="2" t="s">
        <v>1585</v>
      </c>
      <c r="C1673" s="2" t="s">
        <v>1871</v>
      </c>
      <c r="D1673" s="3" t="str">
        <f t="shared" si="197"/>
        <v>12Go Link</v>
      </c>
      <c r="E1673" s="2" t="s">
        <v>1588</v>
      </c>
    </row>
    <row r="1674">
      <c r="A1674" s="2" t="s">
        <v>1681</v>
      </c>
      <c r="B1674" s="2" t="s">
        <v>1585</v>
      </c>
      <c r="C1674" s="2" t="s">
        <v>1871</v>
      </c>
      <c r="D1674" s="3" t="str">
        <f t="shared" si="197"/>
        <v>12Go Link</v>
      </c>
      <c r="E1674" s="2" t="s">
        <v>1589</v>
      </c>
    </row>
    <row r="1675">
      <c r="A1675" s="2" t="s">
        <v>1681</v>
      </c>
      <c r="B1675" s="2" t="s">
        <v>1590</v>
      </c>
      <c r="C1675" s="2" t="s">
        <v>1872</v>
      </c>
      <c r="D1675" s="3" t="str">
        <f t="shared" ref="D1675:D1677" si="198">HYPERLINK("https://12go.asia/en/travel/Chorafakia-Hotel-Transfer/Heraklion-Airport", "12Go Link")</f>
        <v>12Go Link</v>
      </c>
      <c r="E1675" s="2" t="s">
        <v>1587</v>
      </c>
    </row>
    <row r="1676">
      <c r="A1676" s="2" t="s">
        <v>1681</v>
      </c>
      <c r="B1676" s="2" t="s">
        <v>1590</v>
      </c>
      <c r="C1676" s="2" t="s">
        <v>1872</v>
      </c>
      <c r="D1676" s="3" t="str">
        <f t="shared" si="198"/>
        <v>12Go Link</v>
      </c>
      <c r="E1676" s="2" t="s">
        <v>1588</v>
      </c>
    </row>
    <row r="1677">
      <c r="A1677" s="2" t="s">
        <v>1681</v>
      </c>
      <c r="B1677" s="2" t="s">
        <v>1590</v>
      </c>
      <c r="C1677" s="2" t="s">
        <v>1872</v>
      </c>
      <c r="D1677" s="3" t="str">
        <f t="shared" si="198"/>
        <v>12Go Link</v>
      </c>
      <c r="E1677" s="2" t="s">
        <v>1589</v>
      </c>
    </row>
    <row r="1678">
      <c r="A1678" s="2" t="s">
        <v>1683</v>
      </c>
      <c r="B1678" s="2" t="s">
        <v>1585</v>
      </c>
      <c r="C1678" s="2" t="s">
        <v>1873</v>
      </c>
      <c r="D1678" s="3" t="str">
        <f t="shared" ref="D1678:D1680" si="199">HYPERLINK("https://12go.asia/en/travel/Elafonissi-Beach/Chania-Airport", "12Go Link")</f>
        <v>12Go Link</v>
      </c>
      <c r="E1678" s="2" t="s">
        <v>1587</v>
      </c>
    </row>
    <row r="1679">
      <c r="A1679" s="2" t="s">
        <v>1683</v>
      </c>
      <c r="B1679" s="2" t="s">
        <v>1585</v>
      </c>
      <c r="C1679" s="2" t="s">
        <v>1873</v>
      </c>
      <c r="D1679" s="3" t="str">
        <f t="shared" si="199"/>
        <v>12Go Link</v>
      </c>
      <c r="E1679" s="2" t="s">
        <v>1588</v>
      </c>
    </row>
    <row r="1680">
      <c r="A1680" s="2" t="s">
        <v>1683</v>
      </c>
      <c r="B1680" s="2" t="s">
        <v>1585</v>
      </c>
      <c r="C1680" s="2" t="s">
        <v>1873</v>
      </c>
      <c r="D1680" s="3" t="str">
        <f t="shared" si="199"/>
        <v>12Go Link</v>
      </c>
      <c r="E1680" s="2" t="s">
        <v>1589</v>
      </c>
    </row>
    <row r="1681">
      <c r="A1681" s="2" t="s">
        <v>1683</v>
      </c>
      <c r="B1681" s="2" t="s">
        <v>1585</v>
      </c>
      <c r="C1681" s="2" t="s">
        <v>1874</v>
      </c>
      <c r="D1681" s="3" t="str">
        <f t="shared" ref="D1681:D1683" si="200">HYPERLINK("https://12go.asia/en/travel/Pano-Stalos-Hotel-Transfer/Chania-Airport", "12Go Link")</f>
        <v>12Go Link</v>
      </c>
      <c r="E1681" s="2" t="s">
        <v>1587</v>
      </c>
    </row>
    <row r="1682">
      <c r="A1682" s="2" t="s">
        <v>1683</v>
      </c>
      <c r="B1682" s="2" t="s">
        <v>1585</v>
      </c>
      <c r="C1682" s="2" t="s">
        <v>1874</v>
      </c>
      <c r="D1682" s="3" t="str">
        <f t="shared" si="200"/>
        <v>12Go Link</v>
      </c>
      <c r="E1682" s="2" t="s">
        <v>1588</v>
      </c>
    </row>
    <row r="1683">
      <c r="A1683" s="2" t="s">
        <v>1683</v>
      </c>
      <c r="B1683" s="2" t="s">
        <v>1585</v>
      </c>
      <c r="C1683" s="2" t="s">
        <v>1874</v>
      </c>
      <c r="D1683" s="3" t="str">
        <f t="shared" si="200"/>
        <v>12Go Link</v>
      </c>
      <c r="E1683" s="2" t="s">
        <v>1589</v>
      </c>
    </row>
    <row r="1684">
      <c r="A1684" s="2" t="s">
        <v>1683</v>
      </c>
      <c r="B1684" s="2" t="s">
        <v>1590</v>
      </c>
      <c r="C1684" s="2" t="s">
        <v>1875</v>
      </c>
      <c r="D1684" s="3" t="str">
        <f t="shared" ref="D1684:D1686" si="201">HYPERLINK("https://12go.asia/en/travel/Elafonissi-Beach/Heraklion-Airport", "12Go Link")</f>
        <v>12Go Link</v>
      </c>
      <c r="E1684" s="2" t="s">
        <v>1587</v>
      </c>
    </row>
    <row r="1685">
      <c r="A1685" s="2" t="s">
        <v>1683</v>
      </c>
      <c r="B1685" s="2" t="s">
        <v>1590</v>
      </c>
      <c r="C1685" s="2" t="s">
        <v>1875</v>
      </c>
      <c r="D1685" s="3" t="str">
        <f t="shared" si="201"/>
        <v>12Go Link</v>
      </c>
      <c r="E1685" s="2" t="s">
        <v>1588</v>
      </c>
    </row>
    <row r="1686">
      <c r="A1686" s="2" t="s">
        <v>1683</v>
      </c>
      <c r="B1686" s="2" t="s">
        <v>1590</v>
      </c>
      <c r="C1686" s="2" t="s">
        <v>1875</v>
      </c>
      <c r="D1686" s="3" t="str">
        <f t="shared" si="201"/>
        <v>12Go Link</v>
      </c>
      <c r="E1686" s="2" t="s">
        <v>1589</v>
      </c>
    </row>
    <row r="1687">
      <c r="A1687" s="2" t="s">
        <v>1683</v>
      </c>
      <c r="B1687" s="2" t="s">
        <v>1590</v>
      </c>
      <c r="C1687" s="2" t="s">
        <v>1876</v>
      </c>
      <c r="D1687" s="3" t="str">
        <f t="shared" ref="D1687:D1689" si="202">HYPERLINK("https://12go.asia/en/travel/Pano-Stalos-Hotel-Transfer/Heraklion-Airport", "12Go Link")</f>
        <v>12Go Link</v>
      </c>
      <c r="E1687" s="2" t="s">
        <v>1587</v>
      </c>
    </row>
    <row r="1688">
      <c r="A1688" s="2" t="s">
        <v>1683</v>
      </c>
      <c r="B1688" s="2" t="s">
        <v>1590</v>
      </c>
      <c r="C1688" s="2" t="s">
        <v>1876</v>
      </c>
      <c r="D1688" s="3" t="str">
        <f t="shared" si="202"/>
        <v>12Go Link</v>
      </c>
      <c r="E1688" s="2" t="s">
        <v>1588</v>
      </c>
    </row>
    <row r="1689">
      <c r="A1689" s="2" t="s">
        <v>1683</v>
      </c>
      <c r="B1689" s="2" t="s">
        <v>1590</v>
      </c>
      <c r="C1689" s="2" t="s">
        <v>1876</v>
      </c>
      <c r="D1689" s="3" t="str">
        <f t="shared" si="202"/>
        <v>12Go Link</v>
      </c>
      <c r="E1689" s="2" t="s">
        <v>1589</v>
      </c>
    </row>
    <row r="1690">
      <c r="A1690" s="2" t="s">
        <v>1686</v>
      </c>
      <c r="B1690" s="2" t="s">
        <v>1585</v>
      </c>
      <c r="C1690" s="2" t="s">
        <v>1877</v>
      </c>
      <c r="D1690" s="3" t="str">
        <f t="shared" ref="D1690:D1692" si="203">HYPERLINK("https://12go.asia/en/travel/Damnoni-Hotel-Transfer/Chania-Airport", "12Go Link")</f>
        <v>12Go Link</v>
      </c>
      <c r="E1690" s="2" t="s">
        <v>1587</v>
      </c>
    </row>
    <row r="1691">
      <c r="A1691" s="2" t="s">
        <v>1686</v>
      </c>
      <c r="B1691" s="2" t="s">
        <v>1585</v>
      </c>
      <c r="C1691" s="2" t="s">
        <v>1877</v>
      </c>
      <c r="D1691" s="3" t="str">
        <f t="shared" si="203"/>
        <v>12Go Link</v>
      </c>
      <c r="E1691" s="2" t="s">
        <v>1588</v>
      </c>
    </row>
    <row r="1692">
      <c r="A1692" s="2" t="s">
        <v>1686</v>
      </c>
      <c r="B1692" s="2" t="s">
        <v>1585</v>
      </c>
      <c r="C1692" s="2" t="s">
        <v>1877</v>
      </c>
      <c r="D1692" s="3" t="str">
        <f t="shared" si="203"/>
        <v>12Go Link</v>
      </c>
      <c r="E1692" s="2" t="s">
        <v>1589</v>
      </c>
    </row>
    <row r="1693">
      <c r="A1693" s="2" t="s">
        <v>1686</v>
      </c>
      <c r="B1693" s="2" t="s">
        <v>1590</v>
      </c>
      <c r="C1693" s="2" t="s">
        <v>1878</v>
      </c>
      <c r="D1693" s="3" t="str">
        <f t="shared" ref="D1693:D1695" si="204">HYPERLINK("https://12go.asia/en/travel/Damnoni-Hotel-Transfer/Heraklion-Airport", "12Go Link")</f>
        <v>12Go Link</v>
      </c>
      <c r="E1693" s="2" t="s">
        <v>1587</v>
      </c>
    </row>
    <row r="1694">
      <c r="A1694" s="2" t="s">
        <v>1686</v>
      </c>
      <c r="B1694" s="2" t="s">
        <v>1590</v>
      </c>
      <c r="C1694" s="2" t="s">
        <v>1878</v>
      </c>
      <c r="D1694" s="3" t="str">
        <f t="shared" si="204"/>
        <v>12Go Link</v>
      </c>
      <c r="E1694" s="2" t="s">
        <v>1588</v>
      </c>
    </row>
    <row r="1695">
      <c r="A1695" s="2" t="s">
        <v>1686</v>
      </c>
      <c r="B1695" s="2" t="s">
        <v>1590</v>
      </c>
      <c r="C1695" s="2" t="s">
        <v>1878</v>
      </c>
      <c r="D1695" s="3" t="str">
        <f t="shared" si="204"/>
        <v>12Go Link</v>
      </c>
      <c r="E1695" s="2" t="s">
        <v>1589</v>
      </c>
    </row>
    <row r="1696">
      <c r="A1696" s="2" t="s">
        <v>1688</v>
      </c>
      <c r="B1696" s="2" t="s">
        <v>1585</v>
      </c>
      <c r="C1696" s="2" t="s">
        <v>1879</v>
      </c>
      <c r="D1696" s="3" t="str">
        <f t="shared" ref="D1696:D1698" si="205">HYPERLINK("https://12go.asia/en/travel/Dramia-Hotel-Transfer/Chania-Airport", "12Go Link")</f>
        <v>12Go Link</v>
      </c>
      <c r="E1696" s="2" t="s">
        <v>1587</v>
      </c>
    </row>
    <row r="1697">
      <c r="A1697" s="2" t="s">
        <v>1688</v>
      </c>
      <c r="B1697" s="2" t="s">
        <v>1585</v>
      </c>
      <c r="C1697" s="2" t="s">
        <v>1879</v>
      </c>
      <c r="D1697" s="3" t="str">
        <f t="shared" si="205"/>
        <v>12Go Link</v>
      </c>
      <c r="E1697" s="2" t="s">
        <v>1588</v>
      </c>
    </row>
    <row r="1698">
      <c r="A1698" s="2" t="s">
        <v>1688</v>
      </c>
      <c r="B1698" s="2" t="s">
        <v>1585</v>
      </c>
      <c r="C1698" s="2" t="s">
        <v>1879</v>
      </c>
      <c r="D1698" s="3" t="str">
        <f t="shared" si="205"/>
        <v>12Go Link</v>
      </c>
      <c r="E1698" s="2" t="s">
        <v>1589</v>
      </c>
    </row>
    <row r="1699">
      <c r="A1699" s="2" t="s">
        <v>1688</v>
      </c>
      <c r="B1699" s="2" t="s">
        <v>1590</v>
      </c>
      <c r="C1699" s="2" t="s">
        <v>1880</v>
      </c>
      <c r="D1699" s="3" t="str">
        <f t="shared" ref="D1699:D1701" si="206">HYPERLINK("https://12go.asia/en/travel/Dramia-Hotel-Transfer/Heraklion-Airport", "12Go Link")</f>
        <v>12Go Link</v>
      </c>
      <c r="E1699" s="2" t="s">
        <v>1587</v>
      </c>
    </row>
    <row r="1700">
      <c r="A1700" s="2" t="s">
        <v>1688</v>
      </c>
      <c r="B1700" s="2" t="s">
        <v>1590</v>
      </c>
      <c r="C1700" s="2" t="s">
        <v>1880</v>
      </c>
      <c r="D1700" s="3" t="str">
        <f t="shared" si="206"/>
        <v>12Go Link</v>
      </c>
      <c r="E1700" s="2" t="s">
        <v>1588</v>
      </c>
    </row>
    <row r="1701">
      <c r="A1701" s="2" t="s">
        <v>1688</v>
      </c>
      <c r="B1701" s="2" t="s">
        <v>1590</v>
      </c>
      <c r="C1701" s="2" t="s">
        <v>1880</v>
      </c>
      <c r="D1701" s="3" t="str">
        <f t="shared" si="206"/>
        <v>12Go Link</v>
      </c>
      <c r="E1701" s="2" t="s">
        <v>1589</v>
      </c>
    </row>
    <row r="1702">
      <c r="A1702" s="2" t="s">
        <v>1690</v>
      </c>
      <c r="B1702" s="2" t="s">
        <v>1585</v>
      </c>
      <c r="C1702" s="2" t="s">
        <v>1881</v>
      </c>
      <c r="D1702" s="3" t="str">
        <f t="shared" ref="D1702:D1704" si="207">HYPERLINK("https://12go.asia/en/travel/Elounda-Hotel-Transfer/Chania-Airport", "12Go Link")</f>
        <v>12Go Link</v>
      </c>
      <c r="E1702" s="2" t="s">
        <v>1587</v>
      </c>
    </row>
    <row r="1703">
      <c r="A1703" s="2" t="s">
        <v>1690</v>
      </c>
      <c r="B1703" s="2" t="s">
        <v>1585</v>
      </c>
      <c r="C1703" s="2" t="s">
        <v>1881</v>
      </c>
      <c r="D1703" s="3" t="str">
        <f t="shared" si="207"/>
        <v>12Go Link</v>
      </c>
      <c r="E1703" s="2" t="s">
        <v>1588</v>
      </c>
    </row>
    <row r="1704">
      <c r="A1704" s="2" t="s">
        <v>1690</v>
      </c>
      <c r="B1704" s="2" t="s">
        <v>1585</v>
      </c>
      <c r="C1704" s="2" t="s">
        <v>1881</v>
      </c>
      <c r="D1704" s="3" t="str">
        <f t="shared" si="207"/>
        <v>12Go Link</v>
      </c>
      <c r="E1704" s="2" t="s">
        <v>1589</v>
      </c>
    </row>
    <row r="1705">
      <c r="A1705" s="2" t="s">
        <v>1690</v>
      </c>
      <c r="B1705" s="2" t="s">
        <v>1590</v>
      </c>
      <c r="C1705" s="2" t="s">
        <v>1882</v>
      </c>
      <c r="D1705" s="3" t="str">
        <f t="shared" ref="D1705:D1707" si="208">HYPERLINK("https://12go.asia/en/travel/Elounda-Hotel-Transfer/Heraklion-Airport", "12Go Link")</f>
        <v>12Go Link</v>
      </c>
      <c r="E1705" s="2" t="s">
        <v>1587</v>
      </c>
    </row>
    <row r="1706">
      <c r="A1706" s="2" t="s">
        <v>1690</v>
      </c>
      <c r="B1706" s="2" t="s">
        <v>1590</v>
      </c>
      <c r="C1706" s="2" t="s">
        <v>1882</v>
      </c>
      <c r="D1706" s="3" t="str">
        <f t="shared" si="208"/>
        <v>12Go Link</v>
      </c>
      <c r="E1706" s="2" t="s">
        <v>1588</v>
      </c>
    </row>
    <row r="1707">
      <c r="A1707" s="2" t="s">
        <v>1690</v>
      </c>
      <c r="B1707" s="2" t="s">
        <v>1590</v>
      </c>
      <c r="C1707" s="2" t="s">
        <v>1882</v>
      </c>
      <c r="D1707" s="3" t="str">
        <f t="shared" si="208"/>
        <v>12Go Link</v>
      </c>
      <c r="E1707" s="2" t="s">
        <v>1589</v>
      </c>
    </row>
    <row r="1708">
      <c r="A1708" s="2" t="s">
        <v>1692</v>
      </c>
      <c r="B1708" s="2" t="s">
        <v>1585</v>
      </c>
      <c r="C1708" s="2" t="s">
        <v>1883</v>
      </c>
      <c r="D1708" s="3" t="str">
        <f t="shared" ref="D1708:D1710" si="209">HYPERLINK("https://12go.asia/en/travel/Episkopi-Rethymno-Hotel-Transfer/Chania-Airport", "12Go Link")</f>
        <v>12Go Link</v>
      </c>
      <c r="E1708" s="2" t="s">
        <v>1587</v>
      </c>
    </row>
    <row r="1709">
      <c r="A1709" s="2" t="s">
        <v>1692</v>
      </c>
      <c r="B1709" s="2" t="s">
        <v>1585</v>
      </c>
      <c r="C1709" s="2" t="s">
        <v>1883</v>
      </c>
      <c r="D1709" s="3" t="str">
        <f t="shared" si="209"/>
        <v>12Go Link</v>
      </c>
      <c r="E1709" s="2" t="s">
        <v>1588</v>
      </c>
    </row>
    <row r="1710">
      <c r="A1710" s="2" t="s">
        <v>1692</v>
      </c>
      <c r="B1710" s="2" t="s">
        <v>1585</v>
      </c>
      <c r="C1710" s="2" t="s">
        <v>1883</v>
      </c>
      <c r="D1710" s="3" t="str">
        <f t="shared" si="209"/>
        <v>12Go Link</v>
      </c>
      <c r="E1710" s="2" t="s">
        <v>1589</v>
      </c>
    </row>
    <row r="1711">
      <c r="A1711" s="2" t="s">
        <v>1692</v>
      </c>
      <c r="B1711" s="2" t="s">
        <v>1590</v>
      </c>
      <c r="C1711" s="2" t="s">
        <v>1884</v>
      </c>
      <c r="D1711" s="3" t="str">
        <f t="shared" ref="D1711:D1713" si="210">HYPERLINK("https://12go.asia/en/travel/Episkopi-Rethymno-Hotel-Transfer/Heraklion-Airport", "12Go Link")</f>
        <v>12Go Link</v>
      </c>
      <c r="E1711" s="2" t="s">
        <v>1587</v>
      </c>
    </row>
    <row r="1712">
      <c r="A1712" s="2" t="s">
        <v>1692</v>
      </c>
      <c r="B1712" s="2" t="s">
        <v>1590</v>
      </c>
      <c r="C1712" s="2" t="s">
        <v>1884</v>
      </c>
      <c r="D1712" s="3" t="str">
        <f t="shared" si="210"/>
        <v>12Go Link</v>
      </c>
      <c r="E1712" s="2" t="s">
        <v>1588</v>
      </c>
    </row>
    <row r="1713">
      <c r="A1713" s="2" t="s">
        <v>1692</v>
      </c>
      <c r="B1713" s="2" t="s">
        <v>1590</v>
      </c>
      <c r="C1713" s="2" t="s">
        <v>1884</v>
      </c>
      <c r="D1713" s="3" t="str">
        <f t="shared" si="210"/>
        <v>12Go Link</v>
      </c>
      <c r="E1713" s="2" t="s">
        <v>1589</v>
      </c>
    </row>
    <row r="1714">
      <c r="A1714" s="2" t="s">
        <v>1694</v>
      </c>
      <c r="B1714" s="2" t="s">
        <v>1585</v>
      </c>
      <c r="C1714" s="2" t="s">
        <v>1885</v>
      </c>
      <c r="D1714" s="3" t="str">
        <f t="shared" ref="D1714:D1716" si="211">HYPERLINK("https://12go.asia/en/travel/Exopoli-Hotel-Transfer/Chania-Airport", "12Go Link")</f>
        <v>12Go Link</v>
      </c>
      <c r="E1714" s="2" t="s">
        <v>1587</v>
      </c>
    </row>
    <row r="1715">
      <c r="A1715" s="2" t="s">
        <v>1694</v>
      </c>
      <c r="B1715" s="2" t="s">
        <v>1585</v>
      </c>
      <c r="C1715" s="2" t="s">
        <v>1885</v>
      </c>
      <c r="D1715" s="3" t="str">
        <f t="shared" si="211"/>
        <v>12Go Link</v>
      </c>
      <c r="E1715" s="2" t="s">
        <v>1588</v>
      </c>
    </row>
    <row r="1716">
      <c r="A1716" s="2" t="s">
        <v>1694</v>
      </c>
      <c r="B1716" s="2" t="s">
        <v>1585</v>
      </c>
      <c r="C1716" s="2" t="s">
        <v>1885</v>
      </c>
      <c r="D1716" s="3" t="str">
        <f t="shared" si="211"/>
        <v>12Go Link</v>
      </c>
      <c r="E1716" s="2" t="s">
        <v>1589</v>
      </c>
    </row>
    <row r="1717">
      <c r="A1717" s="2" t="s">
        <v>1694</v>
      </c>
      <c r="B1717" s="2" t="s">
        <v>1590</v>
      </c>
      <c r="C1717" s="2" t="s">
        <v>1886</v>
      </c>
      <c r="D1717" s="3" t="str">
        <f t="shared" ref="D1717:D1719" si="212">HYPERLINK("https://12go.asia/en/travel/Exopoli-Hotel-Transfer/Heraklion-Airport", "12Go Link")</f>
        <v>12Go Link</v>
      </c>
      <c r="E1717" s="2" t="s">
        <v>1587</v>
      </c>
    </row>
    <row r="1718">
      <c r="A1718" s="2" t="s">
        <v>1694</v>
      </c>
      <c r="B1718" s="2" t="s">
        <v>1590</v>
      </c>
      <c r="C1718" s="2" t="s">
        <v>1886</v>
      </c>
      <c r="D1718" s="3" t="str">
        <f t="shared" si="212"/>
        <v>12Go Link</v>
      </c>
      <c r="E1718" s="2" t="s">
        <v>1588</v>
      </c>
    </row>
    <row r="1719">
      <c r="A1719" s="2" t="s">
        <v>1694</v>
      </c>
      <c r="B1719" s="2" t="s">
        <v>1590</v>
      </c>
      <c r="C1719" s="2" t="s">
        <v>1886</v>
      </c>
      <c r="D1719" s="3" t="str">
        <f t="shared" si="212"/>
        <v>12Go Link</v>
      </c>
      <c r="E1719" s="2" t="s">
        <v>1589</v>
      </c>
    </row>
    <row r="1720">
      <c r="A1720" s="2" t="s">
        <v>1696</v>
      </c>
      <c r="B1720" s="2" t="s">
        <v>1585</v>
      </c>
      <c r="C1720" s="2" t="s">
        <v>1887</v>
      </c>
      <c r="D1720" s="3" t="str">
        <f t="shared" ref="D1720:D1722" si="213">HYPERLINK("https://12go.asia/en/travel/Falasarna-Hotel-Transfer/Chania-Airport", "12Go Link")</f>
        <v>12Go Link</v>
      </c>
      <c r="E1720" s="2" t="s">
        <v>1587</v>
      </c>
    </row>
    <row r="1721">
      <c r="A1721" s="2" t="s">
        <v>1696</v>
      </c>
      <c r="B1721" s="2" t="s">
        <v>1585</v>
      </c>
      <c r="C1721" s="2" t="s">
        <v>1887</v>
      </c>
      <c r="D1721" s="3" t="str">
        <f t="shared" si="213"/>
        <v>12Go Link</v>
      </c>
      <c r="E1721" s="2" t="s">
        <v>1588</v>
      </c>
    </row>
    <row r="1722">
      <c r="A1722" s="2" t="s">
        <v>1696</v>
      </c>
      <c r="B1722" s="2" t="s">
        <v>1585</v>
      </c>
      <c r="C1722" s="2" t="s">
        <v>1887</v>
      </c>
      <c r="D1722" s="3" t="str">
        <f t="shared" si="213"/>
        <v>12Go Link</v>
      </c>
      <c r="E1722" s="2" t="s">
        <v>1589</v>
      </c>
    </row>
    <row r="1723">
      <c r="A1723" s="2" t="s">
        <v>1696</v>
      </c>
      <c r="B1723" s="2" t="s">
        <v>1590</v>
      </c>
      <c r="C1723" s="2" t="s">
        <v>1888</v>
      </c>
      <c r="D1723" s="3" t="str">
        <f t="shared" ref="D1723:D1725" si="214">HYPERLINK("https://12go.asia/en/travel/Falasarna-Hotel-Transfer/Heraklion-Airport", "12Go Link")</f>
        <v>12Go Link</v>
      </c>
      <c r="E1723" s="2" t="s">
        <v>1587</v>
      </c>
    </row>
    <row r="1724">
      <c r="A1724" s="2" t="s">
        <v>1696</v>
      </c>
      <c r="B1724" s="2" t="s">
        <v>1590</v>
      </c>
      <c r="C1724" s="2" t="s">
        <v>1888</v>
      </c>
      <c r="D1724" s="3" t="str">
        <f t="shared" si="214"/>
        <v>12Go Link</v>
      </c>
      <c r="E1724" s="2" t="s">
        <v>1588</v>
      </c>
    </row>
    <row r="1725">
      <c r="A1725" s="2" t="s">
        <v>1696</v>
      </c>
      <c r="B1725" s="2" t="s">
        <v>1590</v>
      </c>
      <c r="C1725" s="2" t="s">
        <v>1888</v>
      </c>
      <c r="D1725" s="3" t="str">
        <f t="shared" si="214"/>
        <v>12Go Link</v>
      </c>
      <c r="E1725" s="2" t="s">
        <v>1589</v>
      </c>
    </row>
    <row r="1726">
      <c r="A1726" s="2" t="s">
        <v>1698</v>
      </c>
      <c r="B1726" s="2" t="s">
        <v>1585</v>
      </c>
      <c r="C1726" s="2" t="s">
        <v>1889</v>
      </c>
      <c r="D1726" s="3" t="str">
        <f t="shared" ref="D1726:D1728" si="215">HYPERLINK("https://12go.asia/en/travel/Ferma-Hotel-Transfer/Chania-Airport", "12Go Link")</f>
        <v>12Go Link</v>
      </c>
      <c r="E1726" s="2" t="s">
        <v>1587</v>
      </c>
    </row>
    <row r="1727">
      <c r="A1727" s="2" t="s">
        <v>1698</v>
      </c>
      <c r="B1727" s="2" t="s">
        <v>1585</v>
      </c>
      <c r="C1727" s="2" t="s">
        <v>1889</v>
      </c>
      <c r="D1727" s="3" t="str">
        <f t="shared" si="215"/>
        <v>12Go Link</v>
      </c>
      <c r="E1727" s="2" t="s">
        <v>1588</v>
      </c>
    </row>
    <row r="1728">
      <c r="A1728" s="2" t="s">
        <v>1698</v>
      </c>
      <c r="B1728" s="2" t="s">
        <v>1585</v>
      </c>
      <c r="C1728" s="2" t="s">
        <v>1889</v>
      </c>
      <c r="D1728" s="3" t="str">
        <f t="shared" si="215"/>
        <v>12Go Link</v>
      </c>
      <c r="E1728" s="2" t="s">
        <v>1589</v>
      </c>
    </row>
    <row r="1729">
      <c r="A1729" s="2" t="s">
        <v>1698</v>
      </c>
      <c r="B1729" s="2" t="s">
        <v>1590</v>
      </c>
      <c r="C1729" s="2" t="s">
        <v>1890</v>
      </c>
      <c r="D1729" s="3" t="str">
        <f t="shared" ref="D1729:D1731" si="216">HYPERLINK("https://12go.asia/en/travel/Ferma-Hotel-Transfer/Heraklion-Airport", "12Go Link")</f>
        <v>12Go Link</v>
      </c>
      <c r="E1729" s="2" t="s">
        <v>1587</v>
      </c>
    </row>
    <row r="1730">
      <c r="A1730" s="2" t="s">
        <v>1698</v>
      </c>
      <c r="B1730" s="2" t="s">
        <v>1590</v>
      </c>
      <c r="C1730" s="2" t="s">
        <v>1890</v>
      </c>
      <c r="D1730" s="3" t="str">
        <f t="shared" si="216"/>
        <v>12Go Link</v>
      </c>
      <c r="E1730" s="2" t="s">
        <v>1588</v>
      </c>
    </row>
    <row r="1731">
      <c r="A1731" s="2" t="s">
        <v>1698</v>
      </c>
      <c r="B1731" s="2" t="s">
        <v>1590</v>
      </c>
      <c r="C1731" s="2" t="s">
        <v>1890</v>
      </c>
      <c r="D1731" s="3" t="str">
        <f t="shared" si="216"/>
        <v>12Go Link</v>
      </c>
      <c r="E1731" s="2" t="s">
        <v>1589</v>
      </c>
    </row>
    <row r="1732">
      <c r="A1732" s="2" t="s">
        <v>1700</v>
      </c>
      <c r="B1732" s="2" t="s">
        <v>1585</v>
      </c>
      <c r="C1732" s="2" t="s">
        <v>1891</v>
      </c>
      <c r="D1732" s="3" t="str">
        <f t="shared" ref="D1732:D1734" si="217">HYPERLINK("https://12go.asia/en/travel/Fodele-Hotel-Transfer/Chania-Airport", "12Go Link")</f>
        <v>12Go Link</v>
      </c>
      <c r="E1732" s="2" t="s">
        <v>1587</v>
      </c>
    </row>
    <row r="1733">
      <c r="A1733" s="2" t="s">
        <v>1700</v>
      </c>
      <c r="B1733" s="2" t="s">
        <v>1585</v>
      </c>
      <c r="C1733" s="2" t="s">
        <v>1891</v>
      </c>
      <c r="D1733" s="3" t="str">
        <f t="shared" si="217"/>
        <v>12Go Link</v>
      </c>
      <c r="E1733" s="2" t="s">
        <v>1588</v>
      </c>
    </row>
    <row r="1734">
      <c r="A1734" s="2" t="s">
        <v>1700</v>
      </c>
      <c r="B1734" s="2" t="s">
        <v>1585</v>
      </c>
      <c r="C1734" s="2" t="s">
        <v>1891</v>
      </c>
      <c r="D1734" s="3" t="str">
        <f t="shared" si="217"/>
        <v>12Go Link</v>
      </c>
      <c r="E1734" s="2" t="s">
        <v>1589</v>
      </c>
    </row>
    <row r="1735">
      <c r="A1735" s="2" t="s">
        <v>1700</v>
      </c>
      <c r="B1735" s="2" t="s">
        <v>1590</v>
      </c>
      <c r="C1735" s="2" t="s">
        <v>1892</v>
      </c>
      <c r="D1735" s="3" t="str">
        <f t="shared" ref="D1735:D1737" si="218">HYPERLINK("https://12go.asia/en/travel/Fodele-Hotel-Transfer/Heraklion-Airport", "12Go Link")</f>
        <v>12Go Link</v>
      </c>
      <c r="E1735" s="2" t="s">
        <v>1587</v>
      </c>
    </row>
    <row r="1736">
      <c r="A1736" s="2" t="s">
        <v>1700</v>
      </c>
      <c r="B1736" s="2" t="s">
        <v>1590</v>
      </c>
      <c r="C1736" s="2" t="s">
        <v>1892</v>
      </c>
      <c r="D1736" s="3" t="str">
        <f t="shared" si="218"/>
        <v>12Go Link</v>
      </c>
      <c r="E1736" s="2" t="s">
        <v>1588</v>
      </c>
    </row>
    <row r="1737">
      <c r="A1737" s="2" t="s">
        <v>1700</v>
      </c>
      <c r="B1737" s="2" t="s">
        <v>1590</v>
      </c>
      <c r="C1737" s="2" t="s">
        <v>1892</v>
      </c>
      <c r="D1737" s="3" t="str">
        <f t="shared" si="218"/>
        <v>12Go Link</v>
      </c>
      <c r="E1737" s="2" t="s">
        <v>1589</v>
      </c>
    </row>
    <row r="1738">
      <c r="A1738" s="2" t="s">
        <v>1702</v>
      </c>
      <c r="B1738" s="2" t="s">
        <v>1585</v>
      </c>
      <c r="C1738" s="2" t="s">
        <v>1893</v>
      </c>
      <c r="D1738" s="3" t="str">
        <f t="shared" ref="D1738:D1740" si="219">HYPERLINK("https://12go.asia/en/travel/Frangokastello-Hotel-Transfer/Chania-Airport", "12Go Link")</f>
        <v>12Go Link</v>
      </c>
      <c r="E1738" s="2" t="s">
        <v>1587</v>
      </c>
    </row>
    <row r="1739">
      <c r="A1739" s="2" t="s">
        <v>1702</v>
      </c>
      <c r="B1739" s="2" t="s">
        <v>1585</v>
      </c>
      <c r="C1739" s="2" t="s">
        <v>1893</v>
      </c>
      <c r="D1739" s="3" t="str">
        <f t="shared" si="219"/>
        <v>12Go Link</v>
      </c>
      <c r="E1739" s="2" t="s">
        <v>1588</v>
      </c>
    </row>
    <row r="1740">
      <c r="A1740" s="2" t="s">
        <v>1702</v>
      </c>
      <c r="B1740" s="2" t="s">
        <v>1585</v>
      </c>
      <c r="C1740" s="2" t="s">
        <v>1893</v>
      </c>
      <c r="D1740" s="3" t="str">
        <f t="shared" si="219"/>
        <v>12Go Link</v>
      </c>
      <c r="E1740" s="2" t="s">
        <v>1589</v>
      </c>
    </row>
    <row r="1741">
      <c r="A1741" s="2" t="s">
        <v>1702</v>
      </c>
      <c r="B1741" s="2" t="s">
        <v>1590</v>
      </c>
      <c r="C1741" s="2" t="s">
        <v>1894</v>
      </c>
      <c r="D1741" s="3" t="str">
        <f t="shared" ref="D1741:D1743" si="220">HYPERLINK("https://12go.asia/en/travel/Frangokastello-Hotel-Transfer/Heraklion-Airport", "12Go Link")</f>
        <v>12Go Link</v>
      </c>
      <c r="E1741" s="2" t="s">
        <v>1587</v>
      </c>
    </row>
    <row r="1742">
      <c r="A1742" s="2" t="s">
        <v>1702</v>
      </c>
      <c r="B1742" s="2" t="s">
        <v>1590</v>
      </c>
      <c r="C1742" s="2" t="s">
        <v>1894</v>
      </c>
      <c r="D1742" s="3" t="str">
        <f t="shared" si="220"/>
        <v>12Go Link</v>
      </c>
      <c r="E1742" s="2" t="s">
        <v>1588</v>
      </c>
    </row>
    <row r="1743">
      <c r="A1743" s="2" t="s">
        <v>1702</v>
      </c>
      <c r="B1743" s="2" t="s">
        <v>1590</v>
      </c>
      <c r="C1743" s="2" t="s">
        <v>1894</v>
      </c>
      <c r="D1743" s="3" t="str">
        <f t="shared" si="220"/>
        <v>12Go Link</v>
      </c>
      <c r="E1743" s="2" t="s">
        <v>1589</v>
      </c>
    </row>
    <row r="1744">
      <c r="A1744" s="2" t="s">
        <v>1704</v>
      </c>
      <c r="B1744" s="2" t="s">
        <v>1585</v>
      </c>
      <c r="C1744" s="2" t="s">
        <v>1895</v>
      </c>
      <c r="D1744" s="3" t="str">
        <f t="shared" ref="D1744:D1746" si="221">HYPERLINK("https://12go.asia/en/travel/Galatas-Chania-Hotel-Transfer/Chania-Airport", "12Go Link")</f>
        <v>12Go Link</v>
      </c>
      <c r="E1744" s="2" t="s">
        <v>1587</v>
      </c>
    </row>
    <row r="1745">
      <c r="A1745" s="2" t="s">
        <v>1704</v>
      </c>
      <c r="B1745" s="2" t="s">
        <v>1585</v>
      </c>
      <c r="C1745" s="2" t="s">
        <v>1895</v>
      </c>
      <c r="D1745" s="3" t="str">
        <f t="shared" si="221"/>
        <v>12Go Link</v>
      </c>
      <c r="E1745" s="2" t="s">
        <v>1588</v>
      </c>
    </row>
    <row r="1746">
      <c r="A1746" s="2" t="s">
        <v>1704</v>
      </c>
      <c r="B1746" s="2" t="s">
        <v>1585</v>
      </c>
      <c r="C1746" s="2" t="s">
        <v>1895</v>
      </c>
      <c r="D1746" s="3" t="str">
        <f t="shared" si="221"/>
        <v>12Go Link</v>
      </c>
      <c r="E1746" s="2" t="s">
        <v>1589</v>
      </c>
    </row>
    <row r="1747">
      <c r="A1747" s="2" t="s">
        <v>1704</v>
      </c>
      <c r="B1747" s="2" t="s">
        <v>1590</v>
      </c>
      <c r="C1747" s="2" t="s">
        <v>1896</v>
      </c>
      <c r="D1747" s="3" t="str">
        <f t="shared" ref="D1747:D1749" si="222">HYPERLINK("https://12go.asia/en/travel/Galatas-Chania-Hotel-Transfer/Heraklion-Airport", "12Go Link")</f>
        <v>12Go Link</v>
      </c>
      <c r="E1747" s="2" t="s">
        <v>1587</v>
      </c>
    </row>
    <row r="1748">
      <c r="A1748" s="2" t="s">
        <v>1704</v>
      </c>
      <c r="B1748" s="2" t="s">
        <v>1590</v>
      </c>
      <c r="C1748" s="2" t="s">
        <v>1896</v>
      </c>
      <c r="D1748" s="3" t="str">
        <f t="shared" si="222"/>
        <v>12Go Link</v>
      </c>
      <c r="E1748" s="2" t="s">
        <v>1588</v>
      </c>
    </row>
    <row r="1749">
      <c r="A1749" s="2" t="s">
        <v>1704</v>
      </c>
      <c r="B1749" s="2" t="s">
        <v>1590</v>
      </c>
      <c r="C1749" s="2" t="s">
        <v>1896</v>
      </c>
      <c r="D1749" s="3" t="str">
        <f t="shared" si="222"/>
        <v>12Go Link</v>
      </c>
      <c r="E1749" s="2" t="s">
        <v>1589</v>
      </c>
    </row>
    <row r="1750">
      <c r="A1750" s="2" t="s">
        <v>1706</v>
      </c>
      <c r="B1750" s="2" t="s">
        <v>1585</v>
      </c>
      <c r="C1750" s="2" t="s">
        <v>1897</v>
      </c>
      <c r="D1750" s="3" t="str">
        <f t="shared" ref="D1750:D1752" si="223">HYPERLINK("https://12go.asia/en/travel/Gavalochori-Hotel-Transfer/Chania-Airport", "12Go Link")</f>
        <v>12Go Link</v>
      </c>
      <c r="E1750" s="2" t="s">
        <v>1587</v>
      </c>
    </row>
    <row r="1751">
      <c r="A1751" s="2" t="s">
        <v>1706</v>
      </c>
      <c r="B1751" s="2" t="s">
        <v>1585</v>
      </c>
      <c r="C1751" s="2" t="s">
        <v>1897</v>
      </c>
      <c r="D1751" s="3" t="str">
        <f t="shared" si="223"/>
        <v>12Go Link</v>
      </c>
      <c r="E1751" s="2" t="s">
        <v>1588</v>
      </c>
    </row>
    <row r="1752">
      <c r="A1752" s="2" t="s">
        <v>1706</v>
      </c>
      <c r="B1752" s="2" t="s">
        <v>1585</v>
      </c>
      <c r="C1752" s="2" t="s">
        <v>1897</v>
      </c>
      <c r="D1752" s="3" t="str">
        <f t="shared" si="223"/>
        <v>12Go Link</v>
      </c>
      <c r="E1752" s="2" t="s">
        <v>1589</v>
      </c>
    </row>
    <row r="1753">
      <c r="A1753" s="2" t="s">
        <v>1706</v>
      </c>
      <c r="B1753" s="2" t="s">
        <v>1590</v>
      </c>
      <c r="C1753" s="2" t="s">
        <v>1898</v>
      </c>
      <c r="D1753" s="3" t="str">
        <f t="shared" ref="D1753:D1755" si="224">HYPERLINK("https://12go.asia/en/travel/Gavalochori-Hotel-Transfer/Heraklion-Airport", "12Go Link")</f>
        <v>12Go Link</v>
      </c>
      <c r="E1753" s="2" t="s">
        <v>1587</v>
      </c>
    </row>
    <row r="1754">
      <c r="A1754" s="2" t="s">
        <v>1706</v>
      </c>
      <c r="B1754" s="2" t="s">
        <v>1590</v>
      </c>
      <c r="C1754" s="2" t="s">
        <v>1898</v>
      </c>
      <c r="D1754" s="3" t="str">
        <f t="shared" si="224"/>
        <v>12Go Link</v>
      </c>
      <c r="E1754" s="2" t="s">
        <v>1588</v>
      </c>
    </row>
    <row r="1755">
      <c r="A1755" s="2" t="s">
        <v>1706</v>
      </c>
      <c r="B1755" s="2" t="s">
        <v>1590</v>
      </c>
      <c r="C1755" s="2" t="s">
        <v>1898</v>
      </c>
      <c r="D1755" s="3" t="str">
        <f t="shared" si="224"/>
        <v>12Go Link</v>
      </c>
      <c r="E1755" s="2" t="s">
        <v>1589</v>
      </c>
    </row>
    <row r="1756">
      <c r="A1756" s="2" t="s">
        <v>1708</v>
      </c>
      <c r="B1756" s="2" t="s">
        <v>1585</v>
      </c>
      <c r="C1756" s="2" t="s">
        <v>1899</v>
      </c>
      <c r="D1756" s="3" t="str">
        <f t="shared" ref="D1756:D1758" si="225">HYPERLINK("https://12go.asia/en/travel/Gazi-Hotel-Transfer/Chania-Airport", "12Go Link")</f>
        <v>12Go Link</v>
      </c>
      <c r="E1756" s="2" t="s">
        <v>1587</v>
      </c>
    </row>
    <row r="1757">
      <c r="A1757" s="2" t="s">
        <v>1708</v>
      </c>
      <c r="B1757" s="2" t="s">
        <v>1585</v>
      </c>
      <c r="C1757" s="2" t="s">
        <v>1899</v>
      </c>
      <c r="D1757" s="3" t="str">
        <f t="shared" si="225"/>
        <v>12Go Link</v>
      </c>
      <c r="E1757" s="2" t="s">
        <v>1588</v>
      </c>
    </row>
    <row r="1758">
      <c r="A1758" s="2" t="s">
        <v>1708</v>
      </c>
      <c r="B1758" s="2" t="s">
        <v>1585</v>
      </c>
      <c r="C1758" s="2" t="s">
        <v>1899</v>
      </c>
      <c r="D1758" s="3" t="str">
        <f t="shared" si="225"/>
        <v>12Go Link</v>
      </c>
      <c r="E1758" s="2" t="s">
        <v>1589</v>
      </c>
    </row>
    <row r="1759">
      <c r="A1759" s="2" t="s">
        <v>1708</v>
      </c>
      <c r="B1759" s="2" t="s">
        <v>1590</v>
      </c>
      <c r="C1759" s="2" t="s">
        <v>1900</v>
      </c>
      <c r="D1759" s="3" t="str">
        <f t="shared" ref="D1759:D1761" si="226">HYPERLINK("https://12go.asia/en/travel/Gazi-Hotel-Transfer/Heraklion-Airport", "12Go Link")</f>
        <v>12Go Link</v>
      </c>
      <c r="E1759" s="2" t="s">
        <v>1587</v>
      </c>
    </row>
    <row r="1760">
      <c r="A1760" s="2" t="s">
        <v>1708</v>
      </c>
      <c r="B1760" s="2" t="s">
        <v>1590</v>
      </c>
      <c r="C1760" s="2" t="s">
        <v>1900</v>
      </c>
      <c r="D1760" s="3" t="str">
        <f t="shared" si="226"/>
        <v>12Go Link</v>
      </c>
      <c r="E1760" s="2" t="s">
        <v>1588</v>
      </c>
    </row>
    <row r="1761">
      <c r="A1761" s="2" t="s">
        <v>1708</v>
      </c>
      <c r="B1761" s="2" t="s">
        <v>1590</v>
      </c>
      <c r="C1761" s="2" t="s">
        <v>1900</v>
      </c>
      <c r="D1761" s="3" t="str">
        <f t="shared" si="226"/>
        <v>12Go Link</v>
      </c>
      <c r="E1761" s="2" t="s">
        <v>1589</v>
      </c>
    </row>
    <row r="1762">
      <c r="A1762" s="2" t="s">
        <v>1710</v>
      </c>
      <c r="B1762" s="2" t="s">
        <v>1585</v>
      </c>
      <c r="C1762" s="2" t="s">
        <v>1901</v>
      </c>
      <c r="D1762" s="3" t="str">
        <f t="shared" ref="D1762:D1764" si="227">HYPERLINK("https://12go.asia/en/travel/Georgioupoli-Hotel-Transfer/Chania-Airport", "12Go Link")</f>
        <v>12Go Link</v>
      </c>
      <c r="E1762" s="2" t="s">
        <v>1587</v>
      </c>
    </row>
    <row r="1763">
      <c r="A1763" s="2" t="s">
        <v>1710</v>
      </c>
      <c r="B1763" s="2" t="s">
        <v>1585</v>
      </c>
      <c r="C1763" s="2" t="s">
        <v>1901</v>
      </c>
      <c r="D1763" s="3" t="str">
        <f t="shared" si="227"/>
        <v>12Go Link</v>
      </c>
      <c r="E1763" s="2" t="s">
        <v>1588</v>
      </c>
    </row>
    <row r="1764">
      <c r="A1764" s="2" t="s">
        <v>1710</v>
      </c>
      <c r="B1764" s="2" t="s">
        <v>1585</v>
      </c>
      <c r="C1764" s="2" t="s">
        <v>1901</v>
      </c>
      <c r="D1764" s="3" t="str">
        <f t="shared" si="227"/>
        <v>12Go Link</v>
      </c>
      <c r="E1764" s="2" t="s">
        <v>1589</v>
      </c>
    </row>
    <row r="1765">
      <c r="A1765" s="2" t="s">
        <v>1710</v>
      </c>
      <c r="B1765" s="2" t="s">
        <v>1590</v>
      </c>
      <c r="C1765" s="2" t="s">
        <v>1902</v>
      </c>
      <c r="D1765" s="3" t="str">
        <f t="shared" ref="D1765:D1767" si="228">HYPERLINK("https://12go.asia/en/travel/Georgioupoli-Hotel-Transfer/Heraklion-Airport", "12Go Link")</f>
        <v>12Go Link</v>
      </c>
      <c r="E1765" s="2" t="s">
        <v>1587</v>
      </c>
    </row>
    <row r="1766">
      <c r="A1766" s="2" t="s">
        <v>1710</v>
      </c>
      <c r="B1766" s="2" t="s">
        <v>1590</v>
      </c>
      <c r="C1766" s="2" t="s">
        <v>1902</v>
      </c>
      <c r="D1766" s="3" t="str">
        <f t="shared" si="228"/>
        <v>12Go Link</v>
      </c>
      <c r="E1766" s="2" t="s">
        <v>1588</v>
      </c>
    </row>
    <row r="1767">
      <c r="A1767" s="2" t="s">
        <v>1710</v>
      </c>
      <c r="B1767" s="2" t="s">
        <v>1590</v>
      </c>
      <c r="C1767" s="2" t="s">
        <v>1902</v>
      </c>
      <c r="D1767" s="3" t="str">
        <f t="shared" si="228"/>
        <v>12Go Link</v>
      </c>
      <c r="E1767" s="2" t="s">
        <v>1589</v>
      </c>
    </row>
    <row r="1768">
      <c r="A1768" s="2" t="s">
        <v>1712</v>
      </c>
      <c r="B1768" s="2" t="s">
        <v>1585</v>
      </c>
      <c r="C1768" s="2" t="s">
        <v>1903</v>
      </c>
      <c r="D1768" s="3" t="str">
        <f t="shared" ref="D1768:D1770" si="229">HYPERLINK("https://12go.asia/en/travel/Gerani-Chania-Hotel-Transfer/Chania-Airport", "12Go Link")</f>
        <v>12Go Link</v>
      </c>
      <c r="E1768" s="2" t="s">
        <v>1587</v>
      </c>
    </row>
    <row r="1769">
      <c r="A1769" s="2" t="s">
        <v>1712</v>
      </c>
      <c r="B1769" s="2" t="s">
        <v>1585</v>
      </c>
      <c r="C1769" s="2" t="s">
        <v>1903</v>
      </c>
      <c r="D1769" s="3" t="str">
        <f t="shared" si="229"/>
        <v>12Go Link</v>
      </c>
      <c r="E1769" s="2" t="s">
        <v>1588</v>
      </c>
    </row>
    <row r="1770">
      <c r="A1770" s="2" t="s">
        <v>1712</v>
      </c>
      <c r="B1770" s="2" t="s">
        <v>1585</v>
      </c>
      <c r="C1770" s="2" t="s">
        <v>1903</v>
      </c>
      <c r="D1770" s="3" t="str">
        <f t="shared" si="229"/>
        <v>12Go Link</v>
      </c>
      <c r="E1770" s="2" t="s">
        <v>1589</v>
      </c>
    </row>
    <row r="1771">
      <c r="A1771" s="2" t="s">
        <v>1712</v>
      </c>
      <c r="B1771" s="2" t="s">
        <v>1590</v>
      </c>
      <c r="C1771" s="2" t="s">
        <v>1904</v>
      </c>
      <c r="D1771" s="3" t="str">
        <f t="shared" ref="D1771:D1773" si="230">HYPERLINK("https://12go.asia/en/travel/Gerani-Chania-Hotel-Transfer/Heraklion-Airport", "12Go Link")</f>
        <v>12Go Link</v>
      </c>
      <c r="E1771" s="2" t="s">
        <v>1587</v>
      </c>
    </row>
    <row r="1772">
      <c r="A1772" s="2" t="s">
        <v>1712</v>
      </c>
      <c r="B1772" s="2" t="s">
        <v>1590</v>
      </c>
      <c r="C1772" s="2" t="s">
        <v>1904</v>
      </c>
      <c r="D1772" s="3" t="str">
        <f t="shared" si="230"/>
        <v>12Go Link</v>
      </c>
      <c r="E1772" s="2" t="s">
        <v>1588</v>
      </c>
    </row>
    <row r="1773">
      <c r="A1773" s="2" t="s">
        <v>1712</v>
      </c>
      <c r="B1773" s="2" t="s">
        <v>1590</v>
      </c>
      <c r="C1773" s="2" t="s">
        <v>1904</v>
      </c>
      <c r="D1773" s="3" t="str">
        <f t="shared" si="230"/>
        <v>12Go Link</v>
      </c>
      <c r="E1773" s="2" t="s">
        <v>1589</v>
      </c>
    </row>
    <row r="1774">
      <c r="A1774" s="2" t="s">
        <v>1714</v>
      </c>
      <c r="B1774" s="2" t="s">
        <v>1585</v>
      </c>
      <c r="C1774" s="2" t="s">
        <v>1905</v>
      </c>
      <c r="D1774" s="3" t="str">
        <f t="shared" ref="D1774:D1776" si="231">HYPERLINK("https://12go.asia/en/travel/Gerani-Rethymno-Hotel-Transfer/Chania-Airport", "12Go Link")</f>
        <v>12Go Link</v>
      </c>
      <c r="E1774" s="2" t="s">
        <v>1587</v>
      </c>
    </row>
    <row r="1775">
      <c r="A1775" s="2" t="s">
        <v>1714</v>
      </c>
      <c r="B1775" s="2" t="s">
        <v>1585</v>
      </c>
      <c r="C1775" s="2" t="s">
        <v>1905</v>
      </c>
      <c r="D1775" s="3" t="str">
        <f t="shared" si="231"/>
        <v>12Go Link</v>
      </c>
      <c r="E1775" s="2" t="s">
        <v>1588</v>
      </c>
    </row>
    <row r="1776">
      <c r="A1776" s="2" t="s">
        <v>1714</v>
      </c>
      <c r="B1776" s="2" t="s">
        <v>1585</v>
      </c>
      <c r="C1776" s="2" t="s">
        <v>1905</v>
      </c>
      <c r="D1776" s="3" t="str">
        <f t="shared" si="231"/>
        <v>12Go Link</v>
      </c>
      <c r="E1776" s="2" t="s">
        <v>1589</v>
      </c>
    </row>
    <row r="1777">
      <c r="A1777" s="2" t="s">
        <v>1714</v>
      </c>
      <c r="B1777" s="2" t="s">
        <v>1590</v>
      </c>
      <c r="C1777" s="2" t="s">
        <v>1906</v>
      </c>
      <c r="D1777" s="3" t="str">
        <f t="shared" ref="D1777:D1779" si="232">HYPERLINK("https://12go.asia/en/travel/Gerani-Rethymno-Hotel-Transfer/Heraklion-Airport", "12Go Link")</f>
        <v>12Go Link</v>
      </c>
      <c r="E1777" s="2" t="s">
        <v>1587</v>
      </c>
    </row>
    <row r="1778">
      <c r="A1778" s="2" t="s">
        <v>1714</v>
      </c>
      <c r="B1778" s="2" t="s">
        <v>1590</v>
      </c>
      <c r="C1778" s="2" t="s">
        <v>1906</v>
      </c>
      <c r="D1778" s="3" t="str">
        <f t="shared" si="232"/>
        <v>12Go Link</v>
      </c>
      <c r="E1778" s="2" t="s">
        <v>1588</v>
      </c>
    </row>
    <row r="1779">
      <c r="A1779" s="2" t="s">
        <v>1714</v>
      </c>
      <c r="B1779" s="2" t="s">
        <v>1590</v>
      </c>
      <c r="C1779" s="2" t="s">
        <v>1906</v>
      </c>
      <c r="D1779" s="3" t="str">
        <f t="shared" si="232"/>
        <v>12Go Link</v>
      </c>
      <c r="E1779" s="2" t="s">
        <v>1589</v>
      </c>
    </row>
    <row r="1780">
      <c r="A1780" s="2" t="s">
        <v>1716</v>
      </c>
      <c r="B1780" s="2" t="s">
        <v>1585</v>
      </c>
      <c r="C1780" s="2" t="s">
        <v>1907</v>
      </c>
      <c r="D1780" s="3" t="str">
        <f t="shared" ref="D1780:D1782" si="233">HYPERLINK("https://12go.asia/en/travel/Gournes-Gouvon-Hotel-Transfer/Chania-Airport", "12Go Link")</f>
        <v>12Go Link</v>
      </c>
      <c r="E1780" s="2" t="s">
        <v>1587</v>
      </c>
    </row>
    <row r="1781">
      <c r="A1781" s="2" t="s">
        <v>1716</v>
      </c>
      <c r="B1781" s="2" t="s">
        <v>1585</v>
      </c>
      <c r="C1781" s="2" t="s">
        <v>1907</v>
      </c>
      <c r="D1781" s="3" t="str">
        <f t="shared" si="233"/>
        <v>12Go Link</v>
      </c>
      <c r="E1781" s="2" t="s">
        <v>1588</v>
      </c>
    </row>
    <row r="1782">
      <c r="A1782" s="2" t="s">
        <v>1716</v>
      </c>
      <c r="B1782" s="2" t="s">
        <v>1585</v>
      </c>
      <c r="C1782" s="2" t="s">
        <v>1907</v>
      </c>
      <c r="D1782" s="3" t="str">
        <f t="shared" si="233"/>
        <v>12Go Link</v>
      </c>
      <c r="E1782" s="2" t="s">
        <v>1589</v>
      </c>
    </row>
    <row r="1783">
      <c r="A1783" s="2" t="s">
        <v>1716</v>
      </c>
      <c r="B1783" s="2" t="s">
        <v>1590</v>
      </c>
      <c r="C1783" s="2" t="s">
        <v>1908</v>
      </c>
      <c r="D1783" s="3" t="str">
        <f t="shared" ref="D1783:D1785" si="234">HYPERLINK("https://12go.asia/en/travel/Gournes-Gouvon-Hotel-Transfer/Heraklion-Airport", "12Go Link")</f>
        <v>12Go Link</v>
      </c>
      <c r="E1783" s="2" t="s">
        <v>1587</v>
      </c>
    </row>
    <row r="1784">
      <c r="A1784" s="2" t="s">
        <v>1716</v>
      </c>
      <c r="B1784" s="2" t="s">
        <v>1590</v>
      </c>
      <c r="C1784" s="2" t="s">
        <v>1908</v>
      </c>
      <c r="D1784" s="3" t="str">
        <f t="shared" si="234"/>
        <v>12Go Link</v>
      </c>
      <c r="E1784" s="2" t="s">
        <v>1588</v>
      </c>
    </row>
    <row r="1785">
      <c r="A1785" s="2" t="s">
        <v>1716</v>
      </c>
      <c r="B1785" s="2" t="s">
        <v>1590</v>
      </c>
      <c r="C1785" s="2" t="s">
        <v>1908</v>
      </c>
      <c r="D1785" s="3" t="str">
        <f t="shared" si="234"/>
        <v>12Go Link</v>
      </c>
      <c r="E1785" s="2" t="s">
        <v>1589</v>
      </c>
    </row>
    <row r="1786">
      <c r="A1786" s="2" t="s">
        <v>1718</v>
      </c>
      <c r="B1786" s="2" t="s">
        <v>1585</v>
      </c>
      <c r="C1786" s="2" t="s">
        <v>1909</v>
      </c>
      <c r="D1786" s="3" t="str">
        <f t="shared" ref="D1786:D1788" si="235">HYPERLINK("https://12go.asia/en/travel/Gouves-Hotel-Transfer/Chania-Airport", "12Go Link")</f>
        <v>12Go Link</v>
      </c>
      <c r="E1786" s="2" t="s">
        <v>1587</v>
      </c>
    </row>
    <row r="1787">
      <c r="A1787" s="2" t="s">
        <v>1718</v>
      </c>
      <c r="B1787" s="2" t="s">
        <v>1585</v>
      </c>
      <c r="C1787" s="2" t="s">
        <v>1909</v>
      </c>
      <c r="D1787" s="3" t="str">
        <f t="shared" si="235"/>
        <v>12Go Link</v>
      </c>
      <c r="E1787" s="2" t="s">
        <v>1588</v>
      </c>
    </row>
    <row r="1788">
      <c r="A1788" s="2" t="s">
        <v>1718</v>
      </c>
      <c r="B1788" s="2" t="s">
        <v>1585</v>
      </c>
      <c r="C1788" s="2" t="s">
        <v>1909</v>
      </c>
      <c r="D1788" s="3" t="str">
        <f t="shared" si="235"/>
        <v>12Go Link</v>
      </c>
      <c r="E1788" s="2" t="s">
        <v>1589</v>
      </c>
    </row>
    <row r="1789">
      <c r="A1789" s="2" t="s">
        <v>1718</v>
      </c>
      <c r="B1789" s="2" t="s">
        <v>1590</v>
      </c>
      <c r="C1789" s="2" t="s">
        <v>1910</v>
      </c>
      <c r="D1789" s="3" t="str">
        <f t="shared" ref="D1789:D1791" si="236">HYPERLINK("https://12go.asia/en/travel/Gouves-Hotel-Transfer/Heraklion-Airport", "12Go Link")</f>
        <v>12Go Link</v>
      </c>
      <c r="E1789" s="2" t="s">
        <v>1587</v>
      </c>
    </row>
    <row r="1790">
      <c r="A1790" s="2" t="s">
        <v>1718</v>
      </c>
      <c r="B1790" s="2" t="s">
        <v>1590</v>
      </c>
      <c r="C1790" s="2" t="s">
        <v>1910</v>
      </c>
      <c r="D1790" s="3" t="str">
        <f t="shared" si="236"/>
        <v>12Go Link</v>
      </c>
      <c r="E1790" s="2" t="s">
        <v>1588</v>
      </c>
    </row>
    <row r="1791">
      <c r="A1791" s="2" t="s">
        <v>1718</v>
      </c>
      <c r="B1791" s="2" t="s">
        <v>1590</v>
      </c>
      <c r="C1791" s="2" t="s">
        <v>1910</v>
      </c>
      <c r="D1791" s="3" t="str">
        <f t="shared" si="236"/>
        <v>12Go Link</v>
      </c>
      <c r="E1791" s="2" t="s">
        <v>1589</v>
      </c>
    </row>
    <row r="1792">
      <c r="A1792" s="2" t="s">
        <v>1590</v>
      </c>
      <c r="B1792" s="2" t="s">
        <v>1584</v>
      </c>
      <c r="C1792" s="2" t="s">
        <v>1911</v>
      </c>
      <c r="D1792" s="3" t="str">
        <f t="shared" ref="D1792:D1794" si="237">HYPERLINK("https://12go.asia/en/travel/Heraklion-Airport/Adele-Hotel-Transfer", "12Go Link")</f>
        <v>12Go Link</v>
      </c>
      <c r="E1792" s="2" t="s">
        <v>1587</v>
      </c>
    </row>
    <row r="1793">
      <c r="A1793" s="2" t="s">
        <v>1590</v>
      </c>
      <c r="B1793" s="2" t="s">
        <v>1584</v>
      </c>
      <c r="C1793" s="2" t="s">
        <v>1911</v>
      </c>
      <c r="D1793" s="3" t="str">
        <f t="shared" si="237"/>
        <v>12Go Link</v>
      </c>
      <c r="E1793" s="2" t="s">
        <v>1588</v>
      </c>
    </row>
    <row r="1794">
      <c r="A1794" s="2" t="s">
        <v>1590</v>
      </c>
      <c r="B1794" s="2" t="s">
        <v>1584</v>
      </c>
      <c r="C1794" s="2" t="s">
        <v>1911</v>
      </c>
      <c r="D1794" s="3" t="str">
        <f t="shared" si="237"/>
        <v>12Go Link</v>
      </c>
      <c r="E1794" s="2" t="s">
        <v>1589</v>
      </c>
    </row>
    <row r="1795">
      <c r="A1795" s="2" t="s">
        <v>1590</v>
      </c>
      <c r="B1795" s="2" t="s">
        <v>1592</v>
      </c>
      <c r="C1795" s="2" t="s">
        <v>1912</v>
      </c>
      <c r="D1795" s="3" t="str">
        <f t="shared" ref="D1795:D1797" si="238">HYPERLINK("https://12go.asia/en/travel/Heraklion-Airport/Adelianos-Kampos-Hotel-Transfer", "12Go Link")</f>
        <v>12Go Link</v>
      </c>
      <c r="E1795" s="2" t="s">
        <v>1587</v>
      </c>
    </row>
    <row r="1796">
      <c r="A1796" s="2" t="s">
        <v>1590</v>
      </c>
      <c r="B1796" s="2" t="s">
        <v>1592</v>
      </c>
      <c r="C1796" s="2" t="s">
        <v>1912</v>
      </c>
      <c r="D1796" s="3" t="str">
        <f t="shared" si="238"/>
        <v>12Go Link</v>
      </c>
      <c r="E1796" s="2" t="s">
        <v>1588</v>
      </c>
    </row>
    <row r="1797">
      <c r="A1797" s="2" t="s">
        <v>1590</v>
      </c>
      <c r="B1797" s="2" t="s">
        <v>1592</v>
      </c>
      <c r="C1797" s="2" t="s">
        <v>1912</v>
      </c>
      <c r="D1797" s="3" t="str">
        <f t="shared" si="238"/>
        <v>12Go Link</v>
      </c>
      <c r="E1797" s="2" t="s">
        <v>1589</v>
      </c>
    </row>
    <row r="1798">
      <c r="A1798" s="2" t="s">
        <v>1590</v>
      </c>
      <c r="B1798" s="2" t="s">
        <v>1595</v>
      </c>
      <c r="C1798" s="2" t="s">
        <v>1913</v>
      </c>
      <c r="D1798" s="3" t="str">
        <f t="shared" ref="D1798:D1800" si="239">HYPERLINK("https://12go.asia/en/travel/Heraklion-Airport/Agia-Galini-Hotel-Transfer", "12Go Link")</f>
        <v>12Go Link</v>
      </c>
      <c r="E1798" s="2" t="s">
        <v>1587</v>
      </c>
    </row>
    <row r="1799">
      <c r="A1799" s="2" t="s">
        <v>1590</v>
      </c>
      <c r="B1799" s="2" t="s">
        <v>1595</v>
      </c>
      <c r="C1799" s="2" t="s">
        <v>1913</v>
      </c>
      <c r="D1799" s="3" t="str">
        <f t="shared" si="239"/>
        <v>12Go Link</v>
      </c>
      <c r="E1799" s="2" t="s">
        <v>1588</v>
      </c>
    </row>
    <row r="1800">
      <c r="A1800" s="2" t="s">
        <v>1590</v>
      </c>
      <c r="B1800" s="2" t="s">
        <v>1595</v>
      </c>
      <c r="C1800" s="2" t="s">
        <v>1913</v>
      </c>
      <c r="D1800" s="3" t="str">
        <f t="shared" si="239"/>
        <v>12Go Link</v>
      </c>
      <c r="E1800" s="2" t="s">
        <v>1589</v>
      </c>
    </row>
    <row r="1801">
      <c r="A1801" s="2" t="s">
        <v>1590</v>
      </c>
      <c r="B1801" s="2" t="s">
        <v>1598</v>
      </c>
      <c r="C1801" s="2" t="s">
        <v>1914</v>
      </c>
      <c r="D1801" s="3" t="str">
        <f t="shared" ref="D1801:D1803" si="240">HYPERLINK("https://12go.asia/en/travel/Heraklion-Airport/Agia-Marina-Hotel-Transfer", "12Go Link")</f>
        <v>12Go Link</v>
      </c>
      <c r="E1801" s="2" t="s">
        <v>1587</v>
      </c>
    </row>
    <row r="1802">
      <c r="A1802" s="2" t="s">
        <v>1590</v>
      </c>
      <c r="B1802" s="2" t="s">
        <v>1598</v>
      </c>
      <c r="C1802" s="2" t="s">
        <v>1914</v>
      </c>
      <c r="D1802" s="3" t="str">
        <f t="shared" si="240"/>
        <v>12Go Link</v>
      </c>
      <c r="E1802" s="2" t="s">
        <v>1588</v>
      </c>
    </row>
    <row r="1803">
      <c r="A1803" s="2" t="s">
        <v>1590</v>
      </c>
      <c r="B1803" s="2" t="s">
        <v>1598</v>
      </c>
      <c r="C1803" s="2" t="s">
        <v>1914</v>
      </c>
      <c r="D1803" s="3" t="str">
        <f t="shared" si="240"/>
        <v>12Go Link</v>
      </c>
      <c r="E1803" s="2" t="s">
        <v>1589</v>
      </c>
    </row>
    <row r="1804">
      <c r="A1804" s="2" t="s">
        <v>1590</v>
      </c>
      <c r="B1804" s="2" t="s">
        <v>1601</v>
      </c>
      <c r="C1804" s="2" t="s">
        <v>1915</v>
      </c>
      <c r="D1804" s="3" t="str">
        <f t="shared" ref="D1804:D1806" si="241">HYPERLINK("https://12go.asia/en/travel/Heraklion-Airport/Agia-Pelagia-Hotel-Transfer", "12Go Link")</f>
        <v>12Go Link</v>
      </c>
      <c r="E1804" s="2" t="s">
        <v>1587</v>
      </c>
    </row>
    <row r="1805">
      <c r="A1805" s="2" t="s">
        <v>1590</v>
      </c>
      <c r="B1805" s="2" t="s">
        <v>1601</v>
      </c>
      <c r="C1805" s="2" t="s">
        <v>1915</v>
      </c>
      <c r="D1805" s="3" t="str">
        <f t="shared" si="241"/>
        <v>12Go Link</v>
      </c>
      <c r="E1805" s="2" t="s">
        <v>1588</v>
      </c>
    </row>
    <row r="1806">
      <c r="A1806" s="2" t="s">
        <v>1590</v>
      </c>
      <c r="B1806" s="2" t="s">
        <v>1601</v>
      </c>
      <c r="C1806" s="2" t="s">
        <v>1915</v>
      </c>
      <c r="D1806" s="3" t="str">
        <f t="shared" si="241"/>
        <v>12Go Link</v>
      </c>
      <c r="E1806" s="2" t="s">
        <v>1589</v>
      </c>
    </row>
    <row r="1807">
      <c r="A1807" s="2" t="s">
        <v>1590</v>
      </c>
      <c r="B1807" s="2" t="s">
        <v>1604</v>
      </c>
      <c r="C1807" s="2" t="s">
        <v>1916</v>
      </c>
      <c r="D1807" s="3" t="str">
        <f t="shared" ref="D1807:D1809" si="242">HYPERLINK("https://12go.asia/en/travel/Heraklion-Airport/Agia-Triada-Hotel-Transfer", "12Go Link")</f>
        <v>12Go Link</v>
      </c>
      <c r="E1807" s="2" t="s">
        <v>1587</v>
      </c>
    </row>
    <row r="1808">
      <c r="A1808" s="2" t="s">
        <v>1590</v>
      </c>
      <c r="B1808" s="2" t="s">
        <v>1604</v>
      </c>
      <c r="C1808" s="2" t="s">
        <v>1916</v>
      </c>
      <c r="D1808" s="3" t="str">
        <f t="shared" si="242"/>
        <v>12Go Link</v>
      </c>
      <c r="E1808" s="2" t="s">
        <v>1588</v>
      </c>
    </row>
    <row r="1809">
      <c r="A1809" s="2" t="s">
        <v>1590</v>
      </c>
      <c r="B1809" s="2" t="s">
        <v>1604</v>
      </c>
      <c r="C1809" s="2" t="s">
        <v>1916</v>
      </c>
      <c r="D1809" s="3" t="str">
        <f t="shared" si="242"/>
        <v>12Go Link</v>
      </c>
      <c r="E1809" s="2" t="s">
        <v>1589</v>
      </c>
    </row>
    <row r="1810">
      <c r="A1810" s="2" t="s">
        <v>1590</v>
      </c>
      <c r="B1810" s="2" t="s">
        <v>1607</v>
      </c>
      <c r="C1810" s="2" t="s">
        <v>1917</v>
      </c>
      <c r="D1810" s="3" t="str">
        <f t="shared" ref="D1810:D1812" si="243">HYPERLINK("https://12go.asia/en/travel/Heraklion-Airport/Agios-Nikolaos-Hotel-Transfer", "12Go Link")</f>
        <v>12Go Link</v>
      </c>
      <c r="E1810" s="2" t="s">
        <v>1587</v>
      </c>
    </row>
    <row r="1811">
      <c r="A1811" s="2" t="s">
        <v>1590</v>
      </c>
      <c r="B1811" s="2" t="s">
        <v>1607</v>
      </c>
      <c r="C1811" s="2" t="s">
        <v>1917</v>
      </c>
      <c r="D1811" s="3" t="str">
        <f t="shared" si="243"/>
        <v>12Go Link</v>
      </c>
      <c r="E1811" s="2" t="s">
        <v>1588</v>
      </c>
    </row>
    <row r="1812">
      <c r="A1812" s="2" t="s">
        <v>1590</v>
      </c>
      <c r="B1812" s="2" t="s">
        <v>1607</v>
      </c>
      <c r="C1812" s="2" t="s">
        <v>1917</v>
      </c>
      <c r="D1812" s="3" t="str">
        <f t="shared" si="243"/>
        <v>12Go Link</v>
      </c>
      <c r="E1812" s="2" t="s">
        <v>1589</v>
      </c>
    </row>
    <row r="1813">
      <c r="A1813" s="2" t="s">
        <v>1590</v>
      </c>
      <c r="B1813" s="2" t="s">
        <v>1610</v>
      </c>
      <c r="C1813" s="2" t="s">
        <v>1918</v>
      </c>
      <c r="D1813" s="3" t="str">
        <f t="shared" ref="D1813:D1815" si="244">HYPERLINK("https://12go.asia/en/travel/Heraklion-Airport/Agios-Pavlos-Hotel-Transfer", "12Go Link")</f>
        <v>12Go Link</v>
      </c>
      <c r="E1813" s="2" t="s">
        <v>1587</v>
      </c>
    </row>
    <row r="1814">
      <c r="A1814" s="2" t="s">
        <v>1590</v>
      </c>
      <c r="B1814" s="2" t="s">
        <v>1610</v>
      </c>
      <c r="C1814" s="2" t="s">
        <v>1918</v>
      </c>
      <c r="D1814" s="3" t="str">
        <f t="shared" si="244"/>
        <v>12Go Link</v>
      </c>
      <c r="E1814" s="2" t="s">
        <v>1588</v>
      </c>
    </row>
    <row r="1815">
      <c r="A1815" s="2" t="s">
        <v>1590</v>
      </c>
      <c r="B1815" s="2" t="s">
        <v>1610</v>
      </c>
      <c r="C1815" s="2" t="s">
        <v>1918</v>
      </c>
      <c r="D1815" s="3" t="str">
        <f t="shared" si="244"/>
        <v>12Go Link</v>
      </c>
      <c r="E1815" s="2" t="s">
        <v>1589</v>
      </c>
    </row>
    <row r="1816">
      <c r="A1816" s="2" t="s">
        <v>1590</v>
      </c>
      <c r="B1816" s="2" t="s">
        <v>1613</v>
      </c>
      <c r="C1816" s="2" t="s">
        <v>1919</v>
      </c>
      <c r="D1816" s="3" t="str">
        <f t="shared" ref="D1816:D1818" si="245">HYPERLINK("https://12go.asia/en/travel/Heraklion-Airport/Akrotiri-Crete-Hotel-Transfer", "12Go Link")</f>
        <v>12Go Link</v>
      </c>
      <c r="E1816" s="2" t="s">
        <v>1587</v>
      </c>
    </row>
    <row r="1817">
      <c r="A1817" s="2" t="s">
        <v>1590</v>
      </c>
      <c r="B1817" s="2" t="s">
        <v>1613</v>
      </c>
      <c r="C1817" s="2" t="s">
        <v>1919</v>
      </c>
      <c r="D1817" s="3" t="str">
        <f t="shared" si="245"/>
        <v>12Go Link</v>
      </c>
      <c r="E1817" s="2" t="s">
        <v>1588</v>
      </c>
    </row>
    <row r="1818">
      <c r="A1818" s="2" t="s">
        <v>1590</v>
      </c>
      <c r="B1818" s="2" t="s">
        <v>1613</v>
      </c>
      <c r="C1818" s="2" t="s">
        <v>1919</v>
      </c>
      <c r="D1818" s="3" t="str">
        <f t="shared" si="245"/>
        <v>12Go Link</v>
      </c>
      <c r="E1818" s="2" t="s">
        <v>1589</v>
      </c>
    </row>
    <row r="1819">
      <c r="A1819" s="2" t="s">
        <v>1590</v>
      </c>
      <c r="B1819" s="2" t="s">
        <v>1616</v>
      </c>
      <c r="C1819" s="2" t="s">
        <v>1920</v>
      </c>
      <c r="D1819" s="3" t="str">
        <f t="shared" ref="D1819:D1821" si="246">HYPERLINK("https://12go.asia/en/travel/Heraklion-Airport/Almyrida-Hotel-Transfer", "12Go Link")</f>
        <v>12Go Link</v>
      </c>
      <c r="E1819" s="2" t="s">
        <v>1587</v>
      </c>
    </row>
    <row r="1820">
      <c r="A1820" s="2" t="s">
        <v>1590</v>
      </c>
      <c r="B1820" s="2" t="s">
        <v>1616</v>
      </c>
      <c r="C1820" s="2" t="s">
        <v>1920</v>
      </c>
      <c r="D1820" s="3" t="str">
        <f t="shared" si="246"/>
        <v>12Go Link</v>
      </c>
      <c r="E1820" s="2" t="s">
        <v>1588</v>
      </c>
    </row>
    <row r="1821">
      <c r="A1821" s="2" t="s">
        <v>1590</v>
      </c>
      <c r="B1821" s="2" t="s">
        <v>1616</v>
      </c>
      <c r="C1821" s="2" t="s">
        <v>1920</v>
      </c>
      <c r="D1821" s="3" t="str">
        <f t="shared" si="246"/>
        <v>12Go Link</v>
      </c>
      <c r="E1821" s="2" t="s">
        <v>1589</v>
      </c>
    </row>
    <row r="1822">
      <c r="A1822" s="2" t="s">
        <v>1590</v>
      </c>
      <c r="B1822" s="2" t="s">
        <v>1619</v>
      </c>
      <c r="C1822" s="2" t="s">
        <v>1921</v>
      </c>
      <c r="D1822" s="3" t="str">
        <f t="shared" ref="D1822:D1824" si="247">HYPERLINK("https://12go.asia/en/travel/Heraklion-Airport/Ammoudara-Hotel-Transfer", "12Go Link")</f>
        <v>12Go Link</v>
      </c>
      <c r="E1822" s="2" t="s">
        <v>1587</v>
      </c>
    </row>
    <row r="1823">
      <c r="A1823" s="2" t="s">
        <v>1590</v>
      </c>
      <c r="B1823" s="2" t="s">
        <v>1619</v>
      </c>
      <c r="C1823" s="2" t="s">
        <v>1921</v>
      </c>
      <c r="D1823" s="3" t="str">
        <f t="shared" si="247"/>
        <v>12Go Link</v>
      </c>
      <c r="E1823" s="2" t="s">
        <v>1588</v>
      </c>
    </row>
    <row r="1824">
      <c r="A1824" s="2" t="s">
        <v>1590</v>
      </c>
      <c r="B1824" s="2" t="s">
        <v>1619</v>
      </c>
      <c r="C1824" s="2" t="s">
        <v>1921</v>
      </c>
      <c r="D1824" s="3" t="str">
        <f t="shared" si="247"/>
        <v>12Go Link</v>
      </c>
      <c r="E1824" s="2" t="s">
        <v>1589</v>
      </c>
    </row>
    <row r="1825">
      <c r="A1825" s="2" t="s">
        <v>1590</v>
      </c>
      <c r="B1825" s="2" t="s">
        <v>1622</v>
      </c>
      <c r="C1825" s="2" t="s">
        <v>1922</v>
      </c>
      <c r="D1825" s="3" t="str">
        <f t="shared" ref="D1825:D1827" si="248">HYPERLINK("https://12go.asia/en/travel/Heraklion-Airport/Analipsi-Hotel-Transfer", "12Go Link")</f>
        <v>12Go Link</v>
      </c>
      <c r="E1825" s="2" t="s">
        <v>1587</v>
      </c>
    </row>
    <row r="1826">
      <c r="A1826" s="2" t="s">
        <v>1590</v>
      </c>
      <c r="B1826" s="2" t="s">
        <v>1622</v>
      </c>
      <c r="C1826" s="2" t="s">
        <v>1922</v>
      </c>
      <c r="D1826" s="3" t="str">
        <f t="shared" si="248"/>
        <v>12Go Link</v>
      </c>
      <c r="E1826" s="2" t="s">
        <v>1588</v>
      </c>
    </row>
    <row r="1827">
      <c r="A1827" s="2" t="s">
        <v>1590</v>
      </c>
      <c r="B1827" s="2" t="s">
        <v>1622</v>
      </c>
      <c r="C1827" s="2" t="s">
        <v>1922</v>
      </c>
      <c r="D1827" s="3" t="str">
        <f t="shared" si="248"/>
        <v>12Go Link</v>
      </c>
      <c r="E1827" s="2" t="s">
        <v>1589</v>
      </c>
    </row>
    <row r="1828">
      <c r="A1828" s="2" t="s">
        <v>1590</v>
      </c>
      <c r="B1828" s="2" t="s">
        <v>1625</v>
      </c>
      <c r="C1828" s="2" t="s">
        <v>1923</v>
      </c>
      <c r="D1828" s="3" t="str">
        <f t="shared" ref="D1828:D1830" si="249">HYPERLINK("https://12go.asia/en/travel/Heraklion-Airport/Anissaras-Hotel-Transfer", "12Go Link")</f>
        <v>12Go Link</v>
      </c>
      <c r="E1828" s="2" t="s">
        <v>1587</v>
      </c>
    </row>
    <row r="1829">
      <c r="A1829" s="2" t="s">
        <v>1590</v>
      </c>
      <c r="B1829" s="2" t="s">
        <v>1625</v>
      </c>
      <c r="C1829" s="2" t="s">
        <v>1923</v>
      </c>
      <c r="D1829" s="3" t="str">
        <f t="shared" si="249"/>
        <v>12Go Link</v>
      </c>
      <c r="E1829" s="2" t="s">
        <v>1588</v>
      </c>
    </row>
    <row r="1830">
      <c r="A1830" s="2" t="s">
        <v>1590</v>
      </c>
      <c r="B1830" s="2" t="s">
        <v>1625</v>
      </c>
      <c r="C1830" s="2" t="s">
        <v>1923</v>
      </c>
      <c r="D1830" s="3" t="str">
        <f t="shared" si="249"/>
        <v>12Go Link</v>
      </c>
      <c r="E1830" s="2" t="s">
        <v>1589</v>
      </c>
    </row>
    <row r="1831">
      <c r="A1831" s="2" t="s">
        <v>1590</v>
      </c>
      <c r="B1831" s="2" t="s">
        <v>1628</v>
      </c>
      <c r="C1831" s="2" t="s">
        <v>1924</v>
      </c>
      <c r="D1831" s="3" t="str">
        <f t="shared" ref="D1831:D1833" si="250">HYPERLINK("https://12go.asia/en/travel/Heraklion-Airport/Anopoli-Hotel-Transfer", "12Go Link")</f>
        <v>12Go Link</v>
      </c>
      <c r="E1831" s="2" t="s">
        <v>1587</v>
      </c>
    </row>
    <row r="1832">
      <c r="A1832" s="2" t="s">
        <v>1590</v>
      </c>
      <c r="B1832" s="2" t="s">
        <v>1628</v>
      </c>
      <c r="C1832" s="2" t="s">
        <v>1924</v>
      </c>
      <c r="D1832" s="3" t="str">
        <f t="shared" si="250"/>
        <v>12Go Link</v>
      </c>
      <c r="E1832" s="2" t="s">
        <v>1588</v>
      </c>
    </row>
    <row r="1833">
      <c r="A1833" s="2" t="s">
        <v>1590</v>
      </c>
      <c r="B1833" s="2" t="s">
        <v>1628</v>
      </c>
      <c r="C1833" s="2" t="s">
        <v>1924</v>
      </c>
      <c r="D1833" s="3" t="str">
        <f t="shared" si="250"/>
        <v>12Go Link</v>
      </c>
      <c r="E1833" s="2" t="s">
        <v>1589</v>
      </c>
    </row>
    <row r="1834">
      <c r="A1834" s="2" t="s">
        <v>1590</v>
      </c>
      <c r="B1834" s="2" t="s">
        <v>1631</v>
      </c>
      <c r="C1834" s="2" t="s">
        <v>1925</v>
      </c>
      <c r="D1834" s="3" t="str">
        <f t="shared" ref="D1834:D1836" si="251">HYPERLINK("https://12go.asia/en/travel/Heraklion-Airport/Aptera-Hotel-Transfer", "12Go Link")</f>
        <v>12Go Link</v>
      </c>
      <c r="E1834" s="2" t="s">
        <v>1587</v>
      </c>
    </row>
    <row r="1835">
      <c r="A1835" s="2" t="s">
        <v>1590</v>
      </c>
      <c r="B1835" s="2" t="s">
        <v>1631</v>
      </c>
      <c r="C1835" s="2" t="s">
        <v>1925</v>
      </c>
      <c r="D1835" s="3" t="str">
        <f t="shared" si="251"/>
        <v>12Go Link</v>
      </c>
      <c r="E1835" s="2" t="s">
        <v>1588</v>
      </c>
    </row>
    <row r="1836">
      <c r="A1836" s="2" t="s">
        <v>1590</v>
      </c>
      <c r="B1836" s="2" t="s">
        <v>1631</v>
      </c>
      <c r="C1836" s="2" t="s">
        <v>1925</v>
      </c>
      <c r="D1836" s="3" t="str">
        <f t="shared" si="251"/>
        <v>12Go Link</v>
      </c>
      <c r="E1836" s="2" t="s">
        <v>1589</v>
      </c>
    </row>
    <row r="1837">
      <c r="A1837" s="2" t="s">
        <v>1590</v>
      </c>
      <c r="B1837" s="2" t="s">
        <v>1634</v>
      </c>
      <c r="C1837" s="2" t="s">
        <v>1926</v>
      </c>
      <c r="D1837" s="3" t="str">
        <f t="shared" ref="D1837:D1839" si="252">HYPERLINK("https://12go.asia/en/travel/Heraklion-Airport/Armenoi-Hotel-Transfer", "12Go Link")</f>
        <v>12Go Link</v>
      </c>
      <c r="E1837" s="2" t="s">
        <v>1587</v>
      </c>
    </row>
    <row r="1838">
      <c r="A1838" s="2" t="s">
        <v>1590</v>
      </c>
      <c r="B1838" s="2" t="s">
        <v>1634</v>
      </c>
      <c r="C1838" s="2" t="s">
        <v>1926</v>
      </c>
      <c r="D1838" s="3" t="str">
        <f t="shared" si="252"/>
        <v>12Go Link</v>
      </c>
      <c r="E1838" s="2" t="s">
        <v>1588</v>
      </c>
    </row>
    <row r="1839">
      <c r="A1839" s="2" t="s">
        <v>1590</v>
      </c>
      <c r="B1839" s="2" t="s">
        <v>1634</v>
      </c>
      <c r="C1839" s="2" t="s">
        <v>1926</v>
      </c>
      <c r="D1839" s="3" t="str">
        <f t="shared" si="252"/>
        <v>12Go Link</v>
      </c>
      <c r="E1839" s="2" t="s">
        <v>1589</v>
      </c>
    </row>
    <row r="1840">
      <c r="A1840" s="2" t="s">
        <v>1590</v>
      </c>
      <c r="B1840" s="2" t="s">
        <v>1637</v>
      </c>
      <c r="C1840" s="2" t="s">
        <v>1927</v>
      </c>
      <c r="D1840" s="3" t="str">
        <f t="shared" ref="D1840:D1842" si="253">HYPERLINK("https://12go.asia/en/travel/Heraklion-Airport/Aspro-Hotel-Transfer", "12Go Link")</f>
        <v>12Go Link</v>
      </c>
      <c r="E1840" s="2" t="s">
        <v>1587</v>
      </c>
    </row>
    <row r="1841">
      <c r="A1841" s="2" t="s">
        <v>1590</v>
      </c>
      <c r="B1841" s="2" t="s">
        <v>1637</v>
      </c>
      <c r="C1841" s="2" t="s">
        <v>1927</v>
      </c>
      <c r="D1841" s="3" t="str">
        <f t="shared" si="253"/>
        <v>12Go Link</v>
      </c>
      <c r="E1841" s="2" t="s">
        <v>1588</v>
      </c>
    </row>
    <row r="1842">
      <c r="A1842" s="2" t="s">
        <v>1590</v>
      </c>
      <c r="B1842" s="2" t="s">
        <v>1637</v>
      </c>
      <c r="C1842" s="2" t="s">
        <v>1927</v>
      </c>
      <c r="D1842" s="3" t="str">
        <f t="shared" si="253"/>
        <v>12Go Link</v>
      </c>
      <c r="E1842" s="2" t="s">
        <v>1589</v>
      </c>
    </row>
    <row r="1843">
      <c r="A1843" s="2" t="s">
        <v>1590</v>
      </c>
      <c r="B1843" s="2" t="s">
        <v>1640</v>
      </c>
      <c r="C1843" s="2" t="s">
        <v>1928</v>
      </c>
      <c r="D1843" s="3" t="str">
        <f t="shared" ref="D1843:D1845" si="254">HYPERLINK("https://12go.asia/en/travel/Heraklion-Airport/Atsipopoulo-Hotel-Transfer", "12Go Link")</f>
        <v>12Go Link</v>
      </c>
      <c r="E1843" s="2" t="s">
        <v>1587</v>
      </c>
    </row>
    <row r="1844">
      <c r="A1844" s="2" t="s">
        <v>1590</v>
      </c>
      <c r="B1844" s="2" t="s">
        <v>1640</v>
      </c>
      <c r="C1844" s="2" t="s">
        <v>1928</v>
      </c>
      <c r="D1844" s="3" t="str">
        <f t="shared" si="254"/>
        <v>12Go Link</v>
      </c>
      <c r="E1844" s="2" t="s">
        <v>1588</v>
      </c>
    </row>
    <row r="1845">
      <c r="A1845" s="2" t="s">
        <v>1590</v>
      </c>
      <c r="B1845" s="2" t="s">
        <v>1640</v>
      </c>
      <c r="C1845" s="2" t="s">
        <v>1928</v>
      </c>
      <c r="D1845" s="3" t="str">
        <f t="shared" si="254"/>
        <v>12Go Link</v>
      </c>
      <c r="E1845" s="2" t="s">
        <v>1589</v>
      </c>
    </row>
    <row r="1846">
      <c r="A1846" s="2" t="s">
        <v>1590</v>
      </c>
      <c r="B1846" s="2" t="s">
        <v>1643</v>
      </c>
      <c r="C1846" s="2" t="s">
        <v>1929</v>
      </c>
      <c r="D1846" s="3" t="str">
        <f t="shared" ref="D1846:D1848" si="255">HYPERLINK("https://12go.asia/en/travel/Heraklion-Airport/Bali-Rethymno-Hotel-Transfer", "12Go Link")</f>
        <v>12Go Link</v>
      </c>
      <c r="E1846" s="2" t="s">
        <v>1587</v>
      </c>
    </row>
    <row r="1847">
      <c r="A1847" s="2" t="s">
        <v>1590</v>
      </c>
      <c r="B1847" s="2" t="s">
        <v>1643</v>
      </c>
      <c r="C1847" s="2" t="s">
        <v>1929</v>
      </c>
      <c r="D1847" s="3" t="str">
        <f t="shared" si="255"/>
        <v>12Go Link</v>
      </c>
      <c r="E1847" s="2" t="s">
        <v>1588</v>
      </c>
    </row>
    <row r="1848">
      <c r="A1848" s="2" t="s">
        <v>1590</v>
      </c>
      <c r="B1848" s="2" t="s">
        <v>1643</v>
      </c>
      <c r="C1848" s="2" t="s">
        <v>1929</v>
      </c>
      <c r="D1848" s="3" t="str">
        <f t="shared" si="255"/>
        <v>12Go Link</v>
      </c>
      <c r="E1848" s="2" t="s">
        <v>1589</v>
      </c>
    </row>
    <row r="1849">
      <c r="A1849" s="2" t="s">
        <v>1590</v>
      </c>
      <c r="B1849" s="2" t="s">
        <v>1585</v>
      </c>
      <c r="C1849" s="2" t="s">
        <v>1930</v>
      </c>
      <c r="D1849" s="3" t="str">
        <f t="shared" ref="D1849:D1851" si="256">HYPERLINK("https://12go.asia/en/travel/Ammoudara-Heraklion-Hotel-Transfer/Chania-Airport", "12Go Link")</f>
        <v>12Go Link</v>
      </c>
      <c r="E1849" s="2" t="s">
        <v>1587</v>
      </c>
    </row>
    <row r="1850">
      <c r="A1850" s="2" t="s">
        <v>1590</v>
      </c>
      <c r="B1850" s="2" t="s">
        <v>1585</v>
      </c>
      <c r="C1850" s="2" t="s">
        <v>1930</v>
      </c>
      <c r="D1850" s="3" t="str">
        <f t="shared" si="256"/>
        <v>12Go Link</v>
      </c>
      <c r="E1850" s="2" t="s">
        <v>1588</v>
      </c>
    </row>
    <row r="1851">
      <c r="A1851" s="2" t="s">
        <v>1590</v>
      </c>
      <c r="B1851" s="2" t="s">
        <v>1585</v>
      </c>
      <c r="C1851" s="2" t="s">
        <v>1930</v>
      </c>
      <c r="D1851" s="3" t="str">
        <f t="shared" si="256"/>
        <v>12Go Link</v>
      </c>
      <c r="E1851" s="2" t="s">
        <v>1589</v>
      </c>
    </row>
    <row r="1852">
      <c r="A1852" s="2" t="s">
        <v>1590</v>
      </c>
      <c r="B1852" s="2" t="s">
        <v>1585</v>
      </c>
      <c r="C1852" s="2" t="s">
        <v>1931</v>
      </c>
      <c r="D1852" s="3" t="str">
        <f t="shared" ref="D1852:D1854" si="257">HYPERLINK("https://12go.asia/en/travel/Amnissos-Hotel-Transfer/Chania-Airport", "12Go Link")</f>
        <v>12Go Link</v>
      </c>
      <c r="E1852" s="2" t="s">
        <v>1587</v>
      </c>
    </row>
    <row r="1853">
      <c r="A1853" s="2" t="s">
        <v>1590</v>
      </c>
      <c r="B1853" s="2" t="s">
        <v>1585</v>
      </c>
      <c r="C1853" s="2" t="s">
        <v>1931</v>
      </c>
      <c r="D1853" s="3" t="str">
        <f t="shared" si="257"/>
        <v>12Go Link</v>
      </c>
      <c r="E1853" s="2" t="s">
        <v>1588</v>
      </c>
    </row>
    <row r="1854">
      <c r="A1854" s="2" t="s">
        <v>1590</v>
      </c>
      <c r="B1854" s="2" t="s">
        <v>1585</v>
      </c>
      <c r="C1854" s="2" t="s">
        <v>1931</v>
      </c>
      <c r="D1854" s="3" t="str">
        <f t="shared" si="257"/>
        <v>12Go Link</v>
      </c>
      <c r="E1854" s="2" t="s">
        <v>1589</v>
      </c>
    </row>
    <row r="1855">
      <c r="A1855" s="2" t="s">
        <v>1590</v>
      </c>
      <c r="B1855" s="2" t="s">
        <v>1585</v>
      </c>
      <c r="C1855" s="2" t="s">
        <v>1932</v>
      </c>
      <c r="D1855" s="3" t="str">
        <f t="shared" ref="D1855:D1857" si="258">HYPERLINK("https://12go.asia/en/travel/Arolithos-Traditional-Cretan-Village/Chania-Airport", "12Go Link")</f>
        <v>12Go Link</v>
      </c>
      <c r="E1855" s="2" t="s">
        <v>1587</v>
      </c>
    </row>
    <row r="1856">
      <c r="A1856" s="2" t="s">
        <v>1590</v>
      </c>
      <c r="B1856" s="2" t="s">
        <v>1585</v>
      </c>
      <c r="C1856" s="2" t="s">
        <v>1932</v>
      </c>
      <c r="D1856" s="3" t="str">
        <f t="shared" si="258"/>
        <v>12Go Link</v>
      </c>
      <c r="E1856" s="2" t="s">
        <v>1588</v>
      </c>
    </row>
    <row r="1857">
      <c r="A1857" s="2" t="s">
        <v>1590</v>
      </c>
      <c r="B1857" s="2" t="s">
        <v>1585</v>
      </c>
      <c r="C1857" s="2" t="s">
        <v>1932</v>
      </c>
      <c r="D1857" s="3" t="str">
        <f t="shared" si="258"/>
        <v>12Go Link</v>
      </c>
      <c r="E1857" s="2" t="s">
        <v>1589</v>
      </c>
    </row>
    <row r="1858">
      <c r="A1858" s="2" t="s">
        <v>1590</v>
      </c>
      <c r="B1858" s="2" t="s">
        <v>1585</v>
      </c>
      <c r="C1858" s="2" t="s">
        <v>1933</v>
      </c>
      <c r="D1858" s="3" t="str">
        <f t="shared" ref="D1858:D1860" si="259">HYPERLINK("https://12go.asia/en/travel/Heraklion-Airport/Agioi-Apostoli-Hotel-Transfer", "12Go Link")</f>
        <v>12Go Link</v>
      </c>
      <c r="E1858" s="2" t="s">
        <v>1587</v>
      </c>
    </row>
    <row r="1859">
      <c r="A1859" s="2" t="s">
        <v>1590</v>
      </c>
      <c r="B1859" s="2" t="s">
        <v>1585</v>
      </c>
      <c r="C1859" s="2" t="s">
        <v>1933</v>
      </c>
      <c r="D1859" s="3" t="str">
        <f t="shared" si="259"/>
        <v>12Go Link</v>
      </c>
      <c r="E1859" s="2" t="s">
        <v>1588</v>
      </c>
    </row>
    <row r="1860">
      <c r="A1860" s="2" t="s">
        <v>1590</v>
      </c>
      <c r="B1860" s="2" t="s">
        <v>1585</v>
      </c>
      <c r="C1860" s="2" t="s">
        <v>1933</v>
      </c>
      <c r="D1860" s="3" t="str">
        <f t="shared" si="259"/>
        <v>12Go Link</v>
      </c>
      <c r="E1860" s="2" t="s">
        <v>1589</v>
      </c>
    </row>
    <row r="1861">
      <c r="A1861" s="2" t="s">
        <v>1590</v>
      </c>
      <c r="B1861" s="2" t="s">
        <v>1585</v>
      </c>
      <c r="C1861" s="2" t="s">
        <v>1934</v>
      </c>
      <c r="D1861" s="3" t="str">
        <f t="shared" ref="D1861:D1863" si="260">HYPERLINK("https://12go.asia/en/travel/Heraklion-Airport/Chania-Airport", "12Go Link")</f>
        <v>12Go Link</v>
      </c>
      <c r="E1861" s="2" t="s">
        <v>1587</v>
      </c>
    </row>
    <row r="1862">
      <c r="A1862" s="2" t="s">
        <v>1590</v>
      </c>
      <c r="B1862" s="2" t="s">
        <v>1585</v>
      </c>
      <c r="C1862" s="2" t="s">
        <v>1934</v>
      </c>
      <c r="D1862" s="3" t="str">
        <f t="shared" si="260"/>
        <v>12Go Link</v>
      </c>
      <c r="E1862" s="2" t="s">
        <v>1588</v>
      </c>
    </row>
    <row r="1863">
      <c r="A1863" s="2" t="s">
        <v>1590</v>
      </c>
      <c r="B1863" s="2" t="s">
        <v>1585</v>
      </c>
      <c r="C1863" s="2" t="s">
        <v>1934</v>
      </c>
      <c r="D1863" s="3" t="str">
        <f t="shared" si="260"/>
        <v>12Go Link</v>
      </c>
      <c r="E1863" s="2" t="s">
        <v>1589</v>
      </c>
    </row>
    <row r="1864">
      <c r="A1864" s="2" t="s">
        <v>1590</v>
      </c>
      <c r="B1864" s="2" t="s">
        <v>1585</v>
      </c>
      <c r="C1864" s="2" t="s">
        <v>1935</v>
      </c>
      <c r="D1864" s="3" t="str">
        <f t="shared" ref="D1864:D1866" si="261">HYPERLINK("https://12go.asia/en/travel/Heraklion-Airport/Chania-Hotel-Transfer", "12Go Link")</f>
        <v>12Go Link</v>
      </c>
      <c r="E1864" s="2" t="s">
        <v>1587</v>
      </c>
    </row>
    <row r="1865">
      <c r="A1865" s="2" t="s">
        <v>1590</v>
      </c>
      <c r="B1865" s="2" t="s">
        <v>1585</v>
      </c>
      <c r="C1865" s="2" t="s">
        <v>1935</v>
      </c>
      <c r="D1865" s="3" t="str">
        <f t="shared" si="261"/>
        <v>12Go Link</v>
      </c>
      <c r="E1865" s="2" t="s">
        <v>1588</v>
      </c>
    </row>
    <row r="1866">
      <c r="A1866" s="2" t="s">
        <v>1590</v>
      </c>
      <c r="B1866" s="2" t="s">
        <v>1585</v>
      </c>
      <c r="C1866" s="2" t="s">
        <v>1935</v>
      </c>
      <c r="D1866" s="3" t="str">
        <f t="shared" si="261"/>
        <v>12Go Link</v>
      </c>
      <c r="E1866" s="2" t="s">
        <v>1589</v>
      </c>
    </row>
    <row r="1867">
      <c r="A1867" s="2" t="s">
        <v>1590</v>
      </c>
      <c r="B1867" s="2" t="s">
        <v>1585</v>
      </c>
      <c r="C1867" s="2" t="s">
        <v>1936</v>
      </c>
      <c r="D1867" s="3" t="str">
        <f t="shared" ref="D1867:D1869" si="262">HYPERLINK("https://12go.asia/en/travel/Heraklion-Airport/Chania-Port", "12Go Link")</f>
        <v>12Go Link</v>
      </c>
      <c r="E1867" s="2" t="s">
        <v>1587</v>
      </c>
    </row>
    <row r="1868">
      <c r="A1868" s="2" t="s">
        <v>1590</v>
      </c>
      <c r="B1868" s="2" t="s">
        <v>1585</v>
      </c>
      <c r="C1868" s="2" t="s">
        <v>1936</v>
      </c>
      <c r="D1868" s="3" t="str">
        <f t="shared" si="262"/>
        <v>12Go Link</v>
      </c>
      <c r="E1868" s="2" t="s">
        <v>1588</v>
      </c>
    </row>
    <row r="1869">
      <c r="A1869" s="2" t="s">
        <v>1590</v>
      </c>
      <c r="B1869" s="2" t="s">
        <v>1585</v>
      </c>
      <c r="C1869" s="2" t="s">
        <v>1936</v>
      </c>
      <c r="D1869" s="3" t="str">
        <f t="shared" si="262"/>
        <v>12Go Link</v>
      </c>
      <c r="E1869" s="2" t="s">
        <v>1589</v>
      </c>
    </row>
    <row r="1870">
      <c r="A1870" s="2" t="s">
        <v>1590</v>
      </c>
      <c r="B1870" s="2" t="s">
        <v>1585</v>
      </c>
      <c r="C1870" s="2" t="s">
        <v>1937</v>
      </c>
      <c r="D1870" s="3" t="str">
        <f t="shared" ref="D1870:D1872" si="263">HYPERLINK("https://12go.asia/en/travel/Heraklion-Airport/Kalamaki-Hotel-Transfer", "12Go Link")</f>
        <v>12Go Link</v>
      </c>
      <c r="E1870" s="2" t="s">
        <v>1587</v>
      </c>
    </row>
    <row r="1871">
      <c r="A1871" s="2" t="s">
        <v>1590</v>
      </c>
      <c r="B1871" s="2" t="s">
        <v>1585</v>
      </c>
      <c r="C1871" s="2" t="s">
        <v>1937</v>
      </c>
      <c r="D1871" s="3" t="str">
        <f t="shared" si="263"/>
        <v>12Go Link</v>
      </c>
      <c r="E1871" s="2" t="s">
        <v>1588</v>
      </c>
    </row>
    <row r="1872">
      <c r="A1872" s="2" t="s">
        <v>1590</v>
      </c>
      <c r="B1872" s="2" t="s">
        <v>1585</v>
      </c>
      <c r="C1872" s="2" t="s">
        <v>1937</v>
      </c>
      <c r="D1872" s="3" t="str">
        <f t="shared" si="263"/>
        <v>12Go Link</v>
      </c>
      <c r="E1872" s="2" t="s">
        <v>1589</v>
      </c>
    </row>
    <row r="1873">
      <c r="A1873" s="2" t="s">
        <v>1590</v>
      </c>
      <c r="B1873" s="2" t="s">
        <v>1585</v>
      </c>
      <c r="C1873" s="2" t="s">
        <v>1938</v>
      </c>
      <c r="D1873" s="3" t="str">
        <f t="shared" ref="D1873:D1875" si="264">HYPERLINK("https://12go.asia/en/travel/Heraklion-Airport/Kato-Daratso-Hotel-Transfer", "12Go Link")</f>
        <v>12Go Link</v>
      </c>
      <c r="E1873" s="2" t="s">
        <v>1587</v>
      </c>
    </row>
    <row r="1874">
      <c r="A1874" s="2" t="s">
        <v>1590</v>
      </c>
      <c r="B1874" s="2" t="s">
        <v>1585</v>
      </c>
      <c r="C1874" s="2" t="s">
        <v>1938</v>
      </c>
      <c r="D1874" s="3" t="str">
        <f t="shared" si="264"/>
        <v>12Go Link</v>
      </c>
      <c r="E1874" s="2" t="s">
        <v>1588</v>
      </c>
    </row>
    <row r="1875">
      <c r="A1875" s="2" t="s">
        <v>1590</v>
      </c>
      <c r="B1875" s="2" t="s">
        <v>1585</v>
      </c>
      <c r="C1875" s="2" t="s">
        <v>1938</v>
      </c>
      <c r="D1875" s="3" t="str">
        <f t="shared" si="264"/>
        <v>12Go Link</v>
      </c>
      <c r="E1875" s="2" t="s">
        <v>1589</v>
      </c>
    </row>
    <row r="1876">
      <c r="A1876" s="2" t="s">
        <v>1590</v>
      </c>
      <c r="B1876" s="2" t="s">
        <v>1585</v>
      </c>
      <c r="C1876" s="2" t="s">
        <v>1939</v>
      </c>
      <c r="D1876" s="3" t="str">
        <f t="shared" ref="D1876:D1878" si="265">HYPERLINK("https://12go.asia/en/travel/Heraklion-Airport/Kato-Galatas-Hotel-Transfer", "12Go Link")</f>
        <v>12Go Link</v>
      </c>
      <c r="E1876" s="2" t="s">
        <v>1587</v>
      </c>
    </row>
    <row r="1877">
      <c r="A1877" s="2" t="s">
        <v>1590</v>
      </c>
      <c r="B1877" s="2" t="s">
        <v>1585</v>
      </c>
      <c r="C1877" s="2" t="s">
        <v>1939</v>
      </c>
      <c r="D1877" s="3" t="str">
        <f t="shared" si="265"/>
        <v>12Go Link</v>
      </c>
      <c r="E1877" s="2" t="s">
        <v>1588</v>
      </c>
    </row>
    <row r="1878">
      <c r="A1878" s="2" t="s">
        <v>1590</v>
      </c>
      <c r="B1878" s="2" t="s">
        <v>1585</v>
      </c>
      <c r="C1878" s="2" t="s">
        <v>1939</v>
      </c>
      <c r="D1878" s="3" t="str">
        <f t="shared" si="265"/>
        <v>12Go Link</v>
      </c>
      <c r="E1878" s="2" t="s">
        <v>1589</v>
      </c>
    </row>
    <row r="1879">
      <c r="A1879" s="2" t="s">
        <v>1590</v>
      </c>
      <c r="B1879" s="2" t="s">
        <v>1585</v>
      </c>
      <c r="C1879" s="2" t="s">
        <v>1940</v>
      </c>
      <c r="D1879" s="3" t="str">
        <f t="shared" ref="D1879:D1881" si="266">HYPERLINK("https://12go.asia/en/travel/Heraklion-Airport/Kato-Stalos-Hotel-Transfer", "12Go Link")</f>
        <v>12Go Link</v>
      </c>
      <c r="E1879" s="2" t="s">
        <v>1587</v>
      </c>
    </row>
    <row r="1880">
      <c r="A1880" s="2" t="s">
        <v>1590</v>
      </c>
      <c r="B1880" s="2" t="s">
        <v>1585</v>
      </c>
      <c r="C1880" s="2" t="s">
        <v>1940</v>
      </c>
      <c r="D1880" s="3" t="str">
        <f t="shared" si="266"/>
        <v>12Go Link</v>
      </c>
      <c r="E1880" s="2" t="s">
        <v>1588</v>
      </c>
    </row>
    <row r="1881">
      <c r="A1881" s="2" t="s">
        <v>1590</v>
      </c>
      <c r="B1881" s="2" t="s">
        <v>1585</v>
      </c>
      <c r="C1881" s="2" t="s">
        <v>1940</v>
      </c>
      <c r="D1881" s="3" t="str">
        <f t="shared" si="266"/>
        <v>12Go Link</v>
      </c>
      <c r="E1881" s="2" t="s">
        <v>1589</v>
      </c>
    </row>
    <row r="1882">
      <c r="A1882" s="2" t="s">
        <v>1590</v>
      </c>
      <c r="B1882" s="2" t="s">
        <v>1585</v>
      </c>
      <c r="C1882" s="2" t="s">
        <v>1941</v>
      </c>
      <c r="D1882" s="3" t="str">
        <f t="shared" ref="D1882:D1884" si="267">HYPERLINK("https://12go.asia/en/travel/Heraklion-Airport/Makris-Tichos-Hotel-Transfer", "12Go Link")</f>
        <v>12Go Link</v>
      </c>
      <c r="E1882" s="2" t="s">
        <v>1587</v>
      </c>
    </row>
    <row r="1883">
      <c r="A1883" s="2" t="s">
        <v>1590</v>
      </c>
      <c r="B1883" s="2" t="s">
        <v>1585</v>
      </c>
      <c r="C1883" s="2" t="s">
        <v>1941</v>
      </c>
      <c r="D1883" s="3" t="str">
        <f t="shared" si="267"/>
        <v>12Go Link</v>
      </c>
      <c r="E1883" s="2" t="s">
        <v>1588</v>
      </c>
    </row>
    <row r="1884">
      <c r="A1884" s="2" t="s">
        <v>1590</v>
      </c>
      <c r="B1884" s="2" t="s">
        <v>1585</v>
      </c>
      <c r="C1884" s="2" t="s">
        <v>1941</v>
      </c>
      <c r="D1884" s="3" t="str">
        <f t="shared" si="267"/>
        <v>12Go Link</v>
      </c>
      <c r="E1884" s="2" t="s">
        <v>1589</v>
      </c>
    </row>
    <row r="1885">
      <c r="A1885" s="2" t="s">
        <v>1590</v>
      </c>
      <c r="B1885" s="2" t="s">
        <v>1585</v>
      </c>
      <c r="C1885" s="2" t="s">
        <v>1942</v>
      </c>
      <c r="D1885" s="3" t="str">
        <f t="shared" ref="D1885:D1887" si="268">HYPERLINK("https://12go.asia/en/travel/Heraklion-Hotel-Transfer/Chania-Airport", "12Go Link")</f>
        <v>12Go Link</v>
      </c>
      <c r="E1885" s="2" t="s">
        <v>1587</v>
      </c>
    </row>
    <row r="1886">
      <c r="A1886" s="2" t="s">
        <v>1590</v>
      </c>
      <c r="B1886" s="2" t="s">
        <v>1585</v>
      </c>
      <c r="C1886" s="2" t="s">
        <v>1942</v>
      </c>
      <c r="D1886" s="3" t="str">
        <f t="shared" si="268"/>
        <v>12Go Link</v>
      </c>
      <c r="E1886" s="2" t="s">
        <v>1588</v>
      </c>
    </row>
    <row r="1887">
      <c r="A1887" s="2" t="s">
        <v>1590</v>
      </c>
      <c r="B1887" s="2" t="s">
        <v>1585</v>
      </c>
      <c r="C1887" s="2" t="s">
        <v>1942</v>
      </c>
      <c r="D1887" s="3" t="str">
        <f t="shared" si="268"/>
        <v>12Go Link</v>
      </c>
      <c r="E1887" s="2" t="s">
        <v>1589</v>
      </c>
    </row>
    <row r="1888">
      <c r="A1888" s="2" t="s">
        <v>1590</v>
      </c>
      <c r="B1888" s="2" t="s">
        <v>1585</v>
      </c>
      <c r="C1888" s="2" t="s">
        <v>1943</v>
      </c>
      <c r="D1888" s="3" t="str">
        <f t="shared" ref="D1888:D1890" si="269">HYPERLINK("https://12go.asia/en/travel/Heraklion-Port/Chania-Airport", "12Go Link")</f>
        <v>12Go Link</v>
      </c>
      <c r="E1888" s="2" t="s">
        <v>1587</v>
      </c>
    </row>
    <row r="1889">
      <c r="A1889" s="2" t="s">
        <v>1590</v>
      </c>
      <c r="B1889" s="2" t="s">
        <v>1585</v>
      </c>
      <c r="C1889" s="2" t="s">
        <v>1943</v>
      </c>
      <c r="D1889" s="3" t="str">
        <f t="shared" si="269"/>
        <v>12Go Link</v>
      </c>
      <c r="E1889" s="2" t="s">
        <v>1588</v>
      </c>
    </row>
    <row r="1890">
      <c r="A1890" s="2" t="s">
        <v>1590</v>
      </c>
      <c r="B1890" s="2" t="s">
        <v>1585</v>
      </c>
      <c r="C1890" s="2" t="s">
        <v>1943</v>
      </c>
      <c r="D1890" s="3" t="str">
        <f t="shared" si="269"/>
        <v>12Go Link</v>
      </c>
      <c r="E1890" s="2" t="s">
        <v>1589</v>
      </c>
    </row>
    <row r="1891">
      <c r="A1891" s="2" t="s">
        <v>1590</v>
      </c>
      <c r="B1891" s="2" t="s">
        <v>1681</v>
      </c>
      <c r="C1891" s="2" t="s">
        <v>1944</v>
      </c>
      <c r="D1891" s="3" t="str">
        <f t="shared" ref="D1891:D1893" si="270">HYPERLINK("https://12go.asia/en/travel/Heraklion-Airport/Chorafakia-Hotel-Transfer", "12Go Link")</f>
        <v>12Go Link</v>
      </c>
      <c r="E1891" s="2" t="s">
        <v>1587</v>
      </c>
    </row>
    <row r="1892">
      <c r="A1892" s="2" t="s">
        <v>1590</v>
      </c>
      <c r="B1892" s="2" t="s">
        <v>1681</v>
      </c>
      <c r="C1892" s="2" t="s">
        <v>1944</v>
      </c>
      <c r="D1892" s="3" t="str">
        <f t="shared" si="270"/>
        <v>12Go Link</v>
      </c>
      <c r="E1892" s="2" t="s">
        <v>1588</v>
      </c>
    </row>
    <row r="1893">
      <c r="A1893" s="2" t="s">
        <v>1590</v>
      </c>
      <c r="B1893" s="2" t="s">
        <v>1681</v>
      </c>
      <c r="C1893" s="2" t="s">
        <v>1944</v>
      </c>
      <c r="D1893" s="3" t="str">
        <f t="shared" si="270"/>
        <v>12Go Link</v>
      </c>
      <c r="E1893" s="2" t="s">
        <v>1589</v>
      </c>
    </row>
    <row r="1894">
      <c r="A1894" s="2" t="s">
        <v>1590</v>
      </c>
      <c r="B1894" s="2" t="s">
        <v>1683</v>
      </c>
      <c r="C1894" s="2" t="s">
        <v>1945</v>
      </c>
      <c r="D1894" s="3" t="str">
        <f t="shared" ref="D1894:D1896" si="271">HYPERLINK("https://12go.asia/en/travel/Heraklion-Airport/Elafonissi-Beach", "12Go Link")</f>
        <v>12Go Link</v>
      </c>
      <c r="E1894" s="2" t="s">
        <v>1587</v>
      </c>
    </row>
    <row r="1895">
      <c r="A1895" s="2" t="s">
        <v>1590</v>
      </c>
      <c r="B1895" s="2" t="s">
        <v>1683</v>
      </c>
      <c r="C1895" s="2" t="s">
        <v>1945</v>
      </c>
      <c r="D1895" s="3" t="str">
        <f t="shared" si="271"/>
        <v>12Go Link</v>
      </c>
      <c r="E1895" s="2" t="s">
        <v>1588</v>
      </c>
    </row>
    <row r="1896">
      <c r="A1896" s="2" t="s">
        <v>1590</v>
      </c>
      <c r="B1896" s="2" t="s">
        <v>1683</v>
      </c>
      <c r="C1896" s="2" t="s">
        <v>1945</v>
      </c>
      <c r="D1896" s="3" t="str">
        <f t="shared" si="271"/>
        <v>12Go Link</v>
      </c>
      <c r="E1896" s="2" t="s">
        <v>1589</v>
      </c>
    </row>
    <row r="1897">
      <c r="A1897" s="2" t="s">
        <v>1590</v>
      </c>
      <c r="B1897" s="2" t="s">
        <v>1683</v>
      </c>
      <c r="C1897" s="2" t="s">
        <v>1946</v>
      </c>
      <c r="D1897" s="3" t="str">
        <f t="shared" ref="D1897:D1899" si="272">HYPERLINK("https://12go.asia/en/travel/Heraklion-Airport/Pano-Stalos-Hotel-Transfer", "12Go Link")</f>
        <v>12Go Link</v>
      </c>
      <c r="E1897" s="2" t="s">
        <v>1587</v>
      </c>
    </row>
    <row r="1898">
      <c r="A1898" s="2" t="s">
        <v>1590</v>
      </c>
      <c r="B1898" s="2" t="s">
        <v>1683</v>
      </c>
      <c r="C1898" s="2" t="s">
        <v>1946</v>
      </c>
      <c r="D1898" s="3" t="str">
        <f t="shared" si="272"/>
        <v>12Go Link</v>
      </c>
      <c r="E1898" s="2" t="s">
        <v>1588</v>
      </c>
    </row>
    <row r="1899">
      <c r="A1899" s="2" t="s">
        <v>1590</v>
      </c>
      <c r="B1899" s="2" t="s">
        <v>1683</v>
      </c>
      <c r="C1899" s="2" t="s">
        <v>1946</v>
      </c>
      <c r="D1899" s="3" t="str">
        <f t="shared" si="272"/>
        <v>12Go Link</v>
      </c>
      <c r="E1899" s="2" t="s">
        <v>1589</v>
      </c>
    </row>
    <row r="1900">
      <c r="A1900" s="2" t="s">
        <v>1590</v>
      </c>
      <c r="B1900" s="2" t="s">
        <v>1686</v>
      </c>
      <c r="C1900" s="2" t="s">
        <v>1947</v>
      </c>
      <c r="D1900" s="3" t="str">
        <f t="shared" ref="D1900:D1902" si="273">HYPERLINK("https://12go.asia/en/travel/Heraklion-Airport/Damnoni-Hotel-Transfer", "12Go Link")</f>
        <v>12Go Link</v>
      </c>
      <c r="E1900" s="2" t="s">
        <v>1587</v>
      </c>
    </row>
    <row r="1901">
      <c r="A1901" s="2" t="s">
        <v>1590</v>
      </c>
      <c r="B1901" s="2" t="s">
        <v>1686</v>
      </c>
      <c r="C1901" s="2" t="s">
        <v>1947</v>
      </c>
      <c r="D1901" s="3" t="str">
        <f t="shared" si="273"/>
        <v>12Go Link</v>
      </c>
      <c r="E1901" s="2" t="s">
        <v>1588</v>
      </c>
    </row>
    <row r="1902">
      <c r="A1902" s="2" t="s">
        <v>1590</v>
      </c>
      <c r="B1902" s="2" t="s">
        <v>1686</v>
      </c>
      <c r="C1902" s="2" t="s">
        <v>1947</v>
      </c>
      <c r="D1902" s="3" t="str">
        <f t="shared" si="273"/>
        <v>12Go Link</v>
      </c>
      <c r="E1902" s="2" t="s">
        <v>1589</v>
      </c>
    </row>
    <row r="1903">
      <c r="A1903" s="2" t="s">
        <v>1590</v>
      </c>
      <c r="B1903" s="2" t="s">
        <v>1688</v>
      </c>
      <c r="C1903" s="2" t="s">
        <v>1948</v>
      </c>
      <c r="D1903" s="3" t="str">
        <f t="shared" ref="D1903:D1905" si="274">HYPERLINK("https://12go.asia/en/travel/Heraklion-Airport/Dramia-Hotel-Transfer", "12Go Link")</f>
        <v>12Go Link</v>
      </c>
      <c r="E1903" s="2" t="s">
        <v>1587</v>
      </c>
    </row>
    <row r="1904">
      <c r="A1904" s="2" t="s">
        <v>1590</v>
      </c>
      <c r="B1904" s="2" t="s">
        <v>1688</v>
      </c>
      <c r="C1904" s="2" t="s">
        <v>1948</v>
      </c>
      <c r="D1904" s="3" t="str">
        <f t="shared" si="274"/>
        <v>12Go Link</v>
      </c>
      <c r="E1904" s="2" t="s">
        <v>1588</v>
      </c>
    </row>
    <row r="1905">
      <c r="A1905" s="2" t="s">
        <v>1590</v>
      </c>
      <c r="B1905" s="2" t="s">
        <v>1688</v>
      </c>
      <c r="C1905" s="2" t="s">
        <v>1948</v>
      </c>
      <c r="D1905" s="3" t="str">
        <f t="shared" si="274"/>
        <v>12Go Link</v>
      </c>
      <c r="E1905" s="2" t="s">
        <v>1589</v>
      </c>
    </row>
    <row r="1906">
      <c r="A1906" s="2" t="s">
        <v>1590</v>
      </c>
      <c r="B1906" s="2" t="s">
        <v>1690</v>
      </c>
      <c r="C1906" s="2" t="s">
        <v>1949</v>
      </c>
      <c r="D1906" s="3" t="str">
        <f t="shared" ref="D1906:D1908" si="275">HYPERLINK("https://12go.asia/en/travel/Heraklion-Airport/Elounda-Hotel-Transfer", "12Go Link")</f>
        <v>12Go Link</v>
      </c>
      <c r="E1906" s="2" t="s">
        <v>1587</v>
      </c>
    </row>
    <row r="1907">
      <c r="A1907" s="2" t="s">
        <v>1590</v>
      </c>
      <c r="B1907" s="2" t="s">
        <v>1690</v>
      </c>
      <c r="C1907" s="2" t="s">
        <v>1949</v>
      </c>
      <c r="D1907" s="3" t="str">
        <f t="shared" si="275"/>
        <v>12Go Link</v>
      </c>
      <c r="E1907" s="2" t="s">
        <v>1588</v>
      </c>
    </row>
    <row r="1908">
      <c r="A1908" s="2" t="s">
        <v>1590</v>
      </c>
      <c r="B1908" s="2" t="s">
        <v>1690</v>
      </c>
      <c r="C1908" s="2" t="s">
        <v>1949</v>
      </c>
      <c r="D1908" s="3" t="str">
        <f t="shared" si="275"/>
        <v>12Go Link</v>
      </c>
      <c r="E1908" s="2" t="s">
        <v>1589</v>
      </c>
    </row>
    <row r="1909">
      <c r="A1909" s="2" t="s">
        <v>1590</v>
      </c>
      <c r="B1909" s="2" t="s">
        <v>1692</v>
      </c>
      <c r="C1909" s="2" t="s">
        <v>1950</v>
      </c>
      <c r="D1909" s="3" t="str">
        <f t="shared" ref="D1909:D1911" si="276">HYPERLINK("https://12go.asia/en/travel/Heraklion-Airport/Episkopi-Rethymno-Hotel-Transfer", "12Go Link")</f>
        <v>12Go Link</v>
      </c>
      <c r="E1909" s="2" t="s">
        <v>1587</v>
      </c>
    </row>
    <row r="1910">
      <c r="A1910" s="2" t="s">
        <v>1590</v>
      </c>
      <c r="B1910" s="2" t="s">
        <v>1692</v>
      </c>
      <c r="C1910" s="2" t="s">
        <v>1950</v>
      </c>
      <c r="D1910" s="3" t="str">
        <f t="shared" si="276"/>
        <v>12Go Link</v>
      </c>
      <c r="E1910" s="2" t="s">
        <v>1588</v>
      </c>
    </row>
    <row r="1911">
      <c r="A1911" s="2" t="s">
        <v>1590</v>
      </c>
      <c r="B1911" s="2" t="s">
        <v>1692</v>
      </c>
      <c r="C1911" s="2" t="s">
        <v>1950</v>
      </c>
      <c r="D1911" s="3" t="str">
        <f t="shared" si="276"/>
        <v>12Go Link</v>
      </c>
      <c r="E1911" s="2" t="s">
        <v>1589</v>
      </c>
    </row>
    <row r="1912">
      <c r="A1912" s="2" t="s">
        <v>1590</v>
      </c>
      <c r="B1912" s="2" t="s">
        <v>1694</v>
      </c>
      <c r="C1912" s="2" t="s">
        <v>1951</v>
      </c>
      <c r="D1912" s="3" t="str">
        <f t="shared" ref="D1912:D1914" si="277">HYPERLINK("https://12go.asia/en/travel/Heraklion-Airport/Exopoli-Hotel-Transfer", "12Go Link")</f>
        <v>12Go Link</v>
      </c>
      <c r="E1912" s="2" t="s">
        <v>1587</v>
      </c>
    </row>
    <row r="1913">
      <c r="A1913" s="2" t="s">
        <v>1590</v>
      </c>
      <c r="B1913" s="2" t="s">
        <v>1694</v>
      </c>
      <c r="C1913" s="2" t="s">
        <v>1951</v>
      </c>
      <c r="D1913" s="3" t="str">
        <f t="shared" si="277"/>
        <v>12Go Link</v>
      </c>
      <c r="E1913" s="2" t="s">
        <v>1588</v>
      </c>
    </row>
    <row r="1914">
      <c r="A1914" s="2" t="s">
        <v>1590</v>
      </c>
      <c r="B1914" s="2" t="s">
        <v>1694</v>
      </c>
      <c r="C1914" s="2" t="s">
        <v>1951</v>
      </c>
      <c r="D1914" s="3" t="str">
        <f t="shared" si="277"/>
        <v>12Go Link</v>
      </c>
      <c r="E1914" s="2" t="s">
        <v>1589</v>
      </c>
    </row>
    <row r="1915">
      <c r="A1915" s="2" t="s">
        <v>1590</v>
      </c>
      <c r="B1915" s="2" t="s">
        <v>1696</v>
      </c>
      <c r="C1915" s="2" t="s">
        <v>1952</v>
      </c>
      <c r="D1915" s="3" t="str">
        <f t="shared" ref="D1915:D1917" si="278">HYPERLINK("https://12go.asia/en/travel/Heraklion-Airport/Falasarna-Hotel-Transfer", "12Go Link")</f>
        <v>12Go Link</v>
      </c>
      <c r="E1915" s="2" t="s">
        <v>1587</v>
      </c>
    </row>
    <row r="1916">
      <c r="A1916" s="2" t="s">
        <v>1590</v>
      </c>
      <c r="B1916" s="2" t="s">
        <v>1696</v>
      </c>
      <c r="C1916" s="2" t="s">
        <v>1952</v>
      </c>
      <c r="D1916" s="3" t="str">
        <f t="shared" si="278"/>
        <v>12Go Link</v>
      </c>
      <c r="E1916" s="2" t="s">
        <v>1588</v>
      </c>
    </row>
    <row r="1917">
      <c r="A1917" s="2" t="s">
        <v>1590</v>
      </c>
      <c r="B1917" s="2" t="s">
        <v>1696</v>
      </c>
      <c r="C1917" s="2" t="s">
        <v>1952</v>
      </c>
      <c r="D1917" s="3" t="str">
        <f t="shared" si="278"/>
        <v>12Go Link</v>
      </c>
      <c r="E1917" s="2" t="s">
        <v>1589</v>
      </c>
    </row>
    <row r="1918">
      <c r="A1918" s="2" t="s">
        <v>1590</v>
      </c>
      <c r="B1918" s="2" t="s">
        <v>1698</v>
      </c>
      <c r="C1918" s="2" t="s">
        <v>1953</v>
      </c>
      <c r="D1918" s="3" t="str">
        <f t="shared" ref="D1918:D1920" si="279">HYPERLINK("https://12go.asia/en/travel/Heraklion-Airport/Ferma-Hotel-Transfer", "12Go Link")</f>
        <v>12Go Link</v>
      </c>
      <c r="E1918" s="2" t="s">
        <v>1587</v>
      </c>
    </row>
    <row r="1919">
      <c r="A1919" s="2" t="s">
        <v>1590</v>
      </c>
      <c r="B1919" s="2" t="s">
        <v>1698</v>
      </c>
      <c r="C1919" s="2" t="s">
        <v>1953</v>
      </c>
      <c r="D1919" s="3" t="str">
        <f t="shared" si="279"/>
        <v>12Go Link</v>
      </c>
      <c r="E1919" s="2" t="s">
        <v>1588</v>
      </c>
    </row>
    <row r="1920">
      <c r="A1920" s="2" t="s">
        <v>1590</v>
      </c>
      <c r="B1920" s="2" t="s">
        <v>1698</v>
      </c>
      <c r="C1920" s="2" t="s">
        <v>1953</v>
      </c>
      <c r="D1920" s="3" t="str">
        <f t="shared" si="279"/>
        <v>12Go Link</v>
      </c>
      <c r="E1920" s="2" t="s">
        <v>1589</v>
      </c>
    </row>
    <row r="1921">
      <c r="A1921" s="2" t="s">
        <v>1590</v>
      </c>
      <c r="B1921" s="2" t="s">
        <v>1700</v>
      </c>
      <c r="C1921" s="2" t="s">
        <v>1954</v>
      </c>
      <c r="D1921" s="3" t="str">
        <f t="shared" ref="D1921:D1923" si="280">HYPERLINK("https://12go.asia/en/travel/Heraklion-Airport/Fodele-Hotel-Transfer", "12Go Link")</f>
        <v>12Go Link</v>
      </c>
      <c r="E1921" s="2" t="s">
        <v>1587</v>
      </c>
    </row>
    <row r="1922">
      <c r="A1922" s="2" t="s">
        <v>1590</v>
      </c>
      <c r="B1922" s="2" t="s">
        <v>1700</v>
      </c>
      <c r="C1922" s="2" t="s">
        <v>1954</v>
      </c>
      <c r="D1922" s="3" t="str">
        <f t="shared" si="280"/>
        <v>12Go Link</v>
      </c>
      <c r="E1922" s="2" t="s">
        <v>1588</v>
      </c>
    </row>
    <row r="1923">
      <c r="A1923" s="2" t="s">
        <v>1590</v>
      </c>
      <c r="B1923" s="2" t="s">
        <v>1700</v>
      </c>
      <c r="C1923" s="2" t="s">
        <v>1954</v>
      </c>
      <c r="D1923" s="3" t="str">
        <f t="shared" si="280"/>
        <v>12Go Link</v>
      </c>
      <c r="E1923" s="2" t="s">
        <v>1589</v>
      </c>
    </row>
    <row r="1924">
      <c r="A1924" s="2" t="s">
        <v>1590</v>
      </c>
      <c r="B1924" s="2" t="s">
        <v>1702</v>
      </c>
      <c r="C1924" s="2" t="s">
        <v>1955</v>
      </c>
      <c r="D1924" s="3" t="str">
        <f t="shared" ref="D1924:D1926" si="281">HYPERLINK("https://12go.asia/en/travel/Heraklion-Airport/Frangokastello-Hotel-Transfer", "12Go Link")</f>
        <v>12Go Link</v>
      </c>
      <c r="E1924" s="2" t="s">
        <v>1587</v>
      </c>
    </row>
    <row r="1925">
      <c r="A1925" s="2" t="s">
        <v>1590</v>
      </c>
      <c r="B1925" s="2" t="s">
        <v>1702</v>
      </c>
      <c r="C1925" s="2" t="s">
        <v>1955</v>
      </c>
      <c r="D1925" s="3" t="str">
        <f t="shared" si="281"/>
        <v>12Go Link</v>
      </c>
      <c r="E1925" s="2" t="s">
        <v>1588</v>
      </c>
    </row>
    <row r="1926">
      <c r="A1926" s="2" t="s">
        <v>1590</v>
      </c>
      <c r="B1926" s="2" t="s">
        <v>1702</v>
      </c>
      <c r="C1926" s="2" t="s">
        <v>1955</v>
      </c>
      <c r="D1926" s="3" t="str">
        <f t="shared" si="281"/>
        <v>12Go Link</v>
      </c>
      <c r="E1926" s="2" t="s">
        <v>1589</v>
      </c>
    </row>
    <row r="1927">
      <c r="A1927" s="2" t="s">
        <v>1590</v>
      </c>
      <c r="B1927" s="2" t="s">
        <v>1704</v>
      </c>
      <c r="C1927" s="2" t="s">
        <v>1956</v>
      </c>
      <c r="D1927" s="3" t="str">
        <f t="shared" ref="D1927:D1929" si="282">HYPERLINK("https://12go.asia/en/travel/Heraklion-Airport/Galatas-Chania-Hotel-Transfer", "12Go Link")</f>
        <v>12Go Link</v>
      </c>
      <c r="E1927" s="2" t="s">
        <v>1587</v>
      </c>
    </row>
    <row r="1928">
      <c r="A1928" s="2" t="s">
        <v>1590</v>
      </c>
      <c r="B1928" s="2" t="s">
        <v>1704</v>
      </c>
      <c r="C1928" s="2" t="s">
        <v>1956</v>
      </c>
      <c r="D1928" s="3" t="str">
        <f t="shared" si="282"/>
        <v>12Go Link</v>
      </c>
      <c r="E1928" s="2" t="s">
        <v>1588</v>
      </c>
    </row>
    <row r="1929">
      <c r="A1929" s="2" t="s">
        <v>1590</v>
      </c>
      <c r="B1929" s="2" t="s">
        <v>1704</v>
      </c>
      <c r="C1929" s="2" t="s">
        <v>1956</v>
      </c>
      <c r="D1929" s="3" t="str">
        <f t="shared" si="282"/>
        <v>12Go Link</v>
      </c>
      <c r="E1929" s="2" t="s">
        <v>1589</v>
      </c>
    </row>
    <row r="1930">
      <c r="A1930" s="2" t="s">
        <v>1590</v>
      </c>
      <c r="B1930" s="2" t="s">
        <v>1706</v>
      </c>
      <c r="C1930" s="2" t="s">
        <v>1957</v>
      </c>
      <c r="D1930" s="3" t="str">
        <f t="shared" ref="D1930:D1932" si="283">HYPERLINK("https://12go.asia/en/travel/Heraklion-Airport/Gavalochori-Hotel-Transfer", "12Go Link")</f>
        <v>12Go Link</v>
      </c>
      <c r="E1930" s="2" t="s">
        <v>1587</v>
      </c>
    </row>
    <row r="1931">
      <c r="A1931" s="2" t="s">
        <v>1590</v>
      </c>
      <c r="B1931" s="2" t="s">
        <v>1706</v>
      </c>
      <c r="C1931" s="2" t="s">
        <v>1957</v>
      </c>
      <c r="D1931" s="3" t="str">
        <f t="shared" si="283"/>
        <v>12Go Link</v>
      </c>
      <c r="E1931" s="2" t="s">
        <v>1588</v>
      </c>
    </row>
    <row r="1932">
      <c r="A1932" s="2" t="s">
        <v>1590</v>
      </c>
      <c r="B1932" s="2" t="s">
        <v>1706</v>
      </c>
      <c r="C1932" s="2" t="s">
        <v>1957</v>
      </c>
      <c r="D1932" s="3" t="str">
        <f t="shared" si="283"/>
        <v>12Go Link</v>
      </c>
      <c r="E1932" s="2" t="s">
        <v>1589</v>
      </c>
    </row>
    <row r="1933">
      <c r="A1933" s="2" t="s">
        <v>1590</v>
      </c>
      <c r="B1933" s="2" t="s">
        <v>1708</v>
      </c>
      <c r="C1933" s="2" t="s">
        <v>1958</v>
      </c>
      <c r="D1933" s="3" t="str">
        <f t="shared" ref="D1933:D1935" si="284">HYPERLINK("https://12go.asia/en/travel/Heraklion-Airport/Gazi-Hotel-Transfer", "12Go Link")</f>
        <v>12Go Link</v>
      </c>
      <c r="E1933" s="2" t="s">
        <v>1587</v>
      </c>
    </row>
    <row r="1934">
      <c r="A1934" s="2" t="s">
        <v>1590</v>
      </c>
      <c r="B1934" s="2" t="s">
        <v>1708</v>
      </c>
      <c r="C1934" s="2" t="s">
        <v>1958</v>
      </c>
      <c r="D1934" s="3" t="str">
        <f t="shared" si="284"/>
        <v>12Go Link</v>
      </c>
      <c r="E1934" s="2" t="s">
        <v>1588</v>
      </c>
    </row>
    <row r="1935">
      <c r="A1935" s="2" t="s">
        <v>1590</v>
      </c>
      <c r="B1935" s="2" t="s">
        <v>1708</v>
      </c>
      <c r="C1935" s="2" t="s">
        <v>1958</v>
      </c>
      <c r="D1935" s="3" t="str">
        <f t="shared" si="284"/>
        <v>12Go Link</v>
      </c>
      <c r="E1935" s="2" t="s">
        <v>1589</v>
      </c>
    </row>
    <row r="1936">
      <c r="A1936" s="2" t="s">
        <v>1590</v>
      </c>
      <c r="B1936" s="2" t="s">
        <v>1710</v>
      </c>
      <c r="C1936" s="2" t="s">
        <v>1959</v>
      </c>
      <c r="D1936" s="3" t="str">
        <f t="shared" ref="D1936:D1938" si="285">HYPERLINK("https://12go.asia/en/travel/Heraklion-Airport/Georgioupoli-Hotel-Transfer", "12Go Link")</f>
        <v>12Go Link</v>
      </c>
      <c r="E1936" s="2" t="s">
        <v>1587</v>
      </c>
    </row>
    <row r="1937">
      <c r="A1937" s="2" t="s">
        <v>1590</v>
      </c>
      <c r="B1937" s="2" t="s">
        <v>1710</v>
      </c>
      <c r="C1937" s="2" t="s">
        <v>1959</v>
      </c>
      <c r="D1937" s="3" t="str">
        <f t="shared" si="285"/>
        <v>12Go Link</v>
      </c>
      <c r="E1937" s="2" t="s">
        <v>1588</v>
      </c>
    </row>
    <row r="1938">
      <c r="A1938" s="2" t="s">
        <v>1590</v>
      </c>
      <c r="B1938" s="2" t="s">
        <v>1710</v>
      </c>
      <c r="C1938" s="2" t="s">
        <v>1959</v>
      </c>
      <c r="D1938" s="3" t="str">
        <f t="shared" si="285"/>
        <v>12Go Link</v>
      </c>
      <c r="E1938" s="2" t="s">
        <v>1589</v>
      </c>
    </row>
    <row r="1939">
      <c r="A1939" s="2" t="s">
        <v>1590</v>
      </c>
      <c r="B1939" s="2" t="s">
        <v>1712</v>
      </c>
      <c r="C1939" s="2" t="s">
        <v>1960</v>
      </c>
      <c r="D1939" s="3" t="str">
        <f t="shared" ref="D1939:D1941" si="286">HYPERLINK("https://12go.asia/en/travel/Heraklion-Airport/Gerani-Chania-Hotel-Transfer", "12Go Link")</f>
        <v>12Go Link</v>
      </c>
      <c r="E1939" s="2" t="s">
        <v>1587</v>
      </c>
    </row>
    <row r="1940">
      <c r="A1940" s="2" t="s">
        <v>1590</v>
      </c>
      <c r="B1940" s="2" t="s">
        <v>1712</v>
      </c>
      <c r="C1940" s="2" t="s">
        <v>1960</v>
      </c>
      <c r="D1940" s="3" t="str">
        <f t="shared" si="286"/>
        <v>12Go Link</v>
      </c>
      <c r="E1940" s="2" t="s">
        <v>1588</v>
      </c>
    </row>
    <row r="1941">
      <c r="A1941" s="2" t="s">
        <v>1590</v>
      </c>
      <c r="B1941" s="2" t="s">
        <v>1712</v>
      </c>
      <c r="C1941" s="2" t="s">
        <v>1960</v>
      </c>
      <c r="D1941" s="3" t="str">
        <f t="shared" si="286"/>
        <v>12Go Link</v>
      </c>
      <c r="E1941" s="2" t="s">
        <v>1589</v>
      </c>
    </row>
    <row r="1942">
      <c r="A1942" s="2" t="s">
        <v>1590</v>
      </c>
      <c r="B1942" s="2" t="s">
        <v>1714</v>
      </c>
      <c r="C1942" s="2" t="s">
        <v>1961</v>
      </c>
      <c r="D1942" s="3" t="str">
        <f t="shared" ref="D1942:D1944" si="287">HYPERLINK("https://12go.asia/en/travel/Heraklion-Airport/Gerani-Rethymno-Hotel-Transfer", "12Go Link")</f>
        <v>12Go Link</v>
      </c>
      <c r="E1942" s="2" t="s">
        <v>1587</v>
      </c>
    </row>
    <row r="1943">
      <c r="A1943" s="2" t="s">
        <v>1590</v>
      </c>
      <c r="B1943" s="2" t="s">
        <v>1714</v>
      </c>
      <c r="C1943" s="2" t="s">
        <v>1961</v>
      </c>
      <c r="D1943" s="3" t="str">
        <f t="shared" si="287"/>
        <v>12Go Link</v>
      </c>
      <c r="E1943" s="2" t="s">
        <v>1588</v>
      </c>
    </row>
    <row r="1944">
      <c r="A1944" s="2" t="s">
        <v>1590</v>
      </c>
      <c r="B1944" s="2" t="s">
        <v>1714</v>
      </c>
      <c r="C1944" s="2" t="s">
        <v>1961</v>
      </c>
      <c r="D1944" s="3" t="str">
        <f t="shared" si="287"/>
        <v>12Go Link</v>
      </c>
      <c r="E1944" s="2" t="s">
        <v>1589</v>
      </c>
    </row>
    <row r="1945">
      <c r="A1945" s="2" t="s">
        <v>1590</v>
      </c>
      <c r="B1945" s="2" t="s">
        <v>1716</v>
      </c>
      <c r="C1945" s="2" t="s">
        <v>1962</v>
      </c>
      <c r="D1945" s="3" t="str">
        <f t="shared" ref="D1945:D1947" si="288">HYPERLINK("https://12go.asia/en/travel/Heraklion-Airport/Gournes-Gouvon-Hotel-Transfer", "12Go Link")</f>
        <v>12Go Link</v>
      </c>
      <c r="E1945" s="2" t="s">
        <v>1587</v>
      </c>
    </row>
    <row r="1946">
      <c r="A1946" s="2" t="s">
        <v>1590</v>
      </c>
      <c r="B1946" s="2" t="s">
        <v>1716</v>
      </c>
      <c r="C1946" s="2" t="s">
        <v>1962</v>
      </c>
      <c r="D1946" s="3" t="str">
        <f t="shared" si="288"/>
        <v>12Go Link</v>
      </c>
      <c r="E1946" s="2" t="s">
        <v>1588</v>
      </c>
    </row>
    <row r="1947">
      <c r="A1947" s="2" t="s">
        <v>1590</v>
      </c>
      <c r="B1947" s="2" t="s">
        <v>1716</v>
      </c>
      <c r="C1947" s="2" t="s">
        <v>1962</v>
      </c>
      <c r="D1947" s="3" t="str">
        <f t="shared" si="288"/>
        <v>12Go Link</v>
      </c>
      <c r="E1947" s="2" t="s">
        <v>1589</v>
      </c>
    </row>
    <row r="1948">
      <c r="A1948" s="2" t="s">
        <v>1590</v>
      </c>
      <c r="B1948" s="2" t="s">
        <v>1718</v>
      </c>
      <c r="C1948" s="2" t="s">
        <v>1963</v>
      </c>
      <c r="D1948" s="3" t="str">
        <f t="shared" ref="D1948:D1950" si="289">HYPERLINK("https://12go.asia/en/travel/Heraklion-Airport/Gouves-Hotel-Transfer", "12Go Link")</f>
        <v>12Go Link</v>
      </c>
      <c r="E1948" s="2" t="s">
        <v>1587</v>
      </c>
    </row>
    <row r="1949">
      <c r="A1949" s="2" t="s">
        <v>1590</v>
      </c>
      <c r="B1949" s="2" t="s">
        <v>1718</v>
      </c>
      <c r="C1949" s="2" t="s">
        <v>1963</v>
      </c>
      <c r="D1949" s="3" t="str">
        <f t="shared" si="289"/>
        <v>12Go Link</v>
      </c>
      <c r="E1949" s="2" t="s">
        <v>1588</v>
      </c>
    </row>
    <row r="1950">
      <c r="A1950" s="2" t="s">
        <v>1590</v>
      </c>
      <c r="B1950" s="2" t="s">
        <v>1718</v>
      </c>
      <c r="C1950" s="2" t="s">
        <v>1963</v>
      </c>
      <c r="D1950" s="3" t="str">
        <f t="shared" si="289"/>
        <v>12Go Link</v>
      </c>
      <c r="E1950" s="2" t="s">
        <v>1589</v>
      </c>
    </row>
    <row r="1951">
      <c r="A1951" s="2" t="s">
        <v>1590</v>
      </c>
      <c r="B1951" s="2" t="s">
        <v>1590</v>
      </c>
      <c r="C1951" s="2" t="s">
        <v>1964</v>
      </c>
      <c r="D1951" s="3" t="str">
        <f t="shared" ref="D1951:D1953" si="290">HYPERLINK("https://12go.asia/en/travel/Ammoudara-Heraklion-Hotel-Transfer/Heraklion-Airport", "12Go Link")</f>
        <v>12Go Link</v>
      </c>
      <c r="E1951" s="2" t="s">
        <v>1587</v>
      </c>
    </row>
    <row r="1952">
      <c r="A1952" s="2" t="s">
        <v>1590</v>
      </c>
      <c r="B1952" s="2" t="s">
        <v>1590</v>
      </c>
      <c r="C1952" s="2" t="s">
        <v>1964</v>
      </c>
      <c r="D1952" s="3" t="str">
        <f t="shared" si="290"/>
        <v>12Go Link</v>
      </c>
      <c r="E1952" s="2" t="s">
        <v>1588</v>
      </c>
    </row>
    <row r="1953">
      <c r="A1953" s="2" t="s">
        <v>1590</v>
      </c>
      <c r="B1953" s="2" t="s">
        <v>1590</v>
      </c>
      <c r="C1953" s="2" t="s">
        <v>1964</v>
      </c>
      <c r="D1953" s="3" t="str">
        <f t="shared" si="290"/>
        <v>12Go Link</v>
      </c>
      <c r="E1953" s="2" t="s">
        <v>1589</v>
      </c>
    </row>
    <row r="1954">
      <c r="A1954" s="2" t="s">
        <v>1590</v>
      </c>
      <c r="B1954" s="2" t="s">
        <v>1590</v>
      </c>
      <c r="C1954" s="2" t="s">
        <v>1965</v>
      </c>
      <c r="D1954" s="3" t="str">
        <f t="shared" ref="D1954:D1956" si="291">HYPERLINK("https://12go.asia/en/travel/Amnissos-Hotel-Transfer/Heraklion-Airport", "12Go Link")</f>
        <v>12Go Link</v>
      </c>
      <c r="E1954" s="2" t="s">
        <v>1587</v>
      </c>
    </row>
    <row r="1955">
      <c r="A1955" s="2" t="s">
        <v>1590</v>
      </c>
      <c r="B1955" s="2" t="s">
        <v>1590</v>
      </c>
      <c r="C1955" s="2" t="s">
        <v>1965</v>
      </c>
      <c r="D1955" s="3" t="str">
        <f t="shared" si="291"/>
        <v>12Go Link</v>
      </c>
      <c r="E1955" s="2" t="s">
        <v>1588</v>
      </c>
    </row>
    <row r="1956">
      <c r="A1956" s="2" t="s">
        <v>1590</v>
      </c>
      <c r="B1956" s="2" t="s">
        <v>1590</v>
      </c>
      <c r="C1956" s="2" t="s">
        <v>1965</v>
      </c>
      <c r="D1956" s="3" t="str">
        <f t="shared" si="291"/>
        <v>12Go Link</v>
      </c>
      <c r="E1956" s="2" t="s">
        <v>1589</v>
      </c>
    </row>
    <row r="1957">
      <c r="A1957" s="2" t="s">
        <v>1590</v>
      </c>
      <c r="B1957" s="2" t="s">
        <v>1590</v>
      </c>
      <c r="C1957" s="2" t="s">
        <v>1966</v>
      </c>
      <c r="D1957" s="3" t="str">
        <f t="shared" ref="D1957:D1959" si="292">HYPERLINK("https://12go.asia/en/travel/Arolithos-Traditional-Cretan-Village/Heraklion-Airport", "12Go Link")</f>
        <v>12Go Link</v>
      </c>
      <c r="E1957" s="2" t="s">
        <v>1587</v>
      </c>
    </row>
    <row r="1958">
      <c r="A1958" s="2" t="s">
        <v>1590</v>
      </c>
      <c r="B1958" s="2" t="s">
        <v>1590</v>
      </c>
      <c r="C1958" s="2" t="s">
        <v>1966</v>
      </c>
      <c r="D1958" s="3" t="str">
        <f t="shared" si="292"/>
        <v>12Go Link</v>
      </c>
      <c r="E1958" s="2" t="s">
        <v>1588</v>
      </c>
    </row>
    <row r="1959">
      <c r="A1959" s="2" t="s">
        <v>1590</v>
      </c>
      <c r="B1959" s="2" t="s">
        <v>1590</v>
      </c>
      <c r="C1959" s="2" t="s">
        <v>1966</v>
      </c>
      <c r="D1959" s="3" t="str">
        <f t="shared" si="292"/>
        <v>12Go Link</v>
      </c>
      <c r="E1959" s="2" t="s">
        <v>1589</v>
      </c>
    </row>
    <row r="1960">
      <c r="A1960" s="2" t="s">
        <v>1590</v>
      </c>
      <c r="B1960" s="2" t="s">
        <v>1590</v>
      </c>
      <c r="C1960" s="2" t="s">
        <v>1967</v>
      </c>
      <c r="D1960" s="3" t="str">
        <f t="shared" ref="D1960:D1962" si="293">HYPERLINK("https://12go.asia/en/travel/Heraklion-Airport/Ammoudara-Heraklion-Hotel-Transfer", "12Go Link")</f>
        <v>12Go Link</v>
      </c>
      <c r="E1960" s="2" t="s">
        <v>1587</v>
      </c>
    </row>
    <row r="1961">
      <c r="A1961" s="2" t="s">
        <v>1590</v>
      </c>
      <c r="B1961" s="2" t="s">
        <v>1590</v>
      </c>
      <c r="C1961" s="2" t="s">
        <v>1967</v>
      </c>
      <c r="D1961" s="3" t="str">
        <f t="shared" si="293"/>
        <v>12Go Link</v>
      </c>
      <c r="E1961" s="2" t="s">
        <v>1588</v>
      </c>
    </row>
    <row r="1962">
      <c r="A1962" s="2" t="s">
        <v>1590</v>
      </c>
      <c r="B1962" s="2" t="s">
        <v>1590</v>
      </c>
      <c r="C1962" s="2" t="s">
        <v>1967</v>
      </c>
      <c r="D1962" s="3" t="str">
        <f t="shared" si="293"/>
        <v>12Go Link</v>
      </c>
      <c r="E1962" s="2" t="s">
        <v>1589</v>
      </c>
    </row>
    <row r="1963">
      <c r="A1963" s="2" t="s">
        <v>1590</v>
      </c>
      <c r="B1963" s="2" t="s">
        <v>1590</v>
      </c>
      <c r="C1963" s="2" t="s">
        <v>1968</v>
      </c>
      <c r="D1963" s="3" t="str">
        <f t="shared" ref="D1963:D1965" si="294">HYPERLINK("https://12go.asia/en/travel/Heraklion-Airport/Amnissos-Hotel-Transfer", "12Go Link")</f>
        <v>12Go Link</v>
      </c>
      <c r="E1963" s="2" t="s">
        <v>1587</v>
      </c>
    </row>
    <row r="1964">
      <c r="A1964" s="2" t="s">
        <v>1590</v>
      </c>
      <c r="B1964" s="2" t="s">
        <v>1590</v>
      </c>
      <c r="C1964" s="2" t="s">
        <v>1968</v>
      </c>
      <c r="D1964" s="3" t="str">
        <f t="shared" si="294"/>
        <v>12Go Link</v>
      </c>
      <c r="E1964" s="2" t="s">
        <v>1588</v>
      </c>
    </row>
    <row r="1965">
      <c r="A1965" s="2" t="s">
        <v>1590</v>
      </c>
      <c r="B1965" s="2" t="s">
        <v>1590</v>
      </c>
      <c r="C1965" s="2" t="s">
        <v>1968</v>
      </c>
      <c r="D1965" s="3" t="str">
        <f t="shared" si="294"/>
        <v>12Go Link</v>
      </c>
      <c r="E1965" s="2" t="s">
        <v>1589</v>
      </c>
    </row>
    <row r="1966">
      <c r="A1966" s="2" t="s">
        <v>1590</v>
      </c>
      <c r="B1966" s="2" t="s">
        <v>1590</v>
      </c>
      <c r="C1966" s="2" t="s">
        <v>1969</v>
      </c>
      <c r="D1966" s="3" t="str">
        <f t="shared" ref="D1966:D1968" si="295">HYPERLINK("https://12go.asia/en/travel/Heraklion-Airport/Arolithos-Traditional-Cretan-Village", "12Go Link")</f>
        <v>12Go Link</v>
      </c>
      <c r="E1966" s="2" t="s">
        <v>1587</v>
      </c>
    </row>
    <row r="1967">
      <c r="A1967" s="2" t="s">
        <v>1590</v>
      </c>
      <c r="B1967" s="2" t="s">
        <v>1590</v>
      </c>
      <c r="C1967" s="2" t="s">
        <v>1969</v>
      </c>
      <c r="D1967" s="3" t="str">
        <f t="shared" si="295"/>
        <v>12Go Link</v>
      </c>
      <c r="E1967" s="2" t="s">
        <v>1588</v>
      </c>
    </row>
    <row r="1968">
      <c r="A1968" s="2" t="s">
        <v>1590</v>
      </c>
      <c r="B1968" s="2" t="s">
        <v>1590</v>
      </c>
      <c r="C1968" s="2" t="s">
        <v>1969</v>
      </c>
      <c r="D1968" s="3" t="str">
        <f t="shared" si="295"/>
        <v>12Go Link</v>
      </c>
      <c r="E1968" s="2" t="s">
        <v>1589</v>
      </c>
    </row>
    <row r="1969">
      <c r="A1969" s="2" t="s">
        <v>1590</v>
      </c>
      <c r="B1969" s="2" t="s">
        <v>1590</v>
      </c>
      <c r="C1969" s="2" t="s">
        <v>1970</v>
      </c>
      <c r="D1969" s="3" t="str">
        <f t="shared" ref="D1969:D1971" si="296">HYPERLINK("https://12go.asia/en/travel/Heraklion-Airport/Heraklion-Hotel-Transfer", "12Go Link")</f>
        <v>12Go Link</v>
      </c>
      <c r="E1969" s="2" t="s">
        <v>1587</v>
      </c>
    </row>
    <row r="1970">
      <c r="A1970" s="2" t="s">
        <v>1590</v>
      </c>
      <c r="B1970" s="2" t="s">
        <v>1590</v>
      </c>
      <c r="C1970" s="2" t="s">
        <v>1970</v>
      </c>
      <c r="D1970" s="3" t="str">
        <f t="shared" si="296"/>
        <v>12Go Link</v>
      </c>
      <c r="E1970" s="2" t="s">
        <v>1588</v>
      </c>
    </row>
    <row r="1971">
      <c r="A1971" s="2" t="s">
        <v>1590</v>
      </c>
      <c r="B1971" s="2" t="s">
        <v>1590</v>
      </c>
      <c r="C1971" s="2" t="s">
        <v>1970</v>
      </c>
      <c r="D1971" s="3" t="str">
        <f t="shared" si="296"/>
        <v>12Go Link</v>
      </c>
      <c r="E1971" s="2" t="s">
        <v>1589</v>
      </c>
    </row>
    <row r="1972">
      <c r="A1972" s="2" t="s">
        <v>1590</v>
      </c>
      <c r="B1972" s="2" t="s">
        <v>1590</v>
      </c>
      <c r="C1972" s="2" t="s">
        <v>1971</v>
      </c>
      <c r="D1972" s="3" t="str">
        <f t="shared" ref="D1972:D1974" si="297">HYPERLINK("https://12go.asia/en/travel/Heraklion-Airport/Heraklion-Port", "12Go Link")</f>
        <v>12Go Link</v>
      </c>
      <c r="E1972" s="2" t="s">
        <v>1587</v>
      </c>
    </row>
    <row r="1973">
      <c r="A1973" s="2" t="s">
        <v>1590</v>
      </c>
      <c r="B1973" s="2" t="s">
        <v>1590</v>
      </c>
      <c r="C1973" s="2" t="s">
        <v>1971</v>
      </c>
      <c r="D1973" s="3" t="str">
        <f t="shared" si="297"/>
        <v>12Go Link</v>
      </c>
      <c r="E1973" s="2" t="s">
        <v>1588</v>
      </c>
    </row>
    <row r="1974">
      <c r="A1974" s="2" t="s">
        <v>1590</v>
      </c>
      <c r="B1974" s="2" t="s">
        <v>1590</v>
      </c>
      <c r="C1974" s="2" t="s">
        <v>1971</v>
      </c>
      <c r="D1974" s="3" t="str">
        <f t="shared" si="297"/>
        <v>12Go Link</v>
      </c>
      <c r="E1974" s="2" t="s">
        <v>1589</v>
      </c>
    </row>
    <row r="1975">
      <c r="A1975" s="2" t="s">
        <v>1590</v>
      </c>
      <c r="B1975" s="2" t="s">
        <v>1590</v>
      </c>
      <c r="C1975" s="2" t="s">
        <v>1972</v>
      </c>
      <c r="D1975" s="3" t="str">
        <f t="shared" ref="D1975:D1977" si="298">HYPERLINK("https://12go.asia/en/travel/Heraklion-Hotel-Transfer/Heraklion-Airport", "12Go Link")</f>
        <v>12Go Link</v>
      </c>
      <c r="E1975" s="2" t="s">
        <v>1587</v>
      </c>
    </row>
    <row r="1976">
      <c r="A1976" s="2" t="s">
        <v>1590</v>
      </c>
      <c r="B1976" s="2" t="s">
        <v>1590</v>
      </c>
      <c r="C1976" s="2" t="s">
        <v>1972</v>
      </c>
      <c r="D1976" s="3" t="str">
        <f t="shared" si="298"/>
        <v>12Go Link</v>
      </c>
      <c r="E1976" s="2" t="s">
        <v>1588</v>
      </c>
    </row>
    <row r="1977">
      <c r="A1977" s="2" t="s">
        <v>1590</v>
      </c>
      <c r="B1977" s="2" t="s">
        <v>1590</v>
      </c>
      <c r="C1977" s="2" t="s">
        <v>1972</v>
      </c>
      <c r="D1977" s="3" t="str">
        <f t="shared" si="298"/>
        <v>12Go Link</v>
      </c>
      <c r="E1977" s="2" t="s">
        <v>1589</v>
      </c>
    </row>
    <row r="1978">
      <c r="A1978" s="2" t="s">
        <v>1590</v>
      </c>
      <c r="B1978" s="2" t="s">
        <v>1590</v>
      </c>
      <c r="C1978" s="2" t="s">
        <v>1973</v>
      </c>
      <c r="D1978" s="3" t="str">
        <f t="shared" ref="D1978:D1980" si="299">HYPERLINK("https://12go.asia/en/travel/Heraklion-Port/Heraklion-Airport", "12Go Link")</f>
        <v>12Go Link</v>
      </c>
      <c r="E1978" s="2" t="s">
        <v>1587</v>
      </c>
    </row>
    <row r="1979">
      <c r="A1979" s="2" t="s">
        <v>1590</v>
      </c>
      <c r="B1979" s="2" t="s">
        <v>1590</v>
      </c>
      <c r="C1979" s="2" t="s">
        <v>1973</v>
      </c>
      <c r="D1979" s="3" t="str">
        <f t="shared" si="299"/>
        <v>12Go Link</v>
      </c>
      <c r="E1979" s="2" t="s">
        <v>1588</v>
      </c>
    </row>
    <row r="1980">
      <c r="A1980" s="2" t="s">
        <v>1590</v>
      </c>
      <c r="B1980" s="2" t="s">
        <v>1590</v>
      </c>
      <c r="C1980" s="2" t="s">
        <v>1973</v>
      </c>
      <c r="D1980" s="3" t="str">
        <f t="shared" si="299"/>
        <v>12Go Link</v>
      </c>
      <c r="E1980" s="2" t="s">
        <v>1589</v>
      </c>
    </row>
    <row r="1981">
      <c r="A1981" s="2" t="s">
        <v>1590</v>
      </c>
      <c r="B1981" s="2" t="s">
        <v>1734</v>
      </c>
      <c r="C1981" s="2" t="s">
        <v>1974</v>
      </c>
      <c r="D1981" s="3" t="str">
        <f t="shared" ref="D1981:D1983" si="300">HYPERLINK("https://12go.asia/en/travel/Heraklion-Airport/Hersonissos-Hotel-Transfer", "12Go Link")</f>
        <v>12Go Link</v>
      </c>
      <c r="E1981" s="2" t="s">
        <v>1587</v>
      </c>
    </row>
    <row r="1982">
      <c r="A1982" s="2" t="s">
        <v>1590</v>
      </c>
      <c r="B1982" s="2" t="s">
        <v>1734</v>
      </c>
      <c r="C1982" s="2" t="s">
        <v>1974</v>
      </c>
      <c r="D1982" s="3" t="str">
        <f t="shared" si="300"/>
        <v>12Go Link</v>
      </c>
      <c r="E1982" s="2" t="s">
        <v>1588</v>
      </c>
    </row>
    <row r="1983">
      <c r="A1983" s="2" t="s">
        <v>1590</v>
      </c>
      <c r="B1983" s="2" t="s">
        <v>1734</v>
      </c>
      <c r="C1983" s="2" t="s">
        <v>1974</v>
      </c>
      <c r="D1983" s="3" t="str">
        <f t="shared" si="300"/>
        <v>12Go Link</v>
      </c>
      <c r="E1983" s="2" t="s">
        <v>1589</v>
      </c>
    </row>
    <row r="1984">
      <c r="A1984" s="2" t="s">
        <v>1590</v>
      </c>
      <c r="B1984" s="2" t="s">
        <v>1736</v>
      </c>
      <c r="C1984" s="2" t="s">
        <v>1975</v>
      </c>
      <c r="D1984" s="3" t="str">
        <f t="shared" ref="D1984:D1986" si="301">HYPERLINK("https://12go.asia/en/travel/Heraklion-Airport/Hora-Sfakion-Hotel-Transfer", "12Go Link")</f>
        <v>12Go Link</v>
      </c>
      <c r="E1984" s="2" t="s">
        <v>1587</v>
      </c>
    </row>
    <row r="1985">
      <c r="A1985" s="2" t="s">
        <v>1590</v>
      </c>
      <c r="B1985" s="2" t="s">
        <v>1736</v>
      </c>
      <c r="C1985" s="2" t="s">
        <v>1975</v>
      </c>
      <c r="D1985" s="3" t="str">
        <f t="shared" si="301"/>
        <v>12Go Link</v>
      </c>
      <c r="E1985" s="2" t="s">
        <v>1588</v>
      </c>
    </row>
    <row r="1986">
      <c r="A1986" s="2" t="s">
        <v>1590</v>
      </c>
      <c r="B1986" s="2" t="s">
        <v>1736</v>
      </c>
      <c r="C1986" s="2" t="s">
        <v>1975</v>
      </c>
      <c r="D1986" s="3" t="str">
        <f t="shared" si="301"/>
        <v>12Go Link</v>
      </c>
      <c r="E1986" s="2" t="s">
        <v>1589</v>
      </c>
    </row>
    <row r="1987">
      <c r="A1987" s="2" t="s">
        <v>1590</v>
      </c>
      <c r="B1987" s="2" t="s">
        <v>1738</v>
      </c>
      <c r="C1987" s="2" t="s">
        <v>1976</v>
      </c>
      <c r="D1987" s="3" t="str">
        <f t="shared" ref="D1987:D1989" si="302">HYPERLINK("https://12go.asia/en/travel/Heraklion-Airport/Ierapetra-Hotel-Transfer", "12Go Link")</f>
        <v>12Go Link</v>
      </c>
      <c r="E1987" s="2" t="s">
        <v>1587</v>
      </c>
    </row>
    <row r="1988">
      <c r="A1988" s="2" t="s">
        <v>1590</v>
      </c>
      <c r="B1988" s="2" t="s">
        <v>1738</v>
      </c>
      <c r="C1988" s="2" t="s">
        <v>1976</v>
      </c>
      <c r="D1988" s="3" t="str">
        <f t="shared" si="302"/>
        <v>12Go Link</v>
      </c>
      <c r="E1988" s="2" t="s">
        <v>1588</v>
      </c>
    </row>
    <row r="1989">
      <c r="A1989" s="2" t="s">
        <v>1590</v>
      </c>
      <c r="B1989" s="2" t="s">
        <v>1738</v>
      </c>
      <c r="C1989" s="2" t="s">
        <v>1976</v>
      </c>
      <c r="D1989" s="3" t="str">
        <f t="shared" si="302"/>
        <v>12Go Link</v>
      </c>
      <c r="E1989" s="2" t="s">
        <v>1589</v>
      </c>
    </row>
    <row r="1990">
      <c r="A1990" s="2" t="s">
        <v>1590</v>
      </c>
      <c r="B1990" s="2" t="s">
        <v>1740</v>
      </c>
      <c r="C1990" s="2" t="s">
        <v>1977</v>
      </c>
      <c r="D1990" s="3" t="str">
        <f t="shared" ref="D1990:D1992" si="303">HYPERLINK("https://12go.asia/en/travel/Heraklion-Airport/Istro-Hotel-Transfer", "12Go Link")</f>
        <v>12Go Link</v>
      </c>
      <c r="E1990" s="2" t="s">
        <v>1587</v>
      </c>
    </row>
    <row r="1991">
      <c r="A1991" s="2" t="s">
        <v>1590</v>
      </c>
      <c r="B1991" s="2" t="s">
        <v>1740</v>
      </c>
      <c r="C1991" s="2" t="s">
        <v>1977</v>
      </c>
      <c r="D1991" s="3" t="str">
        <f t="shared" si="303"/>
        <v>12Go Link</v>
      </c>
      <c r="E1991" s="2" t="s">
        <v>1588</v>
      </c>
    </row>
    <row r="1992">
      <c r="A1992" s="2" t="s">
        <v>1590</v>
      </c>
      <c r="B1992" s="2" t="s">
        <v>1740</v>
      </c>
      <c r="C1992" s="2" t="s">
        <v>1977</v>
      </c>
      <c r="D1992" s="3" t="str">
        <f t="shared" si="303"/>
        <v>12Go Link</v>
      </c>
      <c r="E1992" s="2" t="s">
        <v>1589</v>
      </c>
    </row>
    <row r="1993">
      <c r="A1993" s="2" t="s">
        <v>1590</v>
      </c>
      <c r="B1993" s="2" t="s">
        <v>1742</v>
      </c>
      <c r="C1993" s="2" t="s">
        <v>1978</v>
      </c>
      <c r="D1993" s="3" t="str">
        <f t="shared" ref="D1993:D1995" si="304">HYPERLINK("https://12go.asia/en/travel/Heraklion-Airport/Kalamaki-Heraklion-Hotel-Transfer", "12Go Link")</f>
        <v>12Go Link</v>
      </c>
      <c r="E1993" s="2" t="s">
        <v>1587</v>
      </c>
    </row>
    <row r="1994">
      <c r="A1994" s="2" t="s">
        <v>1590</v>
      </c>
      <c r="B1994" s="2" t="s">
        <v>1742</v>
      </c>
      <c r="C1994" s="2" t="s">
        <v>1978</v>
      </c>
      <c r="D1994" s="3" t="str">
        <f t="shared" si="304"/>
        <v>12Go Link</v>
      </c>
      <c r="E1994" s="2" t="s">
        <v>1588</v>
      </c>
    </row>
    <row r="1995">
      <c r="A1995" s="2" t="s">
        <v>1590</v>
      </c>
      <c r="B1995" s="2" t="s">
        <v>1742</v>
      </c>
      <c r="C1995" s="2" t="s">
        <v>1978</v>
      </c>
      <c r="D1995" s="3" t="str">
        <f t="shared" si="304"/>
        <v>12Go Link</v>
      </c>
      <c r="E1995" s="2" t="s">
        <v>1589</v>
      </c>
    </row>
    <row r="1996">
      <c r="A1996" s="2" t="s">
        <v>1590</v>
      </c>
      <c r="B1996" s="2" t="s">
        <v>1744</v>
      </c>
      <c r="C1996" s="2" t="s">
        <v>1979</v>
      </c>
      <c r="D1996" s="3" t="str">
        <f t="shared" ref="D1996:D1998" si="305">HYPERLINK("https://12go.asia/en/travel/Heraklion-Airport/Kalyves-Hotel-Transfer", "12Go Link")</f>
        <v>12Go Link</v>
      </c>
      <c r="E1996" s="2" t="s">
        <v>1587</v>
      </c>
    </row>
    <row r="1997">
      <c r="A1997" s="2" t="s">
        <v>1590</v>
      </c>
      <c r="B1997" s="2" t="s">
        <v>1744</v>
      </c>
      <c r="C1997" s="2" t="s">
        <v>1979</v>
      </c>
      <c r="D1997" s="3" t="str">
        <f t="shared" si="305"/>
        <v>12Go Link</v>
      </c>
      <c r="E1997" s="2" t="s">
        <v>1588</v>
      </c>
    </row>
    <row r="1998">
      <c r="A1998" s="2" t="s">
        <v>1590</v>
      </c>
      <c r="B1998" s="2" t="s">
        <v>1744</v>
      </c>
      <c r="C1998" s="2" t="s">
        <v>1979</v>
      </c>
      <c r="D1998" s="3" t="str">
        <f t="shared" si="305"/>
        <v>12Go Link</v>
      </c>
      <c r="E1998" s="2" t="s">
        <v>1589</v>
      </c>
    </row>
    <row r="1999">
      <c r="A1999" s="2" t="s">
        <v>1590</v>
      </c>
      <c r="B1999" s="2" t="s">
        <v>1746</v>
      </c>
      <c r="C1999" s="2" t="s">
        <v>1980</v>
      </c>
      <c r="D1999" s="3" t="str">
        <f t="shared" ref="D1999:D2001" si="306">HYPERLINK("https://12go.asia/en/travel/Heraklion-Airport/Kamilari-Hotel-Transfer", "12Go Link")</f>
        <v>12Go Link</v>
      </c>
      <c r="E1999" s="2" t="s">
        <v>1587</v>
      </c>
    </row>
    <row r="2000">
      <c r="A2000" s="2" t="s">
        <v>1590</v>
      </c>
      <c r="B2000" s="2" t="s">
        <v>1746</v>
      </c>
      <c r="C2000" s="2" t="s">
        <v>1980</v>
      </c>
      <c r="D2000" s="3" t="str">
        <f t="shared" si="306"/>
        <v>12Go Link</v>
      </c>
      <c r="E2000" s="2" t="s">
        <v>1588</v>
      </c>
    </row>
    <row r="2001">
      <c r="A2001" s="2" t="s">
        <v>1590</v>
      </c>
      <c r="B2001" s="2" t="s">
        <v>1746</v>
      </c>
      <c r="C2001" s="2" t="s">
        <v>1980</v>
      </c>
      <c r="D2001" s="3" t="str">
        <f t="shared" si="306"/>
        <v>12Go Link</v>
      </c>
      <c r="E2001" s="2" t="s">
        <v>1589</v>
      </c>
    </row>
    <row r="2002">
      <c r="A2002" s="2" t="s">
        <v>1590</v>
      </c>
      <c r="B2002" s="2" t="s">
        <v>1748</v>
      </c>
      <c r="C2002" s="2" t="s">
        <v>1981</v>
      </c>
      <c r="D2002" s="3" t="str">
        <f t="shared" ref="D2002:D2004" si="307">HYPERLINK("https://12go.asia/en/travel/Heraklion-Airport/Kamisiana-Hotel-Transfer", "12Go Link")</f>
        <v>12Go Link</v>
      </c>
      <c r="E2002" s="2" t="s">
        <v>1587</v>
      </c>
    </row>
    <row r="2003">
      <c r="A2003" s="2" t="s">
        <v>1590</v>
      </c>
      <c r="B2003" s="2" t="s">
        <v>1748</v>
      </c>
      <c r="C2003" s="2" t="s">
        <v>1981</v>
      </c>
      <c r="D2003" s="3" t="str">
        <f t="shared" si="307"/>
        <v>12Go Link</v>
      </c>
      <c r="E2003" s="2" t="s">
        <v>1588</v>
      </c>
    </row>
    <row r="2004">
      <c r="A2004" s="2" t="s">
        <v>1590</v>
      </c>
      <c r="B2004" s="2" t="s">
        <v>1748</v>
      </c>
      <c r="C2004" s="2" t="s">
        <v>1981</v>
      </c>
      <c r="D2004" s="3" t="str">
        <f t="shared" si="307"/>
        <v>12Go Link</v>
      </c>
      <c r="E2004" s="2" t="s">
        <v>1589</v>
      </c>
    </row>
    <row r="2005">
      <c r="A2005" s="2" t="s">
        <v>1590</v>
      </c>
      <c r="B2005" s="2" t="s">
        <v>1750</v>
      </c>
      <c r="C2005" s="2" t="s">
        <v>1982</v>
      </c>
      <c r="D2005" s="3" t="str">
        <f t="shared" ref="D2005:D2007" si="308">HYPERLINK("https://12go.asia/en/travel/Heraklion-Airport/Karteros-Hotel-Transfer", "12Go Link")</f>
        <v>12Go Link</v>
      </c>
      <c r="E2005" s="2" t="s">
        <v>1587</v>
      </c>
    </row>
    <row r="2006">
      <c r="A2006" s="2" t="s">
        <v>1590</v>
      </c>
      <c r="B2006" s="2" t="s">
        <v>1750</v>
      </c>
      <c r="C2006" s="2" t="s">
        <v>1982</v>
      </c>
      <c r="D2006" s="3" t="str">
        <f t="shared" si="308"/>
        <v>12Go Link</v>
      </c>
      <c r="E2006" s="2" t="s">
        <v>1588</v>
      </c>
    </row>
    <row r="2007">
      <c r="A2007" s="2" t="s">
        <v>1590</v>
      </c>
      <c r="B2007" s="2" t="s">
        <v>1750</v>
      </c>
      <c r="C2007" s="2" t="s">
        <v>1982</v>
      </c>
      <c r="D2007" s="3" t="str">
        <f t="shared" si="308"/>
        <v>12Go Link</v>
      </c>
      <c r="E2007" s="2" t="s">
        <v>1589</v>
      </c>
    </row>
    <row r="2008">
      <c r="A2008" s="2" t="s">
        <v>1590</v>
      </c>
      <c r="B2008" s="2" t="s">
        <v>1752</v>
      </c>
      <c r="C2008" s="2" t="s">
        <v>1983</v>
      </c>
      <c r="D2008" s="3" t="str">
        <f t="shared" ref="D2008:D2010" si="309">HYPERLINK("https://12go.asia/en/travel/Heraklion-Airport/Kato-Gouves-Hotel-Transfer", "12Go Link")</f>
        <v>12Go Link</v>
      </c>
      <c r="E2008" s="2" t="s">
        <v>1587</v>
      </c>
    </row>
    <row r="2009">
      <c r="A2009" s="2" t="s">
        <v>1590</v>
      </c>
      <c r="B2009" s="2" t="s">
        <v>1752</v>
      </c>
      <c r="C2009" s="2" t="s">
        <v>1983</v>
      </c>
      <c r="D2009" s="3" t="str">
        <f t="shared" si="309"/>
        <v>12Go Link</v>
      </c>
      <c r="E2009" s="2" t="s">
        <v>1588</v>
      </c>
    </row>
    <row r="2010">
      <c r="A2010" s="2" t="s">
        <v>1590</v>
      </c>
      <c r="B2010" s="2" t="s">
        <v>1752</v>
      </c>
      <c r="C2010" s="2" t="s">
        <v>1983</v>
      </c>
      <c r="D2010" s="3" t="str">
        <f t="shared" si="309"/>
        <v>12Go Link</v>
      </c>
      <c r="E2010" s="2" t="s">
        <v>1589</v>
      </c>
    </row>
    <row r="2011">
      <c r="A2011" s="2" t="s">
        <v>1590</v>
      </c>
      <c r="B2011" s="2" t="s">
        <v>1754</v>
      </c>
      <c r="C2011" s="2" t="s">
        <v>1984</v>
      </c>
      <c r="D2011" s="3" t="str">
        <f t="shared" ref="D2011:D2013" si="310">HYPERLINK("https://12go.asia/en/travel/Heraklion-Airport/Katsikia-Hotel-Transfer", "12Go Link")</f>
        <v>12Go Link</v>
      </c>
      <c r="E2011" s="2" t="s">
        <v>1587</v>
      </c>
    </row>
    <row r="2012">
      <c r="A2012" s="2" t="s">
        <v>1590</v>
      </c>
      <c r="B2012" s="2" t="s">
        <v>1754</v>
      </c>
      <c r="C2012" s="2" t="s">
        <v>1984</v>
      </c>
      <c r="D2012" s="3" t="str">
        <f t="shared" si="310"/>
        <v>12Go Link</v>
      </c>
      <c r="E2012" s="2" t="s">
        <v>1588</v>
      </c>
    </row>
    <row r="2013">
      <c r="A2013" s="2" t="s">
        <v>1590</v>
      </c>
      <c r="B2013" s="2" t="s">
        <v>1754</v>
      </c>
      <c r="C2013" s="2" t="s">
        <v>1984</v>
      </c>
      <c r="D2013" s="3" t="str">
        <f t="shared" si="310"/>
        <v>12Go Link</v>
      </c>
      <c r="E2013" s="2" t="s">
        <v>1589</v>
      </c>
    </row>
    <row r="2014">
      <c r="A2014" s="2" t="s">
        <v>1590</v>
      </c>
      <c r="B2014" s="2" t="s">
        <v>1756</v>
      </c>
      <c r="C2014" s="2" t="s">
        <v>1985</v>
      </c>
      <c r="D2014" s="3" t="str">
        <f t="shared" ref="D2014:D2016" si="311">HYPERLINK("https://12go.asia/en/travel/Heraklion-Airport/Kefalas-Hotel-Transfer", "12Go Link")</f>
        <v>12Go Link</v>
      </c>
      <c r="E2014" s="2" t="s">
        <v>1587</v>
      </c>
    </row>
    <row r="2015">
      <c r="A2015" s="2" t="s">
        <v>1590</v>
      </c>
      <c r="B2015" s="2" t="s">
        <v>1756</v>
      </c>
      <c r="C2015" s="2" t="s">
        <v>1985</v>
      </c>
      <c r="D2015" s="3" t="str">
        <f t="shared" si="311"/>
        <v>12Go Link</v>
      </c>
      <c r="E2015" s="2" t="s">
        <v>1588</v>
      </c>
    </row>
    <row r="2016">
      <c r="A2016" s="2" t="s">
        <v>1590</v>
      </c>
      <c r="B2016" s="2" t="s">
        <v>1756</v>
      </c>
      <c r="C2016" s="2" t="s">
        <v>1985</v>
      </c>
      <c r="D2016" s="3" t="str">
        <f t="shared" si="311"/>
        <v>12Go Link</v>
      </c>
      <c r="E2016" s="2" t="s">
        <v>1589</v>
      </c>
    </row>
    <row r="2017">
      <c r="A2017" s="2" t="s">
        <v>1590</v>
      </c>
      <c r="B2017" s="2" t="s">
        <v>1758</v>
      </c>
      <c r="C2017" s="2" t="s">
        <v>1986</v>
      </c>
      <c r="D2017" s="3" t="str">
        <f t="shared" ref="D2017:D2019" si="312">HYPERLINK("https://12go.asia/en/travel/Heraklion-Airport/Keratokampos-Hotel-Transfer", "12Go Link")</f>
        <v>12Go Link</v>
      </c>
      <c r="E2017" s="2" t="s">
        <v>1587</v>
      </c>
    </row>
    <row r="2018">
      <c r="A2018" s="2" t="s">
        <v>1590</v>
      </c>
      <c r="B2018" s="2" t="s">
        <v>1758</v>
      </c>
      <c r="C2018" s="2" t="s">
        <v>1986</v>
      </c>
      <c r="D2018" s="3" t="str">
        <f t="shared" si="312"/>
        <v>12Go Link</v>
      </c>
      <c r="E2018" s="2" t="s">
        <v>1588</v>
      </c>
    </row>
    <row r="2019">
      <c r="A2019" s="2" t="s">
        <v>1590</v>
      </c>
      <c r="B2019" s="2" t="s">
        <v>1758</v>
      </c>
      <c r="C2019" s="2" t="s">
        <v>1986</v>
      </c>
      <c r="D2019" s="3" t="str">
        <f t="shared" si="312"/>
        <v>12Go Link</v>
      </c>
      <c r="E2019" s="2" t="s">
        <v>1589</v>
      </c>
    </row>
    <row r="2020">
      <c r="A2020" s="2" t="s">
        <v>1590</v>
      </c>
      <c r="B2020" s="2" t="s">
        <v>1760</v>
      </c>
      <c r="C2020" s="2" t="s">
        <v>1987</v>
      </c>
      <c r="D2020" s="3" t="str">
        <f t="shared" ref="D2020:D2022" si="313">HYPERLINK("https://12go.asia/en/travel/Heraklion-Airport/Kissamos-Hotel-Transfer", "12Go Link")</f>
        <v>12Go Link</v>
      </c>
      <c r="E2020" s="2" t="s">
        <v>1587</v>
      </c>
    </row>
    <row r="2021">
      <c r="A2021" s="2" t="s">
        <v>1590</v>
      </c>
      <c r="B2021" s="2" t="s">
        <v>1760</v>
      </c>
      <c r="C2021" s="2" t="s">
        <v>1987</v>
      </c>
      <c r="D2021" s="3" t="str">
        <f t="shared" si="313"/>
        <v>12Go Link</v>
      </c>
      <c r="E2021" s="2" t="s">
        <v>1588</v>
      </c>
    </row>
    <row r="2022">
      <c r="A2022" s="2" t="s">
        <v>1590</v>
      </c>
      <c r="B2022" s="2" t="s">
        <v>1760</v>
      </c>
      <c r="C2022" s="2" t="s">
        <v>1987</v>
      </c>
      <c r="D2022" s="3" t="str">
        <f t="shared" si="313"/>
        <v>12Go Link</v>
      </c>
      <c r="E2022" s="2" t="s">
        <v>1589</v>
      </c>
    </row>
    <row r="2023">
      <c r="A2023" s="2" t="s">
        <v>1590</v>
      </c>
      <c r="B2023" s="2" t="s">
        <v>1762</v>
      </c>
      <c r="C2023" s="2" t="s">
        <v>1988</v>
      </c>
      <c r="D2023" s="3" t="str">
        <f t="shared" ref="D2023:D2025" si="314">HYPERLINK("https://12go.asia/en/travel/Heraklion-Airport/Knossos-Hotel-Transfer", "12Go Link")</f>
        <v>12Go Link</v>
      </c>
      <c r="E2023" s="2" t="s">
        <v>1587</v>
      </c>
    </row>
    <row r="2024">
      <c r="A2024" s="2" t="s">
        <v>1590</v>
      </c>
      <c r="B2024" s="2" t="s">
        <v>1762</v>
      </c>
      <c r="C2024" s="2" t="s">
        <v>1988</v>
      </c>
      <c r="D2024" s="3" t="str">
        <f t="shared" si="314"/>
        <v>12Go Link</v>
      </c>
      <c r="E2024" s="2" t="s">
        <v>1588</v>
      </c>
    </row>
    <row r="2025">
      <c r="A2025" s="2" t="s">
        <v>1590</v>
      </c>
      <c r="B2025" s="2" t="s">
        <v>1762</v>
      </c>
      <c r="C2025" s="2" t="s">
        <v>1988</v>
      </c>
      <c r="D2025" s="3" t="str">
        <f t="shared" si="314"/>
        <v>12Go Link</v>
      </c>
      <c r="E2025" s="2" t="s">
        <v>1589</v>
      </c>
    </row>
    <row r="2026">
      <c r="A2026" s="2" t="s">
        <v>1590</v>
      </c>
      <c r="B2026" s="2" t="s">
        <v>1764</v>
      </c>
      <c r="C2026" s="2" t="s">
        <v>1989</v>
      </c>
      <c r="D2026" s="3" t="str">
        <f t="shared" ref="D2026:D2028" si="315">HYPERLINK("https://12go.asia/en/travel/Heraklion-Airport/Kokkini-Hani-Hotel-Transfer", "12Go Link")</f>
        <v>12Go Link</v>
      </c>
      <c r="E2026" s="2" t="s">
        <v>1587</v>
      </c>
    </row>
    <row r="2027">
      <c r="A2027" s="2" t="s">
        <v>1590</v>
      </c>
      <c r="B2027" s="2" t="s">
        <v>1764</v>
      </c>
      <c r="C2027" s="2" t="s">
        <v>1989</v>
      </c>
      <c r="D2027" s="3" t="str">
        <f t="shared" si="315"/>
        <v>12Go Link</v>
      </c>
      <c r="E2027" s="2" t="s">
        <v>1588</v>
      </c>
    </row>
    <row r="2028">
      <c r="A2028" s="2" t="s">
        <v>1590</v>
      </c>
      <c r="B2028" s="2" t="s">
        <v>1764</v>
      </c>
      <c r="C2028" s="2" t="s">
        <v>1989</v>
      </c>
      <c r="D2028" s="3" t="str">
        <f t="shared" si="315"/>
        <v>12Go Link</v>
      </c>
      <c r="E2028" s="2" t="s">
        <v>1589</v>
      </c>
    </row>
    <row r="2029">
      <c r="A2029" s="2" t="s">
        <v>1590</v>
      </c>
      <c r="B2029" s="2" t="s">
        <v>1766</v>
      </c>
      <c r="C2029" s="2" t="s">
        <v>1990</v>
      </c>
      <c r="D2029" s="3" t="str">
        <f t="shared" ref="D2029:D2031" si="316">HYPERLINK("https://12go.asia/en/travel/Heraklion-Airport/Kokkino-Chorio-Hotel-Transfer", "12Go Link")</f>
        <v>12Go Link</v>
      </c>
      <c r="E2029" s="2" t="s">
        <v>1587</v>
      </c>
    </row>
    <row r="2030">
      <c r="A2030" s="2" t="s">
        <v>1590</v>
      </c>
      <c r="B2030" s="2" t="s">
        <v>1766</v>
      </c>
      <c r="C2030" s="2" t="s">
        <v>1990</v>
      </c>
      <c r="D2030" s="3" t="str">
        <f t="shared" si="316"/>
        <v>12Go Link</v>
      </c>
      <c r="E2030" s="2" t="s">
        <v>1588</v>
      </c>
    </row>
    <row r="2031">
      <c r="A2031" s="2" t="s">
        <v>1590</v>
      </c>
      <c r="B2031" s="2" t="s">
        <v>1766</v>
      </c>
      <c r="C2031" s="2" t="s">
        <v>1990</v>
      </c>
      <c r="D2031" s="3" t="str">
        <f t="shared" si="316"/>
        <v>12Go Link</v>
      </c>
      <c r="E2031" s="2" t="s">
        <v>1589</v>
      </c>
    </row>
    <row r="2032">
      <c r="A2032" s="2" t="s">
        <v>1590</v>
      </c>
      <c r="B2032" s="2" t="s">
        <v>1768</v>
      </c>
      <c r="C2032" s="2" t="s">
        <v>1991</v>
      </c>
      <c r="D2032" s="3" t="str">
        <f t="shared" ref="D2032:D2034" si="317">HYPERLINK("https://12go.asia/en/travel/Heraklion-Airport/Kokkinos-Pirgos-Hotel-Transfer", "12Go Link")</f>
        <v>12Go Link</v>
      </c>
      <c r="E2032" s="2" t="s">
        <v>1587</v>
      </c>
    </row>
    <row r="2033">
      <c r="A2033" s="2" t="s">
        <v>1590</v>
      </c>
      <c r="B2033" s="2" t="s">
        <v>1768</v>
      </c>
      <c r="C2033" s="2" t="s">
        <v>1991</v>
      </c>
      <c r="D2033" s="3" t="str">
        <f t="shared" si="317"/>
        <v>12Go Link</v>
      </c>
      <c r="E2033" s="2" t="s">
        <v>1588</v>
      </c>
    </row>
    <row r="2034">
      <c r="A2034" s="2" t="s">
        <v>1590</v>
      </c>
      <c r="B2034" s="2" t="s">
        <v>1768</v>
      </c>
      <c r="C2034" s="2" t="s">
        <v>1991</v>
      </c>
      <c r="D2034" s="3" t="str">
        <f t="shared" si="317"/>
        <v>12Go Link</v>
      </c>
      <c r="E2034" s="2" t="s">
        <v>1589</v>
      </c>
    </row>
    <row r="2035">
      <c r="A2035" s="2" t="s">
        <v>1590</v>
      </c>
      <c r="B2035" s="2" t="s">
        <v>1770</v>
      </c>
      <c r="C2035" s="2" t="s">
        <v>1992</v>
      </c>
      <c r="D2035" s="3" t="str">
        <f t="shared" ref="D2035:D2037" si="318">HYPERLINK("https://12go.asia/en/travel/Heraklion-Airport/Kolymvari-Hotel-Transfer", "12Go Link")</f>
        <v>12Go Link</v>
      </c>
      <c r="E2035" s="2" t="s">
        <v>1587</v>
      </c>
    </row>
    <row r="2036">
      <c r="A2036" s="2" t="s">
        <v>1590</v>
      </c>
      <c r="B2036" s="2" t="s">
        <v>1770</v>
      </c>
      <c r="C2036" s="2" t="s">
        <v>1992</v>
      </c>
      <c r="D2036" s="3" t="str">
        <f t="shared" si="318"/>
        <v>12Go Link</v>
      </c>
      <c r="E2036" s="2" t="s">
        <v>1588</v>
      </c>
    </row>
    <row r="2037">
      <c r="A2037" s="2" t="s">
        <v>1590</v>
      </c>
      <c r="B2037" s="2" t="s">
        <v>1770</v>
      </c>
      <c r="C2037" s="2" t="s">
        <v>1992</v>
      </c>
      <c r="D2037" s="3" t="str">
        <f t="shared" si="318"/>
        <v>12Go Link</v>
      </c>
      <c r="E2037" s="2" t="s">
        <v>1589</v>
      </c>
    </row>
    <row r="2038">
      <c r="A2038" s="2" t="s">
        <v>1590</v>
      </c>
      <c r="B2038" s="2" t="s">
        <v>1772</v>
      </c>
      <c r="C2038" s="2" t="s">
        <v>1993</v>
      </c>
      <c r="D2038" s="3" t="str">
        <f t="shared" ref="D2038:D2040" si="319">HYPERLINK("https://12go.asia/en/travel/Heraklion-Airport/Koutouloufari-Hotel-Transfer", "12Go Link")</f>
        <v>12Go Link</v>
      </c>
      <c r="E2038" s="2" t="s">
        <v>1587</v>
      </c>
    </row>
    <row r="2039">
      <c r="A2039" s="2" t="s">
        <v>1590</v>
      </c>
      <c r="B2039" s="2" t="s">
        <v>1772</v>
      </c>
      <c r="C2039" s="2" t="s">
        <v>1993</v>
      </c>
      <c r="D2039" s="3" t="str">
        <f t="shared" si="319"/>
        <v>12Go Link</v>
      </c>
      <c r="E2039" s="2" t="s">
        <v>1588</v>
      </c>
    </row>
    <row r="2040">
      <c r="A2040" s="2" t="s">
        <v>1590</v>
      </c>
      <c r="B2040" s="2" t="s">
        <v>1772</v>
      </c>
      <c r="C2040" s="2" t="s">
        <v>1993</v>
      </c>
      <c r="D2040" s="3" t="str">
        <f t="shared" si="319"/>
        <v>12Go Link</v>
      </c>
      <c r="E2040" s="2" t="s">
        <v>1589</v>
      </c>
    </row>
    <row r="2041">
      <c r="A2041" s="2" t="s">
        <v>1590</v>
      </c>
      <c r="B2041" s="2" t="s">
        <v>1774</v>
      </c>
      <c r="C2041" s="2" t="s">
        <v>1994</v>
      </c>
      <c r="D2041" s="3" t="str">
        <f t="shared" ref="D2041:D2043" si="320">HYPERLINK("https://12go.asia/en/travel/Heraklion-Airport/Koutsounari-Hotel-Transfer", "12Go Link")</f>
        <v>12Go Link</v>
      </c>
      <c r="E2041" s="2" t="s">
        <v>1587</v>
      </c>
    </row>
    <row r="2042">
      <c r="A2042" s="2" t="s">
        <v>1590</v>
      </c>
      <c r="B2042" s="2" t="s">
        <v>1774</v>
      </c>
      <c r="C2042" s="2" t="s">
        <v>1994</v>
      </c>
      <c r="D2042" s="3" t="str">
        <f t="shared" si="320"/>
        <v>12Go Link</v>
      </c>
      <c r="E2042" s="2" t="s">
        <v>1588</v>
      </c>
    </row>
    <row r="2043">
      <c r="A2043" s="2" t="s">
        <v>1590</v>
      </c>
      <c r="B2043" s="2" t="s">
        <v>1774</v>
      </c>
      <c r="C2043" s="2" t="s">
        <v>1994</v>
      </c>
      <c r="D2043" s="3" t="str">
        <f t="shared" si="320"/>
        <v>12Go Link</v>
      </c>
      <c r="E2043" s="2" t="s">
        <v>1589</v>
      </c>
    </row>
    <row r="2044">
      <c r="A2044" s="2" t="s">
        <v>1590</v>
      </c>
      <c r="B2044" s="2" t="s">
        <v>1776</v>
      </c>
      <c r="C2044" s="2" t="s">
        <v>1995</v>
      </c>
      <c r="D2044" s="3" t="str">
        <f t="shared" ref="D2044:D2046" si="321">HYPERLINK("https://12go.asia/en/travel/Heraklion-Airport/Lavris-Hotel-Transfer", "12Go Link")</f>
        <v>12Go Link</v>
      </c>
      <c r="E2044" s="2" t="s">
        <v>1587</v>
      </c>
    </row>
    <row r="2045">
      <c r="A2045" s="2" t="s">
        <v>1590</v>
      </c>
      <c r="B2045" s="2" t="s">
        <v>1776</v>
      </c>
      <c r="C2045" s="2" t="s">
        <v>1995</v>
      </c>
      <c r="D2045" s="3" t="str">
        <f t="shared" si="321"/>
        <v>12Go Link</v>
      </c>
      <c r="E2045" s="2" t="s">
        <v>1588</v>
      </c>
    </row>
    <row r="2046">
      <c r="A2046" s="2" t="s">
        <v>1590</v>
      </c>
      <c r="B2046" s="2" t="s">
        <v>1776</v>
      </c>
      <c r="C2046" s="2" t="s">
        <v>1995</v>
      </c>
      <c r="D2046" s="3" t="str">
        <f t="shared" si="321"/>
        <v>12Go Link</v>
      </c>
      <c r="E2046" s="2" t="s">
        <v>1589</v>
      </c>
    </row>
    <row r="2047">
      <c r="A2047" s="2" t="s">
        <v>1590</v>
      </c>
      <c r="B2047" s="2" t="s">
        <v>1778</v>
      </c>
      <c r="C2047" s="2" t="s">
        <v>1996</v>
      </c>
      <c r="D2047" s="3" t="str">
        <f t="shared" ref="D2047:D2049" si="322">HYPERLINK("https://12go.asia/en/travel/Heraklion-Airport/Lentas-Hotel-Transfer", "12Go Link")</f>
        <v>12Go Link</v>
      </c>
      <c r="E2047" s="2" t="s">
        <v>1587</v>
      </c>
    </row>
    <row r="2048">
      <c r="A2048" s="2" t="s">
        <v>1590</v>
      </c>
      <c r="B2048" s="2" t="s">
        <v>1778</v>
      </c>
      <c r="C2048" s="2" t="s">
        <v>1996</v>
      </c>
      <c r="D2048" s="3" t="str">
        <f t="shared" si="322"/>
        <v>12Go Link</v>
      </c>
      <c r="E2048" s="2" t="s">
        <v>1588</v>
      </c>
    </row>
    <row r="2049">
      <c r="A2049" s="2" t="s">
        <v>1590</v>
      </c>
      <c r="B2049" s="2" t="s">
        <v>1778</v>
      </c>
      <c r="C2049" s="2" t="s">
        <v>1996</v>
      </c>
      <c r="D2049" s="3" t="str">
        <f t="shared" si="322"/>
        <v>12Go Link</v>
      </c>
      <c r="E2049" s="2" t="s">
        <v>1589</v>
      </c>
    </row>
    <row r="2050">
      <c r="A2050" s="2" t="s">
        <v>1590</v>
      </c>
      <c r="B2050" s="2" t="s">
        <v>1780</v>
      </c>
      <c r="C2050" s="2" t="s">
        <v>1997</v>
      </c>
      <c r="D2050" s="3" t="str">
        <f t="shared" ref="D2050:D2052" si="323">HYPERLINK("https://12go.asia/en/travel/Heraklion-Airport/Ligaria-Hotel-Transfer", "12Go Link")</f>
        <v>12Go Link</v>
      </c>
      <c r="E2050" s="2" t="s">
        <v>1587</v>
      </c>
    </row>
    <row r="2051">
      <c r="A2051" s="2" t="s">
        <v>1590</v>
      </c>
      <c r="B2051" s="2" t="s">
        <v>1780</v>
      </c>
      <c r="C2051" s="2" t="s">
        <v>1997</v>
      </c>
      <c r="D2051" s="3" t="str">
        <f t="shared" si="323"/>
        <v>12Go Link</v>
      </c>
      <c r="E2051" s="2" t="s">
        <v>1588</v>
      </c>
    </row>
    <row r="2052">
      <c r="A2052" s="2" t="s">
        <v>1590</v>
      </c>
      <c r="B2052" s="2" t="s">
        <v>1780</v>
      </c>
      <c r="C2052" s="2" t="s">
        <v>1997</v>
      </c>
      <c r="D2052" s="3" t="str">
        <f t="shared" si="323"/>
        <v>12Go Link</v>
      </c>
      <c r="E2052" s="2" t="s">
        <v>1589</v>
      </c>
    </row>
    <row r="2053">
      <c r="A2053" s="2" t="s">
        <v>1590</v>
      </c>
      <c r="B2053" s="2" t="s">
        <v>1782</v>
      </c>
      <c r="C2053" s="2" t="s">
        <v>1998</v>
      </c>
      <c r="D2053" s="3" t="str">
        <f t="shared" ref="D2053:D2055" si="324">HYPERLINK("https://12go.asia/en/travel/Heraklion-Airport/Linoperamata-Hotel-Transfer", "12Go Link")</f>
        <v>12Go Link</v>
      </c>
      <c r="E2053" s="2" t="s">
        <v>1587</v>
      </c>
    </row>
    <row r="2054">
      <c r="A2054" s="2" t="s">
        <v>1590</v>
      </c>
      <c r="B2054" s="2" t="s">
        <v>1782</v>
      </c>
      <c r="C2054" s="2" t="s">
        <v>1998</v>
      </c>
      <c r="D2054" s="3" t="str">
        <f t="shared" si="324"/>
        <v>12Go Link</v>
      </c>
      <c r="E2054" s="2" t="s">
        <v>1588</v>
      </c>
    </row>
    <row r="2055">
      <c r="A2055" s="2" t="s">
        <v>1590</v>
      </c>
      <c r="B2055" s="2" t="s">
        <v>1782</v>
      </c>
      <c r="C2055" s="2" t="s">
        <v>1998</v>
      </c>
      <c r="D2055" s="3" t="str">
        <f t="shared" si="324"/>
        <v>12Go Link</v>
      </c>
      <c r="E2055" s="2" t="s">
        <v>1589</v>
      </c>
    </row>
    <row r="2056">
      <c r="A2056" s="2" t="s">
        <v>1590</v>
      </c>
      <c r="B2056" s="2" t="s">
        <v>1784</v>
      </c>
      <c r="C2056" s="2" t="s">
        <v>1999</v>
      </c>
      <c r="D2056" s="3" t="str">
        <f t="shared" ref="D2056:D2058" si="325">HYPERLINK("https://12go.asia/en/travel/Heraklion-Airport/Magnisia-Hotel-Transfer", "12Go Link")</f>
        <v>12Go Link</v>
      </c>
      <c r="E2056" s="2" t="s">
        <v>1587</v>
      </c>
    </row>
    <row r="2057">
      <c r="A2057" s="2" t="s">
        <v>1590</v>
      </c>
      <c r="B2057" s="2" t="s">
        <v>1784</v>
      </c>
      <c r="C2057" s="2" t="s">
        <v>1999</v>
      </c>
      <c r="D2057" s="3" t="str">
        <f t="shared" si="325"/>
        <v>12Go Link</v>
      </c>
      <c r="E2057" s="2" t="s">
        <v>1588</v>
      </c>
    </row>
    <row r="2058">
      <c r="A2058" s="2" t="s">
        <v>1590</v>
      </c>
      <c r="B2058" s="2" t="s">
        <v>1784</v>
      </c>
      <c r="C2058" s="2" t="s">
        <v>1999</v>
      </c>
      <c r="D2058" s="3" t="str">
        <f t="shared" si="325"/>
        <v>12Go Link</v>
      </c>
      <c r="E2058" s="2" t="s">
        <v>1589</v>
      </c>
    </row>
    <row r="2059">
      <c r="A2059" s="2" t="s">
        <v>1590</v>
      </c>
      <c r="B2059" s="2" t="s">
        <v>1786</v>
      </c>
      <c r="C2059" s="2" t="s">
        <v>2000</v>
      </c>
      <c r="D2059" s="3" t="str">
        <f t="shared" ref="D2059:D2061" si="326">HYPERLINK("https://12go.asia/en/travel/Heraklion-Airport/Makry-Gialos-Hotel-Transfer", "12Go Link")</f>
        <v>12Go Link</v>
      </c>
      <c r="E2059" s="2" t="s">
        <v>1587</v>
      </c>
    </row>
    <row r="2060">
      <c r="A2060" s="2" t="s">
        <v>1590</v>
      </c>
      <c r="B2060" s="2" t="s">
        <v>1786</v>
      </c>
      <c r="C2060" s="2" t="s">
        <v>2000</v>
      </c>
      <c r="D2060" s="3" t="str">
        <f t="shared" si="326"/>
        <v>12Go Link</v>
      </c>
      <c r="E2060" s="2" t="s">
        <v>1588</v>
      </c>
    </row>
    <row r="2061">
      <c r="A2061" s="2" t="s">
        <v>1590</v>
      </c>
      <c r="B2061" s="2" t="s">
        <v>1786</v>
      </c>
      <c r="C2061" s="2" t="s">
        <v>2000</v>
      </c>
      <c r="D2061" s="3" t="str">
        <f t="shared" si="326"/>
        <v>12Go Link</v>
      </c>
      <c r="E2061" s="2" t="s">
        <v>1589</v>
      </c>
    </row>
    <row r="2062">
      <c r="A2062" s="2" t="s">
        <v>1590</v>
      </c>
      <c r="B2062" s="2" t="s">
        <v>1788</v>
      </c>
      <c r="C2062" s="2" t="s">
        <v>2001</v>
      </c>
      <c r="D2062" s="3" t="str">
        <f t="shared" ref="D2062:D2064" si="327">HYPERLINK("https://12go.asia/en/travel/Heraklion-Airport/Maleme-Hotel-Transfer", "12Go Link")</f>
        <v>12Go Link</v>
      </c>
      <c r="E2062" s="2" t="s">
        <v>1587</v>
      </c>
    </row>
    <row r="2063">
      <c r="A2063" s="2" t="s">
        <v>1590</v>
      </c>
      <c r="B2063" s="2" t="s">
        <v>1788</v>
      </c>
      <c r="C2063" s="2" t="s">
        <v>2001</v>
      </c>
      <c r="D2063" s="3" t="str">
        <f t="shared" si="327"/>
        <v>12Go Link</v>
      </c>
      <c r="E2063" s="2" t="s">
        <v>1588</v>
      </c>
    </row>
    <row r="2064">
      <c r="A2064" s="2" t="s">
        <v>1590</v>
      </c>
      <c r="B2064" s="2" t="s">
        <v>1788</v>
      </c>
      <c r="C2064" s="2" t="s">
        <v>2001</v>
      </c>
      <c r="D2064" s="3" t="str">
        <f t="shared" si="327"/>
        <v>12Go Link</v>
      </c>
      <c r="E2064" s="2" t="s">
        <v>1589</v>
      </c>
    </row>
    <row r="2065">
      <c r="A2065" s="2" t="s">
        <v>1590</v>
      </c>
      <c r="B2065" s="2" t="s">
        <v>1790</v>
      </c>
      <c r="C2065" s="2" t="s">
        <v>2002</v>
      </c>
      <c r="D2065" s="3" t="str">
        <f t="shared" ref="D2065:D2067" si="328">HYPERLINK("https://12go.asia/en/travel/Heraklion-Airport/Malia-Hotel-Transfer", "12Go Link")</f>
        <v>12Go Link</v>
      </c>
      <c r="E2065" s="2" t="s">
        <v>1587</v>
      </c>
    </row>
    <row r="2066">
      <c r="A2066" s="2" t="s">
        <v>1590</v>
      </c>
      <c r="B2066" s="2" t="s">
        <v>1790</v>
      </c>
      <c r="C2066" s="2" t="s">
        <v>2002</v>
      </c>
      <c r="D2066" s="3" t="str">
        <f t="shared" si="328"/>
        <v>12Go Link</v>
      </c>
      <c r="E2066" s="2" t="s">
        <v>1588</v>
      </c>
    </row>
    <row r="2067">
      <c r="A2067" s="2" t="s">
        <v>1590</v>
      </c>
      <c r="B2067" s="2" t="s">
        <v>1790</v>
      </c>
      <c r="C2067" s="2" t="s">
        <v>2002</v>
      </c>
      <c r="D2067" s="3" t="str">
        <f t="shared" si="328"/>
        <v>12Go Link</v>
      </c>
      <c r="E2067" s="2" t="s">
        <v>1589</v>
      </c>
    </row>
    <row r="2068">
      <c r="A2068" s="2" t="s">
        <v>1590</v>
      </c>
      <c r="B2068" s="2" t="s">
        <v>1792</v>
      </c>
      <c r="C2068" s="2" t="s">
        <v>2003</v>
      </c>
      <c r="D2068" s="3" t="str">
        <f t="shared" ref="D2068:D2070" si="329">HYPERLINK("https://12go.asia/en/travel/Heraklion-Airport/Marathi-Hotel-Transfer", "12Go Link")</f>
        <v>12Go Link</v>
      </c>
      <c r="E2068" s="2" t="s">
        <v>1587</v>
      </c>
    </row>
    <row r="2069">
      <c r="A2069" s="2" t="s">
        <v>1590</v>
      </c>
      <c r="B2069" s="2" t="s">
        <v>1792</v>
      </c>
      <c r="C2069" s="2" t="s">
        <v>2003</v>
      </c>
      <c r="D2069" s="3" t="str">
        <f t="shared" si="329"/>
        <v>12Go Link</v>
      </c>
      <c r="E2069" s="2" t="s">
        <v>1588</v>
      </c>
    </row>
    <row r="2070">
      <c r="A2070" s="2" t="s">
        <v>1590</v>
      </c>
      <c r="B2070" s="2" t="s">
        <v>1792</v>
      </c>
      <c r="C2070" s="2" t="s">
        <v>2003</v>
      </c>
      <c r="D2070" s="3" t="str">
        <f t="shared" si="329"/>
        <v>12Go Link</v>
      </c>
      <c r="E2070" s="2" t="s">
        <v>1589</v>
      </c>
    </row>
    <row r="2071">
      <c r="A2071" s="2" t="s">
        <v>1590</v>
      </c>
      <c r="B2071" s="2" t="s">
        <v>1794</v>
      </c>
      <c r="C2071" s="2" t="s">
        <v>2004</v>
      </c>
      <c r="D2071" s="3" t="str">
        <f t="shared" ref="D2071:D2073" si="330">HYPERLINK("https://12go.asia/en/travel/Heraklion-Airport/Matala-Hotel-Transfer", "12Go Link")</f>
        <v>12Go Link</v>
      </c>
      <c r="E2071" s="2" t="s">
        <v>1587</v>
      </c>
    </row>
    <row r="2072">
      <c r="A2072" s="2" t="s">
        <v>1590</v>
      </c>
      <c r="B2072" s="2" t="s">
        <v>1794</v>
      </c>
      <c r="C2072" s="2" t="s">
        <v>2004</v>
      </c>
      <c r="D2072" s="3" t="str">
        <f t="shared" si="330"/>
        <v>12Go Link</v>
      </c>
      <c r="E2072" s="2" t="s">
        <v>1588</v>
      </c>
    </row>
    <row r="2073">
      <c r="A2073" s="2" t="s">
        <v>1590</v>
      </c>
      <c r="B2073" s="2" t="s">
        <v>1794</v>
      </c>
      <c r="C2073" s="2" t="s">
        <v>2004</v>
      </c>
      <c r="D2073" s="3" t="str">
        <f t="shared" si="330"/>
        <v>12Go Link</v>
      </c>
      <c r="E2073" s="2" t="s">
        <v>1589</v>
      </c>
    </row>
    <row r="2074">
      <c r="A2074" s="2" t="s">
        <v>1590</v>
      </c>
      <c r="B2074" s="2" t="s">
        <v>1796</v>
      </c>
      <c r="C2074" s="2" t="s">
        <v>2005</v>
      </c>
      <c r="D2074" s="3" t="str">
        <f t="shared" ref="D2074:D2076" si="331">HYPERLINK("https://12go.asia/en/travel/Heraklion-Airport/Milatos-Hotel-Transfer", "12Go Link")</f>
        <v>12Go Link</v>
      </c>
      <c r="E2074" s="2" t="s">
        <v>1587</v>
      </c>
    </row>
    <row r="2075">
      <c r="A2075" s="2" t="s">
        <v>1590</v>
      </c>
      <c r="B2075" s="2" t="s">
        <v>1796</v>
      </c>
      <c r="C2075" s="2" t="s">
        <v>2005</v>
      </c>
      <c r="D2075" s="3" t="str">
        <f t="shared" si="331"/>
        <v>12Go Link</v>
      </c>
      <c r="E2075" s="2" t="s">
        <v>1588</v>
      </c>
    </row>
    <row r="2076">
      <c r="A2076" s="2" t="s">
        <v>1590</v>
      </c>
      <c r="B2076" s="2" t="s">
        <v>1796</v>
      </c>
      <c r="C2076" s="2" t="s">
        <v>2005</v>
      </c>
      <c r="D2076" s="3" t="str">
        <f t="shared" si="331"/>
        <v>12Go Link</v>
      </c>
      <c r="E2076" s="2" t="s">
        <v>1589</v>
      </c>
    </row>
    <row r="2077">
      <c r="A2077" s="2" t="s">
        <v>1590</v>
      </c>
      <c r="B2077" s="2" t="s">
        <v>1798</v>
      </c>
      <c r="C2077" s="2" t="s">
        <v>2006</v>
      </c>
      <c r="D2077" s="3" t="str">
        <f t="shared" ref="D2077:D2079" si="332">HYPERLINK("https://12go.asia/en/travel/Heraklion-Airport/Mochlos-Hotel-Transfer", "12Go Link")</f>
        <v>12Go Link</v>
      </c>
      <c r="E2077" s="2" t="s">
        <v>1587</v>
      </c>
    </row>
    <row r="2078">
      <c r="A2078" s="2" t="s">
        <v>1590</v>
      </c>
      <c r="B2078" s="2" t="s">
        <v>1798</v>
      </c>
      <c r="C2078" s="2" t="s">
        <v>2006</v>
      </c>
      <c r="D2078" s="3" t="str">
        <f t="shared" si="332"/>
        <v>12Go Link</v>
      </c>
      <c r="E2078" s="2" t="s">
        <v>1588</v>
      </c>
    </row>
    <row r="2079">
      <c r="A2079" s="2" t="s">
        <v>1590</v>
      </c>
      <c r="B2079" s="2" t="s">
        <v>1798</v>
      </c>
      <c r="C2079" s="2" t="s">
        <v>2006</v>
      </c>
      <c r="D2079" s="3" t="str">
        <f t="shared" si="332"/>
        <v>12Go Link</v>
      </c>
      <c r="E2079" s="2" t="s">
        <v>1589</v>
      </c>
    </row>
    <row r="2080">
      <c r="A2080" s="2" t="s">
        <v>1590</v>
      </c>
      <c r="B2080" s="2" t="s">
        <v>1800</v>
      </c>
      <c r="C2080" s="2" t="s">
        <v>2007</v>
      </c>
      <c r="D2080" s="3" t="str">
        <f t="shared" ref="D2080:D2082" si="333">HYPERLINK("https://12go.asia/en/travel/Heraklion-Airport/Myrtos-Hotel-Transfer", "12Go Link")</f>
        <v>12Go Link</v>
      </c>
      <c r="E2080" s="2" t="s">
        <v>1587</v>
      </c>
    </row>
    <row r="2081">
      <c r="A2081" s="2" t="s">
        <v>1590</v>
      </c>
      <c r="B2081" s="2" t="s">
        <v>1800</v>
      </c>
      <c r="C2081" s="2" t="s">
        <v>2007</v>
      </c>
      <c r="D2081" s="3" t="str">
        <f t="shared" si="333"/>
        <v>12Go Link</v>
      </c>
      <c r="E2081" s="2" t="s">
        <v>1588</v>
      </c>
    </row>
    <row r="2082">
      <c r="A2082" s="2" t="s">
        <v>1590</v>
      </c>
      <c r="B2082" s="2" t="s">
        <v>1800</v>
      </c>
      <c r="C2082" s="2" t="s">
        <v>2007</v>
      </c>
      <c r="D2082" s="3" t="str">
        <f t="shared" si="333"/>
        <v>12Go Link</v>
      </c>
      <c r="E2082" s="2" t="s">
        <v>1589</v>
      </c>
    </row>
    <row r="2083">
      <c r="A2083" s="2" t="s">
        <v>1590</v>
      </c>
      <c r="B2083" s="2" t="s">
        <v>1802</v>
      </c>
      <c r="C2083" s="2" t="s">
        <v>2008</v>
      </c>
      <c r="D2083" s="3" t="str">
        <f t="shared" ref="D2083:D2085" si="334">HYPERLINK("https://12go.asia/en/travel/Heraklion-Airport/Neo-Chorio-Hotel-Transfer", "12Go Link")</f>
        <v>12Go Link</v>
      </c>
      <c r="E2083" s="2" t="s">
        <v>1587</v>
      </c>
    </row>
    <row r="2084">
      <c r="A2084" s="2" t="s">
        <v>1590</v>
      </c>
      <c r="B2084" s="2" t="s">
        <v>1802</v>
      </c>
      <c r="C2084" s="2" t="s">
        <v>2008</v>
      </c>
      <c r="D2084" s="3" t="str">
        <f t="shared" si="334"/>
        <v>12Go Link</v>
      </c>
      <c r="E2084" s="2" t="s">
        <v>1588</v>
      </c>
    </row>
    <row r="2085">
      <c r="A2085" s="2" t="s">
        <v>1590</v>
      </c>
      <c r="B2085" s="2" t="s">
        <v>1802</v>
      </c>
      <c r="C2085" s="2" t="s">
        <v>2008</v>
      </c>
      <c r="D2085" s="3" t="str">
        <f t="shared" si="334"/>
        <v>12Go Link</v>
      </c>
      <c r="E2085" s="2" t="s">
        <v>1589</v>
      </c>
    </row>
    <row r="2086">
      <c r="A2086" s="2" t="s">
        <v>1590</v>
      </c>
      <c r="B2086" s="2" t="s">
        <v>1804</v>
      </c>
      <c r="C2086" s="2" t="s">
        <v>2009</v>
      </c>
      <c r="D2086" s="3" t="str">
        <f t="shared" ref="D2086:D2088" si="335">HYPERLINK("https://12go.asia/en/travel/Heraklion-Airport/Omalos-Hotel-Transfer", "12Go Link")</f>
        <v>12Go Link</v>
      </c>
      <c r="E2086" s="2" t="s">
        <v>1587</v>
      </c>
    </row>
    <row r="2087">
      <c r="A2087" s="2" t="s">
        <v>1590</v>
      </c>
      <c r="B2087" s="2" t="s">
        <v>1804</v>
      </c>
      <c r="C2087" s="2" t="s">
        <v>2009</v>
      </c>
      <c r="D2087" s="3" t="str">
        <f t="shared" si="335"/>
        <v>12Go Link</v>
      </c>
      <c r="E2087" s="2" t="s">
        <v>1588</v>
      </c>
    </row>
    <row r="2088">
      <c r="A2088" s="2" t="s">
        <v>1590</v>
      </c>
      <c r="B2088" s="2" t="s">
        <v>1804</v>
      </c>
      <c r="C2088" s="2" t="s">
        <v>2009</v>
      </c>
      <c r="D2088" s="3" t="str">
        <f t="shared" si="335"/>
        <v>12Go Link</v>
      </c>
      <c r="E2088" s="2" t="s">
        <v>1589</v>
      </c>
    </row>
    <row r="2089">
      <c r="A2089" s="2" t="s">
        <v>1590</v>
      </c>
      <c r="B2089" s="2" t="s">
        <v>1806</v>
      </c>
      <c r="C2089" s="2" t="s">
        <v>2010</v>
      </c>
      <c r="D2089" s="3" t="str">
        <f t="shared" ref="D2089:D2091" si="336">HYPERLINK("https://12go.asia/en/travel/Heraklion-Airport/Pachia-Ammos-Hotel-Transfer", "12Go Link")</f>
        <v>12Go Link</v>
      </c>
      <c r="E2089" s="2" t="s">
        <v>1587</v>
      </c>
    </row>
    <row r="2090">
      <c r="A2090" s="2" t="s">
        <v>1590</v>
      </c>
      <c r="B2090" s="2" t="s">
        <v>1806</v>
      </c>
      <c r="C2090" s="2" t="s">
        <v>2010</v>
      </c>
      <c r="D2090" s="3" t="str">
        <f t="shared" si="336"/>
        <v>12Go Link</v>
      </c>
      <c r="E2090" s="2" t="s">
        <v>1588</v>
      </c>
    </row>
    <row r="2091">
      <c r="A2091" s="2" t="s">
        <v>1590</v>
      </c>
      <c r="B2091" s="2" t="s">
        <v>1806</v>
      </c>
      <c r="C2091" s="2" t="s">
        <v>2010</v>
      </c>
      <c r="D2091" s="3" t="str">
        <f t="shared" si="336"/>
        <v>12Go Link</v>
      </c>
      <c r="E2091" s="2" t="s">
        <v>1589</v>
      </c>
    </row>
    <row r="2092">
      <c r="A2092" s="2" t="s">
        <v>1590</v>
      </c>
      <c r="B2092" s="2" t="s">
        <v>1808</v>
      </c>
      <c r="C2092" s="2" t="s">
        <v>2011</v>
      </c>
      <c r="D2092" s="3" t="str">
        <f t="shared" ref="D2092:D2094" si="337">HYPERLINK("https://12go.asia/en/travel/Heraklion-Airport/Paleochora-Hotel-Transfer", "12Go Link")</f>
        <v>12Go Link</v>
      </c>
      <c r="E2092" s="2" t="s">
        <v>1587</v>
      </c>
    </row>
    <row r="2093">
      <c r="A2093" s="2" t="s">
        <v>1590</v>
      </c>
      <c r="B2093" s="2" t="s">
        <v>1808</v>
      </c>
      <c r="C2093" s="2" t="s">
        <v>2011</v>
      </c>
      <c r="D2093" s="3" t="str">
        <f t="shared" si="337"/>
        <v>12Go Link</v>
      </c>
      <c r="E2093" s="2" t="s">
        <v>1588</v>
      </c>
    </row>
    <row r="2094">
      <c r="A2094" s="2" t="s">
        <v>1590</v>
      </c>
      <c r="B2094" s="2" t="s">
        <v>1808</v>
      </c>
      <c r="C2094" s="2" t="s">
        <v>2011</v>
      </c>
      <c r="D2094" s="3" t="str">
        <f t="shared" si="337"/>
        <v>12Go Link</v>
      </c>
      <c r="E2094" s="2" t="s">
        <v>1589</v>
      </c>
    </row>
    <row r="2095">
      <c r="A2095" s="2" t="s">
        <v>1590</v>
      </c>
      <c r="B2095" s="2" t="s">
        <v>1810</v>
      </c>
      <c r="C2095" s="2" t="s">
        <v>2012</v>
      </c>
      <c r="D2095" s="3" t="str">
        <f t="shared" ref="D2095:D2097" si="338">HYPERLINK("https://12go.asia/en/travel/Heraklion-Airport/Panormos-in-Rethymno-Hotel-Transfer", "12Go Link")</f>
        <v>12Go Link</v>
      </c>
      <c r="E2095" s="2" t="s">
        <v>1587</v>
      </c>
    </row>
    <row r="2096">
      <c r="A2096" s="2" t="s">
        <v>1590</v>
      </c>
      <c r="B2096" s="2" t="s">
        <v>1810</v>
      </c>
      <c r="C2096" s="2" t="s">
        <v>2012</v>
      </c>
      <c r="D2096" s="3" t="str">
        <f t="shared" si="338"/>
        <v>12Go Link</v>
      </c>
      <c r="E2096" s="2" t="s">
        <v>1588</v>
      </c>
    </row>
    <row r="2097">
      <c r="A2097" s="2" t="s">
        <v>1590</v>
      </c>
      <c r="B2097" s="2" t="s">
        <v>1810</v>
      </c>
      <c r="C2097" s="2" t="s">
        <v>2012</v>
      </c>
      <c r="D2097" s="3" t="str">
        <f t="shared" si="338"/>
        <v>12Go Link</v>
      </c>
      <c r="E2097" s="2" t="s">
        <v>1589</v>
      </c>
    </row>
    <row r="2098">
      <c r="A2098" s="2" t="s">
        <v>1590</v>
      </c>
      <c r="B2098" s="2" t="s">
        <v>1812</v>
      </c>
      <c r="C2098" s="2" t="s">
        <v>2013</v>
      </c>
      <c r="D2098" s="3" t="str">
        <f t="shared" ref="D2098:D2100" si="339">HYPERLINK("https://12go.asia/en/travel/Heraklion-Airport/Paralia-Kourna-Hotel-Transfer", "12Go Link")</f>
        <v>12Go Link</v>
      </c>
      <c r="E2098" s="2" t="s">
        <v>1587</v>
      </c>
    </row>
    <row r="2099">
      <c r="A2099" s="2" t="s">
        <v>1590</v>
      </c>
      <c r="B2099" s="2" t="s">
        <v>1812</v>
      </c>
      <c r="C2099" s="2" t="s">
        <v>2013</v>
      </c>
      <c r="D2099" s="3" t="str">
        <f t="shared" si="339"/>
        <v>12Go Link</v>
      </c>
      <c r="E2099" s="2" t="s">
        <v>1588</v>
      </c>
    </row>
    <row r="2100">
      <c r="A2100" s="2" t="s">
        <v>1590</v>
      </c>
      <c r="B2100" s="2" t="s">
        <v>1812</v>
      </c>
      <c r="C2100" s="2" t="s">
        <v>2013</v>
      </c>
      <c r="D2100" s="3" t="str">
        <f t="shared" si="339"/>
        <v>12Go Link</v>
      </c>
      <c r="E2100" s="2" t="s">
        <v>1589</v>
      </c>
    </row>
    <row r="2101">
      <c r="A2101" s="2" t="s">
        <v>1590</v>
      </c>
      <c r="B2101" s="2" t="s">
        <v>1814</v>
      </c>
      <c r="C2101" s="2" t="s">
        <v>2014</v>
      </c>
      <c r="D2101" s="3" t="str">
        <f t="shared" ref="D2101:D2103" si="340">HYPERLINK("https://12go.asia/en/travel/Heraklion-Airport/Pigi-Hotel-Transfer", "12Go Link")</f>
        <v>12Go Link</v>
      </c>
      <c r="E2101" s="2" t="s">
        <v>1587</v>
      </c>
    </row>
    <row r="2102">
      <c r="A2102" s="2" t="s">
        <v>1590</v>
      </c>
      <c r="B2102" s="2" t="s">
        <v>1814</v>
      </c>
      <c r="C2102" s="2" t="s">
        <v>2014</v>
      </c>
      <c r="D2102" s="3" t="str">
        <f t="shared" si="340"/>
        <v>12Go Link</v>
      </c>
      <c r="E2102" s="2" t="s">
        <v>1588</v>
      </c>
    </row>
    <row r="2103">
      <c r="A2103" s="2" t="s">
        <v>1590</v>
      </c>
      <c r="B2103" s="2" t="s">
        <v>1814</v>
      </c>
      <c r="C2103" s="2" t="s">
        <v>2014</v>
      </c>
      <c r="D2103" s="3" t="str">
        <f t="shared" si="340"/>
        <v>12Go Link</v>
      </c>
      <c r="E2103" s="2" t="s">
        <v>1589</v>
      </c>
    </row>
    <row r="2104">
      <c r="A2104" s="2" t="s">
        <v>1590</v>
      </c>
      <c r="B2104" s="2" t="s">
        <v>1816</v>
      </c>
      <c r="C2104" s="2" t="s">
        <v>2015</v>
      </c>
      <c r="D2104" s="3" t="str">
        <f t="shared" ref="D2104:D2106" si="341">HYPERLINK("https://12go.asia/en/travel/Heraklion-Airport/Piskopiano-Hotel-Transfer", "12Go Link")</f>
        <v>12Go Link</v>
      </c>
      <c r="E2104" s="2" t="s">
        <v>1587</v>
      </c>
    </row>
    <row r="2105">
      <c r="A2105" s="2" t="s">
        <v>1590</v>
      </c>
      <c r="B2105" s="2" t="s">
        <v>1816</v>
      </c>
      <c r="C2105" s="2" t="s">
        <v>2015</v>
      </c>
      <c r="D2105" s="3" t="str">
        <f t="shared" si="341"/>
        <v>12Go Link</v>
      </c>
      <c r="E2105" s="2" t="s">
        <v>1588</v>
      </c>
    </row>
    <row r="2106">
      <c r="A2106" s="2" t="s">
        <v>1590</v>
      </c>
      <c r="B2106" s="2" t="s">
        <v>1816</v>
      </c>
      <c r="C2106" s="2" t="s">
        <v>2015</v>
      </c>
      <c r="D2106" s="3" t="str">
        <f t="shared" si="341"/>
        <v>12Go Link</v>
      </c>
      <c r="E2106" s="2" t="s">
        <v>1589</v>
      </c>
    </row>
    <row r="2107">
      <c r="A2107" s="2" t="s">
        <v>1590</v>
      </c>
      <c r="B2107" s="2" t="s">
        <v>1818</v>
      </c>
      <c r="C2107" s="2" t="s">
        <v>2016</v>
      </c>
      <c r="D2107" s="3" t="str">
        <f t="shared" ref="D2107:D2109" si="342">HYPERLINK("https://12go.asia/en/travel/Heraklion-Airport/Pitsidia-Hotel-Transfer", "12Go Link")</f>
        <v>12Go Link</v>
      </c>
      <c r="E2107" s="2" t="s">
        <v>1587</v>
      </c>
    </row>
    <row r="2108">
      <c r="A2108" s="2" t="s">
        <v>1590</v>
      </c>
      <c r="B2108" s="2" t="s">
        <v>1818</v>
      </c>
      <c r="C2108" s="2" t="s">
        <v>2016</v>
      </c>
      <c r="D2108" s="3" t="str">
        <f t="shared" si="342"/>
        <v>12Go Link</v>
      </c>
      <c r="E2108" s="2" t="s">
        <v>1588</v>
      </c>
    </row>
    <row r="2109">
      <c r="A2109" s="2" t="s">
        <v>1590</v>
      </c>
      <c r="B2109" s="2" t="s">
        <v>1818</v>
      </c>
      <c r="C2109" s="2" t="s">
        <v>2016</v>
      </c>
      <c r="D2109" s="3" t="str">
        <f t="shared" si="342"/>
        <v>12Go Link</v>
      </c>
      <c r="E2109" s="2" t="s">
        <v>1589</v>
      </c>
    </row>
    <row r="2110">
      <c r="A2110" s="2" t="s">
        <v>1590</v>
      </c>
      <c r="B2110" s="2" t="s">
        <v>1820</v>
      </c>
      <c r="C2110" s="2" t="s">
        <v>2017</v>
      </c>
      <c r="D2110" s="3" t="str">
        <f t="shared" ref="D2110:D2112" si="343">HYPERLINK("https://12go.asia/en/travel/Heraklion-Airport/Plaka-Chania-Hotel-Transfer", "12Go Link")</f>
        <v>12Go Link</v>
      </c>
      <c r="E2110" s="2" t="s">
        <v>1587</v>
      </c>
    </row>
    <row r="2111">
      <c r="A2111" s="2" t="s">
        <v>1590</v>
      </c>
      <c r="B2111" s="2" t="s">
        <v>1820</v>
      </c>
      <c r="C2111" s="2" t="s">
        <v>2017</v>
      </c>
      <c r="D2111" s="3" t="str">
        <f t="shared" si="343"/>
        <v>12Go Link</v>
      </c>
      <c r="E2111" s="2" t="s">
        <v>1588</v>
      </c>
    </row>
    <row r="2112">
      <c r="A2112" s="2" t="s">
        <v>1590</v>
      </c>
      <c r="B2112" s="2" t="s">
        <v>1820</v>
      </c>
      <c r="C2112" s="2" t="s">
        <v>2017</v>
      </c>
      <c r="D2112" s="3" t="str">
        <f t="shared" si="343"/>
        <v>12Go Link</v>
      </c>
      <c r="E2112" s="2" t="s">
        <v>1589</v>
      </c>
    </row>
    <row r="2113">
      <c r="A2113" s="2" t="s">
        <v>1590</v>
      </c>
      <c r="B2113" s="2" t="s">
        <v>1822</v>
      </c>
      <c r="C2113" s="2" t="s">
        <v>2018</v>
      </c>
      <c r="D2113" s="3" t="str">
        <f t="shared" ref="D2113:D2115" si="344">HYPERLINK("https://12go.asia/en/travel/Heraklion-Airport/Plaka-Hotel-Transfer", "12Go Link")</f>
        <v>12Go Link</v>
      </c>
      <c r="E2113" s="2" t="s">
        <v>1587</v>
      </c>
    </row>
    <row r="2114">
      <c r="A2114" s="2" t="s">
        <v>1590</v>
      </c>
      <c r="B2114" s="2" t="s">
        <v>1822</v>
      </c>
      <c r="C2114" s="2" t="s">
        <v>2018</v>
      </c>
      <c r="D2114" s="3" t="str">
        <f t="shared" si="344"/>
        <v>12Go Link</v>
      </c>
      <c r="E2114" s="2" t="s">
        <v>1588</v>
      </c>
    </row>
    <row r="2115">
      <c r="A2115" s="2" t="s">
        <v>1590</v>
      </c>
      <c r="B2115" s="2" t="s">
        <v>1822</v>
      </c>
      <c r="C2115" s="2" t="s">
        <v>2018</v>
      </c>
      <c r="D2115" s="3" t="str">
        <f t="shared" si="344"/>
        <v>12Go Link</v>
      </c>
      <c r="E2115" s="2" t="s">
        <v>1589</v>
      </c>
    </row>
    <row r="2116">
      <c r="A2116" s="2" t="s">
        <v>1590</v>
      </c>
      <c r="B2116" s="2" t="s">
        <v>1824</v>
      </c>
      <c r="C2116" s="2" t="s">
        <v>2019</v>
      </c>
      <c r="D2116" s="3" t="str">
        <f t="shared" ref="D2116:D2118" si="345">HYPERLINK("https://12go.asia/en/travel/Heraklion-Airport/Plakias-Hotel-Transfer", "12Go Link")</f>
        <v>12Go Link</v>
      </c>
      <c r="E2116" s="2" t="s">
        <v>1587</v>
      </c>
    </row>
    <row r="2117">
      <c r="A2117" s="2" t="s">
        <v>1590</v>
      </c>
      <c r="B2117" s="2" t="s">
        <v>1824</v>
      </c>
      <c r="C2117" s="2" t="s">
        <v>2019</v>
      </c>
      <c r="D2117" s="3" t="str">
        <f t="shared" si="345"/>
        <v>12Go Link</v>
      </c>
      <c r="E2117" s="2" t="s">
        <v>1588</v>
      </c>
    </row>
    <row r="2118">
      <c r="A2118" s="2" t="s">
        <v>1590</v>
      </c>
      <c r="B2118" s="2" t="s">
        <v>1824</v>
      </c>
      <c r="C2118" s="2" t="s">
        <v>2019</v>
      </c>
      <c r="D2118" s="3" t="str">
        <f t="shared" si="345"/>
        <v>12Go Link</v>
      </c>
      <c r="E2118" s="2" t="s">
        <v>1589</v>
      </c>
    </row>
    <row r="2119">
      <c r="A2119" s="2" t="s">
        <v>1590</v>
      </c>
      <c r="B2119" s="2" t="s">
        <v>1826</v>
      </c>
      <c r="C2119" s="2" t="s">
        <v>2020</v>
      </c>
      <c r="D2119" s="3" t="str">
        <f t="shared" ref="D2119:D2121" si="346">HYPERLINK("https://12go.asia/en/travel/Heraklion-Airport/Platanias-Hotel-Transfer", "12Go Link")</f>
        <v>12Go Link</v>
      </c>
      <c r="E2119" s="2" t="s">
        <v>1587</v>
      </c>
    </row>
    <row r="2120">
      <c r="A2120" s="2" t="s">
        <v>1590</v>
      </c>
      <c r="B2120" s="2" t="s">
        <v>1826</v>
      </c>
      <c r="C2120" s="2" t="s">
        <v>2020</v>
      </c>
      <c r="D2120" s="3" t="str">
        <f t="shared" si="346"/>
        <v>12Go Link</v>
      </c>
      <c r="E2120" s="2" t="s">
        <v>1588</v>
      </c>
    </row>
    <row r="2121">
      <c r="A2121" s="2" t="s">
        <v>1590</v>
      </c>
      <c r="B2121" s="2" t="s">
        <v>1826</v>
      </c>
      <c r="C2121" s="2" t="s">
        <v>2020</v>
      </c>
      <c r="D2121" s="3" t="str">
        <f t="shared" si="346"/>
        <v>12Go Link</v>
      </c>
      <c r="E2121" s="2" t="s">
        <v>1589</v>
      </c>
    </row>
    <row r="2122">
      <c r="A2122" s="2" t="s">
        <v>1590</v>
      </c>
      <c r="B2122" s="2" t="s">
        <v>1828</v>
      </c>
      <c r="C2122" s="2" t="s">
        <v>2021</v>
      </c>
      <c r="D2122" s="3" t="str">
        <f t="shared" ref="D2122:D2124" si="347">HYPERLINK("https://12go.asia/en/travel/Heraklion-Airport/Prines-Hotel-Transfer", "12Go Link")</f>
        <v>12Go Link</v>
      </c>
      <c r="E2122" s="2" t="s">
        <v>1587</v>
      </c>
    </row>
    <row r="2123">
      <c r="A2123" s="2" t="s">
        <v>1590</v>
      </c>
      <c r="B2123" s="2" t="s">
        <v>1828</v>
      </c>
      <c r="C2123" s="2" t="s">
        <v>2021</v>
      </c>
      <c r="D2123" s="3" t="str">
        <f t="shared" si="347"/>
        <v>12Go Link</v>
      </c>
      <c r="E2123" s="2" t="s">
        <v>1588</v>
      </c>
    </row>
    <row r="2124">
      <c r="A2124" s="2" t="s">
        <v>1590</v>
      </c>
      <c r="B2124" s="2" t="s">
        <v>1828</v>
      </c>
      <c r="C2124" s="2" t="s">
        <v>2021</v>
      </c>
      <c r="D2124" s="3" t="str">
        <f t="shared" si="347"/>
        <v>12Go Link</v>
      </c>
      <c r="E2124" s="2" t="s">
        <v>1589</v>
      </c>
    </row>
    <row r="2125">
      <c r="A2125" s="2" t="s">
        <v>1590</v>
      </c>
      <c r="B2125" s="2" t="s">
        <v>1830</v>
      </c>
      <c r="C2125" s="2" t="s">
        <v>2022</v>
      </c>
      <c r="D2125" s="3" t="str">
        <f t="shared" ref="D2125:D2127" si="348">HYPERLINK("https://12go.asia/en/travel/Heraklion-Airport/Rapaniana-Hotel-Transfer", "12Go Link")</f>
        <v>12Go Link</v>
      </c>
      <c r="E2125" s="2" t="s">
        <v>1587</v>
      </c>
    </row>
    <row r="2126">
      <c r="A2126" s="2" t="s">
        <v>1590</v>
      </c>
      <c r="B2126" s="2" t="s">
        <v>1830</v>
      </c>
      <c r="C2126" s="2" t="s">
        <v>2022</v>
      </c>
      <c r="D2126" s="3" t="str">
        <f t="shared" si="348"/>
        <v>12Go Link</v>
      </c>
      <c r="E2126" s="2" t="s">
        <v>1588</v>
      </c>
    </row>
    <row r="2127">
      <c r="A2127" s="2" t="s">
        <v>1590</v>
      </c>
      <c r="B2127" s="2" t="s">
        <v>1830</v>
      </c>
      <c r="C2127" s="2" t="s">
        <v>2022</v>
      </c>
      <c r="D2127" s="3" t="str">
        <f t="shared" si="348"/>
        <v>12Go Link</v>
      </c>
      <c r="E2127" s="2" t="s">
        <v>1589</v>
      </c>
    </row>
    <row r="2128">
      <c r="A2128" s="2" t="s">
        <v>1590</v>
      </c>
      <c r="B2128" s="2" t="s">
        <v>1832</v>
      </c>
      <c r="C2128" s="2" t="s">
        <v>2023</v>
      </c>
      <c r="D2128" s="3" t="str">
        <f t="shared" ref="D2128:D2130" si="349">HYPERLINK("https://12go.asia/en/travel/Heraklion-Airport/Misiria-Hotel-Transfer", "12Go Link")</f>
        <v>12Go Link</v>
      </c>
      <c r="E2128" s="2" t="s">
        <v>1587</v>
      </c>
    </row>
    <row r="2129">
      <c r="A2129" s="2" t="s">
        <v>1590</v>
      </c>
      <c r="B2129" s="2" t="s">
        <v>1832</v>
      </c>
      <c r="C2129" s="2" t="s">
        <v>2023</v>
      </c>
      <c r="D2129" s="3" t="str">
        <f t="shared" si="349"/>
        <v>12Go Link</v>
      </c>
      <c r="E2129" s="2" t="s">
        <v>1588</v>
      </c>
    </row>
    <row r="2130">
      <c r="A2130" s="2" t="s">
        <v>1590</v>
      </c>
      <c r="B2130" s="2" t="s">
        <v>1832</v>
      </c>
      <c r="C2130" s="2" t="s">
        <v>2023</v>
      </c>
      <c r="D2130" s="3" t="str">
        <f t="shared" si="349"/>
        <v>12Go Link</v>
      </c>
      <c r="E2130" s="2" t="s">
        <v>1589</v>
      </c>
    </row>
    <row r="2131">
      <c r="A2131" s="2" t="s">
        <v>1590</v>
      </c>
      <c r="B2131" s="2" t="s">
        <v>1832</v>
      </c>
      <c r="C2131" s="2" t="s">
        <v>2024</v>
      </c>
      <c r="D2131" s="3" t="str">
        <f t="shared" ref="D2131:D2133" si="350">HYPERLINK("https://12go.asia/en/travel/Heraklion-Airport/Perivolia-Hotel-Transfer", "12Go Link")</f>
        <v>12Go Link</v>
      </c>
      <c r="E2131" s="2" t="s">
        <v>1587</v>
      </c>
    </row>
    <row r="2132">
      <c r="A2132" s="2" t="s">
        <v>1590</v>
      </c>
      <c r="B2132" s="2" t="s">
        <v>1832</v>
      </c>
      <c r="C2132" s="2" t="s">
        <v>2024</v>
      </c>
      <c r="D2132" s="3" t="str">
        <f t="shared" si="350"/>
        <v>12Go Link</v>
      </c>
      <c r="E2132" s="2" t="s">
        <v>1588</v>
      </c>
    </row>
    <row r="2133">
      <c r="A2133" s="2" t="s">
        <v>1590</v>
      </c>
      <c r="B2133" s="2" t="s">
        <v>1832</v>
      </c>
      <c r="C2133" s="2" t="s">
        <v>2024</v>
      </c>
      <c r="D2133" s="3" t="str">
        <f t="shared" si="350"/>
        <v>12Go Link</v>
      </c>
      <c r="E2133" s="2" t="s">
        <v>1589</v>
      </c>
    </row>
    <row r="2134">
      <c r="A2134" s="2" t="s">
        <v>1590</v>
      </c>
      <c r="B2134" s="2" t="s">
        <v>1832</v>
      </c>
      <c r="C2134" s="2" t="s">
        <v>2025</v>
      </c>
      <c r="D2134" s="3" t="str">
        <f t="shared" ref="D2134:D2136" si="351">HYPERLINK("https://12go.asia/en/travel/Heraklion-Airport/Platanes-Hotel-Transfer", "12Go Link")</f>
        <v>12Go Link</v>
      </c>
      <c r="E2134" s="2" t="s">
        <v>1587</v>
      </c>
    </row>
    <row r="2135">
      <c r="A2135" s="2" t="s">
        <v>1590</v>
      </c>
      <c r="B2135" s="2" t="s">
        <v>1832</v>
      </c>
      <c r="C2135" s="2" t="s">
        <v>2025</v>
      </c>
      <c r="D2135" s="3" t="str">
        <f t="shared" si="351"/>
        <v>12Go Link</v>
      </c>
      <c r="E2135" s="2" t="s">
        <v>1588</v>
      </c>
    </row>
    <row r="2136">
      <c r="A2136" s="2" t="s">
        <v>1590</v>
      </c>
      <c r="B2136" s="2" t="s">
        <v>1832</v>
      </c>
      <c r="C2136" s="2" t="s">
        <v>2025</v>
      </c>
      <c r="D2136" s="3" t="str">
        <f t="shared" si="351"/>
        <v>12Go Link</v>
      </c>
      <c r="E2136" s="2" t="s">
        <v>1589</v>
      </c>
    </row>
    <row r="2137">
      <c r="A2137" s="2" t="s">
        <v>1590</v>
      </c>
      <c r="B2137" s="2" t="s">
        <v>1832</v>
      </c>
      <c r="C2137" s="2" t="s">
        <v>2026</v>
      </c>
      <c r="D2137" s="3" t="str">
        <f t="shared" ref="D2137:D2139" si="352">HYPERLINK("https://12go.asia/en/travel/Heraklion-Airport/Rethymno-Hotel-Transfer", "12Go Link")</f>
        <v>12Go Link</v>
      </c>
      <c r="E2137" s="2" t="s">
        <v>1587</v>
      </c>
    </row>
    <row r="2138">
      <c r="A2138" s="2" t="s">
        <v>1590</v>
      </c>
      <c r="B2138" s="2" t="s">
        <v>1832</v>
      </c>
      <c r="C2138" s="2" t="s">
        <v>2026</v>
      </c>
      <c r="D2138" s="3" t="str">
        <f t="shared" si="352"/>
        <v>12Go Link</v>
      </c>
      <c r="E2138" s="2" t="s">
        <v>1588</v>
      </c>
    </row>
    <row r="2139">
      <c r="A2139" s="2" t="s">
        <v>1590</v>
      </c>
      <c r="B2139" s="2" t="s">
        <v>1832</v>
      </c>
      <c r="C2139" s="2" t="s">
        <v>2026</v>
      </c>
      <c r="D2139" s="3" t="str">
        <f t="shared" si="352"/>
        <v>12Go Link</v>
      </c>
      <c r="E2139" s="2" t="s">
        <v>1589</v>
      </c>
    </row>
    <row r="2140">
      <c r="A2140" s="2" t="s">
        <v>1590</v>
      </c>
      <c r="B2140" s="2" t="s">
        <v>1837</v>
      </c>
      <c r="C2140" s="2" t="s">
        <v>2027</v>
      </c>
      <c r="D2140" s="3" t="str">
        <f t="shared" ref="D2140:D2142" si="353">HYPERLINK("https://12go.asia/en/travel/Heraklion-Airport/Roumeli-Hotel-Transfer", "12Go Link")</f>
        <v>12Go Link</v>
      </c>
      <c r="E2140" s="2" t="s">
        <v>1587</v>
      </c>
    </row>
    <row r="2141">
      <c r="A2141" s="2" t="s">
        <v>1590</v>
      </c>
      <c r="B2141" s="2" t="s">
        <v>1837</v>
      </c>
      <c r="C2141" s="2" t="s">
        <v>2027</v>
      </c>
      <c r="D2141" s="3" t="str">
        <f t="shared" si="353"/>
        <v>12Go Link</v>
      </c>
      <c r="E2141" s="2" t="s">
        <v>1588</v>
      </c>
    </row>
    <row r="2142">
      <c r="A2142" s="2" t="s">
        <v>1590</v>
      </c>
      <c r="B2142" s="2" t="s">
        <v>1837</v>
      </c>
      <c r="C2142" s="2" t="s">
        <v>2027</v>
      </c>
      <c r="D2142" s="3" t="str">
        <f t="shared" si="353"/>
        <v>12Go Link</v>
      </c>
      <c r="E2142" s="2" t="s">
        <v>1589</v>
      </c>
    </row>
    <row r="2143">
      <c r="A2143" s="2" t="s">
        <v>1590</v>
      </c>
      <c r="B2143" s="2" t="s">
        <v>1839</v>
      </c>
      <c r="C2143" s="2" t="s">
        <v>2028</v>
      </c>
      <c r="D2143" s="3" t="str">
        <f t="shared" ref="D2143:D2145" si="354">HYPERLINK("https://12go.asia/en/travel/Heraklion-Airport/Roussospiti-Hotel-Transfer", "12Go Link")</f>
        <v>12Go Link</v>
      </c>
      <c r="E2143" s="2" t="s">
        <v>1587</v>
      </c>
    </row>
    <row r="2144">
      <c r="A2144" s="2" t="s">
        <v>1590</v>
      </c>
      <c r="B2144" s="2" t="s">
        <v>1839</v>
      </c>
      <c r="C2144" s="2" t="s">
        <v>2028</v>
      </c>
      <c r="D2144" s="3" t="str">
        <f t="shared" si="354"/>
        <v>12Go Link</v>
      </c>
      <c r="E2144" s="2" t="s">
        <v>1588</v>
      </c>
    </row>
    <row r="2145">
      <c r="A2145" s="2" t="s">
        <v>1590</v>
      </c>
      <c r="B2145" s="2" t="s">
        <v>1839</v>
      </c>
      <c r="C2145" s="2" t="s">
        <v>2028</v>
      </c>
      <c r="D2145" s="3" t="str">
        <f t="shared" si="354"/>
        <v>12Go Link</v>
      </c>
      <c r="E2145" s="2" t="s">
        <v>1589</v>
      </c>
    </row>
    <row r="2146">
      <c r="A2146" s="2" t="s">
        <v>1590</v>
      </c>
      <c r="B2146" s="2" t="s">
        <v>1841</v>
      </c>
      <c r="C2146" s="2" t="s">
        <v>2029</v>
      </c>
      <c r="D2146" s="3" t="str">
        <f t="shared" ref="D2146:D2148" si="355">HYPERLINK("https://12go.asia/en/travel/Heraklion-Airport/Sfakaki-Hotel-Transfer", "12Go Link")</f>
        <v>12Go Link</v>
      </c>
      <c r="E2146" s="2" t="s">
        <v>1587</v>
      </c>
    </row>
    <row r="2147">
      <c r="A2147" s="2" t="s">
        <v>1590</v>
      </c>
      <c r="B2147" s="2" t="s">
        <v>1841</v>
      </c>
      <c r="C2147" s="2" t="s">
        <v>2029</v>
      </c>
      <c r="D2147" s="3" t="str">
        <f t="shared" si="355"/>
        <v>12Go Link</v>
      </c>
      <c r="E2147" s="2" t="s">
        <v>1588</v>
      </c>
    </row>
    <row r="2148">
      <c r="A2148" s="2" t="s">
        <v>1590</v>
      </c>
      <c r="B2148" s="2" t="s">
        <v>1841</v>
      </c>
      <c r="C2148" s="2" t="s">
        <v>2029</v>
      </c>
      <c r="D2148" s="3" t="str">
        <f t="shared" si="355"/>
        <v>12Go Link</v>
      </c>
      <c r="E2148" s="2" t="s">
        <v>1589</v>
      </c>
    </row>
    <row r="2149">
      <c r="A2149" s="2" t="s">
        <v>1590</v>
      </c>
      <c r="B2149" s="2" t="s">
        <v>1843</v>
      </c>
      <c r="C2149" s="2" t="s">
        <v>2030</v>
      </c>
      <c r="D2149" s="3" t="str">
        <f t="shared" ref="D2149:D2151" si="356">HYPERLINK("https://12go.asia/en/travel/Heraklion-Airport/Sisi-Hotel-Transfer", "12Go Link")</f>
        <v>12Go Link</v>
      </c>
      <c r="E2149" s="2" t="s">
        <v>1587</v>
      </c>
    </row>
    <row r="2150">
      <c r="A2150" s="2" t="s">
        <v>1590</v>
      </c>
      <c r="B2150" s="2" t="s">
        <v>1843</v>
      </c>
      <c r="C2150" s="2" t="s">
        <v>2030</v>
      </c>
      <c r="D2150" s="3" t="str">
        <f t="shared" si="356"/>
        <v>12Go Link</v>
      </c>
      <c r="E2150" s="2" t="s">
        <v>1588</v>
      </c>
    </row>
    <row r="2151">
      <c r="A2151" s="2" t="s">
        <v>1590</v>
      </c>
      <c r="B2151" s="2" t="s">
        <v>1843</v>
      </c>
      <c r="C2151" s="2" t="s">
        <v>2030</v>
      </c>
      <c r="D2151" s="3" t="str">
        <f t="shared" si="356"/>
        <v>12Go Link</v>
      </c>
      <c r="E2151" s="2" t="s">
        <v>1589</v>
      </c>
    </row>
    <row r="2152">
      <c r="A2152" s="2" t="s">
        <v>1590</v>
      </c>
      <c r="B2152" s="2" t="s">
        <v>1845</v>
      </c>
      <c r="C2152" s="2" t="s">
        <v>2031</v>
      </c>
      <c r="D2152" s="3" t="str">
        <f t="shared" ref="D2152:D2154" si="357">HYPERLINK("https://12go.asia/en/travel/Heraklion-Airport/Sitia-Hotel-Transfer", "12Go Link")</f>
        <v>12Go Link</v>
      </c>
      <c r="E2152" s="2" t="s">
        <v>1587</v>
      </c>
    </row>
    <row r="2153">
      <c r="A2153" s="2" t="s">
        <v>1590</v>
      </c>
      <c r="B2153" s="2" t="s">
        <v>1845</v>
      </c>
      <c r="C2153" s="2" t="s">
        <v>2031</v>
      </c>
      <c r="D2153" s="3" t="str">
        <f t="shared" si="357"/>
        <v>12Go Link</v>
      </c>
      <c r="E2153" s="2" t="s">
        <v>1588</v>
      </c>
    </row>
    <row r="2154">
      <c r="A2154" s="2" t="s">
        <v>1590</v>
      </c>
      <c r="B2154" s="2" t="s">
        <v>1845</v>
      </c>
      <c r="C2154" s="2" t="s">
        <v>2031</v>
      </c>
      <c r="D2154" s="3" t="str">
        <f t="shared" si="357"/>
        <v>12Go Link</v>
      </c>
      <c r="E2154" s="2" t="s">
        <v>1589</v>
      </c>
    </row>
    <row r="2155">
      <c r="A2155" s="2" t="s">
        <v>1590</v>
      </c>
      <c r="B2155" s="2" t="s">
        <v>1847</v>
      </c>
      <c r="C2155" s="2" t="s">
        <v>2032</v>
      </c>
      <c r="D2155" s="3" t="str">
        <f t="shared" ref="D2155:D2157" si="358">HYPERLINK("https://12go.asia/en/travel/Heraklion-Airport/Skaleta-Hotel-Transfer", "12Go Link")</f>
        <v>12Go Link</v>
      </c>
      <c r="E2155" s="2" t="s">
        <v>1587</v>
      </c>
    </row>
    <row r="2156">
      <c r="A2156" s="2" t="s">
        <v>1590</v>
      </c>
      <c r="B2156" s="2" t="s">
        <v>1847</v>
      </c>
      <c r="C2156" s="2" t="s">
        <v>2032</v>
      </c>
      <c r="D2156" s="3" t="str">
        <f t="shared" si="358"/>
        <v>12Go Link</v>
      </c>
      <c r="E2156" s="2" t="s">
        <v>1588</v>
      </c>
    </row>
    <row r="2157">
      <c r="A2157" s="2" t="s">
        <v>1590</v>
      </c>
      <c r="B2157" s="2" t="s">
        <v>1847</v>
      </c>
      <c r="C2157" s="2" t="s">
        <v>2032</v>
      </c>
      <c r="D2157" s="3" t="str">
        <f t="shared" si="358"/>
        <v>12Go Link</v>
      </c>
      <c r="E2157" s="2" t="s">
        <v>1589</v>
      </c>
    </row>
    <row r="2158">
      <c r="A2158" s="2" t="s">
        <v>1590</v>
      </c>
      <c r="B2158" s="2" t="s">
        <v>1849</v>
      </c>
      <c r="C2158" s="2" t="s">
        <v>2033</v>
      </c>
      <c r="D2158" s="3" t="str">
        <f t="shared" ref="D2158:D2160" si="359">HYPERLINK("https://12go.asia/en/travel/Heraklion-Airport/Souda-Hotel-Transfer", "12Go Link")</f>
        <v>12Go Link</v>
      </c>
      <c r="E2158" s="2" t="s">
        <v>1587</v>
      </c>
    </row>
    <row r="2159">
      <c r="A2159" s="2" t="s">
        <v>1590</v>
      </c>
      <c r="B2159" s="2" t="s">
        <v>1849</v>
      </c>
      <c r="C2159" s="2" t="s">
        <v>2033</v>
      </c>
      <c r="D2159" s="3" t="str">
        <f t="shared" si="359"/>
        <v>12Go Link</v>
      </c>
      <c r="E2159" s="2" t="s">
        <v>1588</v>
      </c>
    </row>
    <row r="2160">
      <c r="A2160" s="2" t="s">
        <v>1590</v>
      </c>
      <c r="B2160" s="2" t="s">
        <v>1849</v>
      </c>
      <c r="C2160" s="2" t="s">
        <v>2033</v>
      </c>
      <c r="D2160" s="3" t="str">
        <f t="shared" si="359"/>
        <v>12Go Link</v>
      </c>
      <c r="E2160" s="2" t="s">
        <v>1589</v>
      </c>
    </row>
    <row r="2161">
      <c r="A2161" s="2" t="s">
        <v>1590</v>
      </c>
      <c r="B2161" s="2" t="s">
        <v>1851</v>
      </c>
      <c r="C2161" s="2" t="s">
        <v>2034</v>
      </c>
      <c r="D2161" s="3" t="str">
        <f t="shared" ref="D2161:D2163" si="360">HYPERLINK("https://12go.asia/en/travel/Heraklion-Airport/Sougia-Hotel-Transfer", "12Go Link")</f>
        <v>12Go Link</v>
      </c>
      <c r="E2161" s="2" t="s">
        <v>1587</v>
      </c>
    </row>
    <row r="2162">
      <c r="A2162" s="2" t="s">
        <v>1590</v>
      </c>
      <c r="B2162" s="2" t="s">
        <v>1851</v>
      </c>
      <c r="C2162" s="2" t="s">
        <v>2034</v>
      </c>
      <c r="D2162" s="3" t="str">
        <f t="shared" si="360"/>
        <v>12Go Link</v>
      </c>
      <c r="E2162" s="2" t="s">
        <v>1588</v>
      </c>
    </row>
    <row r="2163">
      <c r="A2163" s="2" t="s">
        <v>1590</v>
      </c>
      <c r="B2163" s="2" t="s">
        <v>1851</v>
      </c>
      <c r="C2163" s="2" t="s">
        <v>2034</v>
      </c>
      <c r="D2163" s="3" t="str">
        <f t="shared" si="360"/>
        <v>12Go Link</v>
      </c>
      <c r="E2163" s="2" t="s">
        <v>1589</v>
      </c>
    </row>
    <row r="2164">
      <c r="A2164" s="2" t="s">
        <v>1590</v>
      </c>
      <c r="B2164" s="2" t="s">
        <v>1853</v>
      </c>
      <c r="C2164" s="2" t="s">
        <v>2035</v>
      </c>
      <c r="D2164" s="3" t="str">
        <f t="shared" ref="D2164:D2166" si="361">HYPERLINK("https://12go.asia/en/travel/Heraklion-Airport/Stalida-Hotel-Transfer", "12Go Link")</f>
        <v>12Go Link</v>
      </c>
      <c r="E2164" s="2" t="s">
        <v>1587</v>
      </c>
    </row>
    <row r="2165">
      <c r="A2165" s="2" t="s">
        <v>1590</v>
      </c>
      <c r="B2165" s="2" t="s">
        <v>1853</v>
      </c>
      <c r="C2165" s="2" t="s">
        <v>2035</v>
      </c>
      <c r="D2165" s="3" t="str">
        <f t="shared" si="361"/>
        <v>12Go Link</v>
      </c>
      <c r="E2165" s="2" t="s">
        <v>1588</v>
      </c>
    </row>
    <row r="2166">
      <c r="A2166" s="2" t="s">
        <v>1590</v>
      </c>
      <c r="B2166" s="2" t="s">
        <v>1853</v>
      </c>
      <c r="C2166" s="2" t="s">
        <v>2035</v>
      </c>
      <c r="D2166" s="3" t="str">
        <f t="shared" si="361"/>
        <v>12Go Link</v>
      </c>
      <c r="E2166" s="2" t="s">
        <v>1589</v>
      </c>
    </row>
    <row r="2167">
      <c r="A2167" s="2" t="s">
        <v>1590</v>
      </c>
      <c r="B2167" s="2" t="s">
        <v>1855</v>
      </c>
      <c r="C2167" s="2" t="s">
        <v>2036</v>
      </c>
      <c r="D2167" s="3" t="str">
        <f t="shared" ref="D2167:D2169" si="362">HYPERLINK("https://12go.asia/en/travel/Heraklion-Airport/Stalos-Hotel-Transfer", "12Go Link")</f>
        <v>12Go Link</v>
      </c>
      <c r="E2167" s="2" t="s">
        <v>1587</v>
      </c>
    </row>
    <row r="2168">
      <c r="A2168" s="2" t="s">
        <v>1590</v>
      </c>
      <c r="B2168" s="2" t="s">
        <v>1855</v>
      </c>
      <c r="C2168" s="2" t="s">
        <v>2036</v>
      </c>
      <c r="D2168" s="3" t="str">
        <f t="shared" si="362"/>
        <v>12Go Link</v>
      </c>
      <c r="E2168" s="2" t="s">
        <v>1588</v>
      </c>
    </row>
    <row r="2169">
      <c r="A2169" s="2" t="s">
        <v>1590</v>
      </c>
      <c r="B2169" s="2" t="s">
        <v>1855</v>
      </c>
      <c r="C2169" s="2" t="s">
        <v>2036</v>
      </c>
      <c r="D2169" s="3" t="str">
        <f t="shared" si="362"/>
        <v>12Go Link</v>
      </c>
      <c r="E2169" s="2" t="s">
        <v>1589</v>
      </c>
    </row>
    <row r="2170">
      <c r="A2170" s="2" t="s">
        <v>1590</v>
      </c>
      <c r="B2170" s="2" t="s">
        <v>1857</v>
      </c>
      <c r="C2170" s="2" t="s">
        <v>2037</v>
      </c>
      <c r="D2170" s="3" t="str">
        <f t="shared" ref="D2170:D2172" si="363">HYPERLINK("https://12go.asia/en/travel/Heraklion-Airport/Stavros-Chania-Hotel-Transfer", "12Go Link")</f>
        <v>12Go Link</v>
      </c>
      <c r="E2170" s="2" t="s">
        <v>1587</v>
      </c>
    </row>
    <row r="2171">
      <c r="A2171" s="2" t="s">
        <v>1590</v>
      </c>
      <c r="B2171" s="2" t="s">
        <v>1857</v>
      </c>
      <c r="C2171" s="2" t="s">
        <v>2037</v>
      </c>
      <c r="D2171" s="3" t="str">
        <f t="shared" si="363"/>
        <v>12Go Link</v>
      </c>
      <c r="E2171" s="2" t="s">
        <v>1588</v>
      </c>
    </row>
    <row r="2172">
      <c r="A2172" s="2" t="s">
        <v>1590</v>
      </c>
      <c r="B2172" s="2" t="s">
        <v>1857</v>
      </c>
      <c r="C2172" s="2" t="s">
        <v>2037</v>
      </c>
      <c r="D2172" s="3" t="str">
        <f t="shared" si="363"/>
        <v>12Go Link</v>
      </c>
      <c r="E2172" s="2" t="s">
        <v>1589</v>
      </c>
    </row>
    <row r="2173">
      <c r="A2173" s="2" t="s">
        <v>1590</v>
      </c>
      <c r="B2173" s="2" t="s">
        <v>1859</v>
      </c>
      <c r="C2173" s="2" t="s">
        <v>2038</v>
      </c>
      <c r="D2173" s="3" t="str">
        <f t="shared" ref="D2173:D2175" si="364">HYPERLINK("https://12go.asia/en/travel/Heraklion-Airport/Tavronitis-Hotel-Transfer", "12Go Link")</f>
        <v>12Go Link</v>
      </c>
      <c r="E2173" s="2" t="s">
        <v>1587</v>
      </c>
    </row>
    <row r="2174">
      <c r="A2174" s="2" t="s">
        <v>1590</v>
      </c>
      <c r="B2174" s="2" t="s">
        <v>1859</v>
      </c>
      <c r="C2174" s="2" t="s">
        <v>2038</v>
      </c>
      <c r="D2174" s="3" t="str">
        <f t="shared" si="364"/>
        <v>12Go Link</v>
      </c>
      <c r="E2174" s="2" t="s">
        <v>1588</v>
      </c>
    </row>
    <row r="2175">
      <c r="A2175" s="2" t="s">
        <v>1590</v>
      </c>
      <c r="B2175" s="2" t="s">
        <v>1859</v>
      </c>
      <c r="C2175" s="2" t="s">
        <v>2038</v>
      </c>
      <c r="D2175" s="3" t="str">
        <f t="shared" si="364"/>
        <v>12Go Link</v>
      </c>
      <c r="E2175" s="2" t="s">
        <v>1589</v>
      </c>
    </row>
    <row r="2176">
      <c r="A2176" s="2" t="s">
        <v>1590</v>
      </c>
      <c r="B2176" s="2" t="s">
        <v>1861</v>
      </c>
      <c r="C2176" s="2" t="s">
        <v>2039</v>
      </c>
      <c r="D2176" s="3" t="str">
        <f t="shared" ref="D2176:D2178" si="365">HYPERLINK("https://12go.asia/en/travel/Heraklion-Airport/Tsoutsouros-Hotel-Transfer", "12Go Link")</f>
        <v>12Go Link</v>
      </c>
      <c r="E2176" s="2" t="s">
        <v>1587</v>
      </c>
    </row>
    <row r="2177">
      <c r="A2177" s="2" t="s">
        <v>1590</v>
      </c>
      <c r="B2177" s="2" t="s">
        <v>1861</v>
      </c>
      <c r="C2177" s="2" t="s">
        <v>2039</v>
      </c>
      <c r="D2177" s="3" t="str">
        <f t="shared" si="365"/>
        <v>12Go Link</v>
      </c>
      <c r="E2177" s="2" t="s">
        <v>1588</v>
      </c>
    </row>
    <row r="2178">
      <c r="A2178" s="2" t="s">
        <v>1590</v>
      </c>
      <c r="B2178" s="2" t="s">
        <v>1861</v>
      </c>
      <c r="C2178" s="2" t="s">
        <v>2039</v>
      </c>
      <c r="D2178" s="3" t="str">
        <f t="shared" si="365"/>
        <v>12Go Link</v>
      </c>
      <c r="E2178" s="2" t="s">
        <v>1589</v>
      </c>
    </row>
    <row r="2179">
      <c r="A2179" s="2" t="s">
        <v>1590</v>
      </c>
      <c r="B2179" s="2" t="s">
        <v>1863</v>
      </c>
      <c r="C2179" s="2" t="s">
        <v>2040</v>
      </c>
      <c r="D2179" s="3" t="str">
        <f t="shared" ref="D2179:D2181" si="366">HYPERLINK("https://12go.asia/en/travel/Heraklion-Airport/Vamos-Hotel-Transfer", "12Go Link")</f>
        <v>12Go Link</v>
      </c>
      <c r="E2179" s="2" t="s">
        <v>1587</v>
      </c>
    </row>
    <row r="2180">
      <c r="A2180" s="2" t="s">
        <v>1590</v>
      </c>
      <c r="B2180" s="2" t="s">
        <v>1863</v>
      </c>
      <c r="C2180" s="2" t="s">
        <v>2040</v>
      </c>
      <c r="D2180" s="3" t="str">
        <f t="shared" si="366"/>
        <v>12Go Link</v>
      </c>
      <c r="E2180" s="2" t="s">
        <v>1588</v>
      </c>
    </row>
    <row r="2181">
      <c r="A2181" s="2" t="s">
        <v>1590</v>
      </c>
      <c r="B2181" s="2" t="s">
        <v>1863</v>
      </c>
      <c r="C2181" s="2" t="s">
        <v>2040</v>
      </c>
      <c r="D2181" s="3" t="str">
        <f t="shared" si="366"/>
        <v>12Go Link</v>
      </c>
      <c r="E2181" s="2" t="s">
        <v>1589</v>
      </c>
    </row>
    <row r="2182">
      <c r="A2182" s="2" t="s">
        <v>1590</v>
      </c>
      <c r="B2182" s="2" t="s">
        <v>1865</v>
      </c>
      <c r="C2182" s="2" t="s">
        <v>2041</v>
      </c>
      <c r="D2182" s="3" t="str">
        <f t="shared" ref="D2182:D2184" si="367">HYPERLINK("https://12go.asia/en/travel/Heraklion-Airport/Vathi-Hotel-Transfer", "12Go Link")</f>
        <v>12Go Link</v>
      </c>
      <c r="E2182" s="2" t="s">
        <v>1587</v>
      </c>
    </row>
    <row r="2183">
      <c r="A2183" s="2" t="s">
        <v>1590</v>
      </c>
      <c r="B2183" s="2" t="s">
        <v>1865</v>
      </c>
      <c r="C2183" s="2" t="s">
        <v>2041</v>
      </c>
      <c r="D2183" s="3" t="str">
        <f t="shared" si="367"/>
        <v>12Go Link</v>
      </c>
      <c r="E2183" s="2" t="s">
        <v>1588</v>
      </c>
    </row>
    <row r="2184">
      <c r="A2184" s="2" t="s">
        <v>1590</v>
      </c>
      <c r="B2184" s="2" t="s">
        <v>1865</v>
      </c>
      <c r="C2184" s="2" t="s">
        <v>2041</v>
      </c>
      <c r="D2184" s="3" t="str">
        <f t="shared" si="367"/>
        <v>12Go Link</v>
      </c>
      <c r="E2184" s="2" t="s">
        <v>1589</v>
      </c>
    </row>
    <row r="2185">
      <c r="A2185" s="2" t="s">
        <v>1590</v>
      </c>
      <c r="B2185" s="2" t="s">
        <v>1867</v>
      </c>
      <c r="C2185" s="2" t="s">
        <v>2042</v>
      </c>
      <c r="D2185" s="3" t="str">
        <f t="shared" ref="D2185:D2187" si="368">HYPERLINK("https://12go.asia/en/travel/Heraklion-Airport/Viranepiskopi-Hotel-Transfer", "12Go Link")</f>
        <v>12Go Link</v>
      </c>
      <c r="E2185" s="2" t="s">
        <v>1587</v>
      </c>
    </row>
    <row r="2186">
      <c r="A2186" s="2" t="s">
        <v>1590</v>
      </c>
      <c r="B2186" s="2" t="s">
        <v>1867</v>
      </c>
      <c r="C2186" s="2" t="s">
        <v>2042</v>
      </c>
      <c r="D2186" s="3" t="str">
        <f t="shared" si="368"/>
        <v>12Go Link</v>
      </c>
      <c r="E2186" s="2" t="s">
        <v>1588</v>
      </c>
    </row>
    <row r="2187">
      <c r="A2187" s="2" t="s">
        <v>1590</v>
      </c>
      <c r="B2187" s="2" t="s">
        <v>1867</v>
      </c>
      <c r="C2187" s="2" t="s">
        <v>2042</v>
      </c>
      <c r="D2187" s="3" t="str">
        <f t="shared" si="368"/>
        <v>12Go Link</v>
      </c>
      <c r="E2187" s="2" t="s">
        <v>1589</v>
      </c>
    </row>
    <row r="2188">
      <c r="A2188" s="2" t="s">
        <v>1590</v>
      </c>
      <c r="B2188" s="2" t="s">
        <v>1869</v>
      </c>
      <c r="C2188" s="2" t="s">
        <v>2043</v>
      </c>
      <c r="D2188" s="3" t="str">
        <f t="shared" ref="D2188:D2190" si="369">HYPERLINK("https://12go.asia/en/travel/Heraklion-Airport/Vryses-Hotel-Transfer", "12Go Link")</f>
        <v>12Go Link</v>
      </c>
      <c r="E2188" s="2" t="s">
        <v>1587</v>
      </c>
    </row>
    <row r="2189">
      <c r="A2189" s="2" t="s">
        <v>1590</v>
      </c>
      <c r="B2189" s="2" t="s">
        <v>1869</v>
      </c>
      <c r="C2189" s="2" t="s">
        <v>2043</v>
      </c>
      <c r="D2189" s="3" t="str">
        <f t="shared" si="369"/>
        <v>12Go Link</v>
      </c>
      <c r="E2189" s="2" t="s">
        <v>1588</v>
      </c>
    </row>
    <row r="2190">
      <c r="A2190" s="2" t="s">
        <v>1590</v>
      </c>
      <c r="B2190" s="2" t="s">
        <v>1869</v>
      </c>
      <c r="C2190" s="2" t="s">
        <v>2043</v>
      </c>
      <c r="D2190" s="3" t="str">
        <f t="shared" si="369"/>
        <v>12Go Link</v>
      </c>
      <c r="E2190" s="2" t="s">
        <v>1589</v>
      </c>
    </row>
    <row r="2191">
      <c r="A2191" s="2" t="s">
        <v>1734</v>
      </c>
      <c r="B2191" s="2" t="s">
        <v>1585</v>
      </c>
      <c r="C2191" s="2" t="s">
        <v>2044</v>
      </c>
      <c r="D2191" s="3" t="str">
        <f t="shared" ref="D2191:D2193" si="370">HYPERLINK("https://12go.asia/en/travel/Hersonissos-Hotel-Transfer/Chania-Airport", "12Go Link")</f>
        <v>12Go Link</v>
      </c>
      <c r="E2191" s="2" t="s">
        <v>1587</v>
      </c>
    </row>
    <row r="2192">
      <c r="A2192" s="2" t="s">
        <v>1734</v>
      </c>
      <c r="B2192" s="2" t="s">
        <v>1585</v>
      </c>
      <c r="C2192" s="2" t="s">
        <v>2044</v>
      </c>
      <c r="D2192" s="3" t="str">
        <f t="shared" si="370"/>
        <v>12Go Link</v>
      </c>
      <c r="E2192" s="2" t="s">
        <v>1588</v>
      </c>
    </row>
    <row r="2193">
      <c r="A2193" s="2" t="s">
        <v>1734</v>
      </c>
      <c r="B2193" s="2" t="s">
        <v>1585</v>
      </c>
      <c r="C2193" s="2" t="s">
        <v>2044</v>
      </c>
      <c r="D2193" s="3" t="str">
        <f t="shared" si="370"/>
        <v>12Go Link</v>
      </c>
      <c r="E2193" s="2" t="s">
        <v>1589</v>
      </c>
    </row>
    <row r="2194">
      <c r="A2194" s="2" t="s">
        <v>1734</v>
      </c>
      <c r="B2194" s="2" t="s">
        <v>1590</v>
      </c>
      <c r="C2194" s="2" t="s">
        <v>2045</v>
      </c>
      <c r="D2194" s="3" t="str">
        <f t="shared" ref="D2194:D2196" si="371">HYPERLINK("https://12go.asia/en/travel/Hersonissos-Hotel-Transfer/Heraklion-Airport", "12Go Link")</f>
        <v>12Go Link</v>
      </c>
      <c r="E2194" s="2" t="s">
        <v>1587</v>
      </c>
    </row>
    <row r="2195">
      <c r="A2195" s="2" t="s">
        <v>1734</v>
      </c>
      <c r="B2195" s="2" t="s">
        <v>1590</v>
      </c>
      <c r="C2195" s="2" t="s">
        <v>2045</v>
      </c>
      <c r="D2195" s="3" t="str">
        <f t="shared" si="371"/>
        <v>12Go Link</v>
      </c>
      <c r="E2195" s="2" t="s">
        <v>1588</v>
      </c>
    </row>
    <row r="2196">
      <c r="A2196" s="2" t="s">
        <v>1734</v>
      </c>
      <c r="B2196" s="2" t="s">
        <v>1590</v>
      </c>
      <c r="C2196" s="2" t="s">
        <v>2045</v>
      </c>
      <c r="D2196" s="3" t="str">
        <f t="shared" si="371"/>
        <v>12Go Link</v>
      </c>
      <c r="E2196" s="2" t="s">
        <v>1589</v>
      </c>
    </row>
    <row r="2197">
      <c r="A2197" s="2" t="s">
        <v>1736</v>
      </c>
      <c r="B2197" s="2" t="s">
        <v>1585</v>
      </c>
      <c r="C2197" s="2" t="s">
        <v>2046</v>
      </c>
      <c r="D2197" s="3" t="str">
        <f t="shared" ref="D2197:D2199" si="372">HYPERLINK("https://12go.asia/en/travel/Hora-Sfakion-Hotel-Transfer/Chania-Airport", "12Go Link")</f>
        <v>12Go Link</v>
      </c>
      <c r="E2197" s="2" t="s">
        <v>1587</v>
      </c>
    </row>
    <row r="2198">
      <c r="A2198" s="2" t="s">
        <v>1736</v>
      </c>
      <c r="B2198" s="2" t="s">
        <v>1585</v>
      </c>
      <c r="C2198" s="2" t="s">
        <v>2046</v>
      </c>
      <c r="D2198" s="3" t="str">
        <f t="shared" si="372"/>
        <v>12Go Link</v>
      </c>
      <c r="E2198" s="2" t="s">
        <v>1588</v>
      </c>
    </row>
    <row r="2199">
      <c r="A2199" s="2" t="s">
        <v>1736</v>
      </c>
      <c r="B2199" s="2" t="s">
        <v>1585</v>
      </c>
      <c r="C2199" s="2" t="s">
        <v>2046</v>
      </c>
      <c r="D2199" s="3" t="str">
        <f t="shared" si="372"/>
        <v>12Go Link</v>
      </c>
      <c r="E2199" s="2" t="s">
        <v>1589</v>
      </c>
    </row>
    <row r="2200">
      <c r="A2200" s="2" t="s">
        <v>1736</v>
      </c>
      <c r="B2200" s="2" t="s">
        <v>1590</v>
      </c>
      <c r="C2200" s="2" t="s">
        <v>2047</v>
      </c>
      <c r="D2200" s="3" t="str">
        <f t="shared" ref="D2200:D2202" si="373">HYPERLINK("https://12go.asia/en/travel/Hora-Sfakion-Hotel-Transfer/Heraklion-Airport", "12Go Link")</f>
        <v>12Go Link</v>
      </c>
      <c r="E2200" s="2" t="s">
        <v>1587</v>
      </c>
    </row>
    <row r="2201">
      <c r="A2201" s="2" t="s">
        <v>1736</v>
      </c>
      <c r="B2201" s="2" t="s">
        <v>1590</v>
      </c>
      <c r="C2201" s="2" t="s">
        <v>2047</v>
      </c>
      <c r="D2201" s="3" t="str">
        <f t="shared" si="373"/>
        <v>12Go Link</v>
      </c>
      <c r="E2201" s="2" t="s">
        <v>1588</v>
      </c>
    </row>
    <row r="2202">
      <c r="A2202" s="2" t="s">
        <v>1736</v>
      </c>
      <c r="B2202" s="2" t="s">
        <v>1590</v>
      </c>
      <c r="C2202" s="2" t="s">
        <v>2047</v>
      </c>
      <c r="D2202" s="3" t="str">
        <f t="shared" si="373"/>
        <v>12Go Link</v>
      </c>
      <c r="E2202" s="2" t="s">
        <v>1589</v>
      </c>
    </row>
    <row r="2203">
      <c r="A2203" s="2" t="s">
        <v>1738</v>
      </c>
      <c r="B2203" s="2" t="s">
        <v>1585</v>
      </c>
      <c r="C2203" s="2" t="s">
        <v>2048</v>
      </c>
      <c r="D2203" s="3" t="str">
        <f t="shared" ref="D2203:D2205" si="374">HYPERLINK("https://12go.asia/en/travel/Ierapetra-Hotel-Transfer/Chania-Airport", "12Go Link")</f>
        <v>12Go Link</v>
      </c>
      <c r="E2203" s="2" t="s">
        <v>1587</v>
      </c>
    </row>
    <row r="2204">
      <c r="A2204" s="2" t="s">
        <v>1738</v>
      </c>
      <c r="B2204" s="2" t="s">
        <v>1585</v>
      </c>
      <c r="C2204" s="2" t="s">
        <v>2048</v>
      </c>
      <c r="D2204" s="3" t="str">
        <f t="shared" si="374"/>
        <v>12Go Link</v>
      </c>
      <c r="E2204" s="2" t="s">
        <v>1588</v>
      </c>
    </row>
    <row r="2205">
      <c r="A2205" s="2" t="s">
        <v>1738</v>
      </c>
      <c r="B2205" s="2" t="s">
        <v>1585</v>
      </c>
      <c r="C2205" s="2" t="s">
        <v>2048</v>
      </c>
      <c r="D2205" s="3" t="str">
        <f t="shared" si="374"/>
        <v>12Go Link</v>
      </c>
      <c r="E2205" s="2" t="s">
        <v>1589</v>
      </c>
    </row>
    <row r="2206">
      <c r="A2206" s="2" t="s">
        <v>1738</v>
      </c>
      <c r="B2206" s="2" t="s">
        <v>1590</v>
      </c>
      <c r="C2206" s="2" t="s">
        <v>2049</v>
      </c>
      <c r="D2206" s="3" t="str">
        <f t="shared" ref="D2206:D2208" si="375">HYPERLINK("https://12go.asia/en/travel/Ierapetra-Hotel-Transfer/Heraklion-Airport", "12Go Link")</f>
        <v>12Go Link</v>
      </c>
      <c r="E2206" s="2" t="s">
        <v>1587</v>
      </c>
    </row>
    <row r="2207">
      <c r="A2207" s="2" t="s">
        <v>1738</v>
      </c>
      <c r="B2207" s="2" t="s">
        <v>1590</v>
      </c>
      <c r="C2207" s="2" t="s">
        <v>2049</v>
      </c>
      <c r="D2207" s="3" t="str">
        <f t="shared" si="375"/>
        <v>12Go Link</v>
      </c>
      <c r="E2207" s="2" t="s">
        <v>1588</v>
      </c>
    </row>
    <row r="2208">
      <c r="A2208" s="2" t="s">
        <v>1738</v>
      </c>
      <c r="B2208" s="2" t="s">
        <v>1590</v>
      </c>
      <c r="C2208" s="2" t="s">
        <v>2049</v>
      </c>
      <c r="D2208" s="3" t="str">
        <f t="shared" si="375"/>
        <v>12Go Link</v>
      </c>
      <c r="E2208" s="2" t="s">
        <v>1589</v>
      </c>
    </row>
    <row r="2209">
      <c r="A2209" s="2" t="s">
        <v>1740</v>
      </c>
      <c r="B2209" s="2" t="s">
        <v>1585</v>
      </c>
      <c r="C2209" s="2" t="s">
        <v>2050</v>
      </c>
      <c r="D2209" s="3" t="str">
        <f t="shared" ref="D2209:D2211" si="376">HYPERLINK("https://12go.asia/en/travel/Istro-Hotel-Transfer/Chania-Airport", "12Go Link")</f>
        <v>12Go Link</v>
      </c>
      <c r="E2209" s="2" t="s">
        <v>1587</v>
      </c>
    </row>
    <row r="2210">
      <c r="A2210" s="2" t="s">
        <v>1740</v>
      </c>
      <c r="B2210" s="2" t="s">
        <v>1585</v>
      </c>
      <c r="C2210" s="2" t="s">
        <v>2050</v>
      </c>
      <c r="D2210" s="3" t="str">
        <f t="shared" si="376"/>
        <v>12Go Link</v>
      </c>
      <c r="E2210" s="2" t="s">
        <v>1588</v>
      </c>
    </row>
    <row r="2211">
      <c r="A2211" s="2" t="s">
        <v>1740</v>
      </c>
      <c r="B2211" s="2" t="s">
        <v>1585</v>
      </c>
      <c r="C2211" s="2" t="s">
        <v>2050</v>
      </c>
      <c r="D2211" s="3" t="str">
        <f t="shared" si="376"/>
        <v>12Go Link</v>
      </c>
      <c r="E2211" s="2" t="s">
        <v>1589</v>
      </c>
    </row>
    <row r="2212">
      <c r="A2212" s="2" t="s">
        <v>1740</v>
      </c>
      <c r="B2212" s="2" t="s">
        <v>1590</v>
      </c>
      <c r="C2212" s="2" t="s">
        <v>2051</v>
      </c>
      <c r="D2212" s="3" t="str">
        <f t="shared" ref="D2212:D2214" si="377">HYPERLINK("https://12go.asia/en/travel/Istro-Hotel-Transfer/Heraklion-Airport", "12Go Link")</f>
        <v>12Go Link</v>
      </c>
      <c r="E2212" s="2" t="s">
        <v>1587</v>
      </c>
    </row>
    <row r="2213">
      <c r="A2213" s="2" t="s">
        <v>1740</v>
      </c>
      <c r="B2213" s="2" t="s">
        <v>1590</v>
      </c>
      <c r="C2213" s="2" t="s">
        <v>2051</v>
      </c>
      <c r="D2213" s="3" t="str">
        <f t="shared" si="377"/>
        <v>12Go Link</v>
      </c>
      <c r="E2213" s="2" t="s">
        <v>1588</v>
      </c>
    </row>
    <row r="2214">
      <c r="A2214" s="2" t="s">
        <v>1740</v>
      </c>
      <c r="B2214" s="2" t="s">
        <v>1590</v>
      </c>
      <c r="C2214" s="2" t="s">
        <v>2051</v>
      </c>
      <c r="D2214" s="3" t="str">
        <f t="shared" si="377"/>
        <v>12Go Link</v>
      </c>
      <c r="E2214" s="2" t="s">
        <v>1589</v>
      </c>
    </row>
    <row r="2215">
      <c r="A2215" s="2" t="s">
        <v>1742</v>
      </c>
      <c r="B2215" s="2" t="s">
        <v>1585</v>
      </c>
      <c r="C2215" s="2" t="s">
        <v>2052</v>
      </c>
      <c r="D2215" s="3" t="str">
        <f t="shared" ref="D2215:D2217" si="378">HYPERLINK("https://12go.asia/en/travel/Kalamaki-Heraklion-Hotel-Transfer/Chania-Airport", "12Go Link")</f>
        <v>12Go Link</v>
      </c>
      <c r="E2215" s="2" t="s">
        <v>1587</v>
      </c>
    </row>
    <row r="2216">
      <c r="A2216" s="2" t="s">
        <v>1742</v>
      </c>
      <c r="B2216" s="2" t="s">
        <v>1585</v>
      </c>
      <c r="C2216" s="2" t="s">
        <v>2052</v>
      </c>
      <c r="D2216" s="3" t="str">
        <f t="shared" si="378"/>
        <v>12Go Link</v>
      </c>
      <c r="E2216" s="2" t="s">
        <v>1588</v>
      </c>
    </row>
    <row r="2217">
      <c r="A2217" s="2" t="s">
        <v>1742</v>
      </c>
      <c r="B2217" s="2" t="s">
        <v>1585</v>
      </c>
      <c r="C2217" s="2" t="s">
        <v>2052</v>
      </c>
      <c r="D2217" s="3" t="str">
        <f t="shared" si="378"/>
        <v>12Go Link</v>
      </c>
      <c r="E2217" s="2" t="s">
        <v>1589</v>
      </c>
    </row>
    <row r="2218">
      <c r="A2218" s="2" t="s">
        <v>1742</v>
      </c>
      <c r="B2218" s="2" t="s">
        <v>1590</v>
      </c>
      <c r="C2218" s="2" t="s">
        <v>2053</v>
      </c>
      <c r="D2218" s="3" t="str">
        <f t="shared" ref="D2218:D2220" si="379">HYPERLINK("https://12go.asia/en/travel/Kalamaki-Heraklion-Hotel-Transfer/Heraklion-Airport", "12Go Link")</f>
        <v>12Go Link</v>
      </c>
      <c r="E2218" s="2" t="s">
        <v>1587</v>
      </c>
    </row>
    <row r="2219">
      <c r="A2219" s="2" t="s">
        <v>1742</v>
      </c>
      <c r="B2219" s="2" t="s">
        <v>1590</v>
      </c>
      <c r="C2219" s="2" t="s">
        <v>2053</v>
      </c>
      <c r="D2219" s="3" t="str">
        <f t="shared" si="379"/>
        <v>12Go Link</v>
      </c>
      <c r="E2219" s="2" t="s">
        <v>1588</v>
      </c>
    </row>
    <row r="2220">
      <c r="A2220" s="2" t="s">
        <v>1742</v>
      </c>
      <c r="B2220" s="2" t="s">
        <v>1590</v>
      </c>
      <c r="C2220" s="2" t="s">
        <v>2053</v>
      </c>
      <c r="D2220" s="3" t="str">
        <f t="shared" si="379"/>
        <v>12Go Link</v>
      </c>
      <c r="E2220" s="2" t="s">
        <v>1589</v>
      </c>
    </row>
    <row r="2221">
      <c r="A2221" s="2" t="s">
        <v>1744</v>
      </c>
      <c r="B2221" s="2" t="s">
        <v>1585</v>
      </c>
      <c r="C2221" s="2" t="s">
        <v>2054</v>
      </c>
      <c r="D2221" s="3" t="str">
        <f t="shared" ref="D2221:D2223" si="380">HYPERLINK("https://12go.asia/en/travel/Kalyves-Hotel-Transfer/Chania-Airport", "12Go Link")</f>
        <v>12Go Link</v>
      </c>
      <c r="E2221" s="2" t="s">
        <v>1587</v>
      </c>
    </row>
    <row r="2222">
      <c r="A2222" s="2" t="s">
        <v>1744</v>
      </c>
      <c r="B2222" s="2" t="s">
        <v>1585</v>
      </c>
      <c r="C2222" s="2" t="s">
        <v>2054</v>
      </c>
      <c r="D2222" s="3" t="str">
        <f t="shared" si="380"/>
        <v>12Go Link</v>
      </c>
      <c r="E2222" s="2" t="s">
        <v>1588</v>
      </c>
    </row>
    <row r="2223">
      <c r="A2223" s="2" t="s">
        <v>1744</v>
      </c>
      <c r="B2223" s="2" t="s">
        <v>1585</v>
      </c>
      <c r="C2223" s="2" t="s">
        <v>2054</v>
      </c>
      <c r="D2223" s="3" t="str">
        <f t="shared" si="380"/>
        <v>12Go Link</v>
      </c>
      <c r="E2223" s="2" t="s">
        <v>1589</v>
      </c>
    </row>
    <row r="2224">
      <c r="A2224" s="2" t="s">
        <v>1744</v>
      </c>
      <c r="B2224" s="2" t="s">
        <v>1590</v>
      </c>
      <c r="C2224" s="2" t="s">
        <v>2055</v>
      </c>
      <c r="D2224" s="3" t="str">
        <f t="shared" ref="D2224:D2226" si="381">HYPERLINK("https://12go.asia/en/travel/Kalyves-Hotel-Transfer/Heraklion-Airport", "12Go Link")</f>
        <v>12Go Link</v>
      </c>
      <c r="E2224" s="2" t="s">
        <v>1587</v>
      </c>
    </row>
    <row r="2225">
      <c r="A2225" s="2" t="s">
        <v>1744</v>
      </c>
      <c r="B2225" s="2" t="s">
        <v>1590</v>
      </c>
      <c r="C2225" s="2" t="s">
        <v>2055</v>
      </c>
      <c r="D2225" s="3" t="str">
        <f t="shared" si="381"/>
        <v>12Go Link</v>
      </c>
      <c r="E2225" s="2" t="s">
        <v>1588</v>
      </c>
    </row>
    <row r="2226">
      <c r="A2226" s="2" t="s">
        <v>1744</v>
      </c>
      <c r="B2226" s="2" t="s">
        <v>1590</v>
      </c>
      <c r="C2226" s="2" t="s">
        <v>2055</v>
      </c>
      <c r="D2226" s="3" t="str">
        <f t="shared" si="381"/>
        <v>12Go Link</v>
      </c>
      <c r="E2226" s="2" t="s">
        <v>1589</v>
      </c>
    </row>
    <row r="2227">
      <c r="A2227" s="2" t="s">
        <v>1746</v>
      </c>
      <c r="B2227" s="2" t="s">
        <v>1585</v>
      </c>
      <c r="C2227" s="2" t="s">
        <v>2056</v>
      </c>
      <c r="D2227" s="3" t="str">
        <f t="shared" ref="D2227:D2229" si="382">HYPERLINK("https://12go.asia/en/travel/Kamilari-Hotel-Transfer/Chania-Airport", "12Go Link")</f>
        <v>12Go Link</v>
      </c>
      <c r="E2227" s="2" t="s">
        <v>1587</v>
      </c>
    </row>
    <row r="2228">
      <c r="A2228" s="2" t="s">
        <v>1746</v>
      </c>
      <c r="B2228" s="2" t="s">
        <v>1585</v>
      </c>
      <c r="C2228" s="2" t="s">
        <v>2056</v>
      </c>
      <c r="D2228" s="3" t="str">
        <f t="shared" si="382"/>
        <v>12Go Link</v>
      </c>
      <c r="E2228" s="2" t="s">
        <v>1588</v>
      </c>
    </row>
    <row r="2229">
      <c r="A2229" s="2" t="s">
        <v>1746</v>
      </c>
      <c r="B2229" s="2" t="s">
        <v>1585</v>
      </c>
      <c r="C2229" s="2" t="s">
        <v>2056</v>
      </c>
      <c r="D2229" s="3" t="str">
        <f t="shared" si="382"/>
        <v>12Go Link</v>
      </c>
      <c r="E2229" s="2" t="s">
        <v>1589</v>
      </c>
    </row>
    <row r="2230">
      <c r="A2230" s="2" t="s">
        <v>1746</v>
      </c>
      <c r="B2230" s="2" t="s">
        <v>1590</v>
      </c>
      <c r="C2230" s="2" t="s">
        <v>2057</v>
      </c>
      <c r="D2230" s="3" t="str">
        <f t="shared" ref="D2230:D2232" si="383">HYPERLINK("https://12go.asia/en/travel/Kamilari-Hotel-Transfer/Heraklion-Airport", "12Go Link")</f>
        <v>12Go Link</v>
      </c>
      <c r="E2230" s="2" t="s">
        <v>1587</v>
      </c>
    </row>
    <row r="2231">
      <c r="A2231" s="2" t="s">
        <v>1746</v>
      </c>
      <c r="B2231" s="2" t="s">
        <v>1590</v>
      </c>
      <c r="C2231" s="2" t="s">
        <v>2057</v>
      </c>
      <c r="D2231" s="3" t="str">
        <f t="shared" si="383"/>
        <v>12Go Link</v>
      </c>
      <c r="E2231" s="2" t="s">
        <v>1588</v>
      </c>
    </row>
    <row r="2232">
      <c r="A2232" s="2" t="s">
        <v>1746</v>
      </c>
      <c r="B2232" s="2" t="s">
        <v>1590</v>
      </c>
      <c r="C2232" s="2" t="s">
        <v>2057</v>
      </c>
      <c r="D2232" s="3" t="str">
        <f t="shared" si="383"/>
        <v>12Go Link</v>
      </c>
      <c r="E2232" s="2" t="s">
        <v>1589</v>
      </c>
    </row>
    <row r="2233">
      <c r="A2233" s="2" t="s">
        <v>1748</v>
      </c>
      <c r="B2233" s="2" t="s">
        <v>1585</v>
      </c>
      <c r="C2233" s="2" t="s">
        <v>2058</v>
      </c>
      <c r="D2233" s="3" t="str">
        <f t="shared" ref="D2233:D2235" si="384">HYPERLINK("https://12go.asia/en/travel/Kamisiana-Hotel-Transfer/Chania-Airport", "12Go Link")</f>
        <v>12Go Link</v>
      </c>
      <c r="E2233" s="2" t="s">
        <v>1587</v>
      </c>
    </row>
    <row r="2234">
      <c r="A2234" s="2" t="s">
        <v>1748</v>
      </c>
      <c r="B2234" s="2" t="s">
        <v>1585</v>
      </c>
      <c r="C2234" s="2" t="s">
        <v>2058</v>
      </c>
      <c r="D2234" s="3" t="str">
        <f t="shared" si="384"/>
        <v>12Go Link</v>
      </c>
      <c r="E2234" s="2" t="s">
        <v>1588</v>
      </c>
    </row>
    <row r="2235">
      <c r="A2235" s="2" t="s">
        <v>1748</v>
      </c>
      <c r="B2235" s="2" t="s">
        <v>1585</v>
      </c>
      <c r="C2235" s="2" t="s">
        <v>2058</v>
      </c>
      <c r="D2235" s="3" t="str">
        <f t="shared" si="384"/>
        <v>12Go Link</v>
      </c>
      <c r="E2235" s="2" t="s">
        <v>1589</v>
      </c>
    </row>
    <row r="2236">
      <c r="A2236" s="2" t="s">
        <v>1748</v>
      </c>
      <c r="B2236" s="2" t="s">
        <v>1590</v>
      </c>
      <c r="C2236" s="2" t="s">
        <v>2059</v>
      </c>
      <c r="D2236" s="3" t="str">
        <f t="shared" ref="D2236:D2238" si="385">HYPERLINK("https://12go.asia/en/travel/Kamisiana-Hotel-Transfer/Heraklion-Airport", "12Go Link")</f>
        <v>12Go Link</v>
      </c>
      <c r="E2236" s="2" t="s">
        <v>1587</v>
      </c>
    </row>
    <row r="2237">
      <c r="A2237" s="2" t="s">
        <v>1748</v>
      </c>
      <c r="B2237" s="2" t="s">
        <v>1590</v>
      </c>
      <c r="C2237" s="2" t="s">
        <v>2059</v>
      </c>
      <c r="D2237" s="3" t="str">
        <f t="shared" si="385"/>
        <v>12Go Link</v>
      </c>
      <c r="E2237" s="2" t="s">
        <v>1588</v>
      </c>
    </row>
    <row r="2238">
      <c r="A2238" s="2" t="s">
        <v>1748</v>
      </c>
      <c r="B2238" s="2" t="s">
        <v>1590</v>
      </c>
      <c r="C2238" s="2" t="s">
        <v>2059</v>
      </c>
      <c r="D2238" s="3" t="str">
        <f t="shared" si="385"/>
        <v>12Go Link</v>
      </c>
      <c r="E2238" s="2" t="s">
        <v>1589</v>
      </c>
    </row>
    <row r="2239">
      <c r="A2239" s="2" t="s">
        <v>1750</v>
      </c>
      <c r="B2239" s="2" t="s">
        <v>1585</v>
      </c>
      <c r="C2239" s="2" t="s">
        <v>2060</v>
      </c>
      <c r="D2239" s="3" t="str">
        <f t="shared" ref="D2239:D2241" si="386">HYPERLINK("https://12go.asia/en/travel/Karteros-Hotel-Transfer/Chania-Airport", "12Go Link")</f>
        <v>12Go Link</v>
      </c>
      <c r="E2239" s="2" t="s">
        <v>1587</v>
      </c>
    </row>
    <row r="2240">
      <c r="A2240" s="2" t="s">
        <v>1750</v>
      </c>
      <c r="B2240" s="2" t="s">
        <v>1585</v>
      </c>
      <c r="C2240" s="2" t="s">
        <v>2060</v>
      </c>
      <c r="D2240" s="3" t="str">
        <f t="shared" si="386"/>
        <v>12Go Link</v>
      </c>
      <c r="E2240" s="2" t="s">
        <v>1588</v>
      </c>
    </row>
    <row r="2241">
      <c r="A2241" s="2" t="s">
        <v>1750</v>
      </c>
      <c r="B2241" s="2" t="s">
        <v>1585</v>
      </c>
      <c r="C2241" s="2" t="s">
        <v>2060</v>
      </c>
      <c r="D2241" s="3" t="str">
        <f t="shared" si="386"/>
        <v>12Go Link</v>
      </c>
      <c r="E2241" s="2" t="s">
        <v>1589</v>
      </c>
    </row>
    <row r="2242">
      <c r="A2242" s="2" t="s">
        <v>1750</v>
      </c>
      <c r="B2242" s="2" t="s">
        <v>1590</v>
      </c>
      <c r="C2242" s="2" t="s">
        <v>2061</v>
      </c>
      <c r="D2242" s="3" t="str">
        <f t="shared" ref="D2242:D2244" si="387">HYPERLINK("https://12go.asia/en/travel/Karteros-Hotel-Transfer/Heraklion-Airport", "12Go Link")</f>
        <v>12Go Link</v>
      </c>
      <c r="E2242" s="2" t="s">
        <v>1587</v>
      </c>
    </row>
    <row r="2243">
      <c r="A2243" s="2" t="s">
        <v>1750</v>
      </c>
      <c r="B2243" s="2" t="s">
        <v>1590</v>
      </c>
      <c r="C2243" s="2" t="s">
        <v>2061</v>
      </c>
      <c r="D2243" s="3" t="str">
        <f t="shared" si="387"/>
        <v>12Go Link</v>
      </c>
      <c r="E2243" s="2" t="s">
        <v>1588</v>
      </c>
    </row>
    <row r="2244">
      <c r="A2244" s="2" t="s">
        <v>1750</v>
      </c>
      <c r="B2244" s="2" t="s">
        <v>1590</v>
      </c>
      <c r="C2244" s="2" t="s">
        <v>2061</v>
      </c>
      <c r="D2244" s="3" t="str">
        <f t="shared" si="387"/>
        <v>12Go Link</v>
      </c>
      <c r="E2244" s="2" t="s">
        <v>1589</v>
      </c>
    </row>
    <row r="2245">
      <c r="A2245" s="2" t="s">
        <v>1752</v>
      </c>
      <c r="B2245" s="2" t="s">
        <v>1585</v>
      </c>
      <c r="C2245" s="2" t="s">
        <v>2062</v>
      </c>
      <c r="D2245" s="3" t="str">
        <f t="shared" ref="D2245:D2247" si="388">HYPERLINK("https://12go.asia/en/travel/Kato-Gouves-Hotel-Transfer/Chania-Airport", "12Go Link")</f>
        <v>12Go Link</v>
      </c>
      <c r="E2245" s="2" t="s">
        <v>1587</v>
      </c>
    </row>
    <row r="2246">
      <c r="A2246" s="2" t="s">
        <v>1752</v>
      </c>
      <c r="B2246" s="2" t="s">
        <v>1585</v>
      </c>
      <c r="C2246" s="2" t="s">
        <v>2062</v>
      </c>
      <c r="D2246" s="3" t="str">
        <f t="shared" si="388"/>
        <v>12Go Link</v>
      </c>
      <c r="E2246" s="2" t="s">
        <v>1588</v>
      </c>
    </row>
    <row r="2247">
      <c r="A2247" s="2" t="s">
        <v>1752</v>
      </c>
      <c r="B2247" s="2" t="s">
        <v>1585</v>
      </c>
      <c r="C2247" s="2" t="s">
        <v>2062</v>
      </c>
      <c r="D2247" s="3" t="str">
        <f t="shared" si="388"/>
        <v>12Go Link</v>
      </c>
      <c r="E2247" s="2" t="s">
        <v>1589</v>
      </c>
    </row>
    <row r="2248">
      <c r="A2248" s="2" t="s">
        <v>1752</v>
      </c>
      <c r="B2248" s="2" t="s">
        <v>1590</v>
      </c>
      <c r="C2248" s="2" t="s">
        <v>2063</v>
      </c>
      <c r="D2248" s="3" t="str">
        <f t="shared" ref="D2248:D2250" si="389">HYPERLINK("https://12go.asia/en/travel/Kato-Gouves-Hotel-Transfer/Heraklion-Airport", "12Go Link")</f>
        <v>12Go Link</v>
      </c>
      <c r="E2248" s="2" t="s">
        <v>1587</v>
      </c>
    </row>
    <row r="2249">
      <c r="A2249" s="2" t="s">
        <v>1752</v>
      </c>
      <c r="B2249" s="2" t="s">
        <v>1590</v>
      </c>
      <c r="C2249" s="2" t="s">
        <v>2063</v>
      </c>
      <c r="D2249" s="3" t="str">
        <f t="shared" si="389"/>
        <v>12Go Link</v>
      </c>
      <c r="E2249" s="2" t="s">
        <v>1588</v>
      </c>
    </row>
    <row r="2250">
      <c r="A2250" s="2" t="s">
        <v>1752</v>
      </c>
      <c r="B2250" s="2" t="s">
        <v>1590</v>
      </c>
      <c r="C2250" s="2" t="s">
        <v>2063</v>
      </c>
      <c r="D2250" s="3" t="str">
        <f t="shared" si="389"/>
        <v>12Go Link</v>
      </c>
      <c r="E2250" s="2" t="s">
        <v>1589</v>
      </c>
    </row>
    <row r="2251">
      <c r="A2251" s="2" t="s">
        <v>1754</v>
      </c>
      <c r="B2251" s="2" t="s">
        <v>1585</v>
      </c>
      <c r="C2251" s="2" t="s">
        <v>2064</v>
      </c>
      <c r="D2251" s="3" t="str">
        <f t="shared" ref="D2251:D2253" si="390">HYPERLINK("https://12go.asia/en/travel/Katsikia-Hotel-Transfer/Chania-Airport", "12Go Link")</f>
        <v>12Go Link</v>
      </c>
      <c r="E2251" s="2" t="s">
        <v>1587</v>
      </c>
    </row>
    <row r="2252">
      <c r="A2252" s="2" t="s">
        <v>1754</v>
      </c>
      <c r="B2252" s="2" t="s">
        <v>1585</v>
      </c>
      <c r="C2252" s="2" t="s">
        <v>2064</v>
      </c>
      <c r="D2252" s="3" t="str">
        <f t="shared" si="390"/>
        <v>12Go Link</v>
      </c>
      <c r="E2252" s="2" t="s">
        <v>1588</v>
      </c>
    </row>
    <row r="2253">
      <c r="A2253" s="2" t="s">
        <v>1754</v>
      </c>
      <c r="B2253" s="2" t="s">
        <v>1585</v>
      </c>
      <c r="C2253" s="2" t="s">
        <v>2064</v>
      </c>
      <c r="D2253" s="3" t="str">
        <f t="shared" si="390"/>
        <v>12Go Link</v>
      </c>
      <c r="E2253" s="2" t="s">
        <v>1589</v>
      </c>
    </row>
    <row r="2254">
      <c r="A2254" s="2" t="s">
        <v>1754</v>
      </c>
      <c r="B2254" s="2" t="s">
        <v>1590</v>
      </c>
      <c r="C2254" s="2" t="s">
        <v>2065</v>
      </c>
      <c r="D2254" s="3" t="str">
        <f t="shared" ref="D2254:D2256" si="391">HYPERLINK("https://12go.asia/en/travel/Katsikia-Hotel-Transfer/Heraklion-Airport", "12Go Link")</f>
        <v>12Go Link</v>
      </c>
      <c r="E2254" s="2" t="s">
        <v>1587</v>
      </c>
    </row>
    <row r="2255">
      <c r="A2255" s="2" t="s">
        <v>1754</v>
      </c>
      <c r="B2255" s="2" t="s">
        <v>1590</v>
      </c>
      <c r="C2255" s="2" t="s">
        <v>2065</v>
      </c>
      <c r="D2255" s="3" t="str">
        <f t="shared" si="391"/>
        <v>12Go Link</v>
      </c>
      <c r="E2255" s="2" t="s">
        <v>1588</v>
      </c>
    </row>
    <row r="2256">
      <c r="A2256" s="2" t="s">
        <v>1754</v>
      </c>
      <c r="B2256" s="2" t="s">
        <v>1590</v>
      </c>
      <c r="C2256" s="2" t="s">
        <v>2065</v>
      </c>
      <c r="D2256" s="3" t="str">
        <f t="shared" si="391"/>
        <v>12Go Link</v>
      </c>
      <c r="E2256" s="2" t="s">
        <v>1589</v>
      </c>
    </row>
    <row r="2257">
      <c r="A2257" s="2" t="s">
        <v>1756</v>
      </c>
      <c r="B2257" s="2" t="s">
        <v>1585</v>
      </c>
      <c r="C2257" s="2" t="s">
        <v>2066</v>
      </c>
      <c r="D2257" s="3" t="str">
        <f t="shared" ref="D2257:D2259" si="392">HYPERLINK("https://12go.asia/en/travel/Kefalas-Hotel-Transfer/Chania-Airport", "12Go Link")</f>
        <v>12Go Link</v>
      </c>
      <c r="E2257" s="2" t="s">
        <v>1587</v>
      </c>
    </row>
    <row r="2258">
      <c r="A2258" s="2" t="s">
        <v>1756</v>
      </c>
      <c r="B2258" s="2" t="s">
        <v>1585</v>
      </c>
      <c r="C2258" s="2" t="s">
        <v>2066</v>
      </c>
      <c r="D2258" s="3" t="str">
        <f t="shared" si="392"/>
        <v>12Go Link</v>
      </c>
      <c r="E2258" s="2" t="s">
        <v>1588</v>
      </c>
    </row>
    <row r="2259">
      <c r="A2259" s="2" t="s">
        <v>1756</v>
      </c>
      <c r="B2259" s="2" t="s">
        <v>1585</v>
      </c>
      <c r="C2259" s="2" t="s">
        <v>2066</v>
      </c>
      <c r="D2259" s="3" t="str">
        <f t="shared" si="392"/>
        <v>12Go Link</v>
      </c>
      <c r="E2259" s="2" t="s">
        <v>1589</v>
      </c>
    </row>
    <row r="2260">
      <c r="A2260" s="2" t="s">
        <v>1756</v>
      </c>
      <c r="B2260" s="2" t="s">
        <v>1590</v>
      </c>
      <c r="C2260" s="2" t="s">
        <v>2067</v>
      </c>
      <c r="D2260" s="3" t="str">
        <f t="shared" ref="D2260:D2262" si="393">HYPERLINK("https://12go.asia/en/travel/Kefalas-Hotel-Transfer/Heraklion-Airport", "12Go Link")</f>
        <v>12Go Link</v>
      </c>
      <c r="E2260" s="2" t="s">
        <v>1587</v>
      </c>
    </row>
    <row r="2261">
      <c r="A2261" s="2" t="s">
        <v>1756</v>
      </c>
      <c r="B2261" s="2" t="s">
        <v>1590</v>
      </c>
      <c r="C2261" s="2" t="s">
        <v>2067</v>
      </c>
      <c r="D2261" s="3" t="str">
        <f t="shared" si="393"/>
        <v>12Go Link</v>
      </c>
      <c r="E2261" s="2" t="s">
        <v>1588</v>
      </c>
    </row>
    <row r="2262">
      <c r="A2262" s="2" t="s">
        <v>1756</v>
      </c>
      <c r="B2262" s="2" t="s">
        <v>1590</v>
      </c>
      <c r="C2262" s="2" t="s">
        <v>2067</v>
      </c>
      <c r="D2262" s="3" t="str">
        <f t="shared" si="393"/>
        <v>12Go Link</v>
      </c>
      <c r="E2262" s="2" t="s">
        <v>1589</v>
      </c>
    </row>
    <row r="2263">
      <c r="A2263" s="2" t="s">
        <v>1758</v>
      </c>
      <c r="B2263" s="2" t="s">
        <v>1585</v>
      </c>
      <c r="C2263" s="2" t="s">
        <v>2068</v>
      </c>
      <c r="D2263" s="3" t="str">
        <f t="shared" ref="D2263:D2265" si="394">HYPERLINK("https://12go.asia/en/travel/Keratokampos-Hotel-Transfer/Chania-Airport", "12Go Link")</f>
        <v>12Go Link</v>
      </c>
      <c r="E2263" s="2" t="s">
        <v>1587</v>
      </c>
    </row>
    <row r="2264">
      <c r="A2264" s="2" t="s">
        <v>1758</v>
      </c>
      <c r="B2264" s="2" t="s">
        <v>1585</v>
      </c>
      <c r="C2264" s="2" t="s">
        <v>2068</v>
      </c>
      <c r="D2264" s="3" t="str">
        <f t="shared" si="394"/>
        <v>12Go Link</v>
      </c>
      <c r="E2264" s="2" t="s">
        <v>1588</v>
      </c>
    </row>
    <row r="2265">
      <c r="A2265" s="2" t="s">
        <v>1758</v>
      </c>
      <c r="B2265" s="2" t="s">
        <v>1585</v>
      </c>
      <c r="C2265" s="2" t="s">
        <v>2068</v>
      </c>
      <c r="D2265" s="3" t="str">
        <f t="shared" si="394"/>
        <v>12Go Link</v>
      </c>
      <c r="E2265" s="2" t="s">
        <v>1589</v>
      </c>
    </row>
    <row r="2266">
      <c r="A2266" s="2" t="s">
        <v>1758</v>
      </c>
      <c r="B2266" s="2" t="s">
        <v>1590</v>
      </c>
      <c r="C2266" s="2" t="s">
        <v>2069</v>
      </c>
      <c r="D2266" s="3" t="str">
        <f t="shared" ref="D2266:D2268" si="395">HYPERLINK("https://12go.asia/en/travel/Keratokampos-Hotel-Transfer/Heraklion-Airport", "12Go Link")</f>
        <v>12Go Link</v>
      </c>
      <c r="E2266" s="2" t="s">
        <v>1587</v>
      </c>
    </row>
    <row r="2267">
      <c r="A2267" s="2" t="s">
        <v>1758</v>
      </c>
      <c r="B2267" s="2" t="s">
        <v>1590</v>
      </c>
      <c r="C2267" s="2" t="s">
        <v>2069</v>
      </c>
      <c r="D2267" s="3" t="str">
        <f t="shared" si="395"/>
        <v>12Go Link</v>
      </c>
      <c r="E2267" s="2" t="s">
        <v>1588</v>
      </c>
    </row>
    <row r="2268">
      <c r="A2268" s="2" t="s">
        <v>1758</v>
      </c>
      <c r="B2268" s="2" t="s">
        <v>1590</v>
      </c>
      <c r="C2268" s="2" t="s">
        <v>2069</v>
      </c>
      <c r="D2268" s="3" t="str">
        <f t="shared" si="395"/>
        <v>12Go Link</v>
      </c>
      <c r="E2268" s="2" t="s">
        <v>1589</v>
      </c>
    </row>
    <row r="2269">
      <c r="A2269" s="2" t="s">
        <v>1760</v>
      </c>
      <c r="B2269" s="2" t="s">
        <v>1585</v>
      </c>
      <c r="C2269" s="2" t="s">
        <v>2070</v>
      </c>
      <c r="D2269" s="3" t="str">
        <f t="shared" ref="D2269:D2271" si="396">HYPERLINK("https://12go.asia/en/travel/Kissamos-Hotel-Transfer/Chania-Airport", "12Go Link")</f>
        <v>12Go Link</v>
      </c>
      <c r="E2269" s="2" t="s">
        <v>1587</v>
      </c>
    </row>
    <row r="2270">
      <c r="A2270" s="2" t="s">
        <v>1760</v>
      </c>
      <c r="B2270" s="2" t="s">
        <v>1585</v>
      </c>
      <c r="C2270" s="2" t="s">
        <v>2070</v>
      </c>
      <c r="D2270" s="3" t="str">
        <f t="shared" si="396"/>
        <v>12Go Link</v>
      </c>
      <c r="E2270" s="2" t="s">
        <v>1588</v>
      </c>
    </row>
    <row r="2271">
      <c r="A2271" s="2" t="s">
        <v>1760</v>
      </c>
      <c r="B2271" s="2" t="s">
        <v>1585</v>
      </c>
      <c r="C2271" s="2" t="s">
        <v>2070</v>
      </c>
      <c r="D2271" s="3" t="str">
        <f t="shared" si="396"/>
        <v>12Go Link</v>
      </c>
      <c r="E2271" s="2" t="s">
        <v>1589</v>
      </c>
    </row>
    <row r="2272">
      <c r="A2272" s="2" t="s">
        <v>1760</v>
      </c>
      <c r="B2272" s="2" t="s">
        <v>1590</v>
      </c>
      <c r="C2272" s="2" t="s">
        <v>2071</v>
      </c>
      <c r="D2272" s="3" t="str">
        <f t="shared" ref="D2272:D2274" si="397">HYPERLINK("https://12go.asia/en/travel/Kissamos-Hotel-Transfer/Heraklion-Airport", "12Go Link")</f>
        <v>12Go Link</v>
      </c>
      <c r="E2272" s="2" t="s">
        <v>1587</v>
      </c>
    </row>
    <row r="2273">
      <c r="A2273" s="2" t="s">
        <v>1760</v>
      </c>
      <c r="B2273" s="2" t="s">
        <v>1590</v>
      </c>
      <c r="C2273" s="2" t="s">
        <v>2071</v>
      </c>
      <c r="D2273" s="3" t="str">
        <f t="shared" si="397"/>
        <v>12Go Link</v>
      </c>
      <c r="E2273" s="2" t="s">
        <v>1588</v>
      </c>
    </row>
    <row r="2274">
      <c r="A2274" s="2" t="s">
        <v>1760</v>
      </c>
      <c r="B2274" s="2" t="s">
        <v>1590</v>
      </c>
      <c r="C2274" s="2" t="s">
        <v>2071</v>
      </c>
      <c r="D2274" s="3" t="str">
        <f t="shared" si="397"/>
        <v>12Go Link</v>
      </c>
      <c r="E2274" s="2" t="s">
        <v>1589</v>
      </c>
    </row>
    <row r="2275">
      <c r="A2275" s="2" t="s">
        <v>1762</v>
      </c>
      <c r="B2275" s="2" t="s">
        <v>1585</v>
      </c>
      <c r="C2275" s="2" t="s">
        <v>2072</v>
      </c>
      <c r="D2275" s="3" t="str">
        <f t="shared" ref="D2275:D2277" si="398">HYPERLINK("https://12go.asia/en/travel/Knossos-Hotel-Transfer/Chania-Airport", "12Go Link")</f>
        <v>12Go Link</v>
      </c>
      <c r="E2275" s="2" t="s">
        <v>1587</v>
      </c>
    </row>
    <row r="2276">
      <c r="A2276" s="2" t="s">
        <v>1762</v>
      </c>
      <c r="B2276" s="2" t="s">
        <v>1585</v>
      </c>
      <c r="C2276" s="2" t="s">
        <v>2072</v>
      </c>
      <c r="D2276" s="3" t="str">
        <f t="shared" si="398"/>
        <v>12Go Link</v>
      </c>
      <c r="E2276" s="2" t="s">
        <v>1588</v>
      </c>
    </row>
    <row r="2277">
      <c r="A2277" s="2" t="s">
        <v>1762</v>
      </c>
      <c r="B2277" s="2" t="s">
        <v>1585</v>
      </c>
      <c r="C2277" s="2" t="s">
        <v>2072</v>
      </c>
      <c r="D2277" s="3" t="str">
        <f t="shared" si="398"/>
        <v>12Go Link</v>
      </c>
      <c r="E2277" s="2" t="s">
        <v>1589</v>
      </c>
    </row>
    <row r="2278">
      <c r="A2278" s="2" t="s">
        <v>1762</v>
      </c>
      <c r="B2278" s="2" t="s">
        <v>1590</v>
      </c>
      <c r="C2278" s="2" t="s">
        <v>2073</v>
      </c>
      <c r="D2278" s="3" t="str">
        <f t="shared" ref="D2278:D2280" si="399">HYPERLINK("https://12go.asia/en/travel/Knossos-Hotel-Transfer/Heraklion-Airport", "12Go Link")</f>
        <v>12Go Link</v>
      </c>
      <c r="E2278" s="2" t="s">
        <v>1587</v>
      </c>
    </row>
    <row r="2279">
      <c r="A2279" s="2" t="s">
        <v>1762</v>
      </c>
      <c r="B2279" s="2" t="s">
        <v>1590</v>
      </c>
      <c r="C2279" s="2" t="s">
        <v>2073</v>
      </c>
      <c r="D2279" s="3" t="str">
        <f t="shared" si="399"/>
        <v>12Go Link</v>
      </c>
      <c r="E2279" s="2" t="s">
        <v>1588</v>
      </c>
    </row>
    <row r="2280">
      <c r="A2280" s="2" t="s">
        <v>1762</v>
      </c>
      <c r="B2280" s="2" t="s">
        <v>1590</v>
      </c>
      <c r="C2280" s="2" t="s">
        <v>2073</v>
      </c>
      <c r="D2280" s="3" t="str">
        <f t="shared" si="399"/>
        <v>12Go Link</v>
      </c>
      <c r="E2280" s="2" t="s">
        <v>1589</v>
      </c>
    </row>
    <row r="2281">
      <c r="A2281" s="2" t="s">
        <v>1764</v>
      </c>
      <c r="B2281" s="2" t="s">
        <v>1585</v>
      </c>
      <c r="C2281" s="2" t="s">
        <v>2074</v>
      </c>
      <c r="D2281" s="3" t="str">
        <f t="shared" ref="D2281:D2283" si="400">HYPERLINK("https://12go.asia/en/travel/Kokkini-Hani-Hotel-Transfer/Chania-Airport", "12Go Link")</f>
        <v>12Go Link</v>
      </c>
      <c r="E2281" s="2" t="s">
        <v>1587</v>
      </c>
    </row>
    <row r="2282">
      <c r="A2282" s="2" t="s">
        <v>1764</v>
      </c>
      <c r="B2282" s="2" t="s">
        <v>1585</v>
      </c>
      <c r="C2282" s="2" t="s">
        <v>2074</v>
      </c>
      <c r="D2282" s="3" t="str">
        <f t="shared" si="400"/>
        <v>12Go Link</v>
      </c>
      <c r="E2282" s="2" t="s">
        <v>1588</v>
      </c>
    </row>
    <row r="2283">
      <c r="A2283" s="2" t="s">
        <v>1764</v>
      </c>
      <c r="B2283" s="2" t="s">
        <v>1585</v>
      </c>
      <c r="C2283" s="2" t="s">
        <v>2074</v>
      </c>
      <c r="D2283" s="3" t="str">
        <f t="shared" si="400"/>
        <v>12Go Link</v>
      </c>
      <c r="E2283" s="2" t="s">
        <v>1589</v>
      </c>
    </row>
    <row r="2284">
      <c r="A2284" s="2" t="s">
        <v>1764</v>
      </c>
      <c r="B2284" s="2" t="s">
        <v>1590</v>
      </c>
      <c r="C2284" s="2" t="s">
        <v>2075</v>
      </c>
      <c r="D2284" s="3" t="str">
        <f t="shared" ref="D2284:D2286" si="401">HYPERLINK("https://12go.asia/en/travel/Kokkini-Hani-Hotel-Transfer/Heraklion-Airport", "12Go Link")</f>
        <v>12Go Link</v>
      </c>
      <c r="E2284" s="2" t="s">
        <v>1587</v>
      </c>
    </row>
    <row r="2285">
      <c r="A2285" s="2" t="s">
        <v>1764</v>
      </c>
      <c r="B2285" s="2" t="s">
        <v>1590</v>
      </c>
      <c r="C2285" s="2" t="s">
        <v>2075</v>
      </c>
      <c r="D2285" s="3" t="str">
        <f t="shared" si="401"/>
        <v>12Go Link</v>
      </c>
      <c r="E2285" s="2" t="s">
        <v>1588</v>
      </c>
    </row>
    <row r="2286">
      <c r="A2286" s="2" t="s">
        <v>1764</v>
      </c>
      <c r="B2286" s="2" t="s">
        <v>1590</v>
      </c>
      <c r="C2286" s="2" t="s">
        <v>2075</v>
      </c>
      <c r="D2286" s="3" t="str">
        <f t="shared" si="401"/>
        <v>12Go Link</v>
      </c>
      <c r="E2286" s="2" t="s">
        <v>1589</v>
      </c>
    </row>
    <row r="2287">
      <c r="A2287" s="2" t="s">
        <v>1766</v>
      </c>
      <c r="B2287" s="2" t="s">
        <v>1585</v>
      </c>
      <c r="C2287" s="2" t="s">
        <v>2076</v>
      </c>
      <c r="D2287" s="3" t="str">
        <f t="shared" ref="D2287:D2289" si="402">HYPERLINK("https://12go.asia/en/travel/Kokkino-Chorio-Hotel-Transfer/Chania-Airport", "12Go Link")</f>
        <v>12Go Link</v>
      </c>
      <c r="E2287" s="2" t="s">
        <v>1587</v>
      </c>
    </row>
    <row r="2288">
      <c r="A2288" s="2" t="s">
        <v>1766</v>
      </c>
      <c r="B2288" s="2" t="s">
        <v>1585</v>
      </c>
      <c r="C2288" s="2" t="s">
        <v>2076</v>
      </c>
      <c r="D2288" s="3" t="str">
        <f t="shared" si="402"/>
        <v>12Go Link</v>
      </c>
      <c r="E2288" s="2" t="s">
        <v>1588</v>
      </c>
    </row>
    <row r="2289">
      <c r="A2289" s="2" t="s">
        <v>1766</v>
      </c>
      <c r="B2289" s="2" t="s">
        <v>1585</v>
      </c>
      <c r="C2289" s="2" t="s">
        <v>2076</v>
      </c>
      <c r="D2289" s="3" t="str">
        <f t="shared" si="402"/>
        <v>12Go Link</v>
      </c>
      <c r="E2289" s="2" t="s">
        <v>1589</v>
      </c>
    </row>
    <row r="2290">
      <c r="A2290" s="2" t="s">
        <v>1766</v>
      </c>
      <c r="B2290" s="2" t="s">
        <v>1590</v>
      </c>
      <c r="C2290" s="2" t="s">
        <v>2077</v>
      </c>
      <c r="D2290" s="3" t="str">
        <f t="shared" ref="D2290:D2292" si="403">HYPERLINK("https://12go.asia/en/travel/Kokkino-Chorio-Hotel-Transfer/Heraklion-Airport", "12Go Link")</f>
        <v>12Go Link</v>
      </c>
      <c r="E2290" s="2" t="s">
        <v>1587</v>
      </c>
    </row>
    <row r="2291">
      <c r="A2291" s="2" t="s">
        <v>1766</v>
      </c>
      <c r="B2291" s="2" t="s">
        <v>1590</v>
      </c>
      <c r="C2291" s="2" t="s">
        <v>2077</v>
      </c>
      <c r="D2291" s="3" t="str">
        <f t="shared" si="403"/>
        <v>12Go Link</v>
      </c>
      <c r="E2291" s="2" t="s">
        <v>1588</v>
      </c>
    </row>
    <row r="2292">
      <c r="A2292" s="2" t="s">
        <v>1766</v>
      </c>
      <c r="B2292" s="2" t="s">
        <v>1590</v>
      </c>
      <c r="C2292" s="2" t="s">
        <v>2077</v>
      </c>
      <c r="D2292" s="3" t="str">
        <f t="shared" si="403"/>
        <v>12Go Link</v>
      </c>
      <c r="E2292" s="2" t="s">
        <v>1589</v>
      </c>
    </row>
    <row r="2293">
      <c r="A2293" s="2" t="s">
        <v>1768</v>
      </c>
      <c r="B2293" s="2" t="s">
        <v>1585</v>
      </c>
      <c r="C2293" s="2" t="s">
        <v>2078</v>
      </c>
      <c r="D2293" s="3" t="str">
        <f t="shared" ref="D2293:D2295" si="404">HYPERLINK("https://12go.asia/en/travel/Kokkinos-Pirgos-Hotel-Transfer/Chania-Airport", "12Go Link")</f>
        <v>12Go Link</v>
      </c>
      <c r="E2293" s="2" t="s">
        <v>1587</v>
      </c>
    </row>
    <row r="2294">
      <c r="A2294" s="2" t="s">
        <v>1768</v>
      </c>
      <c r="B2294" s="2" t="s">
        <v>1585</v>
      </c>
      <c r="C2294" s="2" t="s">
        <v>2078</v>
      </c>
      <c r="D2294" s="3" t="str">
        <f t="shared" si="404"/>
        <v>12Go Link</v>
      </c>
      <c r="E2294" s="2" t="s">
        <v>1588</v>
      </c>
    </row>
    <row r="2295">
      <c r="A2295" s="2" t="s">
        <v>1768</v>
      </c>
      <c r="B2295" s="2" t="s">
        <v>1585</v>
      </c>
      <c r="C2295" s="2" t="s">
        <v>2078</v>
      </c>
      <c r="D2295" s="3" t="str">
        <f t="shared" si="404"/>
        <v>12Go Link</v>
      </c>
      <c r="E2295" s="2" t="s">
        <v>1589</v>
      </c>
    </row>
    <row r="2296">
      <c r="A2296" s="2" t="s">
        <v>1768</v>
      </c>
      <c r="B2296" s="2" t="s">
        <v>1590</v>
      </c>
      <c r="C2296" s="2" t="s">
        <v>2079</v>
      </c>
      <c r="D2296" s="3" t="str">
        <f t="shared" ref="D2296:D2298" si="405">HYPERLINK("https://12go.asia/en/travel/Kokkinos-Pirgos-Hotel-Transfer/Heraklion-Airport", "12Go Link")</f>
        <v>12Go Link</v>
      </c>
      <c r="E2296" s="2" t="s">
        <v>1587</v>
      </c>
    </row>
    <row r="2297">
      <c r="A2297" s="2" t="s">
        <v>1768</v>
      </c>
      <c r="B2297" s="2" t="s">
        <v>1590</v>
      </c>
      <c r="C2297" s="2" t="s">
        <v>2079</v>
      </c>
      <c r="D2297" s="3" t="str">
        <f t="shared" si="405"/>
        <v>12Go Link</v>
      </c>
      <c r="E2297" s="2" t="s">
        <v>1588</v>
      </c>
    </row>
    <row r="2298">
      <c r="A2298" s="2" t="s">
        <v>1768</v>
      </c>
      <c r="B2298" s="2" t="s">
        <v>1590</v>
      </c>
      <c r="C2298" s="2" t="s">
        <v>2079</v>
      </c>
      <c r="D2298" s="3" t="str">
        <f t="shared" si="405"/>
        <v>12Go Link</v>
      </c>
      <c r="E2298" s="2" t="s">
        <v>1589</v>
      </c>
    </row>
    <row r="2299">
      <c r="A2299" s="2" t="s">
        <v>1770</v>
      </c>
      <c r="B2299" s="2" t="s">
        <v>1585</v>
      </c>
      <c r="C2299" s="2" t="s">
        <v>2080</v>
      </c>
      <c r="D2299" s="3" t="str">
        <f t="shared" ref="D2299:D2301" si="406">HYPERLINK("https://12go.asia/en/travel/Kolymvari-Hotel-Transfer/Chania-Airport", "12Go Link")</f>
        <v>12Go Link</v>
      </c>
      <c r="E2299" s="2" t="s">
        <v>1587</v>
      </c>
    </row>
    <row r="2300">
      <c r="A2300" s="2" t="s">
        <v>1770</v>
      </c>
      <c r="B2300" s="2" t="s">
        <v>1585</v>
      </c>
      <c r="C2300" s="2" t="s">
        <v>2080</v>
      </c>
      <c r="D2300" s="3" t="str">
        <f t="shared" si="406"/>
        <v>12Go Link</v>
      </c>
      <c r="E2300" s="2" t="s">
        <v>1588</v>
      </c>
    </row>
    <row r="2301">
      <c r="A2301" s="2" t="s">
        <v>1770</v>
      </c>
      <c r="B2301" s="2" t="s">
        <v>1585</v>
      </c>
      <c r="C2301" s="2" t="s">
        <v>2080</v>
      </c>
      <c r="D2301" s="3" t="str">
        <f t="shared" si="406"/>
        <v>12Go Link</v>
      </c>
      <c r="E2301" s="2" t="s">
        <v>1589</v>
      </c>
    </row>
    <row r="2302">
      <c r="A2302" s="2" t="s">
        <v>1770</v>
      </c>
      <c r="B2302" s="2" t="s">
        <v>1590</v>
      </c>
      <c r="C2302" s="2" t="s">
        <v>2081</v>
      </c>
      <c r="D2302" s="3" t="str">
        <f t="shared" ref="D2302:D2304" si="407">HYPERLINK("https://12go.asia/en/travel/Kolymvari-Hotel-Transfer/Heraklion-Airport", "12Go Link")</f>
        <v>12Go Link</v>
      </c>
      <c r="E2302" s="2" t="s">
        <v>1587</v>
      </c>
    </row>
    <row r="2303">
      <c r="A2303" s="2" t="s">
        <v>1770</v>
      </c>
      <c r="B2303" s="2" t="s">
        <v>1590</v>
      </c>
      <c r="C2303" s="2" t="s">
        <v>2081</v>
      </c>
      <c r="D2303" s="3" t="str">
        <f t="shared" si="407"/>
        <v>12Go Link</v>
      </c>
      <c r="E2303" s="2" t="s">
        <v>1588</v>
      </c>
    </row>
    <row r="2304">
      <c r="A2304" s="2" t="s">
        <v>1770</v>
      </c>
      <c r="B2304" s="2" t="s">
        <v>1590</v>
      </c>
      <c r="C2304" s="2" t="s">
        <v>2081</v>
      </c>
      <c r="D2304" s="3" t="str">
        <f t="shared" si="407"/>
        <v>12Go Link</v>
      </c>
      <c r="E2304" s="2" t="s">
        <v>1589</v>
      </c>
    </row>
    <row r="2305">
      <c r="A2305" s="2" t="s">
        <v>1772</v>
      </c>
      <c r="B2305" s="2" t="s">
        <v>1585</v>
      </c>
      <c r="C2305" s="2" t="s">
        <v>2082</v>
      </c>
      <c r="D2305" s="3" t="str">
        <f t="shared" ref="D2305:D2307" si="408">HYPERLINK("https://12go.asia/en/travel/Koutouloufari-Hotel-Transfer/Chania-Airport", "12Go Link")</f>
        <v>12Go Link</v>
      </c>
      <c r="E2305" s="2" t="s">
        <v>1587</v>
      </c>
    </row>
    <row r="2306">
      <c r="A2306" s="2" t="s">
        <v>1772</v>
      </c>
      <c r="B2306" s="2" t="s">
        <v>1585</v>
      </c>
      <c r="C2306" s="2" t="s">
        <v>2082</v>
      </c>
      <c r="D2306" s="3" t="str">
        <f t="shared" si="408"/>
        <v>12Go Link</v>
      </c>
      <c r="E2306" s="2" t="s">
        <v>1588</v>
      </c>
    </row>
    <row r="2307">
      <c r="A2307" s="2" t="s">
        <v>1772</v>
      </c>
      <c r="B2307" s="2" t="s">
        <v>1585</v>
      </c>
      <c r="C2307" s="2" t="s">
        <v>2082</v>
      </c>
      <c r="D2307" s="3" t="str">
        <f t="shared" si="408"/>
        <v>12Go Link</v>
      </c>
      <c r="E2307" s="2" t="s">
        <v>1589</v>
      </c>
    </row>
    <row r="2308">
      <c r="A2308" s="2" t="s">
        <v>1772</v>
      </c>
      <c r="B2308" s="2" t="s">
        <v>1590</v>
      </c>
      <c r="C2308" s="2" t="s">
        <v>2083</v>
      </c>
      <c r="D2308" s="3" t="str">
        <f t="shared" ref="D2308:D2310" si="409">HYPERLINK("https://12go.asia/en/travel/Koutouloufari-Hotel-Transfer/Heraklion-Airport", "12Go Link")</f>
        <v>12Go Link</v>
      </c>
      <c r="E2308" s="2" t="s">
        <v>1587</v>
      </c>
    </row>
    <row r="2309">
      <c r="A2309" s="2" t="s">
        <v>1772</v>
      </c>
      <c r="B2309" s="2" t="s">
        <v>1590</v>
      </c>
      <c r="C2309" s="2" t="s">
        <v>2083</v>
      </c>
      <c r="D2309" s="3" t="str">
        <f t="shared" si="409"/>
        <v>12Go Link</v>
      </c>
      <c r="E2309" s="2" t="s">
        <v>1588</v>
      </c>
    </row>
    <row r="2310">
      <c r="A2310" s="2" t="s">
        <v>1772</v>
      </c>
      <c r="B2310" s="2" t="s">
        <v>1590</v>
      </c>
      <c r="C2310" s="2" t="s">
        <v>2083</v>
      </c>
      <c r="D2310" s="3" t="str">
        <f t="shared" si="409"/>
        <v>12Go Link</v>
      </c>
      <c r="E2310" s="2" t="s">
        <v>1589</v>
      </c>
    </row>
    <row r="2311">
      <c r="A2311" s="2" t="s">
        <v>1774</v>
      </c>
      <c r="B2311" s="2" t="s">
        <v>1585</v>
      </c>
      <c r="C2311" s="2" t="s">
        <v>2084</v>
      </c>
      <c r="D2311" s="3" t="str">
        <f t="shared" ref="D2311:D2313" si="410">HYPERLINK("https://12go.asia/en/travel/Koutsounari-Hotel-Transfer/Chania-Airport", "12Go Link")</f>
        <v>12Go Link</v>
      </c>
      <c r="E2311" s="2" t="s">
        <v>1587</v>
      </c>
    </row>
    <row r="2312">
      <c r="A2312" s="2" t="s">
        <v>1774</v>
      </c>
      <c r="B2312" s="2" t="s">
        <v>1585</v>
      </c>
      <c r="C2312" s="2" t="s">
        <v>2084</v>
      </c>
      <c r="D2312" s="3" t="str">
        <f t="shared" si="410"/>
        <v>12Go Link</v>
      </c>
      <c r="E2312" s="2" t="s">
        <v>1588</v>
      </c>
    </row>
    <row r="2313">
      <c r="A2313" s="2" t="s">
        <v>1774</v>
      </c>
      <c r="B2313" s="2" t="s">
        <v>1585</v>
      </c>
      <c r="C2313" s="2" t="s">
        <v>2084</v>
      </c>
      <c r="D2313" s="3" t="str">
        <f t="shared" si="410"/>
        <v>12Go Link</v>
      </c>
      <c r="E2313" s="2" t="s">
        <v>1589</v>
      </c>
    </row>
    <row r="2314">
      <c r="A2314" s="2" t="s">
        <v>1774</v>
      </c>
      <c r="B2314" s="2" t="s">
        <v>1590</v>
      </c>
      <c r="C2314" s="2" t="s">
        <v>2085</v>
      </c>
      <c r="D2314" s="3" t="str">
        <f t="shared" ref="D2314:D2316" si="411">HYPERLINK("https://12go.asia/en/travel/Koutsounari-Hotel-Transfer/Heraklion-Airport", "12Go Link")</f>
        <v>12Go Link</v>
      </c>
      <c r="E2314" s="2" t="s">
        <v>1587</v>
      </c>
    </row>
    <row r="2315">
      <c r="A2315" s="2" t="s">
        <v>1774</v>
      </c>
      <c r="B2315" s="2" t="s">
        <v>1590</v>
      </c>
      <c r="C2315" s="2" t="s">
        <v>2085</v>
      </c>
      <c r="D2315" s="3" t="str">
        <f t="shared" si="411"/>
        <v>12Go Link</v>
      </c>
      <c r="E2315" s="2" t="s">
        <v>1588</v>
      </c>
    </row>
    <row r="2316">
      <c r="A2316" s="2" t="s">
        <v>1774</v>
      </c>
      <c r="B2316" s="2" t="s">
        <v>1590</v>
      </c>
      <c r="C2316" s="2" t="s">
        <v>2085</v>
      </c>
      <c r="D2316" s="3" t="str">
        <f t="shared" si="411"/>
        <v>12Go Link</v>
      </c>
      <c r="E2316" s="2" t="s">
        <v>1589</v>
      </c>
    </row>
    <row r="2317">
      <c r="A2317" s="2" t="s">
        <v>1776</v>
      </c>
      <c r="B2317" s="2" t="s">
        <v>1585</v>
      </c>
      <c r="C2317" s="2" t="s">
        <v>2086</v>
      </c>
      <c r="D2317" s="3" t="str">
        <f t="shared" ref="D2317:D2319" si="412">HYPERLINK("https://12go.asia/en/travel/Lavris-Hotel-Transfer/Chania-Airport", "12Go Link")</f>
        <v>12Go Link</v>
      </c>
      <c r="E2317" s="2" t="s">
        <v>1587</v>
      </c>
    </row>
    <row r="2318">
      <c r="A2318" s="2" t="s">
        <v>1776</v>
      </c>
      <c r="B2318" s="2" t="s">
        <v>1585</v>
      </c>
      <c r="C2318" s="2" t="s">
        <v>2086</v>
      </c>
      <c r="D2318" s="3" t="str">
        <f t="shared" si="412"/>
        <v>12Go Link</v>
      </c>
      <c r="E2318" s="2" t="s">
        <v>1588</v>
      </c>
    </row>
    <row r="2319">
      <c r="A2319" s="2" t="s">
        <v>1776</v>
      </c>
      <c r="B2319" s="2" t="s">
        <v>1585</v>
      </c>
      <c r="C2319" s="2" t="s">
        <v>2086</v>
      </c>
      <c r="D2319" s="3" t="str">
        <f t="shared" si="412"/>
        <v>12Go Link</v>
      </c>
      <c r="E2319" s="2" t="s">
        <v>1589</v>
      </c>
    </row>
    <row r="2320">
      <c r="A2320" s="2" t="s">
        <v>1776</v>
      </c>
      <c r="B2320" s="2" t="s">
        <v>1590</v>
      </c>
      <c r="C2320" s="2" t="s">
        <v>2087</v>
      </c>
      <c r="D2320" s="3" t="str">
        <f t="shared" ref="D2320:D2322" si="413">HYPERLINK("https://12go.asia/en/travel/Lavris-Hotel-Transfer/Heraklion-Airport", "12Go Link")</f>
        <v>12Go Link</v>
      </c>
      <c r="E2320" s="2" t="s">
        <v>1587</v>
      </c>
    </row>
    <row r="2321">
      <c r="A2321" s="2" t="s">
        <v>1776</v>
      </c>
      <c r="B2321" s="2" t="s">
        <v>1590</v>
      </c>
      <c r="C2321" s="2" t="s">
        <v>2087</v>
      </c>
      <c r="D2321" s="3" t="str">
        <f t="shared" si="413"/>
        <v>12Go Link</v>
      </c>
      <c r="E2321" s="2" t="s">
        <v>1588</v>
      </c>
    </row>
    <row r="2322">
      <c r="A2322" s="2" t="s">
        <v>1776</v>
      </c>
      <c r="B2322" s="2" t="s">
        <v>1590</v>
      </c>
      <c r="C2322" s="2" t="s">
        <v>2087</v>
      </c>
      <c r="D2322" s="3" t="str">
        <f t="shared" si="413"/>
        <v>12Go Link</v>
      </c>
      <c r="E2322" s="2" t="s">
        <v>1589</v>
      </c>
    </row>
    <row r="2323">
      <c r="A2323" s="2" t="s">
        <v>1778</v>
      </c>
      <c r="B2323" s="2" t="s">
        <v>1585</v>
      </c>
      <c r="C2323" s="2" t="s">
        <v>2088</v>
      </c>
      <c r="D2323" s="3" t="str">
        <f t="shared" ref="D2323:D2325" si="414">HYPERLINK("https://12go.asia/en/travel/Lentas-Hotel-Transfer/Chania-Airport", "12Go Link")</f>
        <v>12Go Link</v>
      </c>
      <c r="E2323" s="2" t="s">
        <v>1587</v>
      </c>
    </row>
    <row r="2324">
      <c r="A2324" s="2" t="s">
        <v>1778</v>
      </c>
      <c r="B2324" s="2" t="s">
        <v>1585</v>
      </c>
      <c r="C2324" s="2" t="s">
        <v>2088</v>
      </c>
      <c r="D2324" s="3" t="str">
        <f t="shared" si="414"/>
        <v>12Go Link</v>
      </c>
      <c r="E2324" s="2" t="s">
        <v>1588</v>
      </c>
    </row>
    <row r="2325">
      <c r="A2325" s="2" t="s">
        <v>1778</v>
      </c>
      <c r="B2325" s="2" t="s">
        <v>1585</v>
      </c>
      <c r="C2325" s="2" t="s">
        <v>2088</v>
      </c>
      <c r="D2325" s="3" t="str">
        <f t="shared" si="414"/>
        <v>12Go Link</v>
      </c>
      <c r="E2325" s="2" t="s">
        <v>1589</v>
      </c>
    </row>
    <row r="2326">
      <c r="A2326" s="2" t="s">
        <v>1778</v>
      </c>
      <c r="B2326" s="2" t="s">
        <v>1590</v>
      </c>
      <c r="C2326" s="2" t="s">
        <v>2089</v>
      </c>
      <c r="D2326" s="3" t="str">
        <f t="shared" ref="D2326:D2328" si="415">HYPERLINK("https://12go.asia/en/travel/Lentas-Hotel-Transfer/Heraklion-Airport", "12Go Link")</f>
        <v>12Go Link</v>
      </c>
      <c r="E2326" s="2" t="s">
        <v>1587</v>
      </c>
    </row>
    <row r="2327">
      <c r="A2327" s="2" t="s">
        <v>1778</v>
      </c>
      <c r="B2327" s="2" t="s">
        <v>1590</v>
      </c>
      <c r="C2327" s="2" t="s">
        <v>2089</v>
      </c>
      <c r="D2327" s="3" t="str">
        <f t="shared" si="415"/>
        <v>12Go Link</v>
      </c>
      <c r="E2327" s="2" t="s">
        <v>1588</v>
      </c>
    </row>
    <row r="2328">
      <c r="A2328" s="2" t="s">
        <v>1778</v>
      </c>
      <c r="B2328" s="2" t="s">
        <v>1590</v>
      </c>
      <c r="C2328" s="2" t="s">
        <v>2089</v>
      </c>
      <c r="D2328" s="3" t="str">
        <f t="shared" si="415"/>
        <v>12Go Link</v>
      </c>
      <c r="E2328" s="2" t="s">
        <v>1589</v>
      </c>
    </row>
    <row r="2329">
      <c r="A2329" s="2" t="s">
        <v>1780</v>
      </c>
      <c r="B2329" s="2" t="s">
        <v>1585</v>
      </c>
      <c r="C2329" s="2" t="s">
        <v>2090</v>
      </c>
      <c r="D2329" s="3" t="str">
        <f t="shared" ref="D2329:D2331" si="416">HYPERLINK("https://12go.asia/en/travel/Ligaria-Hotel-Transfer/Chania-Airport", "12Go Link")</f>
        <v>12Go Link</v>
      </c>
      <c r="E2329" s="2" t="s">
        <v>1587</v>
      </c>
    </row>
    <row r="2330">
      <c r="A2330" s="2" t="s">
        <v>1780</v>
      </c>
      <c r="B2330" s="2" t="s">
        <v>1585</v>
      </c>
      <c r="C2330" s="2" t="s">
        <v>2090</v>
      </c>
      <c r="D2330" s="3" t="str">
        <f t="shared" si="416"/>
        <v>12Go Link</v>
      </c>
      <c r="E2330" s="2" t="s">
        <v>1588</v>
      </c>
    </row>
    <row r="2331">
      <c r="A2331" s="2" t="s">
        <v>1780</v>
      </c>
      <c r="B2331" s="2" t="s">
        <v>1585</v>
      </c>
      <c r="C2331" s="2" t="s">
        <v>2090</v>
      </c>
      <c r="D2331" s="3" t="str">
        <f t="shared" si="416"/>
        <v>12Go Link</v>
      </c>
      <c r="E2331" s="2" t="s">
        <v>1589</v>
      </c>
    </row>
    <row r="2332">
      <c r="A2332" s="2" t="s">
        <v>1780</v>
      </c>
      <c r="B2332" s="2" t="s">
        <v>1590</v>
      </c>
      <c r="C2332" s="2" t="s">
        <v>2091</v>
      </c>
      <c r="D2332" s="3" t="str">
        <f t="shared" ref="D2332:D2334" si="417">HYPERLINK("https://12go.asia/en/travel/Ligaria-Hotel-Transfer/Heraklion-Airport", "12Go Link")</f>
        <v>12Go Link</v>
      </c>
      <c r="E2332" s="2" t="s">
        <v>1587</v>
      </c>
    </row>
    <row r="2333">
      <c r="A2333" s="2" t="s">
        <v>1780</v>
      </c>
      <c r="B2333" s="2" t="s">
        <v>1590</v>
      </c>
      <c r="C2333" s="2" t="s">
        <v>2091</v>
      </c>
      <c r="D2333" s="3" t="str">
        <f t="shared" si="417"/>
        <v>12Go Link</v>
      </c>
      <c r="E2333" s="2" t="s">
        <v>1588</v>
      </c>
    </row>
    <row r="2334">
      <c r="A2334" s="2" t="s">
        <v>1780</v>
      </c>
      <c r="B2334" s="2" t="s">
        <v>1590</v>
      </c>
      <c r="C2334" s="2" t="s">
        <v>2091</v>
      </c>
      <c r="D2334" s="3" t="str">
        <f t="shared" si="417"/>
        <v>12Go Link</v>
      </c>
      <c r="E2334" s="2" t="s">
        <v>1589</v>
      </c>
    </row>
    <row r="2335">
      <c r="A2335" s="2" t="s">
        <v>1782</v>
      </c>
      <c r="B2335" s="2" t="s">
        <v>1585</v>
      </c>
      <c r="C2335" s="2" t="s">
        <v>2092</v>
      </c>
      <c r="D2335" s="3" t="str">
        <f t="shared" ref="D2335:D2337" si="418">HYPERLINK("https://12go.asia/en/travel/Linoperamata-Hotel-Transfer/Chania-Airport", "12Go Link")</f>
        <v>12Go Link</v>
      </c>
      <c r="E2335" s="2" t="s">
        <v>1587</v>
      </c>
    </row>
    <row r="2336">
      <c r="A2336" s="2" t="s">
        <v>1782</v>
      </c>
      <c r="B2336" s="2" t="s">
        <v>1585</v>
      </c>
      <c r="C2336" s="2" t="s">
        <v>2092</v>
      </c>
      <c r="D2336" s="3" t="str">
        <f t="shared" si="418"/>
        <v>12Go Link</v>
      </c>
      <c r="E2336" s="2" t="s">
        <v>1588</v>
      </c>
    </row>
    <row r="2337">
      <c r="A2337" s="2" t="s">
        <v>1782</v>
      </c>
      <c r="B2337" s="2" t="s">
        <v>1585</v>
      </c>
      <c r="C2337" s="2" t="s">
        <v>2092</v>
      </c>
      <c r="D2337" s="3" t="str">
        <f t="shared" si="418"/>
        <v>12Go Link</v>
      </c>
      <c r="E2337" s="2" t="s">
        <v>1589</v>
      </c>
    </row>
    <row r="2338">
      <c r="A2338" s="2" t="s">
        <v>1782</v>
      </c>
      <c r="B2338" s="2" t="s">
        <v>1590</v>
      </c>
      <c r="C2338" s="2" t="s">
        <v>2093</v>
      </c>
      <c r="D2338" s="3" t="str">
        <f t="shared" ref="D2338:D2340" si="419">HYPERLINK("https://12go.asia/en/travel/Linoperamata-Hotel-Transfer/Heraklion-Airport", "12Go Link")</f>
        <v>12Go Link</v>
      </c>
      <c r="E2338" s="2" t="s">
        <v>1587</v>
      </c>
    </row>
    <row r="2339">
      <c r="A2339" s="2" t="s">
        <v>1782</v>
      </c>
      <c r="B2339" s="2" t="s">
        <v>1590</v>
      </c>
      <c r="C2339" s="2" t="s">
        <v>2093</v>
      </c>
      <c r="D2339" s="3" t="str">
        <f t="shared" si="419"/>
        <v>12Go Link</v>
      </c>
      <c r="E2339" s="2" t="s">
        <v>1588</v>
      </c>
    </row>
    <row r="2340">
      <c r="A2340" s="2" t="s">
        <v>1782</v>
      </c>
      <c r="B2340" s="2" t="s">
        <v>1590</v>
      </c>
      <c r="C2340" s="2" t="s">
        <v>2093</v>
      </c>
      <c r="D2340" s="3" t="str">
        <f t="shared" si="419"/>
        <v>12Go Link</v>
      </c>
      <c r="E2340" s="2" t="s">
        <v>1589</v>
      </c>
    </row>
    <row r="2341">
      <c r="A2341" s="2" t="s">
        <v>1784</v>
      </c>
      <c r="B2341" s="2" t="s">
        <v>1585</v>
      </c>
      <c r="C2341" s="2" t="s">
        <v>2094</v>
      </c>
      <c r="D2341" s="3" t="str">
        <f t="shared" ref="D2341:D2343" si="420">HYPERLINK("https://12go.asia/en/travel/Magnisia-Hotel-Transfer/Chania-Airport", "12Go Link")</f>
        <v>12Go Link</v>
      </c>
      <c r="E2341" s="2" t="s">
        <v>1587</v>
      </c>
    </row>
    <row r="2342">
      <c r="A2342" s="2" t="s">
        <v>1784</v>
      </c>
      <c r="B2342" s="2" t="s">
        <v>1585</v>
      </c>
      <c r="C2342" s="2" t="s">
        <v>2094</v>
      </c>
      <c r="D2342" s="3" t="str">
        <f t="shared" si="420"/>
        <v>12Go Link</v>
      </c>
      <c r="E2342" s="2" t="s">
        <v>1588</v>
      </c>
    </row>
    <row r="2343">
      <c r="A2343" s="2" t="s">
        <v>1784</v>
      </c>
      <c r="B2343" s="2" t="s">
        <v>1585</v>
      </c>
      <c r="C2343" s="2" t="s">
        <v>2094</v>
      </c>
      <c r="D2343" s="3" t="str">
        <f t="shared" si="420"/>
        <v>12Go Link</v>
      </c>
      <c r="E2343" s="2" t="s">
        <v>1589</v>
      </c>
    </row>
    <row r="2344">
      <c r="A2344" s="2" t="s">
        <v>1784</v>
      </c>
      <c r="B2344" s="2" t="s">
        <v>1590</v>
      </c>
      <c r="C2344" s="2" t="s">
        <v>2095</v>
      </c>
      <c r="D2344" s="3" t="str">
        <f t="shared" ref="D2344:D2346" si="421">HYPERLINK("https://12go.asia/en/travel/Magnisia-Hotel-Transfer/Heraklion-Airport", "12Go Link")</f>
        <v>12Go Link</v>
      </c>
      <c r="E2344" s="2" t="s">
        <v>1587</v>
      </c>
    </row>
    <row r="2345">
      <c r="A2345" s="2" t="s">
        <v>1784</v>
      </c>
      <c r="B2345" s="2" t="s">
        <v>1590</v>
      </c>
      <c r="C2345" s="2" t="s">
        <v>2095</v>
      </c>
      <c r="D2345" s="3" t="str">
        <f t="shared" si="421"/>
        <v>12Go Link</v>
      </c>
      <c r="E2345" s="2" t="s">
        <v>1588</v>
      </c>
    </row>
    <row r="2346">
      <c r="A2346" s="2" t="s">
        <v>1784</v>
      </c>
      <c r="B2346" s="2" t="s">
        <v>1590</v>
      </c>
      <c r="C2346" s="2" t="s">
        <v>2095</v>
      </c>
      <c r="D2346" s="3" t="str">
        <f t="shared" si="421"/>
        <v>12Go Link</v>
      </c>
      <c r="E2346" s="2" t="s">
        <v>1589</v>
      </c>
    </row>
    <row r="2347">
      <c r="A2347" s="2" t="s">
        <v>1786</v>
      </c>
      <c r="B2347" s="2" t="s">
        <v>1585</v>
      </c>
      <c r="C2347" s="2" t="s">
        <v>2096</v>
      </c>
      <c r="D2347" s="3" t="str">
        <f t="shared" ref="D2347:D2349" si="422">HYPERLINK("https://12go.asia/en/travel/Makry-Gialos-Hotel-Transfer/Chania-Airport", "12Go Link")</f>
        <v>12Go Link</v>
      </c>
      <c r="E2347" s="2" t="s">
        <v>1587</v>
      </c>
    </row>
    <row r="2348">
      <c r="A2348" s="2" t="s">
        <v>1786</v>
      </c>
      <c r="B2348" s="2" t="s">
        <v>1585</v>
      </c>
      <c r="C2348" s="2" t="s">
        <v>2096</v>
      </c>
      <c r="D2348" s="3" t="str">
        <f t="shared" si="422"/>
        <v>12Go Link</v>
      </c>
      <c r="E2348" s="2" t="s">
        <v>1588</v>
      </c>
    </row>
    <row r="2349">
      <c r="A2349" s="2" t="s">
        <v>1786</v>
      </c>
      <c r="B2349" s="2" t="s">
        <v>1585</v>
      </c>
      <c r="C2349" s="2" t="s">
        <v>2096</v>
      </c>
      <c r="D2349" s="3" t="str">
        <f t="shared" si="422"/>
        <v>12Go Link</v>
      </c>
      <c r="E2349" s="2" t="s">
        <v>1589</v>
      </c>
    </row>
    <row r="2350">
      <c r="A2350" s="2" t="s">
        <v>1786</v>
      </c>
      <c r="B2350" s="2" t="s">
        <v>1590</v>
      </c>
      <c r="C2350" s="2" t="s">
        <v>2097</v>
      </c>
      <c r="D2350" s="3" t="str">
        <f t="shared" ref="D2350:D2352" si="423">HYPERLINK("https://12go.asia/en/travel/Makry-Gialos-Hotel-Transfer/Heraklion-Airport", "12Go Link")</f>
        <v>12Go Link</v>
      </c>
      <c r="E2350" s="2" t="s">
        <v>1587</v>
      </c>
    </row>
    <row r="2351">
      <c r="A2351" s="2" t="s">
        <v>1786</v>
      </c>
      <c r="B2351" s="2" t="s">
        <v>1590</v>
      </c>
      <c r="C2351" s="2" t="s">
        <v>2097</v>
      </c>
      <c r="D2351" s="3" t="str">
        <f t="shared" si="423"/>
        <v>12Go Link</v>
      </c>
      <c r="E2351" s="2" t="s">
        <v>1588</v>
      </c>
    </row>
    <row r="2352">
      <c r="A2352" s="2" t="s">
        <v>1786</v>
      </c>
      <c r="B2352" s="2" t="s">
        <v>1590</v>
      </c>
      <c r="C2352" s="2" t="s">
        <v>2097</v>
      </c>
      <c r="D2352" s="3" t="str">
        <f t="shared" si="423"/>
        <v>12Go Link</v>
      </c>
      <c r="E2352" s="2" t="s">
        <v>1589</v>
      </c>
    </row>
    <row r="2353">
      <c r="A2353" s="2" t="s">
        <v>1788</v>
      </c>
      <c r="B2353" s="2" t="s">
        <v>1585</v>
      </c>
      <c r="C2353" s="2" t="s">
        <v>2098</v>
      </c>
      <c r="D2353" s="3" t="str">
        <f t="shared" ref="D2353:D2355" si="424">HYPERLINK("https://12go.asia/en/travel/Maleme-Hotel-Transfer/Chania-Airport", "12Go Link")</f>
        <v>12Go Link</v>
      </c>
      <c r="E2353" s="2" t="s">
        <v>1587</v>
      </c>
    </row>
    <row r="2354">
      <c r="A2354" s="2" t="s">
        <v>1788</v>
      </c>
      <c r="B2354" s="2" t="s">
        <v>1585</v>
      </c>
      <c r="C2354" s="2" t="s">
        <v>2098</v>
      </c>
      <c r="D2354" s="3" t="str">
        <f t="shared" si="424"/>
        <v>12Go Link</v>
      </c>
      <c r="E2354" s="2" t="s">
        <v>1588</v>
      </c>
    </row>
    <row r="2355">
      <c r="A2355" s="2" t="s">
        <v>1788</v>
      </c>
      <c r="B2355" s="2" t="s">
        <v>1585</v>
      </c>
      <c r="C2355" s="2" t="s">
        <v>2098</v>
      </c>
      <c r="D2355" s="3" t="str">
        <f t="shared" si="424"/>
        <v>12Go Link</v>
      </c>
      <c r="E2355" s="2" t="s">
        <v>1589</v>
      </c>
    </row>
    <row r="2356">
      <c r="A2356" s="2" t="s">
        <v>1788</v>
      </c>
      <c r="B2356" s="2" t="s">
        <v>1590</v>
      </c>
      <c r="C2356" s="2" t="s">
        <v>2099</v>
      </c>
      <c r="D2356" s="3" t="str">
        <f t="shared" ref="D2356:D2358" si="425">HYPERLINK("https://12go.asia/en/travel/Maleme-Hotel-Transfer/Heraklion-Airport", "12Go Link")</f>
        <v>12Go Link</v>
      </c>
      <c r="E2356" s="2" t="s">
        <v>1587</v>
      </c>
    </row>
    <row r="2357">
      <c r="A2357" s="2" t="s">
        <v>1788</v>
      </c>
      <c r="B2357" s="2" t="s">
        <v>1590</v>
      </c>
      <c r="C2357" s="2" t="s">
        <v>2099</v>
      </c>
      <c r="D2357" s="3" t="str">
        <f t="shared" si="425"/>
        <v>12Go Link</v>
      </c>
      <c r="E2357" s="2" t="s">
        <v>1588</v>
      </c>
    </row>
    <row r="2358">
      <c r="A2358" s="2" t="s">
        <v>1788</v>
      </c>
      <c r="B2358" s="2" t="s">
        <v>1590</v>
      </c>
      <c r="C2358" s="2" t="s">
        <v>2099</v>
      </c>
      <c r="D2358" s="3" t="str">
        <f t="shared" si="425"/>
        <v>12Go Link</v>
      </c>
      <c r="E2358" s="2" t="s">
        <v>1589</v>
      </c>
    </row>
    <row r="2359">
      <c r="A2359" s="2" t="s">
        <v>1790</v>
      </c>
      <c r="B2359" s="2" t="s">
        <v>1585</v>
      </c>
      <c r="C2359" s="2" t="s">
        <v>2100</v>
      </c>
      <c r="D2359" s="3" t="str">
        <f t="shared" ref="D2359:D2361" si="426">HYPERLINK("https://12go.asia/en/travel/Malia-Hotel-Transfer/Chania-Airport", "12Go Link")</f>
        <v>12Go Link</v>
      </c>
      <c r="E2359" s="2" t="s">
        <v>1587</v>
      </c>
    </row>
    <row r="2360">
      <c r="A2360" s="2" t="s">
        <v>1790</v>
      </c>
      <c r="B2360" s="2" t="s">
        <v>1585</v>
      </c>
      <c r="C2360" s="2" t="s">
        <v>2100</v>
      </c>
      <c r="D2360" s="3" t="str">
        <f t="shared" si="426"/>
        <v>12Go Link</v>
      </c>
      <c r="E2360" s="2" t="s">
        <v>1588</v>
      </c>
    </row>
    <row r="2361">
      <c r="A2361" s="2" t="s">
        <v>1790</v>
      </c>
      <c r="B2361" s="2" t="s">
        <v>1585</v>
      </c>
      <c r="C2361" s="2" t="s">
        <v>2100</v>
      </c>
      <c r="D2361" s="3" t="str">
        <f t="shared" si="426"/>
        <v>12Go Link</v>
      </c>
      <c r="E2361" s="2" t="s">
        <v>1589</v>
      </c>
    </row>
    <row r="2362">
      <c r="A2362" s="2" t="s">
        <v>1790</v>
      </c>
      <c r="B2362" s="2" t="s">
        <v>1590</v>
      </c>
      <c r="C2362" s="2" t="s">
        <v>2101</v>
      </c>
      <c r="D2362" s="3" t="str">
        <f t="shared" ref="D2362:D2364" si="427">HYPERLINK("https://12go.asia/en/travel/Malia-Hotel-Transfer/Heraklion-Airport", "12Go Link")</f>
        <v>12Go Link</v>
      </c>
      <c r="E2362" s="2" t="s">
        <v>1587</v>
      </c>
    </row>
    <row r="2363">
      <c r="A2363" s="2" t="s">
        <v>1790</v>
      </c>
      <c r="B2363" s="2" t="s">
        <v>1590</v>
      </c>
      <c r="C2363" s="2" t="s">
        <v>2101</v>
      </c>
      <c r="D2363" s="3" t="str">
        <f t="shared" si="427"/>
        <v>12Go Link</v>
      </c>
      <c r="E2363" s="2" t="s">
        <v>1588</v>
      </c>
    </row>
    <row r="2364">
      <c r="A2364" s="2" t="s">
        <v>1790</v>
      </c>
      <c r="B2364" s="2" t="s">
        <v>1590</v>
      </c>
      <c r="C2364" s="2" t="s">
        <v>2101</v>
      </c>
      <c r="D2364" s="3" t="str">
        <f t="shared" si="427"/>
        <v>12Go Link</v>
      </c>
      <c r="E2364" s="2" t="s">
        <v>1589</v>
      </c>
    </row>
    <row r="2365">
      <c r="A2365" s="2" t="s">
        <v>1792</v>
      </c>
      <c r="B2365" s="2" t="s">
        <v>1585</v>
      </c>
      <c r="C2365" s="2" t="s">
        <v>2102</v>
      </c>
      <c r="D2365" s="3" t="str">
        <f t="shared" ref="D2365:D2367" si="428">HYPERLINK("https://12go.asia/en/travel/Marathi-Hotel-Transfer/Chania-Airport", "12Go Link")</f>
        <v>12Go Link</v>
      </c>
      <c r="E2365" s="2" t="s">
        <v>1587</v>
      </c>
    </row>
    <row r="2366">
      <c r="A2366" s="2" t="s">
        <v>1792</v>
      </c>
      <c r="B2366" s="2" t="s">
        <v>1585</v>
      </c>
      <c r="C2366" s="2" t="s">
        <v>2102</v>
      </c>
      <c r="D2366" s="3" t="str">
        <f t="shared" si="428"/>
        <v>12Go Link</v>
      </c>
      <c r="E2366" s="2" t="s">
        <v>1588</v>
      </c>
    </row>
    <row r="2367">
      <c r="A2367" s="2" t="s">
        <v>1792</v>
      </c>
      <c r="B2367" s="2" t="s">
        <v>1585</v>
      </c>
      <c r="C2367" s="2" t="s">
        <v>2102</v>
      </c>
      <c r="D2367" s="3" t="str">
        <f t="shared" si="428"/>
        <v>12Go Link</v>
      </c>
      <c r="E2367" s="2" t="s">
        <v>1589</v>
      </c>
    </row>
    <row r="2368">
      <c r="A2368" s="2" t="s">
        <v>1792</v>
      </c>
      <c r="B2368" s="2" t="s">
        <v>1590</v>
      </c>
      <c r="C2368" s="2" t="s">
        <v>2103</v>
      </c>
      <c r="D2368" s="3" t="str">
        <f t="shared" ref="D2368:D2370" si="429">HYPERLINK("https://12go.asia/en/travel/Marathi-Hotel-Transfer/Heraklion-Airport", "12Go Link")</f>
        <v>12Go Link</v>
      </c>
      <c r="E2368" s="2" t="s">
        <v>1587</v>
      </c>
    </row>
    <row r="2369">
      <c r="A2369" s="2" t="s">
        <v>1792</v>
      </c>
      <c r="B2369" s="2" t="s">
        <v>1590</v>
      </c>
      <c r="C2369" s="2" t="s">
        <v>2103</v>
      </c>
      <c r="D2369" s="3" t="str">
        <f t="shared" si="429"/>
        <v>12Go Link</v>
      </c>
      <c r="E2369" s="2" t="s">
        <v>1588</v>
      </c>
    </row>
    <row r="2370">
      <c r="A2370" s="2" t="s">
        <v>1792</v>
      </c>
      <c r="B2370" s="2" t="s">
        <v>1590</v>
      </c>
      <c r="C2370" s="2" t="s">
        <v>2103</v>
      </c>
      <c r="D2370" s="3" t="str">
        <f t="shared" si="429"/>
        <v>12Go Link</v>
      </c>
      <c r="E2370" s="2" t="s">
        <v>1589</v>
      </c>
    </row>
    <row r="2371">
      <c r="A2371" s="2" t="s">
        <v>1794</v>
      </c>
      <c r="B2371" s="2" t="s">
        <v>1585</v>
      </c>
      <c r="C2371" s="2" t="s">
        <v>2104</v>
      </c>
      <c r="D2371" s="3" t="str">
        <f t="shared" ref="D2371:D2373" si="430">HYPERLINK("https://12go.asia/en/travel/Matala-Hotel-Transfer/Chania-Airport", "12Go Link")</f>
        <v>12Go Link</v>
      </c>
      <c r="E2371" s="2" t="s">
        <v>1587</v>
      </c>
    </row>
    <row r="2372">
      <c r="A2372" s="2" t="s">
        <v>1794</v>
      </c>
      <c r="B2372" s="2" t="s">
        <v>1585</v>
      </c>
      <c r="C2372" s="2" t="s">
        <v>2104</v>
      </c>
      <c r="D2372" s="3" t="str">
        <f t="shared" si="430"/>
        <v>12Go Link</v>
      </c>
      <c r="E2372" s="2" t="s">
        <v>1588</v>
      </c>
    </row>
    <row r="2373">
      <c r="A2373" s="2" t="s">
        <v>1794</v>
      </c>
      <c r="B2373" s="2" t="s">
        <v>1585</v>
      </c>
      <c r="C2373" s="2" t="s">
        <v>2104</v>
      </c>
      <c r="D2373" s="3" t="str">
        <f t="shared" si="430"/>
        <v>12Go Link</v>
      </c>
      <c r="E2373" s="2" t="s">
        <v>1589</v>
      </c>
    </row>
    <row r="2374">
      <c r="A2374" s="2" t="s">
        <v>1794</v>
      </c>
      <c r="B2374" s="2" t="s">
        <v>1590</v>
      </c>
      <c r="C2374" s="2" t="s">
        <v>2105</v>
      </c>
      <c r="D2374" s="3" t="str">
        <f t="shared" ref="D2374:D2376" si="431">HYPERLINK("https://12go.asia/en/travel/Matala-Hotel-Transfer/Heraklion-Airport", "12Go Link")</f>
        <v>12Go Link</v>
      </c>
      <c r="E2374" s="2" t="s">
        <v>1587</v>
      </c>
    </row>
    <row r="2375">
      <c r="A2375" s="2" t="s">
        <v>1794</v>
      </c>
      <c r="B2375" s="2" t="s">
        <v>1590</v>
      </c>
      <c r="C2375" s="2" t="s">
        <v>2105</v>
      </c>
      <c r="D2375" s="3" t="str">
        <f t="shared" si="431"/>
        <v>12Go Link</v>
      </c>
      <c r="E2375" s="2" t="s">
        <v>1588</v>
      </c>
    </row>
    <row r="2376">
      <c r="A2376" s="2" t="s">
        <v>1794</v>
      </c>
      <c r="B2376" s="2" t="s">
        <v>1590</v>
      </c>
      <c r="C2376" s="2" t="s">
        <v>2105</v>
      </c>
      <c r="D2376" s="3" t="str">
        <f t="shared" si="431"/>
        <v>12Go Link</v>
      </c>
      <c r="E2376" s="2" t="s">
        <v>1589</v>
      </c>
    </row>
    <row r="2377">
      <c r="A2377" s="2" t="s">
        <v>1796</v>
      </c>
      <c r="B2377" s="2" t="s">
        <v>1585</v>
      </c>
      <c r="C2377" s="2" t="s">
        <v>2106</v>
      </c>
      <c r="D2377" s="3" t="str">
        <f t="shared" ref="D2377:D2379" si="432">HYPERLINK("https://12go.asia/en/travel/Milatos-Hotel-Transfer/Chania-Airport", "12Go Link")</f>
        <v>12Go Link</v>
      </c>
      <c r="E2377" s="2" t="s">
        <v>1587</v>
      </c>
    </row>
    <row r="2378">
      <c r="A2378" s="2" t="s">
        <v>1796</v>
      </c>
      <c r="B2378" s="2" t="s">
        <v>1585</v>
      </c>
      <c r="C2378" s="2" t="s">
        <v>2106</v>
      </c>
      <c r="D2378" s="3" t="str">
        <f t="shared" si="432"/>
        <v>12Go Link</v>
      </c>
      <c r="E2378" s="2" t="s">
        <v>1588</v>
      </c>
    </row>
    <row r="2379">
      <c r="A2379" s="2" t="s">
        <v>1796</v>
      </c>
      <c r="B2379" s="2" t="s">
        <v>1585</v>
      </c>
      <c r="C2379" s="2" t="s">
        <v>2106</v>
      </c>
      <c r="D2379" s="3" t="str">
        <f t="shared" si="432"/>
        <v>12Go Link</v>
      </c>
      <c r="E2379" s="2" t="s">
        <v>1589</v>
      </c>
    </row>
    <row r="2380">
      <c r="A2380" s="2" t="s">
        <v>1796</v>
      </c>
      <c r="B2380" s="2" t="s">
        <v>1590</v>
      </c>
      <c r="C2380" s="2" t="s">
        <v>2107</v>
      </c>
      <c r="D2380" s="3" t="str">
        <f t="shared" ref="D2380:D2382" si="433">HYPERLINK("https://12go.asia/en/travel/Milatos-Hotel-Transfer/Heraklion-Airport", "12Go Link")</f>
        <v>12Go Link</v>
      </c>
      <c r="E2380" s="2" t="s">
        <v>1587</v>
      </c>
    </row>
    <row r="2381">
      <c r="A2381" s="2" t="s">
        <v>1796</v>
      </c>
      <c r="B2381" s="2" t="s">
        <v>1590</v>
      </c>
      <c r="C2381" s="2" t="s">
        <v>2107</v>
      </c>
      <c r="D2381" s="3" t="str">
        <f t="shared" si="433"/>
        <v>12Go Link</v>
      </c>
      <c r="E2381" s="2" t="s">
        <v>1588</v>
      </c>
    </row>
    <row r="2382">
      <c r="A2382" s="2" t="s">
        <v>1796</v>
      </c>
      <c r="B2382" s="2" t="s">
        <v>1590</v>
      </c>
      <c r="C2382" s="2" t="s">
        <v>2107</v>
      </c>
      <c r="D2382" s="3" t="str">
        <f t="shared" si="433"/>
        <v>12Go Link</v>
      </c>
      <c r="E2382" s="2" t="s">
        <v>1589</v>
      </c>
    </row>
    <row r="2383">
      <c r="A2383" s="2" t="s">
        <v>1798</v>
      </c>
      <c r="B2383" s="2" t="s">
        <v>1585</v>
      </c>
      <c r="C2383" s="2" t="s">
        <v>2108</v>
      </c>
      <c r="D2383" s="3" t="str">
        <f t="shared" ref="D2383:D2385" si="434">HYPERLINK("https://12go.asia/en/travel/Mochlos-Hotel-Transfer/Chania-Airport", "12Go Link")</f>
        <v>12Go Link</v>
      </c>
      <c r="E2383" s="2" t="s">
        <v>1587</v>
      </c>
    </row>
    <row r="2384">
      <c r="A2384" s="2" t="s">
        <v>1798</v>
      </c>
      <c r="B2384" s="2" t="s">
        <v>1585</v>
      </c>
      <c r="C2384" s="2" t="s">
        <v>2108</v>
      </c>
      <c r="D2384" s="3" t="str">
        <f t="shared" si="434"/>
        <v>12Go Link</v>
      </c>
      <c r="E2384" s="2" t="s">
        <v>1588</v>
      </c>
    </row>
    <row r="2385">
      <c r="A2385" s="2" t="s">
        <v>1798</v>
      </c>
      <c r="B2385" s="2" t="s">
        <v>1585</v>
      </c>
      <c r="C2385" s="2" t="s">
        <v>2108</v>
      </c>
      <c r="D2385" s="3" t="str">
        <f t="shared" si="434"/>
        <v>12Go Link</v>
      </c>
      <c r="E2385" s="2" t="s">
        <v>1589</v>
      </c>
    </row>
    <row r="2386">
      <c r="A2386" s="2" t="s">
        <v>1798</v>
      </c>
      <c r="B2386" s="2" t="s">
        <v>1590</v>
      </c>
      <c r="C2386" s="2" t="s">
        <v>2109</v>
      </c>
      <c r="D2386" s="3" t="str">
        <f t="shared" ref="D2386:D2388" si="435">HYPERLINK("https://12go.asia/en/travel/Mochlos-Hotel-Transfer/Heraklion-Airport", "12Go Link")</f>
        <v>12Go Link</v>
      </c>
      <c r="E2386" s="2" t="s">
        <v>1587</v>
      </c>
    </row>
    <row r="2387">
      <c r="A2387" s="2" t="s">
        <v>1798</v>
      </c>
      <c r="B2387" s="2" t="s">
        <v>1590</v>
      </c>
      <c r="C2387" s="2" t="s">
        <v>2109</v>
      </c>
      <c r="D2387" s="3" t="str">
        <f t="shared" si="435"/>
        <v>12Go Link</v>
      </c>
      <c r="E2387" s="2" t="s">
        <v>1588</v>
      </c>
    </row>
    <row r="2388">
      <c r="A2388" s="2" t="s">
        <v>1798</v>
      </c>
      <c r="B2388" s="2" t="s">
        <v>1590</v>
      </c>
      <c r="C2388" s="2" t="s">
        <v>2109</v>
      </c>
      <c r="D2388" s="3" t="str">
        <f t="shared" si="435"/>
        <v>12Go Link</v>
      </c>
      <c r="E2388" s="2" t="s">
        <v>1589</v>
      </c>
    </row>
    <row r="2389">
      <c r="A2389" s="2" t="s">
        <v>1800</v>
      </c>
      <c r="B2389" s="2" t="s">
        <v>1585</v>
      </c>
      <c r="C2389" s="2" t="s">
        <v>2110</v>
      </c>
      <c r="D2389" s="3" t="str">
        <f t="shared" ref="D2389:D2391" si="436">HYPERLINK("https://12go.asia/en/travel/Myrtos-Hotel-Transfer/Chania-Airport", "12Go Link")</f>
        <v>12Go Link</v>
      </c>
      <c r="E2389" s="2" t="s">
        <v>1587</v>
      </c>
    </row>
    <row r="2390">
      <c r="A2390" s="2" t="s">
        <v>1800</v>
      </c>
      <c r="B2390" s="2" t="s">
        <v>1585</v>
      </c>
      <c r="C2390" s="2" t="s">
        <v>2110</v>
      </c>
      <c r="D2390" s="3" t="str">
        <f t="shared" si="436"/>
        <v>12Go Link</v>
      </c>
      <c r="E2390" s="2" t="s">
        <v>1588</v>
      </c>
    </row>
    <row r="2391">
      <c r="A2391" s="2" t="s">
        <v>1800</v>
      </c>
      <c r="B2391" s="2" t="s">
        <v>1585</v>
      </c>
      <c r="C2391" s="2" t="s">
        <v>2110</v>
      </c>
      <c r="D2391" s="3" t="str">
        <f t="shared" si="436"/>
        <v>12Go Link</v>
      </c>
      <c r="E2391" s="2" t="s">
        <v>1589</v>
      </c>
    </row>
    <row r="2392">
      <c r="A2392" s="2" t="s">
        <v>1800</v>
      </c>
      <c r="B2392" s="2" t="s">
        <v>1590</v>
      </c>
      <c r="C2392" s="2" t="s">
        <v>2111</v>
      </c>
      <c r="D2392" s="3" t="str">
        <f t="shared" ref="D2392:D2394" si="437">HYPERLINK("https://12go.asia/en/travel/Myrtos-Hotel-Transfer/Heraklion-Airport", "12Go Link")</f>
        <v>12Go Link</v>
      </c>
      <c r="E2392" s="2" t="s">
        <v>1587</v>
      </c>
    </row>
    <row r="2393">
      <c r="A2393" s="2" t="s">
        <v>1800</v>
      </c>
      <c r="B2393" s="2" t="s">
        <v>1590</v>
      </c>
      <c r="C2393" s="2" t="s">
        <v>2111</v>
      </c>
      <c r="D2393" s="3" t="str">
        <f t="shared" si="437"/>
        <v>12Go Link</v>
      </c>
      <c r="E2393" s="2" t="s">
        <v>1588</v>
      </c>
    </row>
    <row r="2394">
      <c r="A2394" s="2" t="s">
        <v>1800</v>
      </c>
      <c r="B2394" s="2" t="s">
        <v>1590</v>
      </c>
      <c r="C2394" s="2" t="s">
        <v>2111</v>
      </c>
      <c r="D2394" s="3" t="str">
        <f t="shared" si="437"/>
        <v>12Go Link</v>
      </c>
      <c r="E2394" s="2" t="s">
        <v>1589</v>
      </c>
    </row>
    <row r="2395">
      <c r="A2395" s="2" t="s">
        <v>1802</v>
      </c>
      <c r="B2395" s="2" t="s">
        <v>1585</v>
      </c>
      <c r="C2395" s="2" t="s">
        <v>2112</v>
      </c>
      <c r="D2395" s="3" t="str">
        <f t="shared" ref="D2395:D2397" si="438">HYPERLINK("https://12go.asia/en/travel/Neo-Chorio-Hotel-Transfer/Chania-Airport", "12Go Link")</f>
        <v>12Go Link</v>
      </c>
      <c r="E2395" s="2" t="s">
        <v>1587</v>
      </c>
    </row>
    <row r="2396">
      <c r="A2396" s="2" t="s">
        <v>1802</v>
      </c>
      <c r="B2396" s="2" t="s">
        <v>1585</v>
      </c>
      <c r="C2396" s="2" t="s">
        <v>2112</v>
      </c>
      <c r="D2396" s="3" t="str">
        <f t="shared" si="438"/>
        <v>12Go Link</v>
      </c>
      <c r="E2396" s="2" t="s">
        <v>1588</v>
      </c>
    </row>
    <row r="2397">
      <c r="A2397" s="2" t="s">
        <v>1802</v>
      </c>
      <c r="B2397" s="2" t="s">
        <v>1585</v>
      </c>
      <c r="C2397" s="2" t="s">
        <v>2112</v>
      </c>
      <c r="D2397" s="3" t="str">
        <f t="shared" si="438"/>
        <v>12Go Link</v>
      </c>
      <c r="E2397" s="2" t="s">
        <v>1589</v>
      </c>
    </row>
    <row r="2398">
      <c r="A2398" s="2" t="s">
        <v>1802</v>
      </c>
      <c r="B2398" s="2" t="s">
        <v>1590</v>
      </c>
      <c r="C2398" s="2" t="s">
        <v>2113</v>
      </c>
      <c r="D2398" s="3" t="str">
        <f t="shared" ref="D2398:D2400" si="439">HYPERLINK("https://12go.asia/en/travel/Neo-Chorio-Hotel-Transfer/Heraklion-Airport", "12Go Link")</f>
        <v>12Go Link</v>
      </c>
      <c r="E2398" s="2" t="s">
        <v>1587</v>
      </c>
    </row>
    <row r="2399">
      <c r="A2399" s="2" t="s">
        <v>1802</v>
      </c>
      <c r="B2399" s="2" t="s">
        <v>1590</v>
      </c>
      <c r="C2399" s="2" t="s">
        <v>2113</v>
      </c>
      <c r="D2399" s="3" t="str">
        <f t="shared" si="439"/>
        <v>12Go Link</v>
      </c>
      <c r="E2399" s="2" t="s">
        <v>1588</v>
      </c>
    </row>
    <row r="2400">
      <c r="A2400" s="2" t="s">
        <v>1802</v>
      </c>
      <c r="B2400" s="2" t="s">
        <v>1590</v>
      </c>
      <c r="C2400" s="2" t="s">
        <v>2113</v>
      </c>
      <c r="D2400" s="3" t="str">
        <f t="shared" si="439"/>
        <v>12Go Link</v>
      </c>
      <c r="E2400" s="2" t="s">
        <v>1589</v>
      </c>
    </row>
    <row r="2401">
      <c r="A2401" s="2" t="s">
        <v>1804</v>
      </c>
      <c r="B2401" s="2" t="s">
        <v>1585</v>
      </c>
      <c r="C2401" s="2" t="s">
        <v>2114</v>
      </c>
      <c r="D2401" s="3" t="str">
        <f t="shared" ref="D2401:D2403" si="440">HYPERLINK("https://12go.asia/en/travel/Omalos-Hotel-Transfer/Chania-Airport", "12Go Link")</f>
        <v>12Go Link</v>
      </c>
      <c r="E2401" s="2" t="s">
        <v>1587</v>
      </c>
    </row>
    <row r="2402">
      <c r="A2402" s="2" t="s">
        <v>1804</v>
      </c>
      <c r="B2402" s="2" t="s">
        <v>1585</v>
      </c>
      <c r="C2402" s="2" t="s">
        <v>2114</v>
      </c>
      <c r="D2402" s="3" t="str">
        <f t="shared" si="440"/>
        <v>12Go Link</v>
      </c>
      <c r="E2402" s="2" t="s">
        <v>1588</v>
      </c>
    </row>
    <row r="2403">
      <c r="A2403" s="2" t="s">
        <v>1804</v>
      </c>
      <c r="B2403" s="2" t="s">
        <v>1585</v>
      </c>
      <c r="C2403" s="2" t="s">
        <v>2114</v>
      </c>
      <c r="D2403" s="3" t="str">
        <f t="shared" si="440"/>
        <v>12Go Link</v>
      </c>
      <c r="E2403" s="2" t="s">
        <v>1589</v>
      </c>
    </row>
    <row r="2404">
      <c r="A2404" s="2" t="s">
        <v>1804</v>
      </c>
      <c r="B2404" s="2" t="s">
        <v>1590</v>
      </c>
      <c r="C2404" s="2" t="s">
        <v>2115</v>
      </c>
      <c r="D2404" s="3" t="str">
        <f t="shared" ref="D2404:D2406" si="441">HYPERLINK("https://12go.asia/en/travel/Omalos-Hotel-Transfer/Heraklion-Airport", "12Go Link")</f>
        <v>12Go Link</v>
      </c>
      <c r="E2404" s="2" t="s">
        <v>1587</v>
      </c>
    </row>
    <row r="2405">
      <c r="A2405" s="2" t="s">
        <v>1804</v>
      </c>
      <c r="B2405" s="2" t="s">
        <v>1590</v>
      </c>
      <c r="C2405" s="2" t="s">
        <v>2115</v>
      </c>
      <c r="D2405" s="3" t="str">
        <f t="shared" si="441"/>
        <v>12Go Link</v>
      </c>
      <c r="E2405" s="2" t="s">
        <v>1588</v>
      </c>
    </row>
    <row r="2406">
      <c r="A2406" s="2" t="s">
        <v>1804</v>
      </c>
      <c r="B2406" s="2" t="s">
        <v>1590</v>
      </c>
      <c r="C2406" s="2" t="s">
        <v>2115</v>
      </c>
      <c r="D2406" s="3" t="str">
        <f t="shared" si="441"/>
        <v>12Go Link</v>
      </c>
      <c r="E2406" s="2" t="s">
        <v>1589</v>
      </c>
    </row>
    <row r="2407">
      <c r="A2407" s="2" t="s">
        <v>1806</v>
      </c>
      <c r="B2407" s="2" t="s">
        <v>1585</v>
      </c>
      <c r="C2407" s="2" t="s">
        <v>2116</v>
      </c>
      <c r="D2407" s="3" t="str">
        <f t="shared" ref="D2407:D2409" si="442">HYPERLINK("https://12go.asia/en/travel/Pachia-Ammos-Hotel-Transfer/Chania-Airport", "12Go Link")</f>
        <v>12Go Link</v>
      </c>
      <c r="E2407" s="2" t="s">
        <v>1587</v>
      </c>
    </row>
    <row r="2408">
      <c r="A2408" s="2" t="s">
        <v>1806</v>
      </c>
      <c r="B2408" s="2" t="s">
        <v>1585</v>
      </c>
      <c r="C2408" s="2" t="s">
        <v>2116</v>
      </c>
      <c r="D2408" s="3" t="str">
        <f t="shared" si="442"/>
        <v>12Go Link</v>
      </c>
      <c r="E2408" s="2" t="s">
        <v>1588</v>
      </c>
    </row>
    <row r="2409">
      <c r="A2409" s="2" t="s">
        <v>1806</v>
      </c>
      <c r="B2409" s="2" t="s">
        <v>1585</v>
      </c>
      <c r="C2409" s="2" t="s">
        <v>2116</v>
      </c>
      <c r="D2409" s="3" t="str">
        <f t="shared" si="442"/>
        <v>12Go Link</v>
      </c>
      <c r="E2409" s="2" t="s">
        <v>1589</v>
      </c>
    </row>
    <row r="2410">
      <c r="A2410" s="2" t="s">
        <v>1806</v>
      </c>
      <c r="B2410" s="2" t="s">
        <v>1590</v>
      </c>
      <c r="C2410" s="2" t="s">
        <v>2117</v>
      </c>
      <c r="D2410" s="3" t="str">
        <f t="shared" ref="D2410:D2412" si="443">HYPERLINK("https://12go.asia/en/travel/Pachia-Ammos-Hotel-Transfer/Heraklion-Airport", "12Go Link")</f>
        <v>12Go Link</v>
      </c>
      <c r="E2410" s="2" t="s">
        <v>1587</v>
      </c>
    </row>
    <row r="2411">
      <c r="A2411" s="2" t="s">
        <v>1806</v>
      </c>
      <c r="B2411" s="2" t="s">
        <v>1590</v>
      </c>
      <c r="C2411" s="2" t="s">
        <v>2117</v>
      </c>
      <c r="D2411" s="3" t="str">
        <f t="shared" si="443"/>
        <v>12Go Link</v>
      </c>
      <c r="E2411" s="2" t="s">
        <v>1588</v>
      </c>
    </row>
    <row r="2412">
      <c r="A2412" s="2" t="s">
        <v>1806</v>
      </c>
      <c r="B2412" s="2" t="s">
        <v>1590</v>
      </c>
      <c r="C2412" s="2" t="s">
        <v>2117</v>
      </c>
      <c r="D2412" s="3" t="str">
        <f t="shared" si="443"/>
        <v>12Go Link</v>
      </c>
      <c r="E2412" s="2" t="s">
        <v>1589</v>
      </c>
    </row>
    <row r="2413">
      <c r="A2413" s="2" t="s">
        <v>1808</v>
      </c>
      <c r="B2413" s="2" t="s">
        <v>1585</v>
      </c>
      <c r="C2413" s="2" t="s">
        <v>2118</v>
      </c>
      <c r="D2413" s="3" t="str">
        <f t="shared" ref="D2413:D2415" si="444">HYPERLINK("https://12go.asia/en/travel/Paleochora-Hotel-Transfer/Chania-Airport", "12Go Link")</f>
        <v>12Go Link</v>
      </c>
      <c r="E2413" s="2" t="s">
        <v>1587</v>
      </c>
    </row>
    <row r="2414">
      <c r="A2414" s="2" t="s">
        <v>1808</v>
      </c>
      <c r="B2414" s="2" t="s">
        <v>1585</v>
      </c>
      <c r="C2414" s="2" t="s">
        <v>2118</v>
      </c>
      <c r="D2414" s="3" t="str">
        <f t="shared" si="444"/>
        <v>12Go Link</v>
      </c>
      <c r="E2414" s="2" t="s">
        <v>1588</v>
      </c>
    </row>
    <row r="2415">
      <c r="A2415" s="2" t="s">
        <v>1808</v>
      </c>
      <c r="B2415" s="2" t="s">
        <v>1585</v>
      </c>
      <c r="C2415" s="2" t="s">
        <v>2118</v>
      </c>
      <c r="D2415" s="3" t="str">
        <f t="shared" si="444"/>
        <v>12Go Link</v>
      </c>
      <c r="E2415" s="2" t="s">
        <v>1589</v>
      </c>
    </row>
    <row r="2416">
      <c r="A2416" s="2" t="s">
        <v>1808</v>
      </c>
      <c r="B2416" s="2" t="s">
        <v>1590</v>
      </c>
      <c r="C2416" s="2" t="s">
        <v>2119</v>
      </c>
      <c r="D2416" s="3" t="str">
        <f t="shared" ref="D2416:D2418" si="445">HYPERLINK("https://12go.asia/en/travel/Paleochora-Hotel-Transfer/Heraklion-Airport", "12Go Link")</f>
        <v>12Go Link</v>
      </c>
      <c r="E2416" s="2" t="s">
        <v>1587</v>
      </c>
    </row>
    <row r="2417">
      <c r="A2417" s="2" t="s">
        <v>1808</v>
      </c>
      <c r="B2417" s="2" t="s">
        <v>1590</v>
      </c>
      <c r="C2417" s="2" t="s">
        <v>2119</v>
      </c>
      <c r="D2417" s="3" t="str">
        <f t="shared" si="445"/>
        <v>12Go Link</v>
      </c>
      <c r="E2417" s="2" t="s">
        <v>1588</v>
      </c>
    </row>
    <row r="2418">
      <c r="A2418" s="2" t="s">
        <v>1808</v>
      </c>
      <c r="B2418" s="2" t="s">
        <v>1590</v>
      </c>
      <c r="C2418" s="2" t="s">
        <v>2119</v>
      </c>
      <c r="D2418" s="3" t="str">
        <f t="shared" si="445"/>
        <v>12Go Link</v>
      </c>
      <c r="E2418" s="2" t="s">
        <v>1589</v>
      </c>
    </row>
    <row r="2419">
      <c r="A2419" s="2" t="s">
        <v>1810</v>
      </c>
      <c r="B2419" s="2" t="s">
        <v>1585</v>
      </c>
      <c r="C2419" s="2" t="s">
        <v>2120</v>
      </c>
      <c r="D2419" s="3" t="str">
        <f t="shared" ref="D2419:D2421" si="446">HYPERLINK("https://12go.asia/en/travel/Panormos-in-Rethymno-Hotel-Transfer/Chania-Airport", "12Go Link")</f>
        <v>12Go Link</v>
      </c>
      <c r="E2419" s="2" t="s">
        <v>1587</v>
      </c>
    </row>
    <row r="2420">
      <c r="A2420" s="2" t="s">
        <v>1810</v>
      </c>
      <c r="B2420" s="2" t="s">
        <v>1585</v>
      </c>
      <c r="C2420" s="2" t="s">
        <v>2120</v>
      </c>
      <c r="D2420" s="3" t="str">
        <f t="shared" si="446"/>
        <v>12Go Link</v>
      </c>
      <c r="E2420" s="2" t="s">
        <v>1588</v>
      </c>
    </row>
    <row r="2421">
      <c r="A2421" s="2" t="s">
        <v>1810</v>
      </c>
      <c r="B2421" s="2" t="s">
        <v>1585</v>
      </c>
      <c r="C2421" s="2" t="s">
        <v>2120</v>
      </c>
      <c r="D2421" s="3" t="str">
        <f t="shared" si="446"/>
        <v>12Go Link</v>
      </c>
      <c r="E2421" s="2" t="s">
        <v>1589</v>
      </c>
    </row>
    <row r="2422">
      <c r="A2422" s="2" t="s">
        <v>1810</v>
      </c>
      <c r="B2422" s="2" t="s">
        <v>1590</v>
      </c>
      <c r="C2422" s="2" t="s">
        <v>2121</v>
      </c>
      <c r="D2422" s="3" t="str">
        <f t="shared" ref="D2422:D2424" si="447">HYPERLINK("https://12go.asia/en/travel/Panormos-in-Rethymno-Hotel-Transfer/Heraklion-Airport", "12Go Link")</f>
        <v>12Go Link</v>
      </c>
      <c r="E2422" s="2" t="s">
        <v>1587</v>
      </c>
    </row>
    <row r="2423">
      <c r="A2423" s="2" t="s">
        <v>1810</v>
      </c>
      <c r="B2423" s="2" t="s">
        <v>1590</v>
      </c>
      <c r="C2423" s="2" t="s">
        <v>2121</v>
      </c>
      <c r="D2423" s="3" t="str">
        <f t="shared" si="447"/>
        <v>12Go Link</v>
      </c>
      <c r="E2423" s="2" t="s">
        <v>1588</v>
      </c>
    </row>
    <row r="2424">
      <c r="A2424" s="2" t="s">
        <v>1810</v>
      </c>
      <c r="B2424" s="2" t="s">
        <v>1590</v>
      </c>
      <c r="C2424" s="2" t="s">
        <v>2121</v>
      </c>
      <c r="D2424" s="3" t="str">
        <f t="shared" si="447"/>
        <v>12Go Link</v>
      </c>
      <c r="E2424" s="2" t="s">
        <v>1589</v>
      </c>
    </row>
    <row r="2425">
      <c r="A2425" s="2" t="s">
        <v>1812</v>
      </c>
      <c r="B2425" s="2" t="s">
        <v>1585</v>
      </c>
      <c r="C2425" s="2" t="s">
        <v>2122</v>
      </c>
      <c r="D2425" s="3" t="str">
        <f t="shared" ref="D2425:D2427" si="448">HYPERLINK("https://12go.asia/en/travel/Paralia-Kourna-Hotel-Transfer/Chania-Airport", "12Go Link")</f>
        <v>12Go Link</v>
      </c>
      <c r="E2425" s="2" t="s">
        <v>1587</v>
      </c>
    </row>
    <row r="2426">
      <c r="A2426" s="2" t="s">
        <v>1812</v>
      </c>
      <c r="B2426" s="2" t="s">
        <v>1585</v>
      </c>
      <c r="C2426" s="2" t="s">
        <v>2122</v>
      </c>
      <c r="D2426" s="3" t="str">
        <f t="shared" si="448"/>
        <v>12Go Link</v>
      </c>
      <c r="E2426" s="2" t="s">
        <v>1588</v>
      </c>
    </row>
    <row r="2427">
      <c r="A2427" s="2" t="s">
        <v>1812</v>
      </c>
      <c r="B2427" s="2" t="s">
        <v>1585</v>
      </c>
      <c r="C2427" s="2" t="s">
        <v>2122</v>
      </c>
      <c r="D2427" s="3" t="str">
        <f t="shared" si="448"/>
        <v>12Go Link</v>
      </c>
      <c r="E2427" s="2" t="s">
        <v>1589</v>
      </c>
    </row>
    <row r="2428">
      <c r="A2428" s="2" t="s">
        <v>1812</v>
      </c>
      <c r="B2428" s="2" t="s">
        <v>1590</v>
      </c>
      <c r="C2428" s="2" t="s">
        <v>2123</v>
      </c>
      <c r="D2428" s="3" t="str">
        <f t="shared" ref="D2428:D2430" si="449">HYPERLINK("https://12go.asia/en/travel/Paralia-Kourna-Hotel-Transfer/Heraklion-Airport", "12Go Link")</f>
        <v>12Go Link</v>
      </c>
      <c r="E2428" s="2" t="s">
        <v>1587</v>
      </c>
    </row>
    <row r="2429">
      <c r="A2429" s="2" t="s">
        <v>1812</v>
      </c>
      <c r="B2429" s="2" t="s">
        <v>1590</v>
      </c>
      <c r="C2429" s="2" t="s">
        <v>2123</v>
      </c>
      <c r="D2429" s="3" t="str">
        <f t="shared" si="449"/>
        <v>12Go Link</v>
      </c>
      <c r="E2429" s="2" t="s">
        <v>1588</v>
      </c>
    </row>
    <row r="2430">
      <c r="A2430" s="2" t="s">
        <v>1812</v>
      </c>
      <c r="B2430" s="2" t="s">
        <v>1590</v>
      </c>
      <c r="C2430" s="2" t="s">
        <v>2123</v>
      </c>
      <c r="D2430" s="3" t="str">
        <f t="shared" si="449"/>
        <v>12Go Link</v>
      </c>
      <c r="E2430" s="2" t="s">
        <v>1589</v>
      </c>
    </row>
    <row r="2431">
      <c r="A2431" s="2" t="s">
        <v>1814</v>
      </c>
      <c r="B2431" s="2" t="s">
        <v>1585</v>
      </c>
      <c r="C2431" s="2" t="s">
        <v>2124</v>
      </c>
      <c r="D2431" s="3" t="str">
        <f t="shared" ref="D2431:D2433" si="450">HYPERLINK("https://12go.asia/en/travel/Pigi-Hotel-Transfer/Chania-Airport", "12Go Link")</f>
        <v>12Go Link</v>
      </c>
      <c r="E2431" s="2" t="s">
        <v>1587</v>
      </c>
    </row>
    <row r="2432">
      <c r="A2432" s="2" t="s">
        <v>1814</v>
      </c>
      <c r="B2432" s="2" t="s">
        <v>1585</v>
      </c>
      <c r="C2432" s="2" t="s">
        <v>2124</v>
      </c>
      <c r="D2432" s="3" t="str">
        <f t="shared" si="450"/>
        <v>12Go Link</v>
      </c>
      <c r="E2432" s="2" t="s">
        <v>1588</v>
      </c>
    </row>
    <row r="2433">
      <c r="A2433" s="2" t="s">
        <v>1814</v>
      </c>
      <c r="B2433" s="2" t="s">
        <v>1585</v>
      </c>
      <c r="C2433" s="2" t="s">
        <v>2124</v>
      </c>
      <c r="D2433" s="3" t="str">
        <f t="shared" si="450"/>
        <v>12Go Link</v>
      </c>
      <c r="E2433" s="2" t="s">
        <v>1589</v>
      </c>
    </row>
    <row r="2434">
      <c r="A2434" s="2" t="s">
        <v>1814</v>
      </c>
      <c r="B2434" s="2" t="s">
        <v>1590</v>
      </c>
      <c r="C2434" s="2" t="s">
        <v>2125</v>
      </c>
      <c r="D2434" s="3" t="str">
        <f t="shared" ref="D2434:D2436" si="451">HYPERLINK("https://12go.asia/en/travel/Pigi-Hotel-Transfer/Heraklion-Airport", "12Go Link")</f>
        <v>12Go Link</v>
      </c>
      <c r="E2434" s="2" t="s">
        <v>1587</v>
      </c>
    </row>
    <row r="2435">
      <c r="A2435" s="2" t="s">
        <v>1814</v>
      </c>
      <c r="B2435" s="2" t="s">
        <v>1590</v>
      </c>
      <c r="C2435" s="2" t="s">
        <v>2125</v>
      </c>
      <c r="D2435" s="3" t="str">
        <f t="shared" si="451"/>
        <v>12Go Link</v>
      </c>
      <c r="E2435" s="2" t="s">
        <v>1588</v>
      </c>
    </row>
    <row r="2436">
      <c r="A2436" s="2" t="s">
        <v>1814</v>
      </c>
      <c r="B2436" s="2" t="s">
        <v>1590</v>
      </c>
      <c r="C2436" s="2" t="s">
        <v>2125</v>
      </c>
      <c r="D2436" s="3" t="str">
        <f t="shared" si="451"/>
        <v>12Go Link</v>
      </c>
      <c r="E2436" s="2" t="s">
        <v>1589</v>
      </c>
    </row>
    <row r="2437">
      <c r="A2437" s="2" t="s">
        <v>1816</v>
      </c>
      <c r="B2437" s="2" t="s">
        <v>1585</v>
      </c>
      <c r="C2437" s="2" t="s">
        <v>2126</v>
      </c>
      <c r="D2437" s="3" t="str">
        <f t="shared" ref="D2437:D2439" si="452">HYPERLINK("https://12go.asia/en/travel/Piskopiano-Hotel-Transfer/Chania-Airport", "12Go Link")</f>
        <v>12Go Link</v>
      </c>
      <c r="E2437" s="2" t="s">
        <v>1587</v>
      </c>
    </row>
    <row r="2438">
      <c r="A2438" s="2" t="s">
        <v>1816</v>
      </c>
      <c r="B2438" s="2" t="s">
        <v>1585</v>
      </c>
      <c r="C2438" s="2" t="s">
        <v>2126</v>
      </c>
      <c r="D2438" s="3" t="str">
        <f t="shared" si="452"/>
        <v>12Go Link</v>
      </c>
      <c r="E2438" s="2" t="s">
        <v>1588</v>
      </c>
    </row>
    <row r="2439">
      <c r="A2439" s="2" t="s">
        <v>1816</v>
      </c>
      <c r="B2439" s="2" t="s">
        <v>1585</v>
      </c>
      <c r="C2439" s="2" t="s">
        <v>2126</v>
      </c>
      <c r="D2439" s="3" t="str">
        <f t="shared" si="452"/>
        <v>12Go Link</v>
      </c>
      <c r="E2439" s="2" t="s">
        <v>1589</v>
      </c>
    </row>
    <row r="2440">
      <c r="A2440" s="2" t="s">
        <v>1816</v>
      </c>
      <c r="B2440" s="2" t="s">
        <v>1590</v>
      </c>
      <c r="C2440" s="2" t="s">
        <v>2127</v>
      </c>
      <c r="D2440" s="3" t="str">
        <f t="shared" ref="D2440:D2442" si="453">HYPERLINK("https://12go.asia/en/travel/Piskopiano-Hotel-Transfer/Heraklion-Airport", "12Go Link")</f>
        <v>12Go Link</v>
      </c>
      <c r="E2440" s="2" t="s">
        <v>1587</v>
      </c>
    </row>
    <row r="2441">
      <c r="A2441" s="2" t="s">
        <v>1816</v>
      </c>
      <c r="B2441" s="2" t="s">
        <v>1590</v>
      </c>
      <c r="C2441" s="2" t="s">
        <v>2127</v>
      </c>
      <c r="D2441" s="3" t="str">
        <f t="shared" si="453"/>
        <v>12Go Link</v>
      </c>
      <c r="E2441" s="2" t="s">
        <v>1588</v>
      </c>
    </row>
    <row r="2442">
      <c r="A2442" s="2" t="s">
        <v>1816</v>
      </c>
      <c r="B2442" s="2" t="s">
        <v>1590</v>
      </c>
      <c r="C2442" s="2" t="s">
        <v>2127</v>
      </c>
      <c r="D2442" s="3" t="str">
        <f t="shared" si="453"/>
        <v>12Go Link</v>
      </c>
      <c r="E2442" s="2" t="s">
        <v>1589</v>
      </c>
    </row>
    <row r="2443">
      <c r="A2443" s="2" t="s">
        <v>1818</v>
      </c>
      <c r="B2443" s="2" t="s">
        <v>1585</v>
      </c>
      <c r="C2443" s="2" t="s">
        <v>2128</v>
      </c>
      <c r="D2443" s="3" t="str">
        <f t="shared" ref="D2443:D2445" si="454">HYPERLINK("https://12go.asia/en/travel/Pitsidia-Hotel-Transfer/Chania-Airport", "12Go Link")</f>
        <v>12Go Link</v>
      </c>
      <c r="E2443" s="2" t="s">
        <v>1587</v>
      </c>
    </row>
    <row r="2444">
      <c r="A2444" s="2" t="s">
        <v>1818</v>
      </c>
      <c r="B2444" s="2" t="s">
        <v>1585</v>
      </c>
      <c r="C2444" s="2" t="s">
        <v>2128</v>
      </c>
      <c r="D2444" s="3" t="str">
        <f t="shared" si="454"/>
        <v>12Go Link</v>
      </c>
      <c r="E2444" s="2" t="s">
        <v>1588</v>
      </c>
    </row>
    <row r="2445">
      <c r="A2445" s="2" t="s">
        <v>1818</v>
      </c>
      <c r="B2445" s="2" t="s">
        <v>1585</v>
      </c>
      <c r="C2445" s="2" t="s">
        <v>2128</v>
      </c>
      <c r="D2445" s="3" t="str">
        <f t="shared" si="454"/>
        <v>12Go Link</v>
      </c>
      <c r="E2445" s="2" t="s">
        <v>1589</v>
      </c>
    </row>
    <row r="2446">
      <c r="A2446" s="2" t="s">
        <v>1818</v>
      </c>
      <c r="B2446" s="2" t="s">
        <v>1590</v>
      </c>
      <c r="C2446" s="2" t="s">
        <v>2129</v>
      </c>
      <c r="D2446" s="3" t="str">
        <f t="shared" ref="D2446:D2448" si="455">HYPERLINK("https://12go.asia/en/travel/Pitsidia-Hotel-Transfer/Heraklion-Airport", "12Go Link")</f>
        <v>12Go Link</v>
      </c>
      <c r="E2446" s="2" t="s">
        <v>1587</v>
      </c>
    </row>
    <row r="2447">
      <c r="A2447" s="2" t="s">
        <v>1818</v>
      </c>
      <c r="B2447" s="2" t="s">
        <v>1590</v>
      </c>
      <c r="C2447" s="2" t="s">
        <v>2129</v>
      </c>
      <c r="D2447" s="3" t="str">
        <f t="shared" si="455"/>
        <v>12Go Link</v>
      </c>
      <c r="E2447" s="2" t="s">
        <v>1588</v>
      </c>
    </row>
    <row r="2448">
      <c r="A2448" s="2" t="s">
        <v>1818</v>
      </c>
      <c r="B2448" s="2" t="s">
        <v>1590</v>
      </c>
      <c r="C2448" s="2" t="s">
        <v>2129</v>
      </c>
      <c r="D2448" s="3" t="str">
        <f t="shared" si="455"/>
        <v>12Go Link</v>
      </c>
      <c r="E2448" s="2" t="s">
        <v>1589</v>
      </c>
    </row>
    <row r="2449">
      <c r="A2449" s="2" t="s">
        <v>1820</v>
      </c>
      <c r="B2449" s="2" t="s">
        <v>1585</v>
      </c>
      <c r="C2449" s="2" t="s">
        <v>2130</v>
      </c>
      <c r="D2449" s="3" t="str">
        <f t="shared" ref="D2449:D2451" si="456">HYPERLINK("https://12go.asia/en/travel/Plaka-Chania-Hotel-Transfer/Chania-Airport", "12Go Link")</f>
        <v>12Go Link</v>
      </c>
      <c r="E2449" s="2" t="s">
        <v>1587</v>
      </c>
    </row>
    <row r="2450">
      <c r="A2450" s="2" t="s">
        <v>1820</v>
      </c>
      <c r="B2450" s="2" t="s">
        <v>1585</v>
      </c>
      <c r="C2450" s="2" t="s">
        <v>2130</v>
      </c>
      <c r="D2450" s="3" t="str">
        <f t="shared" si="456"/>
        <v>12Go Link</v>
      </c>
      <c r="E2450" s="2" t="s">
        <v>1588</v>
      </c>
    </row>
    <row r="2451">
      <c r="A2451" s="2" t="s">
        <v>1820</v>
      </c>
      <c r="B2451" s="2" t="s">
        <v>1585</v>
      </c>
      <c r="C2451" s="2" t="s">
        <v>2130</v>
      </c>
      <c r="D2451" s="3" t="str">
        <f t="shared" si="456"/>
        <v>12Go Link</v>
      </c>
      <c r="E2451" s="2" t="s">
        <v>1589</v>
      </c>
    </row>
    <row r="2452">
      <c r="A2452" s="2" t="s">
        <v>1820</v>
      </c>
      <c r="B2452" s="2" t="s">
        <v>1590</v>
      </c>
      <c r="C2452" s="2" t="s">
        <v>2131</v>
      </c>
      <c r="D2452" s="3" t="str">
        <f t="shared" ref="D2452:D2454" si="457">HYPERLINK("https://12go.asia/en/travel/Plaka-Chania-Hotel-Transfer/Heraklion-Airport", "12Go Link")</f>
        <v>12Go Link</v>
      </c>
      <c r="E2452" s="2" t="s">
        <v>1587</v>
      </c>
    </row>
    <row r="2453">
      <c r="A2453" s="2" t="s">
        <v>1820</v>
      </c>
      <c r="B2453" s="2" t="s">
        <v>1590</v>
      </c>
      <c r="C2453" s="2" t="s">
        <v>2131</v>
      </c>
      <c r="D2453" s="3" t="str">
        <f t="shared" si="457"/>
        <v>12Go Link</v>
      </c>
      <c r="E2453" s="2" t="s">
        <v>1588</v>
      </c>
    </row>
    <row r="2454">
      <c r="A2454" s="2" t="s">
        <v>1820</v>
      </c>
      <c r="B2454" s="2" t="s">
        <v>1590</v>
      </c>
      <c r="C2454" s="2" t="s">
        <v>2131</v>
      </c>
      <c r="D2454" s="3" t="str">
        <f t="shared" si="457"/>
        <v>12Go Link</v>
      </c>
      <c r="E2454" s="2" t="s">
        <v>1589</v>
      </c>
    </row>
    <row r="2455">
      <c r="A2455" s="2" t="s">
        <v>1822</v>
      </c>
      <c r="B2455" s="2" t="s">
        <v>1585</v>
      </c>
      <c r="C2455" s="2" t="s">
        <v>2132</v>
      </c>
      <c r="D2455" s="3" t="str">
        <f t="shared" ref="D2455:D2457" si="458">HYPERLINK("https://12go.asia/en/travel/Plaka-Hotel-Transfer/Chania-Airport", "12Go Link")</f>
        <v>12Go Link</v>
      </c>
      <c r="E2455" s="2" t="s">
        <v>1587</v>
      </c>
    </row>
    <row r="2456">
      <c r="A2456" s="2" t="s">
        <v>1822</v>
      </c>
      <c r="B2456" s="2" t="s">
        <v>1585</v>
      </c>
      <c r="C2456" s="2" t="s">
        <v>2132</v>
      </c>
      <c r="D2456" s="3" t="str">
        <f t="shared" si="458"/>
        <v>12Go Link</v>
      </c>
      <c r="E2456" s="2" t="s">
        <v>1588</v>
      </c>
    </row>
    <row r="2457">
      <c r="A2457" s="2" t="s">
        <v>1822</v>
      </c>
      <c r="B2457" s="2" t="s">
        <v>1585</v>
      </c>
      <c r="C2457" s="2" t="s">
        <v>2132</v>
      </c>
      <c r="D2457" s="3" t="str">
        <f t="shared" si="458"/>
        <v>12Go Link</v>
      </c>
      <c r="E2457" s="2" t="s">
        <v>1589</v>
      </c>
    </row>
    <row r="2458">
      <c r="A2458" s="2" t="s">
        <v>1822</v>
      </c>
      <c r="B2458" s="2" t="s">
        <v>1590</v>
      </c>
      <c r="C2458" s="2" t="s">
        <v>2133</v>
      </c>
      <c r="D2458" s="3" t="str">
        <f t="shared" ref="D2458:D2460" si="459">HYPERLINK("https://12go.asia/en/travel/Plaka-Hotel-Transfer/Heraklion-Airport", "12Go Link")</f>
        <v>12Go Link</v>
      </c>
      <c r="E2458" s="2" t="s">
        <v>1587</v>
      </c>
    </row>
    <row r="2459">
      <c r="A2459" s="2" t="s">
        <v>1822</v>
      </c>
      <c r="B2459" s="2" t="s">
        <v>1590</v>
      </c>
      <c r="C2459" s="2" t="s">
        <v>2133</v>
      </c>
      <c r="D2459" s="3" t="str">
        <f t="shared" si="459"/>
        <v>12Go Link</v>
      </c>
      <c r="E2459" s="2" t="s">
        <v>1588</v>
      </c>
    </row>
    <row r="2460">
      <c r="A2460" s="2" t="s">
        <v>1822</v>
      </c>
      <c r="B2460" s="2" t="s">
        <v>1590</v>
      </c>
      <c r="C2460" s="2" t="s">
        <v>2133</v>
      </c>
      <c r="D2460" s="3" t="str">
        <f t="shared" si="459"/>
        <v>12Go Link</v>
      </c>
      <c r="E2460" s="2" t="s">
        <v>1589</v>
      </c>
    </row>
    <row r="2461">
      <c r="A2461" s="2" t="s">
        <v>1824</v>
      </c>
      <c r="B2461" s="2" t="s">
        <v>1585</v>
      </c>
      <c r="C2461" s="2" t="s">
        <v>2134</v>
      </c>
      <c r="D2461" s="3" t="str">
        <f t="shared" ref="D2461:D2463" si="460">HYPERLINK("https://12go.asia/en/travel/Plakias-Hotel-Transfer/Chania-Airport", "12Go Link")</f>
        <v>12Go Link</v>
      </c>
      <c r="E2461" s="2" t="s">
        <v>1587</v>
      </c>
    </row>
    <row r="2462">
      <c r="A2462" s="2" t="s">
        <v>1824</v>
      </c>
      <c r="B2462" s="2" t="s">
        <v>1585</v>
      </c>
      <c r="C2462" s="2" t="s">
        <v>2134</v>
      </c>
      <c r="D2462" s="3" t="str">
        <f t="shared" si="460"/>
        <v>12Go Link</v>
      </c>
      <c r="E2462" s="2" t="s">
        <v>1588</v>
      </c>
    </row>
    <row r="2463">
      <c r="A2463" s="2" t="s">
        <v>1824</v>
      </c>
      <c r="B2463" s="2" t="s">
        <v>1585</v>
      </c>
      <c r="C2463" s="2" t="s">
        <v>2134</v>
      </c>
      <c r="D2463" s="3" t="str">
        <f t="shared" si="460"/>
        <v>12Go Link</v>
      </c>
      <c r="E2463" s="2" t="s">
        <v>1589</v>
      </c>
    </row>
    <row r="2464">
      <c r="A2464" s="2" t="s">
        <v>1824</v>
      </c>
      <c r="B2464" s="2" t="s">
        <v>1590</v>
      </c>
      <c r="C2464" s="2" t="s">
        <v>2135</v>
      </c>
      <c r="D2464" s="3" t="str">
        <f t="shared" ref="D2464:D2466" si="461">HYPERLINK("https://12go.asia/en/travel/Plakias-Hotel-Transfer/Heraklion-Airport", "12Go Link")</f>
        <v>12Go Link</v>
      </c>
      <c r="E2464" s="2" t="s">
        <v>1587</v>
      </c>
    </row>
    <row r="2465">
      <c r="A2465" s="2" t="s">
        <v>1824</v>
      </c>
      <c r="B2465" s="2" t="s">
        <v>1590</v>
      </c>
      <c r="C2465" s="2" t="s">
        <v>2135</v>
      </c>
      <c r="D2465" s="3" t="str">
        <f t="shared" si="461"/>
        <v>12Go Link</v>
      </c>
      <c r="E2465" s="2" t="s">
        <v>1588</v>
      </c>
    </row>
    <row r="2466">
      <c r="A2466" s="2" t="s">
        <v>1824</v>
      </c>
      <c r="B2466" s="2" t="s">
        <v>1590</v>
      </c>
      <c r="C2466" s="2" t="s">
        <v>2135</v>
      </c>
      <c r="D2466" s="3" t="str">
        <f t="shared" si="461"/>
        <v>12Go Link</v>
      </c>
      <c r="E2466" s="2" t="s">
        <v>1589</v>
      </c>
    </row>
    <row r="2467">
      <c r="A2467" s="2" t="s">
        <v>1826</v>
      </c>
      <c r="B2467" s="2" t="s">
        <v>1585</v>
      </c>
      <c r="C2467" s="2" t="s">
        <v>2136</v>
      </c>
      <c r="D2467" s="3" t="str">
        <f t="shared" ref="D2467:D2469" si="462">HYPERLINK("https://12go.asia/en/travel/Platanias-Hotel-Transfer/Chania-Airport", "12Go Link")</f>
        <v>12Go Link</v>
      </c>
      <c r="E2467" s="2" t="s">
        <v>1587</v>
      </c>
    </row>
    <row r="2468">
      <c r="A2468" s="2" t="s">
        <v>1826</v>
      </c>
      <c r="B2468" s="2" t="s">
        <v>1585</v>
      </c>
      <c r="C2468" s="2" t="s">
        <v>2136</v>
      </c>
      <c r="D2468" s="3" t="str">
        <f t="shared" si="462"/>
        <v>12Go Link</v>
      </c>
      <c r="E2468" s="2" t="s">
        <v>1588</v>
      </c>
    </row>
    <row r="2469">
      <c r="A2469" s="2" t="s">
        <v>1826</v>
      </c>
      <c r="B2469" s="2" t="s">
        <v>1585</v>
      </c>
      <c r="C2469" s="2" t="s">
        <v>2136</v>
      </c>
      <c r="D2469" s="3" t="str">
        <f t="shared" si="462"/>
        <v>12Go Link</v>
      </c>
      <c r="E2469" s="2" t="s">
        <v>1589</v>
      </c>
    </row>
    <row r="2470">
      <c r="A2470" s="2" t="s">
        <v>1826</v>
      </c>
      <c r="B2470" s="2" t="s">
        <v>1590</v>
      </c>
      <c r="C2470" s="2" t="s">
        <v>2137</v>
      </c>
      <c r="D2470" s="3" t="str">
        <f t="shared" ref="D2470:D2472" si="463">HYPERLINK("https://12go.asia/en/travel/Platanias-Hotel-Transfer/Heraklion-Airport", "12Go Link")</f>
        <v>12Go Link</v>
      </c>
      <c r="E2470" s="2" t="s">
        <v>1587</v>
      </c>
    </row>
    <row r="2471">
      <c r="A2471" s="2" t="s">
        <v>1826</v>
      </c>
      <c r="B2471" s="2" t="s">
        <v>1590</v>
      </c>
      <c r="C2471" s="2" t="s">
        <v>2137</v>
      </c>
      <c r="D2471" s="3" t="str">
        <f t="shared" si="463"/>
        <v>12Go Link</v>
      </c>
      <c r="E2471" s="2" t="s">
        <v>1588</v>
      </c>
    </row>
    <row r="2472">
      <c r="A2472" s="2" t="s">
        <v>1826</v>
      </c>
      <c r="B2472" s="2" t="s">
        <v>1590</v>
      </c>
      <c r="C2472" s="2" t="s">
        <v>2137</v>
      </c>
      <c r="D2472" s="3" t="str">
        <f t="shared" si="463"/>
        <v>12Go Link</v>
      </c>
      <c r="E2472" s="2" t="s">
        <v>1589</v>
      </c>
    </row>
    <row r="2473">
      <c r="A2473" s="2" t="s">
        <v>1828</v>
      </c>
      <c r="B2473" s="2" t="s">
        <v>1585</v>
      </c>
      <c r="C2473" s="2" t="s">
        <v>2138</v>
      </c>
      <c r="D2473" s="3" t="str">
        <f t="shared" ref="D2473:D2475" si="464">HYPERLINK("https://12go.asia/en/travel/Prines-Hotel-Transfer/Chania-Airport", "12Go Link")</f>
        <v>12Go Link</v>
      </c>
      <c r="E2473" s="2" t="s">
        <v>1587</v>
      </c>
    </row>
    <row r="2474">
      <c r="A2474" s="2" t="s">
        <v>1828</v>
      </c>
      <c r="B2474" s="2" t="s">
        <v>1585</v>
      </c>
      <c r="C2474" s="2" t="s">
        <v>2138</v>
      </c>
      <c r="D2474" s="3" t="str">
        <f t="shared" si="464"/>
        <v>12Go Link</v>
      </c>
      <c r="E2474" s="2" t="s">
        <v>1588</v>
      </c>
    </row>
    <row r="2475">
      <c r="A2475" s="2" t="s">
        <v>1828</v>
      </c>
      <c r="B2475" s="2" t="s">
        <v>1585</v>
      </c>
      <c r="C2475" s="2" t="s">
        <v>2138</v>
      </c>
      <c r="D2475" s="3" t="str">
        <f t="shared" si="464"/>
        <v>12Go Link</v>
      </c>
      <c r="E2475" s="2" t="s">
        <v>1589</v>
      </c>
    </row>
    <row r="2476">
      <c r="A2476" s="2" t="s">
        <v>1828</v>
      </c>
      <c r="B2476" s="2" t="s">
        <v>1590</v>
      </c>
      <c r="C2476" s="2" t="s">
        <v>2139</v>
      </c>
      <c r="D2476" s="3" t="str">
        <f t="shared" ref="D2476:D2478" si="465">HYPERLINK("https://12go.asia/en/travel/Prines-Hotel-Transfer/Heraklion-Airport", "12Go Link")</f>
        <v>12Go Link</v>
      </c>
      <c r="E2476" s="2" t="s">
        <v>1587</v>
      </c>
    </row>
    <row r="2477">
      <c r="A2477" s="2" t="s">
        <v>1828</v>
      </c>
      <c r="B2477" s="2" t="s">
        <v>1590</v>
      </c>
      <c r="C2477" s="2" t="s">
        <v>2139</v>
      </c>
      <c r="D2477" s="3" t="str">
        <f t="shared" si="465"/>
        <v>12Go Link</v>
      </c>
      <c r="E2477" s="2" t="s">
        <v>1588</v>
      </c>
    </row>
    <row r="2478">
      <c r="A2478" s="2" t="s">
        <v>1828</v>
      </c>
      <c r="B2478" s="2" t="s">
        <v>1590</v>
      </c>
      <c r="C2478" s="2" t="s">
        <v>2139</v>
      </c>
      <c r="D2478" s="3" t="str">
        <f t="shared" si="465"/>
        <v>12Go Link</v>
      </c>
      <c r="E2478" s="2" t="s">
        <v>1589</v>
      </c>
    </row>
    <row r="2479">
      <c r="A2479" s="2" t="s">
        <v>1830</v>
      </c>
      <c r="B2479" s="2" t="s">
        <v>1585</v>
      </c>
      <c r="C2479" s="2" t="s">
        <v>2140</v>
      </c>
      <c r="D2479" s="3" t="str">
        <f t="shared" ref="D2479:D2481" si="466">HYPERLINK("https://12go.asia/en/travel/Rapaniana-Hotel-Transfer/Chania-Airport", "12Go Link")</f>
        <v>12Go Link</v>
      </c>
      <c r="E2479" s="2" t="s">
        <v>1587</v>
      </c>
    </row>
    <row r="2480">
      <c r="A2480" s="2" t="s">
        <v>1830</v>
      </c>
      <c r="B2480" s="2" t="s">
        <v>1585</v>
      </c>
      <c r="C2480" s="2" t="s">
        <v>2140</v>
      </c>
      <c r="D2480" s="3" t="str">
        <f t="shared" si="466"/>
        <v>12Go Link</v>
      </c>
      <c r="E2480" s="2" t="s">
        <v>1588</v>
      </c>
    </row>
    <row r="2481">
      <c r="A2481" s="2" t="s">
        <v>1830</v>
      </c>
      <c r="B2481" s="2" t="s">
        <v>1585</v>
      </c>
      <c r="C2481" s="2" t="s">
        <v>2140</v>
      </c>
      <c r="D2481" s="3" t="str">
        <f t="shared" si="466"/>
        <v>12Go Link</v>
      </c>
      <c r="E2481" s="2" t="s">
        <v>1589</v>
      </c>
    </row>
    <row r="2482">
      <c r="A2482" s="2" t="s">
        <v>1830</v>
      </c>
      <c r="B2482" s="2" t="s">
        <v>1590</v>
      </c>
      <c r="C2482" s="2" t="s">
        <v>2141</v>
      </c>
      <c r="D2482" s="3" t="str">
        <f t="shared" ref="D2482:D2484" si="467">HYPERLINK("https://12go.asia/en/travel/Rapaniana-Hotel-Transfer/Heraklion-Airport", "12Go Link")</f>
        <v>12Go Link</v>
      </c>
      <c r="E2482" s="2" t="s">
        <v>1587</v>
      </c>
    </row>
    <row r="2483">
      <c r="A2483" s="2" t="s">
        <v>1830</v>
      </c>
      <c r="B2483" s="2" t="s">
        <v>1590</v>
      </c>
      <c r="C2483" s="2" t="s">
        <v>2141</v>
      </c>
      <c r="D2483" s="3" t="str">
        <f t="shared" si="467"/>
        <v>12Go Link</v>
      </c>
      <c r="E2483" s="2" t="s">
        <v>1588</v>
      </c>
    </row>
    <row r="2484">
      <c r="A2484" s="2" t="s">
        <v>1830</v>
      </c>
      <c r="B2484" s="2" t="s">
        <v>1590</v>
      </c>
      <c r="C2484" s="2" t="s">
        <v>2141</v>
      </c>
      <c r="D2484" s="3" t="str">
        <f t="shared" si="467"/>
        <v>12Go Link</v>
      </c>
      <c r="E2484" s="2" t="s">
        <v>1589</v>
      </c>
    </row>
    <row r="2485">
      <c r="A2485" s="2" t="s">
        <v>1832</v>
      </c>
      <c r="B2485" s="2" t="s">
        <v>1585</v>
      </c>
      <c r="C2485" s="2" t="s">
        <v>2142</v>
      </c>
      <c r="D2485" s="3" t="str">
        <f t="shared" ref="D2485:D2487" si="468">HYPERLINK("https://12go.asia/en/travel/Misiria-Hotel-Transfer/Chania-Airport", "12Go Link")</f>
        <v>12Go Link</v>
      </c>
      <c r="E2485" s="2" t="s">
        <v>1587</v>
      </c>
    </row>
    <row r="2486">
      <c r="A2486" s="2" t="s">
        <v>1832</v>
      </c>
      <c r="B2486" s="2" t="s">
        <v>1585</v>
      </c>
      <c r="C2486" s="2" t="s">
        <v>2142</v>
      </c>
      <c r="D2486" s="3" t="str">
        <f t="shared" si="468"/>
        <v>12Go Link</v>
      </c>
      <c r="E2486" s="2" t="s">
        <v>1588</v>
      </c>
    </row>
    <row r="2487">
      <c r="A2487" s="2" t="s">
        <v>1832</v>
      </c>
      <c r="B2487" s="2" t="s">
        <v>1585</v>
      </c>
      <c r="C2487" s="2" t="s">
        <v>2142</v>
      </c>
      <c r="D2487" s="3" t="str">
        <f t="shared" si="468"/>
        <v>12Go Link</v>
      </c>
      <c r="E2487" s="2" t="s">
        <v>1589</v>
      </c>
    </row>
    <row r="2488">
      <c r="A2488" s="2" t="s">
        <v>1832</v>
      </c>
      <c r="B2488" s="2" t="s">
        <v>1585</v>
      </c>
      <c r="C2488" s="2" t="s">
        <v>2143</v>
      </c>
      <c r="D2488" s="3" t="str">
        <f t="shared" ref="D2488:D2490" si="469">HYPERLINK("https://12go.asia/en/travel/Perivolia-Hotel-Transfer/Chania-Airport", "12Go Link")</f>
        <v>12Go Link</v>
      </c>
      <c r="E2488" s="2" t="s">
        <v>1587</v>
      </c>
    </row>
    <row r="2489">
      <c r="A2489" s="2" t="s">
        <v>1832</v>
      </c>
      <c r="B2489" s="2" t="s">
        <v>1585</v>
      </c>
      <c r="C2489" s="2" t="s">
        <v>2143</v>
      </c>
      <c r="D2489" s="3" t="str">
        <f t="shared" si="469"/>
        <v>12Go Link</v>
      </c>
      <c r="E2489" s="2" t="s">
        <v>1588</v>
      </c>
    </row>
    <row r="2490">
      <c r="A2490" s="2" t="s">
        <v>1832</v>
      </c>
      <c r="B2490" s="2" t="s">
        <v>1585</v>
      </c>
      <c r="C2490" s="2" t="s">
        <v>2143</v>
      </c>
      <c r="D2490" s="3" t="str">
        <f t="shared" si="469"/>
        <v>12Go Link</v>
      </c>
      <c r="E2490" s="2" t="s">
        <v>1589</v>
      </c>
    </row>
    <row r="2491">
      <c r="A2491" s="2" t="s">
        <v>1832</v>
      </c>
      <c r="B2491" s="2" t="s">
        <v>1585</v>
      </c>
      <c r="C2491" s="2" t="s">
        <v>2144</v>
      </c>
      <c r="D2491" s="3" t="str">
        <f t="shared" ref="D2491:D2493" si="470">HYPERLINK("https://12go.asia/en/travel/Platanes-Hotel-Transfer/Chania-Airport", "12Go Link")</f>
        <v>12Go Link</v>
      </c>
      <c r="E2491" s="2" t="s">
        <v>1587</v>
      </c>
    </row>
    <row r="2492">
      <c r="A2492" s="2" t="s">
        <v>1832</v>
      </c>
      <c r="B2492" s="2" t="s">
        <v>1585</v>
      </c>
      <c r="C2492" s="2" t="s">
        <v>2144</v>
      </c>
      <c r="D2492" s="3" t="str">
        <f t="shared" si="470"/>
        <v>12Go Link</v>
      </c>
      <c r="E2492" s="2" t="s">
        <v>1588</v>
      </c>
    </row>
    <row r="2493">
      <c r="A2493" s="2" t="s">
        <v>1832</v>
      </c>
      <c r="B2493" s="2" t="s">
        <v>1585</v>
      </c>
      <c r="C2493" s="2" t="s">
        <v>2144</v>
      </c>
      <c r="D2493" s="3" t="str">
        <f t="shared" si="470"/>
        <v>12Go Link</v>
      </c>
      <c r="E2493" s="2" t="s">
        <v>1589</v>
      </c>
    </row>
    <row r="2494">
      <c r="A2494" s="2" t="s">
        <v>1832</v>
      </c>
      <c r="B2494" s="2" t="s">
        <v>1585</v>
      </c>
      <c r="C2494" s="2" t="s">
        <v>2145</v>
      </c>
      <c r="D2494" s="3" t="str">
        <f t="shared" ref="D2494:D2496" si="471">HYPERLINK("https://12go.asia/en/travel/Rethymno-Hotel-Transfer/Chania-Airport", "12Go Link")</f>
        <v>12Go Link</v>
      </c>
      <c r="E2494" s="2" t="s">
        <v>1587</v>
      </c>
    </row>
    <row r="2495">
      <c r="A2495" s="2" t="s">
        <v>1832</v>
      </c>
      <c r="B2495" s="2" t="s">
        <v>1585</v>
      </c>
      <c r="C2495" s="2" t="s">
        <v>2145</v>
      </c>
      <c r="D2495" s="3" t="str">
        <f t="shared" si="471"/>
        <v>12Go Link</v>
      </c>
      <c r="E2495" s="2" t="s">
        <v>1588</v>
      </c>
    </row>
    <row r="2496">
      <c r="A2496" s="2" t="s">
        <v>1832</v>
      </c>
      <c r="B2496" s="2" t="s">
        <v>1585</v>
      </c>
      <c r="C2496" s="2" t="s">
        <v>2145</v>
      </c>
      <c r="D2496" s="3" t="str">
        <f t="shared" si="471"/>
        <v>12Go Link</v>
      </c>
      <c r="E2496" s="2" t="s">
        <v>1589</v>
      </c>
    </row>
    <row r="2497">
      <c r="A2497" s="2" t="s">
        <v>1832</v>
      </c>
      <c r="B2497" s="2" t="s">
        <v>1590</v>
      </c>
      <c r="C2497" s="2" t="s">
        <v>2146</v>
      </c>
      <c r="D2497" s="3" t="str">
        <f t="shared" ref="D2497:D2499" si="472">HYPERLINK("https://12go.asia/en/travel/Misiria-Hotel-Transfer/Heraklion-Airport", "12Go Link")</f>
        <v>12Go Link</v>
      </c>
      <c r="E2497" s="2" t="s">
        <v>1587</v>
      </c>
    </row>
    <row r="2498">
      <c r="A2498" s="2" t="s">
        <v>1832</v>
      </c>
      <c r="B2498" s="2" t="s">
        <v>1590</v>
      </c>
      <c r="C2498" s="2" t="s">
        <v>2146</v>
      </c>
      <c r="D2498" s="3" t="str">
        <f t="shared" si="472"/>
        <v>12Go Link</v>
      </c>
      <c r="E2498" s="2" t="s">
        <v>1588</v>
      </c>
    </row>
    <row r="2499">
      <c r="A2499" s="2" t="s">
        <v>1832</v>
      </c>
      <c r="B2499" s="2" t="s">
        <v>1590</v>
      </c>
      <c r="C2499" s="2" t="s">
        <v>2146</v>
      </c>
      <c r="D2499" s="3" t="str">
        <f t="shared" si="472"/>
        <v>12Go Link</v>
      </c>
      <c r="E2499" s="2" t="s">
        <v>1589</v>
      </c>
    </row>
    <row r="2500">
      <c r="A2500" s="2" t="s">
        <v>1832</v>
      </c>
      <c r="B2500" s="2" t="s">
        <v>1590</v>
      </c>
      <c r="C2500" s="2" t="s">
        <v>2147</v>
      </c>
      <c r="D2500" s="3" t="str">
        <f t="shared" ref="D2500:D2502" si="473">HYPERLINK("https://12go.asia/en/travel/Perivolia-Hotel-Transfer/Heraklion-Airport", "12Go Link")</f>
        <v>12Go Link</v>
      </c>
      <c r="E2500" s="2" t="s">
        <v>1587</v>
      </c>
    </row>
    <row r="2501">
      <c r="A2501" s="2" t="s">
        <v>1832</v>
      </c>
      <c r="B2501" s="2" t="s">
        <v>1590</v>
      </c>
      <c r="C2501" s="2" t="s">
        <v>2147</v>
      </c>
      <c r="D2501" s="3" t="str">
        <f t="shared" si="473"/>
        <v>12Go Link</v>
      </c>
      <c r="E2501" s="2" t="s">
        <v>1588</v>
      </c>
    </row>
    <row r="2502">
      <c r="A2502" s="2" t="s">
        <v>1832</v>
      </c>
      <c r="B2502" s="2" t="s">
        <v>1590</v>
      </c>
      <c r="C2502" s="2" t="s">
        <v>2147</v>
      </c>
      <c r="D2502" s="3" t="str">
        <f t="shared" si="473"/>
        <v>12Go Link</v>
      </c>
      <c r="E2502" s="2" t="s">
        <v>1589</v>
      </c>
    </row>
    <row r="2503">
      <c r="A2503" s="2" t="s">
        <v>1832</v>
      </c>
      <c r="B2503" s="2" t="s">
        <v>1590</v>
      </c>
      <c r="C2503" s="2" t="s">
        <v>2148</v>
      </c>
      <c r="D2503" s="3" t="str">
        <f t="shared" ref="D2503:D2505" si="474">HYPERLINK("https://12go.asia/en/travel/Platanes-Hotel-Transfer/Heraklion-Airport", "12Go Link")</f>
        <v>12Go Link</v>
      </c>
      <c r="E2503" s="2" t="s">
        <v>1587</v>
      </c>
    </row>
    <row r="2504">
      <c r="A2504" s="2" t="s">
        <v>1832</v>
      </c>
      <c r="B2504" s="2" t="s">
        <v>1590</v>
      </c>
      <c r="C2504" s="2" t="s">
        <v>2148</v>
      </c>
      <c r="D2504" s="3" t="str">
        <f t="shared" si="474"/>
        <v>12Go Link</v>
      </c>
      <c r="E2504" s="2" t="s">
        <v>1588</v>
      </c>
    </row>
    <row r="2505">
      <c r="A2505" s="2" t="s">
        <v>1832</v>
      </c>
      <c r="B2505" s="2" t="s">
        <v>1590</v>
      </c>
      <c r="C2505" s="2" t="s">
        <v>2148</v>
      </c>
      <c r="D2505" s="3" t="str">
        <f t="shared" si="474"/>
        <v>12Go Link</v>
      </c>
      <c r="E2505" s="2" t="s">
        <v>1589</v>
      </c>
    </row>
    <row r="2506">
      <c r="A2506" s="2" t="s">
        <v>1832</v>
      </c>
      <c r="B2506" s="2" t="s">
        <v>1590</v>
      </c>
      <c r="C2506" s="2" t="s">
        <v>2149</v>
      </c>
      <c r="D2506" s="3" t="str">
        <f t="shared" ref="D2506:D2508" si="475">HYPERLINK("https://12go.asia/en/travel/Rethymno-Hotel-Transfer/Heraklion-Airport", "12Go Link")</f>
        <v>12Go Link</v>
      </c>
      <c r="E2506" s="2" t="s">
        <v>1587</v>
      </c>
    </row>
    <row r="2507">
      <c r="A2507" s="2" t="s">
        <v>1832</v>
      </c>
      <c r="B2507" s="2" t="s">
        <v>1590</v>
      </c>
      <c r="C2507" s="2" t="s">
        <v>2149</v>
      </c>
      <c r="D2507" s="3" t="str">
        <f t="shared" si="475"/>
        <v>12Go Link</v>
      </c>
      <c r="E2507" s="2" t="s">
        <v>1588</v>
      </c>
    </row>
    <row r="2508">
      <c r="A2508" s="2" t="s">
        <v>1832</v>
      </c>
      <c r="B2508" s="2" t="s">
        <v>1590</v>
      </c>
      <c r="C2508" s="2" t="s">
        <v>2149</v>
      </c>
      <c r="D2508" s="3" t="str">
        <f t="shared" si="475"/>
        <v>12Go Link</v>
      </c>
      <c r="E2508" s="2" t="s">
        <v>1589</v>
      </c>
    </row>
    <row r="2509">
      <c r="A2509" s="2" t="s">
        <v>1837</v>
      </c>
      <c r="B2509" s="2" t="s">
        <v>1585</v>
      </c>
      <c r="C2509" s="2" t="s">
        <v>2150</v>
      </c>
      <c r="D2509" s="3" t="str">
        <f t="shared" ref="D2509:D2511" si="476">HYPERLINK("https://12go.asia/en/travel/Roumeli-Hotel-Transfer/Chania-Airport", "12Go Link")</f>
        <v>12Go Link</v>
      </c>
      <c r="E2509" s="2" t="s">
        <v>1587</v>
      </c>
    </row>
    <row r="2510">
      <c r="A2510" s="2" t="s">
        <v>1837</v>
      </c>
      <c r="B2510" s="2" t="s">
        <v>1585</v>
      </c>
      <c r="C2510" s="2" t="s">
        <v>2150</v>
      </c>
      <c r="D2510" s="3" t="str">
        <f t="shared" si="476"/>
        <v>12Go Link</v>
      </c>
      <c r="E2510" s="2" t="s">
        <v>1588</v>
      </c>
    </row>
    <row r="2511">
      <c r="A2511" s="2" t="s">
        <v>1837</v>
      </c>
      <c r="B2511" s="2" t="s">
        <v>1585</v>
      </c>
      <c r="C2511" s="2" t="s">
        <v>2150</v>
      </c>
      <c r="D2511" s="3" t="str">
        <f t="shared" si="476"/>
        <v>12Go Link</v>
      </c>
      <c r="E2511" s="2" t="s">
        <v>1589</v>
      </c>
    </row>
    <row r="2512">
      <c r="A2512" s="2" t="s">
        <v>1837</v>
      </c>
      <c r="B2512" s="2" t="s">
        <v>1590</v>
      </c>
      <c r="C2512" s="2" t="s">
        <v>2151</v>
      </c>
      <c r="D2512" s="3" t="str">
        <f t="shared" ref="D2512:D2514" si="477">HYPERLINK("https://12go.asia/en/travel/Roumeli-Hotel-Transfer/Heraklion-Airport", "12Go Link")</f>
        <v>12Go Link</v>
      </c>
      <c r="E2512" s="2" t="s">
        <v>1587</v>
      </c>
    </row>
    <row r="2513">
      <c r="A2513" s="2" t="s">
        <v>1837</v>
      </c>
      <c r="B2513" s="2" t="s">
        <v>1590</v>
      </c>
      <c r="C2513" s="2" t="s">
        <v>2151</v>
      </c>
      <c r="D2513" s="3" t="str">
        <f t="shared" si="477"/>
        <v>12Go Link</v>
      </c>
      <c r="E2513" s="2" t="s">
        <v>1588</v>
      </c>
    </row>
    <row r="2514">
      <c r="A2514" s="2" t="s">
        <v>1837</v>
      </c>
      <c r="B2514" s="2" t="s">
        <v>1590</v>
      </c>
      <c r="C2514" s="2" t="s">
        <v>2151</v>
      </c>
      <c r="D2514" s="3" t="str">
        <f t="shared" si="477"/>
        <v>12Go Link</v>
      </c>
      <c r="E2514" s="2" t="s">
        <v>1589</v>
      </c>
    </row>
    <row r="2515">
      <c r="A2515" s="2" t="s">
        <v>1839</v>
      </c>
      <c r="B2515" s="2" t="s">
        <v>1585</v>
      </c>
      <c r="C2515" s="2" t="s">
        <v>2152</v>
      </c>
      <c r="D2515" s="3" t="str">
        <f t="shared" ref="D2515:D2517" si="478">HYPERLINK("https://12go.asia/en/travel/Roussospiti-Hotel-Transfer/Chania-Airport", "12Go Link")</f>
        <v>12Go Link</v>
      </c>
      <c r="E2515" s="2" t="s">
        <v>1587</v>
      </c>
    </row>
    <row r="2516">
      <c r="A2516" s="2" t="s">
        <v>1839</v>
      </c>
      <c r="B2516" s="2" t="s">
        <v>1585</v>
      </c>
      <c r="C2516" s="2" t="s">
        <v>2152</v>
      </c>
      <c r="D2516" s="3" t="str">
        <f t="shared" si="478"/>
        <v>12Go Link</v>
      </c>
      <c r="E2516" s="2" t="s">
        <v>1588</v>
      </c>
    </row>
    <row r="2517">
      <c r="A2517" s="2" t="s">
        <v>1839</v>
      </c>
      <c r="B2517" s="2" t="s">
        <v>1585</v>
      </c>
      <c r="C2517" s="2" t="s">
        <v>2152</v>
      </c>
      <c r="D2517" s="3" t="str">
        <f t="shared" si="478"/>
        <v>12Go Link</v>
      </c>
      <c r="E2517" s="2" t="s">
        <v>1589</v>
      </c>
    </row>
    <row r="2518">
      <c r="A2518" s="2" t="s">
        <v>1839</v>
      </c>
      <c r="B2518" s="2" t="s">
        <v>1590</v>
      </c>
      <c r="C2518" s="2" t="s">
        <v>2153</v>
      </c>
      <c r="D2518" s="3" t="str">
        <f t="shared" ref="D2518:D2520" si="479">HYPERLINK("https://12go.asia/en/travel/Roussospiti-Hotel-Transfer/Heraklion-Airport", "12Go Link")</f>
        <v>12Go Link</v>
      </c>
      <c r="E2518" s="2" t="s">
        <v>1587</v>
      </c>
    </row>
    <row r="2519">
      <c r="A2519" s="2" t="s">
        <v>1839</v>
      </c>
      <c r="B2519" s="2" t="s">
        <v>1590</v>
      </c>
      <c r="C2519" s="2" t="s">
        <v>2153</v>
      </c>
      <c r="D2519" s="3" t="str">
        <f t="shared" si="479"/>
        <v>12Go Link</v>
      </c>
      <c r="E2519" s="2" t="s">
        <v>1588</v>
      </c>
    </row>
    <row r="2520">
      <c r="A2520" s="2" t="s">
        <v>1839</v>
      </c>
      <c r="B2520" s="2" t="s">
        <v>1590</v>
      </c>
      <c r="C2520" s="2" t="s">
        <v>2153</v>
      </c>
      <c r="D2520" s="3" t="str">
        <f t="shared" si="479"/>
        <v>12Go Link</v>
      </c>
      <c r="E2520" s="2" t="s">
        <v>1589</v>
      </c>
    </row>
    <row r="2521">
      <c r="A2521" s="2" t="s">
        <v>1841</v>
      </c>
      <c r="B2521" s="2" t="s">
        <v>1585</v>
      </c>
      <c r="C2521" s="2" t="s">
        <v>2154</v>
      </c>
      <c r="D2521" s="3" t="str">
        <f t="shared" ref="D2521:D2523" si="480">HYPERLINK("https://12go.asia/en/travel/Sfakaki-Hotel-Transfer/Chania-Airport", "12Go Link")</f>
        <v>12Go Link</v>
      </c>
      <c r="E2521" s="2" t="s">
        <v>1587</v>
      </c>
    </row>
    <row r="2522">
      <c r="A2522" s="2" t="s">
        <v>1841</v>
      </c>
      <c r="B2522" s="2" t="s">
        <v>1585</v>
      </c>
      <c r="C2522" s="2" t="s">
        <v>2154</v>
      </c>
      <c r="D2522" s="3" t="str">
        <f t="shared" si="480"/>
        <v>12Go Link</v>
      </c>
      <c r="E2522" s="2" t="s">
        <v>1588</v>
      </c>
    </row>
    <row r="2523">
      <c r="A2523" s="2" t="s">
        <v>1841</v>
      </c>
      <c r="B2523" s="2" t="s">
        <v>1585</v>
      </c>
      <c r="C2523" s="2" t="s">
        <v>2154</v>
      </c>
      <c r="D2523" s="3" t="str">
        <f t="shared" si="480"/>
        <v>12Go Link</v>
      </c>
      <c r="E2523" s="2" t="s">
        <v>1589</v>
      </c>
    </row>
    <row r="2524">
      <c r="A2524" s="2" t="s">
        <v>1841</v>
      </c>
      <c r="B2524" s="2" t="s">
        <v>1590</v>
      </c>
      <c r="C2524" s="2" t="s">
        <v>2155</v>
      </c>
      <c r="D2524" s="3" t="str">
        <f t="shared" ref="D2524:D2526" si="481">HYPERLINK("https://12go.asia/en/travel/Sfakaki-Hotel-Transfer/Heraklion-Airport", "12Go Link")</f>
        <v>12Go Link</v>
      </c>
      <c r="E2524" s="2" t="s">
        <v>1587</v>
      </c>
    </row>
    <row r="2525">
      <c r="A2525" s="2" t="s">
        <v>1841</v>
      </c>
      <c r="B2525" s="2" t="s">
        <v>1590</v>
      </c>
      <c r="C2525" s="2" t="s">
        <v>2155</v>
      </c>
      <c r="D2525" s="3" t="str">
        <f t="shared" si="481"/>
        <v>12Go Link</v>
      </c>
      <c r="E2525" s="2" t="s">
        <v>1588</v>
      </c>
    </row>
    <row r="2526">
      <c r="A2526" s="2" t="s">
        <v>1841</v>
      </c>
      <c r="B2526" s="2" t="s">
        <v>1590</v>
      </c>
      <c r="C2526" s="2" t="s">
        <v>2155</v>
      </c>
      <c r="D2526" s="3" t="str">
        <f t="shared" si="481"/>
        <v>12Go Link</v>
      </c>
      <c r="E2526" s="2" t="s">
        <v>1589</v>
      </c>
    </row>
    <row r="2527">
      <c r="A2527" s="2" t="s">
        <v>1843</v>
      </c>
      <c r="B2527" s="2" t="s">
        <v>1585</v>
      </c>
      <c r="C2527" s="2" t="s">
        <v>2156</v>
      </c>
      <c r="D2527" s="3" t="str">
        <f t="shared" ref="D2527:D2529" si="482">HYPERLINK("https://12go.asia/en/travel/Sisi-Hotel-Transfer/Chania-Airport", "12Go Link")</f>
        <v>12Go Link</v>
      </c>
      <c r="E2527" s="2" t="s">
        <v>1587</v>
      </c>
    </row>
    <row r="2528">
      <c r="A2528" s="2" t="s">
        <v>1843</v>
      </c>
      <c r="B2528" s="2" t="s">
        <v>1585</v>
      </c>
      <c r="C2528" s="2" t="s">
        <v>2156</v>
      </c>
      <c r="D2528" s="3" t="str">
        <f t="shared" si="482"/>
        <v>12Go Link</v>
      </c>
      <c r="E2528" s="2" t="s">
        <v>1588</v>
      </c>
    </row>
    <row r="2529">
      <c r="A2529" s="2" t="s">
        <v>1843</v>
      </c>
      <c r="B2529" s="2" t="s">
        <v>1585</v>
      </c>
      <c r="C2529" s="2" t="s">
        <v>2156</v>
      </c>
      <c r="D2529" s="3" t="str">
        <f t="shared" si="482"/>
        <v>12Go Link</v>
      </c>
      <c r="E2529" s="2" t="s">
        <v>1589</v>
      </c>
    </row>
    <row r="2530">
      <c r="A2530" s="2" t="s">
        <v>1843</v>
      </c>
      <c r="B2530" s="2" t="s">
        <v>1590</v>
      </c>
      <c r="C2530" s="2" t="s">
        <v>2157</v>
      </c>
      <c r="D2530" s="3" t="str">
        <f t="shared" ref="D2530:D2532" si="483">HYPERLINK("https://12go.asia/en/travel/Sisi-Hotel-Transfer/Heraklion-Airport", "12Go Link")</f>
        <v>12Go Link</v>
      </c>
      <c r="E2530" s="2" t="s">
        <v>1587</v>
      </c>
    </row>
    <row r="2531">
      <c r="A2531" s="2" t="s">
        <v>1843</v>
      </c>
      <c r="B2531" s="2" t="s">
        <v>1590</v>
      </c>
      <c r="C2531" s="2" t="s">
        <v>2157</v>
      </c>
      <c r="D2531" s="3" t="str">
        <f t="shared" si="483"/>
        <v>12Go Link</v>
      </c>
      <c r="E2531" s="2" t="s">
        <v>1588</v>
      </c>
    </row>
    <row r="2532">
      <c r="A2532" s="2" t="s">
        <v>1843</v>
      </c>
      <c r="B2532" s="2" t="s">
        <v>1590</v>
      </c>
      <c r="C2532" s="2" t="s">
        <v>2157</v>
      </c>
      <c r="D2532" s="3" t="str">
        <f t="shared" si="483"/>
        <v>12Go Link</v>
      </c>
      <c r="E2532" s="2" t="s">
        <v>1589</v>
      </c>
    </row>
    <row r="2533">
      <c r="A2533" s="2" t="s">
        <v>1845</v>
      </c>
      <c r="B2533" s="2" t="s">
        <v>1585</v>
      </c>
      <c r="C2533" s="2" t="s">
        <v>2158</v>
      </c>
      <c r="D2533" s="3" t="str">
        <f t="shared" ref="D2533:D2535" si="484">HYPERLINK("https://12go.asia/en/travel/Sitia-Hotel-Transfer/Chania-Airport", "12Go Link")</f>
        <v>12Go Link</v>
      </c>
      <c r="E2533" s="2" t="s">
        <v>1587</v>
      </c>
    </row>
    <row r="2534">
      <c r="A2534" s="2" t="s">
        <v>1845</v>
      </c>
      <c r="B2534" s="2" t="s">
        <v>1585</v>
      </c>
      <c r="C2534" s="2" t="s">
        <v>2158</v>
      </c>
      <c r="D2534" s="3" t="str">
        <f t="shared" si="484"/>
        <v>12Go Link</v>
      </c>
      <c r="E2534" s="2" t="s">
        <v>1588</v>
      </c>
    </row>
    <row r="2535">
      <c r="A2535" s="2" t="s">
        <v>1845</v>
      </c>
      <c r="B2535" s="2" t="s">
        <v>1585</v>
      </c>
      <c r="C2535" s="2" t="s">
        <v>2158</v>
      </c>
      <c r="D2535" s="3" t="str">
        <f t="shared" si="484"/>
        <v>12Go Link</v>
      </c>
      <c r="E2535" s="2" t="s">
        <v>1589</v>
      </c>
    </row>
    <row r="2536">
      <c r="A2536" s="2" t="s">
        <v>1845</v>
      </c>
      <c r="B2536" s="2" t="s">
        <v>1590</v>
      </c>
      <c r="C2536" s="2" t="s">
        <v>2159</v>
      </c>
      <c r="D2536" s="3" t="str">
        <f t="shared" ref="D2536:D2538" si="485">HYPERLINK("https://12go.asia/en/travel/Sitia-Hotel-Transfer/Heraklion-Airport", "12Go Link")</f>
        <v>12Go Link</v>
      </c>
      <c r="E2536" s="2" t="s">
        <v>1587</v>
      </c>
    </row>
    <row r="2537">
      <c r="A2537" s="2" t="s">
        <v>1845</v>
      </c>
      <c r="B2537" s="2" t="s">
        <v>1590</v>
      </c>
      <c r="C2537" s="2" t="s">
        <v>2159</v>
      </c>
      <c r="D2537" s="3" t="str">
        <f t="shared" si="485"/>
        <v>12Go Link</v>
      </c>
      <c r="E2537" s="2" t="s">
        <v>1588</v>
      </c>
    </row>
    <row r="2538">
      <c r="A2538" s="2" t="s">
        <v>1845</v>
      </c>
      <c r="B2538" s="2" t="s">
        <v>1590</v>
      </c>
      <c r="C2538" s="2" t="s">
        <v>2159</v>
      </c>
      <c r="D2538" s="3" t="str">
        <f t="shared" si="485"/>
        <v>12Go Link</v>
      </c>
      <c r="E2538" s="2" t="s">
        <v>1589</v>
      </c>
    </row>
    <row r="2539">
      <c r="A2539" s="2" t="s">
        <v>1847</v>
      </c>
      <c r="B2539" s="2" t="s">
        <v>1585</v>
      </c>
      <c r="C2539" s="2" t="s">
        <v>2160</v>
      </c>
      <c r="D2539" s="3" t="str">
        <f t="shared" ref="D2539:D2541" si="486">HYPERLINK("https://12go.asia/en/travel/Skaleta-Hotel-Transfer/Chania-Airport", "12Go Link")</f>
        <v>12Go Link</v>
      </c>
      <c r="E2539" s="2" t="s">
        <v>1587</v>
      </c>
    </row>
    <row r="2540">
      <c r="A2540" s="2" t="s">
        <v>1847</v>
      </c>
      <c r="B2540" s="2" t="s">
        <v>1585</v>
      </c>
      <c r="C2540" s="2" t="s">
        <v>2160</v>
      </c>
      <c r="D2540" s="3" t="str">
        <f t="shared" si="486"/>
        <v>12Go Link</v>
      </c>
      <c r="E2540" s="2" t="s">
        <v>1588</v>
      </c>
    </row>
    <row r="2541">
      <c r="A2541" s="2" t="s">
        <v>1847</v>
      </c>
      <c r="B2541" s="2" t="s">
        <v>1585</v>
      </c>
      <c r="C2541" s="2" t="s">
        <v>2160</v>
      </c>
      <c r="D2541" s="3" t="str">
        <f t="shared" si="486"/>
        <v>12Go Link</v>
      </c>
      <c r="E2541" s="2" t="s">
        <v>1589</v>
      </c>
    </row>
    <row r="2542">
      <c r="A2542" s="2" t="s">
        <v>1847</v>
      </c>
      <c r="B2542" s="2" t="s">
        <v>1590</v>
      </c>
      <c r="C2542" s="2" t="s">
        <v>2161</v>
      </c>
      <c r="D2542" s="3" t="str">
        <f t="shared" ref="D2542:D2544" si="487">HYPERLINK("https://12go.asia/en/travel/Skaleta-Hotel-Transfer/Heraklion-Airport", "12Go Link")</f>
        <v>12Go Link</v>
      </c>
      <c r="E2542" s="2" t="s">
        <v>1587</v>
      </c>
    </row>
    <row r="2543">
      <c r="A2543" s="2" t="s">
        <v>1847</v>
      </c>
      <c r="B2543" s="2" t="s">
        <v>1590</v>
      </c>
      <c r="C2543" s="2" t="s">
        <v>2161</v>
      </c>
      <c r="D2543" s="3" t="str">
        <f t="shared" si="487"/>
        <v>12Go Link</v>
      </c>
      <c r="E2543" s="2" t="s">
        <v>1588</v>
      </c>
    </row>
    <row r="2544">
      <c r="A2544" s="2" t="s">
        <v>1847</v>
      </c>
      <c r="B2544" s="2" t="s">
        <v>1590</v>
      </c>
      <c r="C2544" s="2" t="s">
        <v>2161</v>
      </c>
      <c r="D2544" s="3" t="str">
        <f t="shared" si="487"/>
        <v>12Go Link</v>
      </c>
      <c r="E2544" s="2" t="s">
        <v>1589</v>
      </c>
    </row>
    <row r="2545">
      <c r="A2545" s="2" t="s">
        <v>1849</v>
      </c>
      <c r="B2545" s="2" t="s">
        <v>1585</v>
      </c>
      <c r="C2545" s="2" t="s">
        <v>2162</v>
      </c>
      <c r="D2545" s="3" t="str">
        <f t="shared" ref="D2545:D2547" si="488">HYPERLINK("https://12go.asia/en/travel/Souda-Hotel-Transfer/Chania-Airport", "12Go Link")</f>
        <v>12Go Link</v>
      </c>
      <c r="E2545" s="2" t="s">
        <v>1587</v>
      </c>
    </row>
    <row r="2546">
      <c r="A2546" s="2" t="s">
        <v>1849</v>
      </c>
      <c r="B2546" s="2" t="s">
        <v>1585</v>
      </c>
      <c r="C2546" s="2" t="s">
        <v>2162</v>
      </c>
      <c r="D2546" s="3" t="str">
        <f t="shared" si="488"/>
        <v>12Go Link</v>
      </c>
      <c r="E2546" s="2" t="s">
        <v>1588</v>
      </c>
    </row>
    <row r="2547">
      <c r="A2547" s="2" t="s">
        <v>1849</v>
      </c>
      <c r="B2547" s="2" t="s">
        <v>1585</v>
      </c>
      <c r="C2547" s="2" t="s">
        <v>2162</v>
      </c>
      <c r="D2547" s="3" t="str">
        <f t="shared" si="488"/>
        <v>12Go Link</v>
      </c>
      <c r="E2547" s="2" t="s">
        <v>1589</v>
      </c>
    </row>
    <row r="2548">
      <c r="A2548" s="2" t="s">
        <v>1849</v>
      </c>
      <c r="B2548" s="2" t="s">
        <v>1590</v>
      </c>
      <c r="C2548" s="2" t="s">
        <v>2163</v>
      </c>
      <c r="D2548" s="3" t="str">
        <f t="shared" ref="D2548:D2550" si="489">HYPERLINK("https://12go.asia/en/travel/Souda-Hotel-Transfer/Heraklion-Airport", "12Go Link")</f>
        <v>12Go Link</v>
      </c>
      <c r="E2548" s="2" t="s">
        <v>1587</v>
      </c>
    </row>
    <row r="2549">
      <c r="A2549" s="2" t="s">
        <v>1849</v>
      </c>
      <c r="B2549" s="2" t="s">
        <v>1590</v>
      </c>
      <c r="C2549" s="2" t="s">
        <v>2163</v>
      </c>
      <c r="D2549" s="3" t="str">
        <f t="shared" si="489"/>
        <v>12Go Link</v>
      </c>
      <c r="E2549" s="2" t="s">
        <v>1588</v>
      </c>
    </row>
    <row r="2550">
      <c r="A2550" s="2" t="s">
        <v>1849</v>
      </c>
      <c r="B2550" s="2" t="s">
        <v>1590</v>
      </c>
      <c r="C2550" s="2" t="s">
        <v>2163</v>
      </c>
      <c r="D2550" s="3" t="str">
        <f t="shared" si="489"/>
        <v>12Go Link</v>
      </c>
      <c r="E2550" s="2" t="s">
        <v>1589</v>
      </c>
    </row>
    <row r="2551">
      <c r="A2551" s="2" t="s">
        <v>1851</v>
      </c>
      <c r="B2551" s="2" t="s">
        <v>1585</v>
      </c>
      <c r="C2551" s="2" t="s">
        <v>2164</v>
      </c>
      <c r="D2551" s="3" t="str">
        <f t="shared" ref="D2551:D2553" si="490">HYPERLINK("https://12go.asia/en/travel/Sougia-Hotel-Transfer/Chania-Airport", "12Go Link")</f>
        <v>12Go Link</v>
      </c>
      <c r="E2551" s="2" t="s">
        <v>1587</v>
      </c>
    </row>
    <row r="2552">
      <c r="A2552" s="2" t="s">
        <v>1851</v>
      </c>
      <c r="B2552" s="2" t="s">
        <v>1585</v>
      </c>
      <c r="C2552" s="2" t="s">
        <v>2164</v>
      </c>
      <c r="D2552" s="3" t="str">
        <f t="shared" si="490"/>
        <v>12Go Link</v>
      </c>
      <c r="E2552" s="2" t="s">
        <v>1588</v>
      </c>
    </row>
    <row r="2553">
      <c r="A2553" s="2" t="s">
        <v>1851</v>
      </c>
      <c r="B2553" s="2" t="s">
        <v>1585</v>
      </c>
      <c r="C2553" s="2" t="s">
        <v>2164</v>
      </c>
      <c r="D2553" s="3" t="str">
        <f t="shared" si="490"/>
        <v>12Go Link</v>
      </c>
      <c r="E2553" s="2" t="s">
        <v>1589</v>
      </c>
    </row>
    <row r="2554">
      <c r="A2554" s="2" t="s">
        <v>1851</v>
      </c>
      <c r="B2554" s="2" t="s">
        <v>1590</v>
      </c>
      <c r="C2554" s="2" t="s">
        <v>2165</v>
      </c>
      <c r="D2554" s="3" t="str">
        <f t="shared" ref="D2554:D2556" si="491">HYPERLINK("https://12go.asia/en/travel/Sougia-Hotel-Transfer/Heraklion-Airport", "12Go Link")</f>
        <v>12Go Link</v>
      </c>
      <c r="E2554" s="2" t="s">
        <v>1587</v>
      </c>
    </row>
    <row r="2555">
      <c r="A2555" s="2" t="s">
        <v>1851</v>
      </c>
      <c r="B2555" s="2" t="s">
        <v>1590</v>
      </c>
      <c r="C2555" s="2" t="s">
        <v>2165</v>
      </c>
      <c r="D2555" s="3" t="str">
        <f t="shared" si="491"/>
        <v>12Go Link</v>
      </c>
      <c r="E2555" s="2" t="s">
        <v>1588</v>
      </c>
    </row>
    <row r="2556">
      <c r="A2556" s="2" t="s">
        <v>1851</v>
      </c>
      <c r="B2556" s="2" t="s">
        <v>1590</v>
      </c>
      <c r="C2556" s="2" t="s">
        <v>2165</v>
      </c>
      <c r="D2556" s="3" t="str">
        <f t="shared" si="491"/>
        <v>12Go Link</v>
      </c>
      <c r="E2556" s="2" t="s">
        <v>1589</v>
      </c>
    </row>
    <row r="2557">
      <c r="A2557" s="2" t="s">
        <v>1853</v>
      </c>
      <c r="B2557" s="2" t="s">
        <v>1585</v>
      </c>
      <c r="C2557" s="2" t="s">
        <v>2166</v>
      </c>
      <c r="D2557" s="3" t="str">
        <f t="shared" ref="D2557:D2559" si="492">HYPERLINK("https://12go.asia/en/travel/Stalida-Hotel-Transfer/Chania-Airport", "12Go Link")</f>
        <v>12Go Link</v>
      </c>
      <c r="E2557" s="2" t="s">
        <v>1587</v>
      </c>
    </row>
    <row r="2558">
      <c r="A2558" s="2" t="s">
        <v>1853</v>
      </c>
      <c r="B2558" s="2" t="s">
        <v>1585</v>
      </c>
      <c r="C2558" s="2" t="s">
        <v>2166</v>
      </c>
      <c r="D2558" s="3" t="str">
        <f t="shared" si="492"/>
        <v>12Go Link</v>
      </c>
      <c r="E2558" s="2" t="s">
        <v>1588</v>
      </c>
    </row>
    <row r="2559">
      <c r="A2559" s="2" t="s">
        <v>1853</v>
      </c>
      <c r="B2559" s="2" t="s">
        <v>1585</v>
      </c>
      <c r="C2559" s="2" t="s">
        <v>2166</v>
      </c>
      <c r="D2559" s="3" t="str">
        <f t="shared" si="492"/>
        <v>12Go Link</v>
      </c>
      <c r="E2559" s="2" t="s">
        <v>1589</v>
      </c>
    </row>
    <row r="2560">
      <c r="A2560" s="2" t="s">
        <v>1853</v>
      </c>
      <c r="B2560" s="2" t="s">
        <v>1590</v>
      </c>
      <c r="C2560" s="2" t="s">
        <v>2167</v>
      </c>
      <c r="D2560" s="3" t="str">
        <f t="shared" ref="D2560:D2562" si="493">HYPERLINK("https://12go.asia/en/travel/Stalida-Hotel-Transfer/Heraklion-Airport", "12Go Link")</f>
        <v>12Go Link</v>
      </c>
      <c r="E2560" s="2" t="s">
        <v>1587</v>
      </c>
    </row>
    <row r="2561">
      <c r="A2561" s="2" t="s">
        <v>1853</v>
      </c>
      <c r="B2561" s="2" t="s">
        <v>1590</v>
      </c>
      <c r="C2561" s="2" t="s">
        <v>2167</v>
      </c>
      <c r="D2561" s="3" t="str">
        <f t="shared" si="493"/>
        <v>12Go Link</v>
      </c>
      <c r="E2561" s="2" t="s">
        <v>1588</v>
      </c>
    </row>
    <row r="2562">
      <c r="A2562" s="2" t="s">
        <v>1853</v>
      </c>
      <c r="B2562" s="2" t="s">
        <v>1590</v>
      </c>
      <c r="C2562" s="2" t="s">
        <v>2167</v>
      </c>
      <c r="D2562" s="3" t="str">
        <f t="shared" si="493"/>
        <v>12Go Link</v>
      </c>
      <c r="E2562" s="2" t="s">
        <v>1589</v>
      </c>
    </row>
    <row r="2563">
      <c r="A2563" s="2" t="s">
        <v>1855</v>
      </c>
      <c r="B2563" s="2" t="s">
        <v>1585</v>
      </c>
      <c r="C2563" s="2" t="s">
        <v>2168</v>
      </c>
      <c r="D2563" s="3" t="str">
        <f t="shared" ref="D2563:D2565" si="494">HYPERLINK("https://12go.asia/en/travel/Stalos-Hotel-Transfer/Chania-Airport", "12Go Link")</f>
        <v>12Go Link</v>
      </c>
      <c r="E2563" s="2" t="s">
        <v>1587</v>
      </c>
    </row>
    <row r="2564">
      <c r="A2564" s="2" t="s">
        <v>1855</v>
      </c>
      <c r="B2564" s="2" t="s">
        <v>1585</v>
      </c>
      <c r="C2564" s="2" t="s">
        <v>2168</v>
      </c>
      <c r="D2564" s="3" t="str">
        <f t="shared" si="494"/>
        <v>12Go Link</v>
      </c>
      <c r="E2564" s="2" t="s">
        <v>1588</v>
      </c>
    </row>
    <row r="2565">
      <c r="A2565" s="2" t="s">
        <v>1855</v>
      </c>
      <c r="B2565" s="2" t="s">
        <v>1585</v>
      </c>
      <c r="C2565" s="2" t="s">
        <v>2168</v>
      </c>
      <c r="D2565" s="3" t="str">
        <f t="shared" si="494"/>
        <v>12Go Link</v>
      </c>
      <c r="E2565" s="2" t="s">
        <v>1589</v>
      </c>
    </row>
    <row r="2566">
      <c r="A2566" s="2" t="s">
        <v>1855</v>
      </c>
      <c r="B2566" s="2" t="s">
        <v>1590</v>
      </c>
      <c r="C2566" s="2" t="s">
        <v>2169</v>
      </c>
      <c r="D2566" s="3" t="str">
        <f t="shared" ref="D2566:D2568" si="495">HYPERLINK("https://12go.asia/en/travel/Stalos-Hotel-Transfer/Heraklion-Airport", "12Go Link")</f>
        <v>12Go Link</v>
      </c>
      <c r="E2566" s="2" t="s">
        <v>1587</v>
      </c>
    </row>
    <row r="2567">
      <c r="A2567" s="2" t="s">
        <v>1855</v>
      </c>
      <c r="B2567" s="2" t="s">
        <v>1590</v>
      </c>
      <c r="C2567" s="2" t="s">
        <v>2169</v>
      </c>
      <c r="D2567" s="3" t="str">
        <f t="shared" si="495"/>
        <v>12Go Link</v>
      </c>
      <c r="E2567" s="2" t="s">
        <v>1588</v>
      </c>
    </row>
    <row r="2568">
      <c r="A2568" s="2" t="s">
        <v>1855</v>
      </c>
      <c r="B2568" s="2" t="s">
        <v>1590</v>
      </c>
      <c r="C2568" s="2" t="s">
        <v>2169</v>
      </c>
      <c r="D2568" s="3" t="str">
        <f t="shared" si="495"/>
        <v>12Go Link</v>
      </c>
      <c r="E2568" s="2" t="s">
        <v>1589</v>
      </c>
    </row>
    <row r="2569">
      <c r="A2569" s="2" t="s">
        <v>1857</v>
      </c>
      <c r="B2569" s="2" t="s">
        <v>1585</v>
      </c>
      <c r="C2569" s="2" t="s">
        <v>2170</v>
      </c>
      <c r="D2569" s="3" t="str">
        <f t="shared" ref="D2569:D2571" si="496">HYPERLINK("https://12go.asia/en/travel/Stavros-Chania-Hotel-Transfer/Chania-Airport", "12Go Link")</f>
        <v>12Go Link</v>
      </c>
      <c r="E2569" s="2" t="s">
        <v>1587</v>
      </c>
    </row>
    <row r="2570">
      <c r="A2570" s="2" t="s">
        <v>1857</v>
      </c>
      <c r="B2570" s="2" t="s">
        <v>1585</v>
      </c>
      <c r="C2570" s="2" t="s">
        <v>2170</v>
      </c>
      <c r="D2570" s="3" t="str">
        <f t="shared" si="496"/>
        <v>12Go Link</v>
      </c>
      <c r="E2570" s="2" t="s">
        <v>1588</v>
      </c>
    </row>
    <row r="2571">
      <c r="A2571" s="2" t="s">
        <v>1857</v>
      </c>
      <c r="B2571" s="2" t="s">
        <v>1585</v>
      </c>
      <c r="C2571" s="2" t="s">
        <v>2170</v>
      </c>
      <c r="D2571" s="3" t="str">
        <f t="shared" si="496"/>
        <v>12Go Link</v>
      </c>
      <c r="E2571" s="2" t="s">
        <v>1589</v>
      </c>
    </row>
    <row r="2572">
      <c r="A2572" s="2" t="s">
        <v>1857</v>
      </c>
      <c r="B2572" s="2" t="s">
        <v>1590</v>
      </c>
      <c r="C2572" s="2" t="s">
        <v>2171</v>
      </c>
      <c r="D2572" s="3" t="str">
        <f t="shared" ref="D2572:D2574" si="497">HYPERLINK("https://12go.asia/en/travel/Stavros-Chania-Hotel-Transfer/Heraklion-Airport", "12Go Link")</f>
        <v>12Go Link</v>
      </c>
      <c r="E2572" s="2" t="s">
        <v>1587</v>
      </c>
    </row>
    <row r="2573">
      <c r="A2573" s="2" t="s">
        <v>1857</v>
      </c>
      <c r="B2573" s="2" t="s">
        <v>1590</v>
      </c>
      <c r="C2573" s="2" t="s">
        <v>2171</v>
      </c>
      <c r="D2573" s="3" t="str">
        <f t="shared" si="497"/>
        <v>12Go Link</v>
      </c>
      <c r="E2573" s="2" t="s">
        <v>1588</v>
      </c>
    </row>
    <row r="2574">
      <c r="A2574" s="2" t="s">
        <v>1857</v>
      </c>
      <c r="B2574" s="2" t="s">
        <v>1590</v>
      </c>
      <c r="C2574" s="2" t="s">
        <v>2171</v>
      </c>
      <c r="D2574" s="3" t="str">
        <f t="shared" si="497"/>
        <v>12Go Link</v>
      </c>
      <c r="E2574" s="2" t="s">
        <v>1589</v>
      </c>
    </row>
    <row r="2575">
      <c r="A2575" s="2" t="s">
        <v>1859</v>
      </c>
      <c r="B2575" s="2" t="s">
        <v>1585</v>
      </c>
      <c r="C2575" s="2" t="s">
        <v>2172</v>
      </c>
      <c r="D2575" s="3" t="str">
        <f t="shared" ref="D2575:D2577" si="498">HYPERLINK("https://12go.asia/en/travel/Tavronitis-Hotel-Transfer/Chania-Airport", "12Go Link")</f>
        <v>12Go Link</v>
      </c>
      <c r="E2575" s="2" t="s">
        <v>1587</v>
      </c>
    </row>
    <row r="2576">
      <c r="A2576" s="2" t="s">
        <v>1859</v>
      </c>
      <c r="B2576" s="2" t="s">
        <v>1585</v>
      </c>
      <c r="C2576" s="2" t="s">
        <v>2172</v>
      </c>
      <c r="D2576" s="3" t="str">
        <f t="shared" si="498"/>
        <v>12Go Link</v>
      </c>
      <c r="E2576" s="2" t="s">
        <v>1588</v>
      </c>
    </row>
    <row r="2577">
      <c r="A2577" s="2" t="s">
        <v>1859</v>
      </c>
      <c r="B2577" s="2" t="s">
        <v>1585</v>
      </c>
      <c r="C2577" s="2" t="s">
        <v>2172</v>
      </c>
      <c r="D2577" s="3" t="str">
        <f t="shared" si="498"/>
        <v>12Go Link</v>
      </c>
      <c r="E2577" s="2" t="s">
        <v>1589</v>
      </c>
    </row>
    <row r="2578">
      <c r="A2578" s="2" t="s">
        <v>1859</v>
      </c>
      <c r="B2578" s="2" t="s">
        <v>1590</v>
      </c>
      <c r="C2578" s="2" t="s">
        <v>2173</v>
      </c>
      <c r="D2578" s="3" t="str">
        <f t="shared" ref="D2578:D2580" si="499">HYPERLINK("https://12go.asia/en/travel/Tavronitis-Hotel-Transfer/Heraklion-Airport", "12Go Link")</f>
        <v>12Go Link</v>
      </c>
      <c r="E2578" s="2" t="s">
        <v>1587</v>
      </c>
    </row>
    <row r="2579">
      <c r="A2579" s="2" t="s">
        <v>1859</v>
      </c>
      <c r="B2579" s="2" t="s">
        <v>1590</v>
      </c>
      <c r="C2579" s="2" t="s">
        <v>2173</v>
      </c>
      <c r="D2579" s="3" t="str">
        <f t="shared" si="499"/>
        <v>12Go Link</v>
      </c>
      <c r="E2579" s="2" t="s">
        <v>1588</v>
      </c>
    </row>
    <row r="2580">
      <c r="A2580" s="2" t="s">
        <v>1859</v>
      </c>
      <c r="B2580" s="2" t="s">
        <v>1590</v>
      </c>
      <c r="C2580" s="2" t="s">
        <v>2173</v>
      </c>
      <c r="D2580" s="3" t="str">
        <f t="shared" si="499"/>
        <v>12Go Link</v>
      </c>
      <c r="E2580" s="2" t="s">
        <v>1589</v>
      </c>
    </row>
    <row r="2581">
      <c r="A2581" s="2" t="s">
        <v>1861</v>
      </c>
      <c r="B2581" s="2" t="s">
        <v>1585</v>
      </c>
      <c r="C2581" s="2" t="s">
        <v>2174</v>
      </c>
      <c r="D2581" s="3" t="str">
        <f t="shared" ref="D2581:D2583" si="500">HYPERLINK("https://12go.asia/en/travel/Tsoutsouros-Hotel-Transfer/Chania-Airport", "12Go Link")</f>
        <v>12Go Link</v>
      </c>
      <c r="E2581" s="2" t="s">
        <v>1587</v>
      </c>
    </row>
    <row r="2582">
      <c r="A2582" s="2" t="s">
        <v>1861</v>
      </c>
      <c r="B2582" s="2" t="s">
        <v>1585</v>
      </c>
      <c r="C2582" s="2" t="s">
        <v>2174</v>
      </c>
      <c r="D2582" s="3" t="str">
        <f t="shared" si="500"/>
        <v>12Go Link</v>
      </c>
      <c r="E2582" s="2" t="s">
        <v>1588</v>
      </c>
    </row>
    <row r="2583">
      <c r="A2583" s="2" t="s">
        <v>1861</v>
      </c>
      <c r="B2583" s="2" t="s">
        <v>1585</v>
      </c>
      <c r="C2583" s="2" t="s">
        <v>2174</v>
      </c>
      <c r="D2583" s="3" t="str">
        <f t="shared" si="500"/>
        <v>12Go Link</v>
      </c>
      <c r="E2583" s="2" t="s">
        <v>1589</v>
      </c>
    </row>
    <row r="2584">
      <c r="A2584" s="2" t="s">
        <v>1861</v>
      </c>
      <c r="B2584" s="2" t="s">
        <v>1590</v>
      </c>
      <c r="C2584" s="2" t="s">
        <v>2175</v>
      </c>
      <c r="D2584" s="3" t="str">
        <f t="shared" ref="D2584:D2586" si="501">HYPERLINK("https://12go.asia/en/travel/Tsoutsouros-Hotel-Transfer/Heraklion-Airport", "12Go Link")</f>
        <v>12Go Link</v>
      </c>
      <c r="E2584" s="2" t="s">
        <v>1587</v>
      </c>
    </row>
    <row r="2585">
      <c r="A2585" s="2" t="s">
        <v>1861</v>
      </c>
      <c r="B2585" s="2" t="s">
        <v>1590</v>
      </c>
      <c r="C2585" s="2" t="s">
        <v>2175</v>
      </c>
      <c r="D2585" s="3" t="str">
        <f t="shared" si="501"/>
        <v>12Go Link</v>
      </c>
      <c r="E2585" s="2" t="s">
        <v>1588</v>
      </c>
    </row>
    <row r="2586">
      <c r="A2586" s="2" t="s">
        <v>1861</v>
      </c>
      <c r="B2586" s="2" t="s">
        <v>1590</v>
      </c>
      <c r="C2586" s="2" t="s">
        <v>2175</v>
      </c>
      <c r="D2586" s="3" t="str">
        <f t="shared" si="501"/>
        <v>12Go Link</v>
      </c>
      <c r="E2586" s="2" t="s">
        <v>1589</v>
      </c>
    </row>
    <row r="2587">
      <c r="A2587" s="2" t="s">
        <v>1863</v>
      </c>
      <c r="B2587" s="2" t="s">
        <v>1585</v>
      </c>
      <c r="C2587" s="2" t="s">
        <v>2176</v>
      </c>
      <c r="D2587" s="3" t="str">
        <f t="shared" ref="D2587:D2589" si="502">HYPERLINK("https://12go.asia/en/travel/Vamos-Hotel-Transfer/Chania-Airport", "12Go Link")</f>
        <v>12Go Link</v>
      </c>
      <c r="E2587" s="2" t="s">
        <v>1587</v>
      </c>
    </row>
    <row r="2588">
      <c r="A2588" s="2" t="s">
        <v>1863</v>
      </c>
      <c r="B2588" s="2" t="s">
        <v>1585</v>
      </c>
      <c r="C2588" s="2" t="s">
        <v>2176</v>
      </c>
      <c r="D2588" s="3" t="str">
        <f t="shared" si="502"/>
        <v>12Go Link</v>
      </c>
      <c r="E2588" s="2" t="s">
        <v>1588</v>
      </c>
    </row>
    <row r="2589">
      <c r="A2589" s="2" t="s">
        <v>1863</v>
      </c>
      <c r="B2589" s="2" t="s">
        <v>1585</v>
      </c>
      <c r="C2589" s="2" t="s">
        <v>2176</v>
      </c>
      <c r="D2589" s="3" t="str">
        <f t="shared" si="502"/>
        <v>12Go Link</v>
      </c>
      <c r="E2589" s="2" t="s">
        <v>1589</v>
      </c>
    </row>
    <row r="2590">
      <c r="A2590" s="2" t="s">
        <v>1863</v>
      </c>
      <c r="B2590" s="2" t="s">
        <v>1590</v>
      </c>
      <c r="C2590" s="2" t="s">
        <v>2177</v>
      </c>
      <c r="D2590" s="3" t="str">
        <f t="shared" ref="D2590:D2592" si="503">HYPERLINK("https://12go.asia/en/travel/Vamos-Hotel-Transfer/Heraklion-Airport", "12Go Link")</f>
        <v>12Go Link</v>
      </c>
      <c r="E2590" s="2" t="s">
        <v>1587</v>
      </c>
    </row>
    <row r="2591">
      <c r="A2591" s="2" t="s">
        <v>1863</v>
      </c>
      <c r="B2591" s="2" t="s">
        <v>1590</v>
      </c>
      <c r="C2591" s="2" t="s">
        <v>2177</v>
      </c>
      <c r="D2591" s="3" t="str">
        <f t="shared" si="503"/>
        <v>12Go Link</v>
      </c>
      <c r="E2591" s="2" t="s">
        <v>1588</v>
      </c>
    </row>
    <row r="2592">
      <c r="A2592" s="2" t="s">
        <v>1863</v>
      </c>
      <c r="B2592" s="2" t="s">
        <v>1590</v>
      </c>
      <c r="C2592" s="2" t="s">
        <v>2177</v>
      </c>
      <c r="D2592" s="3" t="str">
        <f t="shared" si="503"/>
        <v>12Go Link</v>
      </c>
      <c r="E2592" s="2" t="s">
        <v>1589</v>
      </c>
    </row>
    <row r="2593">
      <c r="A2593" s="2" t="s">
        <v>1865</v>
      </c>
      <c r="B2593" s="2" t="s">
        <v>1585</v>
      </c>
      <c r="C2593" s="2" t="s">
        <v>2178</v>
      </c>
      <c r="D2593" s="3" t="str">
        <f t="shared" ref="D2593:D2595" si="504">HYPERLINK("https://12go.asia/en/travel/Vathi-Hotel-Transfer/Chania-Airport", "12Go Link")</f>
        <v>12Go Link</v>
      </c>
      <c r="E2593" s="2" t="s">
        <v>1587</v>
      </c>
    </row>
    <row r="2594">
      <c r="A2594" s="2" t="s">
        <v>1865</v>
      </c>
      <c r="B2594" s="2" t="s">
        <v>1585</v>
      </c>
      <c r="C2594" s="2" t="s">
        <v>2178</v>
      </c>
      <c r="D2594" s="3" t="str">
        <f t="shared" si="504"/>
        <v>12Go Link</v>
      </c>
      <c r="E2594" s="2" t="s">
        <v>1588</v>
      </c>
    </row>
    <row r="2595">
      <c r="A2595" s="2" t="s">
        <v>1865</v>
      </c>
      <c r="B2595" s="2" t="s">
        <v>1585</v>
      </c>
      <c r="C2595" s="2" t="s">
        <v>2178</v>
      </c>
      <c r="D2595" s="3" t="str">
        <f t="shared" si="504"/>
        <v>12Go Link</v>
      </c>
      <c r="E2595" s="2" t="s">
        <v>1589</v>
      </c>
    </row>
    <row r="2596">
      <c r="A2596" s="2" t="s">
        <v>1865</v>
      </c>
      <c r="B2596" s="2" t="s">
        <v>1590</v>
      </c>
      <c r="C2596" s="2" t="s">
        <v>2179</v>
      </c>
      <c r="D2596" s="3" t="str">
        <f t="shared" ref="D2596:D2598" si="505">HYPERLINK("https://12go.asia/en/travel/Vathi-Hotel-Transfer/Heraklion-Airport", "12Go Link")</f>
        <v>12Go Link</v>
      </c>
      <c r="E2596" s="2" t="s">
        <v>1587</v>
      </c>
    </row>
    <row r="2597">
      <c r="A2597" s="2" t="s">
        <v>1865</v>
      </c>
      <c r="B2597" s="2" t="s">
        <v>1590</v>
      </c>
      <c r="C2597" s="2" t="s">
        <v>2179</v>
      </c>
      <c r="D2597" s="3" t="str">
        <f t="shared" si="505"/>
        <v>12Go Link</v>
      </c>
      <c r="E2597" s="2" t="s">
        <v>1588</v>
      </c>
    </row>
    <row r="2598">
      <c r="A2598" s="2" t="s">
        <v>1865</v>
      </c>
      <c r="B2598" s="2" t="s">
        <v>1590</v>
      </c>
      <c r="C2598" s="2" t="s">
        <v>2179</v>
      </c>
      <c r="D2598" s="3" t="str">
        <f t="shared" si="505"/>
        <v>12Go Link</v>
      </c>
      <c r="E2598" s="2" t="s">
        <v>1589</v>
      </c>
    </row>
    <row r="2599">
      <c r="A2599" s="2" t="s">
        <v>1867</v>
      </c>
      <c r="B2599" s="2" t="s">
        <v>1585</v>
      </c>
      <c r="C2599" s="2" t="s">
        <v>2180</v>
      </c>
      <c r="D2599" s="3" t="str">
        <f t="shared" ref="D2599:D2601" si="506">HYPERLINK("https://12go.asia/en/travel/Viranepiskopi-Hotel-Transfer/Chania-Airport", "12Go Link")</f>
        <v>12Go Link</v>
      </c>
      <c r="E2599" s="2" t="s">
        <v>1587</v>
      </c>
    </row>
    <row r="2600">
      <c r="A2600" s="2" t="s">
        <v>1867</v>
      </c>
      <c r="B2600" s="2" t="s">
        <v>1585</v>
      </c>
      <c r="C2600" s="2" t="s">
        <v>2180</v>
      </c>
      <c r="D2600" s="3" t="str">
        <f t="shared" si="506"/>
        <v>12Go Link</v>
      </c>
      <c r="E2600" s="2" t="s">
        <v>1588</v>
      </c>
    </row>
    <row r="2601">
      <c r="A2601" s="2" t="s">
        <v>1867</v>
      </c>
      <c r="B2601" s="2" t="s">
        <v>1585</v>
      </c>
      <c r="C2601" s="2" t="s">
        <v>2180</v>
      </c>
      <c r="D2601" s="3" t="str">
        <f t="shared" si="506"/>
        <v>12Go Link</v>
      </c>
      <c r="E2601" s="2" t="s">
        <v>1589</v>
      </c>
    </row>
    <row r="2602">
      <c r="A2602" s="2" t="s">
        <v>1867</v>
      </c>
      <c r="B2602" s="2" t="s">
        <v>1590</v>
      </c>
      <c r="C2602" s="2" t="s">
        <v>2181</v>
      </c>
      <c r="D2602" s="3" t="str">
        <f t="shared" ref="D2602:D2604" si="507">HYPERLINK("https://12go.asia/en/travel/Viranepiskopi-Hotel-Transfer/Heraklion-Airport", "12Go Link")</f>
        <v>12Go Link</v>
      </c>
      <c r="E2602" s="2" t="s">
        <v>1587</v>
      </c>
    </row>
    <row r="2603">
      <c r="A2603" s="2" t="s">
        <v>1867</v>
      </c>
      <c r="B2603" s="2" t="s">
        <v>1590</v>
      </c>
      <c r="C2603" s="2" t="s">
        <v>2181</v>
      </c>
      <c r="D2603" s="3" t="str">
        <f t="shared" si="507"/>
        <v>12Go Link</v>
      </c>
      <c r="E2603" s="2" t="s">
        <v>1588</v>
      </c>
    </row>
    <row r="2604">
      <c r="A2604" s="2" t="s">
        <v>1867</v>
      </c>
      <c r="B2604" s="2" t="s">
        <v>1590</v>
      </c>
      <c r="C2604" s="2" t="s">
        <v>2181</v>
      </c>
      <c r="D2604" s="3" t="str">
        <f t="shared" si="507"/>
        <v>12Go Link</v>
      </c>
      <c r="E2604" s="2" t="s">
        <v>1589</v>
      </c>
    </row>
    <row r="2605">
      <c r="A2605" s="2" t="s">
        <v>1869</v>
      </c>
      <c r="B2605" s="2" t="s">
        <v>1585</v>
      </c>
      <c r="C2605" s="2" t="s">
        <v>2182</v>
      </c>
      <c r="D2605" s="3" t="str">
        <f t="shared" ref="D2605:D2607" si="508">HYPERLINK("https://12go.asia/en/travel/Vryses-Hotel-Transfer/Chania-Airport", "12Go Link")</f>
        <v>12Go Link</v>
      </c>
      <c r="E2605" s="2" t="s">
        <v>1587</v>
      </c>
    </row>
    <row r="2606">
      <c r="A2606" s="2" t="s">
        <v>1869</v>
      </c>
      <c r="B2606" s="2" t="s">
        <v>1585</v>
      </c>
      <c r="C2606" s="2" t="s">
        <v>2182</v>
      </c>
      <c r="D2606" s="3" t="str">
        <f t="shared" si="508"/>
        <v>12Go Link</v>
      </c>
      <c r="E2606" s="2" t="s">
        <v>1588</v>
      </c>
    </row>
    <row r="2607">
      <c r="A2607" s="2" t="s">
        <v>1869</v>
      </c>
      <c r="B2607" s="2" t="s">
        <v>1585</v>
      </c>
      <c r="C2607" s="2" t="s">
        <v>2182</v>
      </c>
      <c r="D2607" s="3" t="str">
        <f t="shared" si="508"/>
        <v>12Go Link</v>
      </c>
      <c r="E2607" s="2" t="s">
        <v>1589</v>
      </c>
    </row>
    <row r="2608">
      <c r="A2608" s="2" t="s">
        <v>1869</v>
      </c>
      <c r="B2608" s="2" t="s">
        <v>1590</v>
      </c>
      <c r="C2608" s="2" t="s">
        <v>2183</v>
      </c>
      <c r="D2608" s="3" t="str">
        <f t="shared" ref="D2608:D2610" si="509">HYPERLINK("https://12go.asia/en/travel/Vryses-Hotel-Transfer/Heraklion-Airport", "12Go Link")</f>
        <v>12Go Link</v>
      </c>
      <c r="E2608" s="2" t="s">
        <v>1587</v>
      </c>
    </row>
    <row r="2609">
      <c r="A2609" s="2" t="s">
        <v>1869</v>
      </c>
      <c r="B2609" s="2" t="s">
        <v>1590</v>
      </c>
      <c r="C2609" s="2" t="s">
        <v>2183</v>
      </c>
      <c r="D2609" s="3" t="str">
        <f t="shared" si="509"/>
        <v>12Go Link</v>
      </c>
      <c r="E2609" s="2" t="s">
        <v>1588</v>
      </c>
    </row>
    <row r="2610">
      <c r="A2610" s="2" t="s">
        <v>1869</v>
      </c>
      <c r="B2610" s="2" t="s">
        <v>1590</v>
      </c>
      <c r="C2610" s="2" t="s">
        <v>2183</v>
      </c>
      <c r="D2610" s="3" t="str">
        <f t="shared" si="509"/>
        <v>12Go Link</v>
      </c>
      <c r="E2610" s="2" t="s">
        <v>1589</v>
      </c>
    </row>
    <row r="2611">
      <c r="A2611" s="2" t="s">
        <v>2184</v>
      </c>
      <c r="B2611" s="2" t="s">
        <v>456</v>
      </c>
      <c r="C2611" s="2" t="s">
        <v>2185</v>
      </c>
      <c r="D2611" s="3" t="str">
        <f>HYPERLINK("https://12go.asia/en/travel/hong-kong/jiangzhou", "12Go Link")</f>
        <v>12Go Link</v>
      </c>
      <c r="E2611" s="2" t="s">
        <v>226</v>
      </c>
    </row>
    <row r="2612">
      <c r="A2612" s="2" t="s">
        <v>2184</v>
      </c>
      <c r="B2612" s="2" t="s">
        <v>835</v>
      </c>
      <c r="C2612" s="2" t="s">
        <v>2186</v>
      </c>
      <c r="D2612" s="3" t="str">
        <f>HYPERLINK("https://12go.asia/en/travel/hong-kong/zengcheng", "12Go Link")</f>
        <v>12Go Link</v>
      </c>
      <c r="E2612" s="2" t="s">
        <v>226</v>
      </c>
    </row>
    <row r="2613">
      <c r="A2613" s="2" t="s">
        <v>2187</v>
      </c>
      <c r="B2613" s="2" t="s">
        <v>113</v>
      </c>
      <c r="C2613" s="2" t="s">
        <v>2188</v>
      </c>
      <c r="D2613" s="3" t="str">
        <f>HYPERLINK("https://12go.asia/en/travel/adoni/newcastle-nsw", "12Go Link")</f>
        <v>12Go Link</v>
      </c>
      <c r="E2613" s="2" t="s">
        <v>226</v>
      </c>
    </row>
    <row r="2614">
      <c r="A2614" s="2" t="s">
        <v>2189</v>
      </c>
      <c r="B2614" s="2" t="s">
        <v>2190</v>
      </c>
      <c r="C2614" s="2" t="s">
        <v>2191</v>
      </c>
      <c r="D2614" s="3" t="str">
        <f>HYPERLINK("https://12go.asia/en/travel/agartala/deen-dayal-upadhyaya-jn", "12Go Link")</f>
        <v>12Go Link</v>
      </c>
      <c r="E2614" s="2" t="s">
        <v>226</v>
      </c>
    </row>
    <row r="2615">
      <c r="A2615" s="2" t="s">
        <v>2192</v>
      </c>
      <c r="B2615" s="2" t="s">
        <v>113</v>
      </c>
      <c r="C2615" s="2" t="s">
        <v>2193</v>
      </c>
      <c r="D2615" s="3" t="str">
        <f>HYPERLINK("https://12go.asia/en/travel/agra/newcastle-nsw", "12Go Link")</f>
        <v>12Go Link</v>
      </c>
      <c r="E2615" s="2" t="s">
        <v>226</v>
      </c>
    </row>
    <row r="2616">
      <c r="A2616" s="2" t="s">
        <v>2192</v>
      </c>
      <c r="B2616" s="2" t="s">
        <v>2194</v>
      </c>
      <c r="C2616" s="2" t="s">
        <v>2195</v>
      </c>
      <c r="D2616" s="3" t="str">
        <f>HYPERLINK("https://12go.asia/en/travel/agra/bokaro-steel-city", "12Go Link")</f>
        <v>12Go Link</v>
      </c>
      <c r="E2616" s="2" t="s">
        <v>226</v>
      </c>
    </row>
    <row r="2617">
      <c r="A2617" s="2" t="s">
        <v>2192</v>
      </c>
      <c r="B2617" s="2" t="s">
        <v>2196</v>
      </c>
      <c r="C2617" s="2" t="s">
        <v>2197</v>
      </c>
      <c r="D2617" s="3" t="str">
        <f>HYPERLINK("https://12go.asia/en/travel/agra-cantt/bundi", "12Go Link")</f>
        <v>12Go Link</v>
      </c>
      <c r="E2617" s="2" t="s">
        <v>226</v>
      </c>
    </row>
    <row r="2618">
      <c r="A2618" s="2" t="s">
        <v>2192</v>
      </c>
      <c r="B2618" s="2" t="s">
        <v>2198</v>
      </c>
      <c r="C2618" s="2" t="s">
        <v>2199</v>
      </c>
      <c r="D2618" s="3" t="str">
        <f>HYPERLINK("https://12go.asia/en/travel/agra-cantt/govindpuri", "12Go Link")</f>
        <v>12Go Link</v>
      </c>
      <c r="E2618" s="2" t="s">
        <v>226</v>
      </c>
    </row>
    <row r="2619">
      <c r="A2619" s="2" t="s">
        <v>2192</v>
      </c>
      <c r="B2619" s="2" t="s">
        <v>2200</v>
      </c>
      <c r="C2619" s="2" t="s">
        <v>2201</v>
      </c>
      <c r="D2619" s="3" t="str">
        <f>HYPERLINK("https://12go.asia/en/travel/agra-cantt/katni-murwara", "12Go Link")</f>
        <v>12Go Link</v>
      </c>
      <c r="E2619" s="2" t="s">
        <v>226</v>
      </c>
    </row>
    <row r="2620">
      <c r="A2620" s="2" t="s">
        <v>2192</v>
      </c>
      <c r="B2620" s="2" t="s">
        <v>2202</v>
      </c>
      <c r="C2620" s="2" t="s">
        <v>2203</v>
      </c>
      <c r="D2620" s="3" t="str">
        <f>HYPERLINK("https://12go.asia/en/travel/agra-cantt/khanna", "12Go Link")</f>
        <v>12Go Link</v>
      </c>
      <c r="E2620" s="2" t="s">
        <v>226</v>
      </c>
    </row>
    <row r="2621">
      <c r="A2621" s="2" t="s">
        <v>2192</v>
      </c>
      <c r="B2621" s="2" t="s">
        <v>2202</v>
      </c>
      <c r="C2621" s="2" t="s">
        <v>2204</v>
      </c>
      <c r="D2621" s="3" t="str">
        <f>HYPERLINK("https://12go.asia/en/travel/agra/khanna", "12Go Link")</f>
        <v>12Go Link</v>
      </c>
      <c r="E2621" s="2" t="s">
        <v>226</v>
      </c>
    </row>
    <row r="2622">
      <c r="A2622" s="2" t="s">
        <v>2192</v>
      </c>
      <c r="B2622" s="2" t="s">
        <v>2205</v>
      </c>
      <c r="C2622" s="2" t="s">
        <v>2206</v>
      </c>
      <c r="D2622" s="3" t="str">
        <f>HYPERLINK("https://12go.asia/en/travel/agra/kothapatnam", "12Go Link")</f>
        <v>12Go Link</v>
      </c>
      <c r="E2622" s="2" t="s">
        <v>226</v>
      </c>
    </row>
    <row r="2623">
      <c r="A2623" s="2" t="s">
        <v>2192</v>
      </c>
      <c r="B2623" s="2" t="s">
        <v>2207</v>
      </c>
      <c r="C2623" s="2" t="s">
        <v>2208</v>
      </c>
      <c r="D2623" s="3" t="str">
        <f>HYPERLINK("https://12go.asia/en/travel/agra-cantt/malkapur", "12Go Link")</f>
        <v>12Go Link</v>
      </c>
      <c r="E2623" s="2" t="s">
        <v>226</v>
      </c>
    </row>
    <row r="2624">
      <c r="A2624" s="2" t="s">
        <v>2192</v>
      </c>
      <c r="B2624" s="2" t="s">
        <v>2207</v>
      </c>
      <c r="C2624" s="2" t="s">
        <v>2209</v>
      </c>
      <c r="D2624" s="3" t="str">
        <f>HYPERLINK("https://12go.asia/en/travel/agra/malkapur", "12Go Link")</f>
        <v>12Go Link</v>
      </c>
      <c r="E2624" s="2" t="s">
        <v>226</v>
      </c>
    </row>
    <row r="2625">
      <c r="A2625" s="2" t="s">
        <v>2192</v>
      </c>
      <c r="B2625" s="2" t="s">
        <v>2210</v>
      </c>
      <c r="C2625" s="2" t="s">
        <v>2211</v>
      </c>
      <c r="D2625" s="3" t="str">
        <f>HYPERLINK("https://12go.asia/en/travel/agra/naini", "12Go Link")</f>
        <v>12Go Link</v>
      </c>
      <c r="E2625" s="2" t="s">
        <v>226</v>
      </c>
    </row>
    <row r="2626">
      <c r="A2626" s="2" t="s">
        <v>2192</v>
      </c>
      <c r="B2626" s="2" t="s">
        <v>2212</v>
      </c>
      <c r="C2626" s="2" t="s">
        <v>2213</v>
      </c>
      <c r="D2626" s="3" t="str">
        <f>HYPERLINK("https://12go.asia/en/travel/agra-cantt/phagwara-junction", "12Go Link")</f>
        <v>12Go Link</v>
      </c>
      <c r="E2626" s="2" t="s">
        <v>226</v>
      </c>
    </row>
    <row r="2627">
      <c r="A2627" s="2" t="s">
        <v>2192</v>
      </c>
      <c r="B2627" s="2" t="s">
        <v>2212</v>
      </c>
      <c r="C2627" s="2" t="s">
        <v>2214</v>
      </c>
      <c r="D2627" s="3" t="str">
        <f>HYPERLINK("https://12go.asia/en/travel/agra/phagwara", "12Go Link")</f>
        <v>12Go Link</v>
      </c>
      <c r="E2627" s="2" t="s">
        <v>226</v>
      </c>
    </row>
    <row r="2628">
      <c r="A2628" s="2" t="s">
        <v>2192</v>
      </c>
      <c r="B2628" s="2" t="s">
        <v>2215</v>
      </c>
      <c r="C2628" s="2" t="s">
        <v>2216</v>
      </c>
      <c r="D2628" s="3" t="str">
        <f>HYPERLINK("https://12go.asia/en/travel/agra-cantt/sikar-junction", "12Go Link")</f>
        <v>12Go Link</v>
      </c>
      <c r="E2628" s="2" t="s">
        <v>226</v>
      </c>
    </row>
    <row r="2629">
      <c r="A2629" s="2" t="s">
        <v>2192</v>
      </c>
      <c r="B2629" s="2" t="s">
        <v>2217</v>
      </c>
      <c r="C2629" s="2" t="s">
        <v>2218</v>
      </c>
      <c r="D2629" s="3" t="str">
        <f>HYPERLINK("https://12go.asia/en/travel/agra-cantt/tiruchchirappalli-junction", "12Go Link")</f>
        <v>12Go Link</v>
      </c>
      <c r="E2629" s="2" t="s">
        <v>226</v>
      </c>
    </row>
    <row r="2630">
      <c r="A2630" s="2" t="s">
        <v>2192</v>
      </c>
      <c r="B2630" s="2" t="s">
        <v>2219</v>
      </c>
      <c r="C2630" s="2" t="s">
        <v>2220</v>
      </c>
      <c r="D2630" s="3" t="str">
        <f>HYPERLINK("https://12go.asia/en/travel/agra-cantt/tiruppur", "12Go Link")</f>
        <v>12Go Link</v>
      </c>
      <c r="E2630" s="2" t="s">
        <v>226</v>
      </c>
    </row>
    <row r="2631">
      <c r="A2631" s="2" t="s">
        <v>2192</v>
      </c>
      <c r="B2631" s="2" t="s">
        <v>2190</v>
      </c>
      <c r="C2631" s="2" t="s">
        <v>2221</v>
      </c>
      <c r="D2631" s="3" t="str">
        <f>HYPERLINK("https://12go.asia/en/travel/agra-cantt/deen-dayal-upadhyaya-jn", "12Go Link")</f>
        <v>12Go Link</v>
      </c>
      <c r="E2631" s="2" t="s">
        <v>226</v>
      </c>
    </row>
    <row r="2632">
      <c r="A2632" s="2" t="s">
        <v>2192</v>
      </c>
      <c r="B2632" s="2" t="s">
        <v>2190</v>
      </c>
      <c r="C2632" s="2" t="s">
        <v>2222</v>
      </c>
      <c r="D2632" s="3" t="str">
        <f>HYPERLINK("https://12go.asia/en/travel/agra-fort/deen-dayal-upadhyaya-jn", "12Go Link")</f>
        <v>12Go Link</v>
      </c>
      <c r="E2632" s="2" t="s">
        <v>226</v>
      </c>
    </row>
    <row r="2633">
      <c r="A2633" s="2" t="s">
        <v>2192</v>
      </c>
      <c r="B2633" s="2" t="s">
        <v>2190</v>
      </c>
      <c r="C2633" s="2" t="s">
        <v>2223</v>
      </c>
      <c r="D2633" s="3" t="str">
        <f>HYPERLINK("https://12go.asia/en/travel/agra/deen-dayal-upadhyaya-jn", "12Go Link")</f>
        <v>12Go Link</v>
      </c>
      <c r="E2633" s="2" t="s">
        <v>226</v>
      </c>
    </row>
    <row r="2634">
      <c r="A2634" s="2" t="s">
        <v>2224</v>
      </c>
      <c r="B2634" s="2" t="s">
        <v>113</v>
      </c>
      <c r="C2634" s="2" t="s">
        <v>2225</v>
      </c>
      <c r="D2634" s="3" t="str">
        <f>HYPERLINK("https://12go.asia/en/travel/ahmadnagar/broadmeadow", "12Go Link")</f>
        <v>12Go Link</v>
      </c>
      <c r="E2634" s="2" t="s">
        <v>226</v>
      </c>
    </row>
    <row r="2635">
      <c r="A2635" s="2" t="s">
        <v>2224</v>
      </c>
      <c r="B2635" s="2" t="s">
        <v>113</v>
      </c>
      <c r="C2635" s="2" t="s">
        <v>2226</v>
      </c>
      <c r="D2635" s="3" t="str">
        <f>HYPERLINK("https://12go.asia/en/travel/ahmadnagar/newcastle-nsw", "12Go Link")</f>
        <v>12Go Link</v>
      </c>
      <c r="E2635" s="2" t="s">
        <v>226</v>
      </c>
    </row>
    <row r="2636">
      <c r="A2636" s="2" t="s">
        <v>2224</v>
      </c>
      <c r="B2636" s="2" t="s">
        <v>2227</v>
      </c>
      <c r="C2636" s="2" t="s">
        <v>2228</v>
      </c>
      <c r="D2636" s="3" t="str">
        <f>HYPERLINK("https://12go.asia/en/travel/ahmadnagar/miraj-junction", "12Go Link")</f>
        <v>12Go Link</v>
      </c>
      <c r="E2636" s="2" t="s">
        <v>226</v>
      </c>
    </row>
    <row r="2637">
      <c r="A2637" s="2" t="s">
        <v>2224</v>
      </c>
      <c r="B2637" s="2" t="s">
        <v>2229</v>
      </c>
      <c r="C2637" s="2" t="s">
        <v>2230</v>
      </c>
      <c r="D2637" s="3" t="str">
        <f>HYPERLINK("https://12go.asia/en/travel/ahmadnagar/miraj", "12Go Link")</f>
        <v>12Go Link</v>
      </c>
      <c r="E2637" s="2" t="s">
        <v>226</v>
      </c>
    </row>
    <row r="2638">
      <c r="A2638" s="2" t="s">
        <v>2231</v>
      </c>
      <c r="B2638" s="2" t="s">
        <v>113</v>
      </c>
      <c r="C2638" s="2" t="s">
        <v>2232</v>
      </c>
      <c r="D2638" s="3" t="str">
        <f>HYPERLINK("https://12go.asia/en/travel/ahmedabad/newcastle-nsw", "12Go Link")</f>
        <v>12Go Link</v>
      </c>
      <c r="E2638" s="2" t="s">
        <v>226</v>
      </c>
    </row>
    <row r="2639">
      <c r="A2639" s="2" t="s">
        <v>2231</v>
      </c>
      <c r="B2639" s="2" t="s">
        <v>2233</v>
      </c>
      <c r="C2639" s="2" t="s">
        <v>2234</v>
      </c>
      <c r="D2639" s="3" t="str">
        <f>HYPERLINK("https://12go.asia/en/travel/ahmedabad-jn/nagercoil-town", "12Go Link")</f>
        <v>12Go Link</v>
      </c>
      <c r="E2639" s="2" t="s">
        <v>226</v>
      </c>
    </row>
    <row r="2640">
      <c r="A2640" s="2" t="s">
        <v>2231</v>
      </c>
      <c r="B2640" s="2" t="s">
        <v>2233</v>
      </c>
      <c r="C2640" s="2" t="s">
        <v>2235</v>
      </c>
      <c r="D2640" s="3" t="str">
        <f>HYPERLINK("https://12go.asia/en/travel/ahmedabad/nagercoil", "12Go Link")</f>
        <v>12Go Link</v>
      </c>
      <c r="E2640" s="2" t="s">
        <v>226</v>
      </c>
    </row>
    <row r="2641">
      <c r="A2641" s="2" t="s">
        <v>2231</v>
      </c>
      <c r="B2641" s="2" t="s">
        <v>2236</v>
      </c>
      <c r="C2641" s="2" t="s">
        <v>2237</v>
      </c>
      <c r="D2641" s="3" t="str">
        <f>HYPERLINK("https://12go.asia/en/travel/ahmedabad/renigunta", "12Go Link")</f>
        <v>12Go Link</v>
      </c>
      <c r="E2641" s="2" t="s">
        <v>226</v>
      </c>
    </row>
    <row r="2642">
      <c r="A2642" s="2" t="s">
        <v>2231</v>
      </c>
      <c r="B2642" s="2" t="s">
        <v>2238</v>
      </c>
      <c r="C2642" s="2" t="s">
        <v>2239</v>
      </c>
      <c r="D2642" s="3" t="str">
        <f>HYPERLINK("https://12go.asia/en/travel/ahmedabad-jn/tambaram", "12Go Link")</f>
        <v>12Go Link</v>
      </c>
      <c r="E2642" s="2" t="s">
        <v>226</v>
      </c>
    </row>
    <row r="2643">
      <c r="A2643" s="2" t="s">
        <v>2231</v>
      </c>
      <c r="B2643" s="2" t="s">
        <v>2238</v>
      </c>
      <c r="C2643" s="2" t="s">
        <v>2240</v>
      </c>
      <c r="D2643" s="3" t="str">
        <f>HYPERLINK("https://12go.asia/en/travel/ahmedabad/tambaram", "12Go Link")</f>
        <v>12Go Link</v>
      </c>
      <c r="E2643" s="2" t="s">
        <v>226</v>
      </c>
    </row>
    <row r="2644">
      <c r="A2644" s="2" t="s">
        <v>2231</v>
      </c>
      <c r="B2644" s="2" t="s">
        <v>2190</v>
      </c>
      <c r="C2644" s="2" t="s">
        <v>2241</v>
      </c>
      <c r="D2644" s="3" t="str">
        <f>HYPERLINK("https://12go.asia/en/travel/ahmedabad-jn/deen-dayal-upadhyaya-jn", "12Go Link")</f>
        <v>12Go Link</v>
      </c>
      <c r="E2644" s="2" t="s">
        <v>226</v>
      </c>
    </row>
    <row r="2645">
      <c r="A2645" s="2" t="s">
        <v>2242</v>
      </c>
      <c r="B2645" s="2" t="s">
        <v>2243</v>
      </c>
      <c r="C2645" s="2" t="s">
        <v>2244</v>
      </c>
      <c r="D2645" s="3" t="str">
        <f>HYPERLINK("https://12go.asia/en/travel/ajmer-jn/dahar-ka-balaji", "12Go Link")</f>
        <v>12Go Link</v>
      </c>
      <c r="E2645" s="2" t="s">
        <v>226</v>
      </c>
    </row>
    <row r="2646">
      <c r="A2646" s="2" t="s">
        <v>2242</v>
      </c>
      <c r="B2646" s="2" t="s">
        <v>2245</v>
      </c>
      <c r="C2646" s="2" t="s">
        <v>2246</v>
      </c>
      <c r="D2646" s="3" t="str">
        <f>HYPERLINK("https://12go.asia/en/travel/ajmer-jn/raikabag-palace", "12Go Link")</f>
        <v>12Go Link</v>
      </c>
      <c r="E2646" s="2" t="s">
        <v>226</v>
      </c>
    </row>
    <row r="2647">
      <c r="A2647" s="2" t="s">
        <v>2242</v>
      </c>
      <c r="B2647" s="2" t="s">
        <v>2190</v>
      </c>
      <c r="C2647" s="2" t="s">
        <v>2247</v>
      </c>
      <c r="D2647" s="3" t="str">
        <f>HYPERLINK("https://12go.asia/en/travel/ajmer-jn/deen-dayal-upadhyaya-jn", "12Go Link")</f>
        <v>12Go Link</v>
      </c>
      <c r="E2647" s="2" t="s">
        <v>226</v>
      </c>
    </row>
    <row r="2648">
      <c r="A2648" s="2" t="s">
        <v>2242</v>
      </c>
      <c r="B2648" s="2" t="s">
        <v>2190</v>
      </c>
      <c r="C2648" s="2" t="s">
        <v>2248</v>
      </c>
      <c r="D2648" s="3" t="str">
        <f>HYPERLINK("https://12go.asia/en/travel/ajmer/deen-dayal-upadhyaya-jn", "12Go Link")</f>
        <v>12Go Link</v>
      </c>
      <c r="E2648" s="2" t="s">
        <v>226</v>
      </c>
    </row>
    <row r="2649">
      <c r="A2649" s="2" t="s">
        <v>2249</v>
      </c>
      <c r="B2649" s="2" t="s">
        <v>2242</v>
      </c>
      <c r="C2649" s="2" t="s">
        <v>2250</v>
      </c>
      <c r="D2649" s="3" t="str">
        <f>HYPERLINK("https://12go.asia/en/travel/akola-junction/ajmer-jn", "12Go Link")</f>
        <v>12Go Link</v>
      </c>
      <c r="E2649" s="2" t="s">
        <v>226</v>
      </c>
    </row>
    <row r="2650">
      <c r="A2650" s="2" t="s">
        <v>2249</v>
      </c>
      <c r="B2650" s="2" t="s">
        <v>2227</v>
      </c>
      <c r="C2650" s="2" t="s">
        <v>2251</v>
      </c>
      <c r="D2650" s="3" t="str">
        <f>HYPERLINK("https://12go.asia/en/travel/akola-junction/purna-junction", "12Go Link")</f>
        <v>12Go Link</v>
      </c>
      <c r="E2650" s="2" t="s">
        <v>226</v>
      </c>
    </row>
    <row r="2651">
      <c r="A2651" s="2" t="s">
        <v>2249</v>
      </c>
      <c r="B2651" s="2" t="s">
        <v>2252</v>
      </c>
      <c r="C2651" s="2" t="s">
        <v>2253</v>
      </c>
      <c r="D2651" s="3" t="str">
        <f>HYPERLINK("https://12go.asia/en/travel/akola/purna", "12Go Link")</f>
        <v>12Go Link</v>
      </c>
      <c r="E2651" s="2" t="s">
        <v>226</v>
      </c>
    </row>
    <row r="2652">
      <c r="A2652" s="2" t="s">
        <v>2249</v>
      </c>
      <c r="B2652" s="2" t="s">
        <v>2254</v>
      </c>
      <c r="C2652" s="2" t="s">
        <v>2255</v>
      </c>
      <c r="D2652" s="3" t="str">
        <f>HYPERLINK("https://12go.asia/en/travel/akola/pushkar", "12Go Link")</f>
        <v>12Go Link</v>
      </c>
      <c r="E2652" s="2" t="s">
        <v>226</v>
      </c>
    </row>
    <row r="2653">
      <c r="A2653" s="2" t="s">
        <v>2256</v>
      </c>
      <c r="B2653" s="2" t="s">
        <v>113</v>
      </c>
      <c r="C2653" s="2" t="s">
        <v>2257</v>
      </c>
      <c r="D2653" s="3" t="str">
        <f>HYPERLINK("https://12go.asia/en/travel/alappuzha/newcastle-nsw", "12Go Link")</f>
        <v>12Go Link</v>
      </c>
      <c r="E2653" s="2" t="s">
        <v>226</v>
      </c>
    </row>
    <row r="2654">
      <c r="A2654" s="2" t="s">
        <v>2256</v>
      </c>
      <c r="B2654" s="2" t="s">
        <v>2258</v>
      </c>
      <c r="C2654" s="2" t="s">
        <v>2259</v>
      </c>
      <c r="D2654" s="3" t="str">
        <f>HYPERLINK("https://12go.asia/en/travel/alappuzha/manipal", "12Go Link")</f>
        <v>12Go Link</v>
      </c>
      <c r="E2654" s="2" t="s">
        <v>59</v>
      </c>
    </row>
    <row r="2655">
      <c r="A2655" s="2" t="s">
        <v>2256</v>
      </c>
      <c r="B2655" s="2" t="s">
        <v>2260</v>
      </c>
      <c r="C2655" s="2" t="s">
        <v>2261</v>
      </c>
      <c r="D2655" s="3" t="str">
        <f>HYPERLINK("https://12go.asia/en/travel/alappuzha/thiruvananthapuram-north-kochuveli", "12Go Link")</f>
        <v>12Go Link</v>
      </c>
      <c r="E2655" s="2" t="s">
        <v>226</v>
      </c>
    </row>
    <row r="2656">
      <c r="A2656" s="2" t="s">
        <v>2262</v>
      </c>
      <c r="B2656" s="2" t="s">
        <v>2263</v>
      </c>
      <c r="C2656" s="2" t="s">
        <v>2264</v>
      </c>
      <c r="D2656" s="3" t="str">
        <f>HYPERLINK("https://12go.asia/en/travel/aligarh-junction/badshahnagar", "12Go Link")</f>
        <v>12Go Link</v>
      </c>
      <c r="E2656" s="2" t="s">
        <v>226</v>
      </c>
    </row>
    <row r="2657">
      <c r="A2657" s="2" t="s">
        <v>2262</v>
      </c>
      <c r="B2657" s="2" t="s">
        <v>2263</v>
      </c>
      <c r="C2657" s="2" t="s">
        <v>2265</v>
      </c>
      <c r="D2657" s="3" t="str">
        <f>HYPERLINK("https://12go.asia/en/travel/aligarh/badshahnagar", "12Go Link")</f>
        <v>12Go Link</v>
      </c>
      <c r="E2657" s="2" t="s">
        <v>226</v>
      </c>
    </row>
    <row r="2658">
      <c r="A2658" s="2" t="s">
        <v>2262</v>
      </c>
      <c r="B2658" s="2" t="s">
        <v>2210</v>
      </c>
      <c r="C2658" s="2" t="s">
        <v>2266</v>
      </c>
      <c r="D2658" s="3" t="str">
        <f>HYPERLINK("https://12go.asia/en/travel/aligarh-junction/naini-junction", "12Go Link")</f>
        <v>12Go Link</v>
      </c>
      <c r="E2658" s="2" t="s">
        <v>226</v>
      </c>
    </row>
    <row r="2659">
      <c r="A2659" s="2" t="s">
        <v>2262</v>
      </c>
      <c r="B2659" s="2" t="s">
        <v>2210</v>
      </c>
      <c r="C2659" s="2" t="s">
        <v>2267</v>
      </c>
      <c r="D2659" s="3" t="str">
        <f>HYPERLINK("https://12go.asia/en/travel/aligarh/naini", "12Go Link")</f>
        <v>12Go Link</v>
      </c>
      <c r="E2659" s="2" t="s">
        <v>226</v>
      </c>
    </row>
    <row r="2660">
      <c r="A2660" s="2" t="s">
        <v>2262</v>
      </c>
      <c r="B2660" s="2" t="s">
        <v>2190</v>
      </c>
      <c r="C2660" s="2" t="s">
        <v>2268</v>
      </c>
      <c r="D2660" s="3" t="str">
        <f>HYPERLINK("https://12go.asia/en/travel/aligarh-junction/deen-dayal-upadhyaya-jn", "12Go Link")</f>
        <v>12Go Link</v>
      </c>
      <c r="E2660" s="2" t="s">
        <v>226</v>
      </c>
    </row>
    <row r="2661">
      <c r="A2661" s="2" t="s">
        <v>2269</v>
      </c>
      <c r="B2661" s="2" t="s">
        <v>2270</v>
      </c>
      <c r="C2661" s="2" t="s">
        <v>2271</v>
      </c>
      <c r="D2661" s="3" t="str">
        <f>HYPERLINK("https://12go.asia/en/travel/alipur-duar-junction/barddhaman-junction", "12Go Link")</f>
        <v>12Go Link</v>
      </c>
      <c r="E2661" s="2" t="s">
        <v>226</v>
      </c>
    </row>
    <row r="2662">
      <c r="A2662" s="2" t="s">
        <v>2269</v>
      </c>
      <c r="B2662" s="2" t="s">
        <v>2270</v>
      </c>
      <c r="C2662" s="2" t="s">
        <v>2272</v>
      </c>
      <c r="D2662" s="3" t="str">
        <f>HYPERLINK("https://12go.asia/en/travel/alipurduar/bardhaman", "12Go Link")</f>
        <v>12Go Link</v>
      </c>
      <c r="E2662" s="2" t="s">
        <v>226</v>
      </c>
    </row>
    <row r="2663">
      <c r="A2663" s="2" t="s">
        <v>2269</v>
      </c>
      <c r="B2663" s="2" t="s">
        <v>2273</v>
      </c>
      <c r="C2663" s="2" t="s">
        <v>2274</v>
      </c>
      <c r="D2663" s="3" t="str">
        <f>HYPERLINK("https://12go.asia/en/travel/alipur-duar-junction/prayagraj-junction", "12Go Link")</f>
        <v>12Go Link</v>
      </c>
      <c r="E2663" s="2" t="s">
        <v>226</v>
      </c>
    </row>
    <row r="2664">
      <c r="A2664" s="2" t="s">
        <v>2269</v>
      </c>
      <c r="B2664" s="2" t="s">
        <v>2273</v>
      </c>
      <c r="C2664" s="2" t="s">
        <v>2275</v>
      </c>
      <c r="D2664" s="3" t="str">
        <f>HYPERLINK("https://12go.asia/en/travel/alipurduar/prayagraj", "12Go Link")</f>
        <v>12Go Link</v>
      </c>
      <c r="E2664" s="2" t="s">
        <v>226</v>
      </c>
    </row>
    <row r="2665">
      <c r="A2665" s="2" t="s">
        <v>2269</v>
      </c>
      <c r="B2665" s="2" t="s">
        <v>2273</v>
      </c>
      <c r="C2665" s="2" t="s">
        <v>2276</v>
      </c>
      <c r="D2665" s="3" t="str">
        <f>HYPERLINK("https://12go.asia/en/travel/new-alipurduar/prayagraj-junction", "12Go Link")</f>
        <v>12Go Link</v>
      </c>
      <c r="E2665" s="2" t="s">
        <v>226</v>
      </c>
    </row>
    <row r="2666">
      <c r="A2666" s="2" t="s">
        <v>2277</v>
      </c>
      <c r="B2666" s="2" t="s">
        <v>2278</v>
      </c>
      <c r="C2666" s="2" t="s">
        <v>2279</v>
      </c>
      <c r="D2666" s="3" t="str">
        <f>HYPERLINK("https://12go.asia/en/travel/aluva/changanaseri", "12Go Link")</f>
        <v>12Go Link</v>
      </c>
      <c r="E2666" s="2" t="s">
        <v>226</v>
      </c>
    </row>
    <row r="2667">
      <c r="A2667" s="2" t="s">
        <v>2277</v>
      </c>
      <c r="B2667" s="2" t="s">
        <v>2280</v>
      </c>
      <c r="C2667" s="2" t="s">
        <v>2281</v>
      </c>
      <c r="D2667" s="3" t="str">
        <f>HYPERLINK("https://12go.asia/en/travel/aluva/jharkhand", "12Go Link")</f>
        <v>12Go Link</v>
      </c>
      <c r="E2667" s="2" t="s">
        <v>226</v>
      </c>
    </row>
    <row r="2668">
      <c r="A2668" s="2" t="s">
        <v>2277</v>
      </c>
      <c r="B2668" s="2" t="s">
        <v>2282</v>
      </c>
      <c r="C2668" s="2" t="s">
        <v>2283</v>
      </c>
      <c r="D2668" s="3" t="str">
        <f>HYPERLINK("https://12go.asia/en/travel/aluva/old-goa", "12Go Link")</f>
        <v>12Go Link</v>
      </c>
      <c r="E2668" s="2" t="s">
        <v>226</v>
      </c>
    </row>
    <row r="2669">
      <c r="A2669" s="2" t="s">
        <v>2277</v>
      </c>
      <c r="B2669" s="2" t="s">
        <v>2284</v>
      </c>
      <c r="C2669" s="2" t="s">
        <v>2285</v>
      </c>
      <c r="D2669" s="3" t="str">
        <f>HYPERLINK("https://12go.asia/en/travel/aluva/ranchi", "12Go Link")</f>
        <v>12Go Link</v>
      </c>
      <c r="E2669" s="2" t="s">
        <v>226</v>
      </c>
    </row>
    <row r="2670">
      <c r="A2670" s="2" t="s">
        <v>2277</v>
      </c>
      <c r="B2670" s="2" t="s">
        <v>2286</v>
      </c>
      <c r="C2670" s="2" t="s">
        <v>2287</v>
      </c>
      <c r="D2670" s="3" t="str">
        <f>HYPERLINK("https://12go.asia/en/travel/aluva/srirangam", "12Go Link")</f>
        <v>12Go Link</v>
      </c>
      <c r="E2670" s="2" t="s">
        <v>226</v>
      </c>
    </row>
    <row r="2671">
      <c r="A2671" s="2" t="s">
        <v>2277</v>
      </c>
      <c r="B2671" s="2" t="s">
        <v>2288</v>
      </c>
      <c r="C2671" s="2" t="s">
        <v>2289</v>
      </c>
      <c r="D2671" s="3" t="str">
        <f>HYPERLINK("https://12go.asia/en/travel/aluva/tiruvalla", "12Go Link")</f>
        <v>12Go Link</v>
      </c>
      <c r="E2671" s="2" t="s">
        <v>226</v>
      </c>
    </row>
    <row r="2672">
      <c r="A2672" s="2" t="s">
        <v>2290</v>
      </c>
      <c r="B2672" s="2" t="s">
        <v>2291</v>
      </c>
      <c r="C2672" s="2" t="s">
        <v>2292</v>
      </c>
      <c r="D2672" s="3" t="str">
        <f>HYPERLINK("https://12go.asia/en/travel/alwar/amritsar-jn", "12Go Link")</f>
        <v>12Go Link</v>
      </c>
      <c r="E2672" s="2" t="s">
        <v>226</v>
      </c>
    </row>
    <row r="2673">
      <c r="A2673" s="2" t="s">
        <v>2290</v>
      </c>
      <c r="B2673" s="2" t="s">
        <v>2291</v>
      </c>
      <c r="C2673" s="2" t="s">
        <v>2293</v>
      </c>
      <c r="D2673" s="3" t="str">
        <f>HYPERLINK("https://12go.asia/en/travel/alwar/amritsar", "12Go Link")</f>
        <v>12Go Link</v>
      </c>
      <c r="E2673" s="2" t="s">
        <v>226</v>
      </c>
    </row>
    <row r="2674">
      <c r="A2674" s="2" t="s">
        <v>2290</v>
      </c>
      <c r="B2674" s="2" t="s">
        <v>2294</v>
      </c>
      <c r="C2674" s="2" t="s">
        <v>2295</v>
      </c>
      <c r="D2674" s="3" t="str">
        <f>HYPERLINK("https://12go.asia/en/travel/alwar/punjab", "12Go Link")</f>
        <v>12Go Link</v>
      </c>
      <c r="E2674" s="2" t="s">
        <v>226</v>
      </c>
    </row>
    <row r="2675">
      <c r="A2675" s="2" t="s">
        <v>2290</v>
      </c>
      <c r="B2675" s="2" t="s">
        <v>2296</v>
      </c>
      <c r="C2675" s="2" t="s">
        <v>2297</v>
      </c>
      <c r="D2675" s="3" t="str">
        <f>HYPERLINK("https://12go.asia/en/travel/alwar/sikandra-agra", "12Go Link")</f>
        <v>12Go Link</v>
      </c>
      <c r="E2675" s="2" t="s">
        <v>226</v>
      </c>
    </row>
    <row r="2676">
      <c r="A2676" s="2" t="s">
        <v>2298</v>
      </c>
      <c r="B2676" s="2" t="s">
        <v>2299</v>
      </c>
      <c r="C2676" s="2" t="s">
        <v>2300</v>
      </c>
      <c r="D2676" s="3" t="str">
        <f>HYPERLINK("https://12go.asia/en/travel/amadalavalasa/lingampalli", "12Go Link")</f>
        <v>12Go Link</v>
      </c>
      <c r="E2676" s="2" t="s">
        <v>226</v>
      </c>
    </row>
    <row r="2677">
      <c r="A2677" s="2" t="s">
        <v>2301</v>
      </c>
      <c r="B2677" s="2" t="s">
        <v>2302</v>
      </c>
      <c r="C2677" s="2" t="s">
        <v>2303</v>
      </c>
      <c r="D2677" s="3" t="str">
        <f>HYPERLINK("https://12go.asia/en/travel/ambala/patiala", "12Go Link")</f>
        <v>12Go Link</v>
      </c>
      <c r="E2677" s="2" t="s">
        <v>226</v>
      </c>
    </row>
    <row r="2678">
      <c r="A2678" s="2" t="s">
        <v>2301</v>
      </c>
      <c r="B2678" s="2" t="s">
        <v>2304</v>
      </c>
      <c r="C2678" s="2" t="s">
        <v>2305</v>
      </c>
      <c r="D2678" s="3" t="str">
        <f>HYPERLINK("https://12go.asia/en/travel/ambala/shahganj", "12Go Link")</f>
        <v>12Go Link</v>
      </c>
      <c r="E2678" s="2" t="s">
        <v>226</v>
      </c>
    </row>
    <row r="2679">
      <c r="A2679" s="2" t="s">
        <v>2306</v>
      </c>
      <c r="B2679" s="2" t="s">
        <v>2307</v>
      </c>
      <c r="C2679" s="2" t="s">
        <v>2308</v>
      </c>
      <c r="D2679" s="3" t="str">
        <f>HYPERLINK("https://12go.asia/en/travel/ambala-city/mughalsarai", "12Go Link")</f>
        <v>12Go Link</v>
      </c>
      <c r="E2679" s="2" t="s">
        <v>226</v>
      </c>
    </row>
    <row r="2680">
      <c r="A2680" s="2" t="s">
        <v>2306</v>
      </c>
      <c r="B2680" s="2" t="s">
        <v>2302</v>
      </c>
      <c r="C2680" s="2" t="s">
        <v>2309</v>
      </c>
      <c r="D2680" s="3" t="str">
        <f>HYPERLINK("https://12go.asia/en/travel/ambala-city/patiala", "12Go Link")</f>
        <v>12Go Link</v>
      </c>
      <c r="E2680" s="2" t="s">
        <v>226</v>
      </c>
    </row>
    <row r="2681">
      <c r="A2681" s="2" t="s">
        <v>2306</v>
      </c>
      <c r="B2681" s="2" t="s">
        <v>2190</v>
      </c>
      <c r="C2681" s="2" t="s">
        <v>2310</v>
      </c>
      <c r="D2681" s="3" t="str">
        <f>HYPERLINK("https://12go.asia/en/travel/ambala-city/deen-dayal-upadhyaya-jn", "12Go Link")</f>
        <v>12Go Link</v>
      </c>
      <c r="E2681" s="2" t="s">
        <v>226</v>
      </c>
    </row>
    <row r="2682">
      <c r="A2682" s="2" t="s">
        <v>2311</v>
      </c>
      <c r="B2682" s="2" t="s">
        <v>2312</v>
      </c>
      <c r="C2682" s="2" t="s">
        <v>2313</v>
      </c>
      <c r="D2682" s="3" t="str">
        <f>HYPERLINK("https://12go.asia/en/travel/amravati/madhya-pradesh", "12Go Link")</f>
        <v>12Go Link</v>
      </c>
      <c r="E2682" s="2" t="s">
        <v>226</v>
      </c>
    </row>
    <row r="2683">
      <c r="A2683" s="2" t="s">
        <v>2291</v>
      </c>
      <c r="B2683" s="2" t="s">
        <v>2296</v>
      </c>
      <c r="C2683" s="2" t="s">
        <v>2314</v>
      </c>
      <c r="D2683" s="3" t="str">
        <f>HYPERLINK("https://12go.asia/en/travel/amritsar/sikandra-agra", "12Go Link")</f>
        <v>12Go Link</v>
      </c>
      <c r="E2683" s="2" t="s">
        <v>226</v>
      </c>
    </row>
    <row r="2684">
      <c r="A2684" s="2" t="s">
        <v>2315</v>
      </c>
      <c r="B2684" s="2" t="s">
        <v>2316</v>
      </c>
      <c r="C2684" s="2" t="s">
        <v>2317</v>
      </c>
      <c r="D2684" s="3" t="str">
        <f>HYPERLINK("https://12go.asia/en/travel/anakapalle/tadepalligudem", "12Go Link")</f>
        <v>12Go Link</v>
      </c>
      <c r="E2684" s="2" t="s">
        <v>226</v>
      </c>
    </row>
    <row r="2685">
      <c r="A2685" s="2" t="s">
        <v>224</v>
      </c>
      <c r="B2685" s="2" t="s">
        <v>2318</v>
      </c>
      <c r="C2685" s="2" t="s">
        <v>2319</v>
      </c>
      <c r="D2685" s="3" t="str">
        <f>HYPERLINK("https://12go.asia/en/travel/anantapur/delhi", "12Go Link")</f>
        <v>12Go Link</v>
      </c>
      <c r="E2685" s="2" t="s">
        <v>226</v>
      </c>
    </row>
    <row r="2686">
      <c r="A2686" s="2" t="s">
        <v>224</v>
      </c>
      <c r="B2686" s="2" t="s">
        <v>2320</v>
      </c>
      <c r="C2686" s="2" t="s">
        <v>2321</v>
      </c>
      <c r="D2686" s="3" t="str">
        <f>HYPERLINK("https://12go.asia/en/travel/anantapur/dharmavaram", "12Go Link")</f>
        <v>12Go Link</v>
      </c>
      <c r="E2686" s="2" t="s">
        <v>226</v>
      </c>
    </row>
    <row r="2687">
      <c r="A2687" s="2" t="s">
        <v>224</v>
      </c>
      <c r="B2687" s="2" t="s">
        <v>2320</v>
      </c>
      <c r="C2687" s="2" t="s">
        <v>2322</v>
      </c>
      <c r="D2687" s="3" t="str">
        <f>HYPERLINK("https://12go.asia/en/travel/anantapur/dharmavaram-junction", "12Go Link")</f>
        <v>12Go Link</v>
      </c>
      <c r="E2687" s="2" t="s">
        <v>226</v>
      </c>
    </row>
    <row r="2688">
      <c r="A2688" s="2" t="s">
        <v>224</v>
      </c>
      <c r="B2688" s="2" t="s">
        <v>2323</v>
      </c>
      <c r="C2688" s="2" t="s">
        <v>2324</v>
      </c>
      <c r="D2688" s="3" t="str">
        <f>HYPERLINK("https://12go.asia/en/travel/anantapur/tadipatri", "12Go Link")</f>
        <v>12Go Link</v>
      </c>
      <c r="E2688" s="2" t="s">
        <v>226</v>
      </c>
    </row>
    <row r="2689">
      <c r="A2689" s="2" t="s">
        <v>2325</v>
      </c>
      <c r="B2689" s="2" t="s">
        <v>2256</v>
      </c>
      <c r="C2689" s="2" t="s">
        <v>2326</v>
      </c>
      <c r="D2689" s="3" t="str">
        <f>HYPERLINK("https://12go.asia/en/travel/andhra-pradesh/alappuzha", "12Go Link")</f>
        <v>12Go Link</v>
      </c>
      <c r="E2689" s="2" t="s">
        <v>226</v>
      </c>
    </row>
    <row r="2690">
      <c r="A2690" s="2" t="s">
        <v>2325</v>
      </c>
      <c r="B2690" s="2" t="s">
        <v>2327</v>
      </c>
      <c r="C2690" s="2" t="s">
        <v>2328</v>
      </c>
      <c r="D2690" s="3" t="str">
        <f>HYPERLINK("https://12go.asia/en/travel/andhra-pradesh/hatia", "12Go Link")</f>
        <v>12Go Link</v>
      </c>
      <c r="E2690" s="2" t="s">
        <v>226</v>
      </c>
    </row>
    <row r="2691">
      <c r="A2691" s="2" t="s">
        <v>2325</v>
      </c>
      <c r="B2691" s="2" t="s">
        <v>2329</v>
      </c>
      <c r="C2691" s="2" t="s">
        <v>2330</v>
      </c>
      <c r="D2691" s="3" t="str">
        <f>HYPERLINK("https://12go.asia/en/travel/andhra-pradesh/kavali", "12Go Link")</f>
        <v>12Go Link</v>
      </c>
      <c r="E2691" s="2" t="s">
        <v>226</v>
      </c>
    </row>
    <row r="2692">
      <c r="A2692" s="2" t="s">
        <v>2325</v>
      </c>
      <c r="B2692" s="2" t="s">
        <v>2236</v>
      </c>
      <c r="C2692" s="2" t="s">
        <v>2331</v>
      </c>
      <c r="D2692" s="3" t="str">
        <f>HYPERLINK("https://12go.asia/en/travel/andhra-pradesh/renigunta", "12Go Link")</f>
        <v>12Go Link</v>
      </c>
      <c r="E2692" s="2" t="s">
        <v>226</v>
      </c>
    </row>
    <row r="2693">
      <c r="A2693" s="2" t="s">
        <v>2325</v>
      </c>
      <c r="B2693" s="2" t="s">
        <v>2296</v>
      </c>
      <c r="C2693" s="2" t="s">
        <v>2332</v>
      </c>
      <c r="D2693" s="3" t="str">
        <f>HYPERLINK("https://12go.asia/en/travel/andhra-pradesh/sikandra-agra", "12Go Link")</f>
        <v>12Go Link</v>
      </c>
      <c r="E2693" s="2" t="s">
        <v>226</v>
      </c>
    </row>
    <row r="2694">
      <c r="A2694" s="2" t="s">
        <v>2325</v>
      </c>
      <c r="B2694" s="2" t="s">
        <v>2333</v>
      </c>
      <c r="C2694" s="2" t="s">
        <v>2334</v>
      </c>
      <c r="D2694" s="3" t="str">
        <f>HYPERLINK("https://12go.asia/en/travel/andhra-pradesh/yerraguntla", "12Go Link")</f>
        <v>12Go Link</v>
      </c>
      <c r="E2694" s="2" t="s">
        <v>226</v>
      </c>
    </row>
    <row r="2695">
      <c r="A2695" s="2" t="s">
        <v>2335</v>
      </c>
      <c r="B2695" s="2" t="s">
        <v>2336</v>
      </c>
      <c r="C2695" s="2" t="s">
        <v>2337</v>
      </c>
      <c r="D2695" s="3" t="str">
        <f>HYPERLINK("https://12go.asia/en/travel/angamali/chengannur", "12Go Link")</f>
        <v>12Go Link</v>
      </c>
      <c r="E2695" s="2" t="s">
        <v>226</v>
      </c>
    </row>
    <row r="2696">
      <c r="A2696" s="2" t="s">
        <v>2335</v>
      </c>
      <c r="B2696" s="2" t="s">
        <v>2336</v>
      </c>
      <c r="C2696" s="2" t="s">
        <v>2338</v>
      </c>
      <c r="D2696" s="3" t="str">
        <f>HYPERLINK("https://12go.asia/en/travel/angamaly/chengannur", "12Go Link")</f>
        <v>12Go Link</v>
      </c>
      <c r="E2696" s="2" t="s">
        <v>226</v>
      </c>
    </row>
    <row r="2697">
      <c r="A2697" s="2" t="s">
        <v>2339</v>
      </c>
      <c r="B2697" s="2" t="s">
        <v>2340</v>
      </c>
      <c r="C2697" s="2" t="s">
        <v>2341</v>
      </c>
      <c r="D2697" s="3" t="str">
        <f>HYPERLINK("https://12go.asia/en/travel/anjuna/kollam", "12Go Link")</f>
        <v>12Go Link</v>
      </c>
      <c r="E2697" s="2" t="s">
        <v>226</v>
      </c>
    </row>
    <row r="2698">
      <c r="A2698" s="2" t="s">
        <v>2339</v>
      </c>
      <c r="B2698" s="2" t="s">
        <v>2342</v>
      </c>
      <c r="C2698" s="2" t="s">
        <v>2343</v>
      </c>
      <c r="D2698" s="3" t="str">
        <f>HYPERLINK("https://12go.asia/en/travel/anjuna/kumta", "12Go Link")</f>
        <v>12Go Link</v>
      </c>
      <c r="E2698" s="2" t="s">
        <v>226</v>
      </c>
    </row>
    <row r="2699">
      <c r="A2699" s="2" t="s">
        <v>2339</v>
      </c>
      <c r="B2699" s="2" t="s">
        <v>2344</v>
      </c>
      <c r="C2699" s="2" t="s">
        <v>2345</v>
      </c>
      <c r="D2699" s="3" t="str">
        <f>HYPERLINK("https://12go.asia/en/travel/anjuna/kundapur", "12Go Link")</f>
        <v>12Go Link</v>
      </c>
      <c r="E2699" s="2" t="s">
        <v>226</v>
      </c>
    </row>
    <row r="2700">
      <c r="A2700" s="2" t="s">
        <v>2339</v>
      </c>
      <c r="B2700" s="2" t="s">
        <v>2296</v>
      </c>
      <c r="C2700" s="2" t="s">
        <v>2346</v>
      </c>
      <c r="D2700" s="3" t="str">
        <f>HYPERLINK("https://12go.asia/en/travel/anjuna/sikandra-agra", "12Go Link")</f>
        <v>12Go Link</v>
      </c>
      <c r="E2700" s="2" t="s">
        <v>226</v>
      </c>
    </row>
    <row r="2701">
      <c r="A2701" s="2" t="s">
        <v>2339</v>
      </c>
      <c r="B2701" s="2" t="s">
        <v>2260</v>
      </c>
      <c r="C2701" s="2" t="s">
        <v>2347</v>
      </c>
      <c r="D2701" s="3" t="str">
        <f>HYPERLINK("https://12go.asia/en/travel/anjuna/trivandrum", "12Go Link")</f>
        <v>12Go Link</v>
      </c>
      <c r="E2701" s="2" t="s">
        <v>226</v>
      </c>
    </row>
    <row r="2702">
      <c r="A2702" s="2" t="s">
        <v>2348</v>
      </c>
      <c r="B2702" s="2" t="s">
        <v>2349</v>
      </c>
      <c r="C2702" s="2" t="s">
        <v>2350</v>
      </c>
      <c r="D2702" s="3" t="str">
        <f>HYPERLINK("https://12go.asia/en/travel/ankleshwar/ernakulam", "12Go Link")</f>
        <v>12Go Link</v>
      </c>
      <c r="E2702" s="2" t="s">
        <v>226</v>
      </c>
    </row>
    <row r="2703">
      <c r="A2703" s="2" t="s">
        <v>2348</v>
      </c>
      <c r="B2703" s="2" t="s">
        <v>2351</v>
      </c>
      <c r="C2703" s="2" t="s">
        <v>2352</v>
      </c>
      <c r="D2703" s="3" t="str">
        <f>HYPERLINK("https://12go.asia/en/travel/ankleshwar/margao", "12Go Link")</f>
        <v>12Go Link</v>
      </c>
      <c r="E2703" s="2" t="s">
        <v>226</v>
      </c>
    </row>
    <row r="2704">
      <c r="A2704" s="2" t="s">
        <v>2353</v>
      </c>
      <c r="B2704" s="2" t="s">
        <v>2200</v>
      </c>
      <c r="C2704" s="2" t="s">
        <v>2354</v>
      </c>
      <c r="D2704" s="3" t="str">
        <f>HYPERLINK("https://12go.asia/en/travel/anuppur-junction/katni", "12Go Link")</f>
        <v>12Go Link</v>
      </c>
      <c r="E2704" s="2" t="s">
        <v>226</v>
      </c>
    </row>
    <row r="2705">
      <c r="A2705" s="2" t="s">
        <v>2353</v>
      </c>
      <c r="B2705" s="2" t="s">
        <v>2200</v>
      </c>
      <c r="C2705" s="2" t="s">
        <v>2355</v>
      </c>
      <c r="D2705" s="3" t="str">
        <f>HYPERLINK("https://12go.asia/en/travel/anuppur-junction/katni-murwara", "12Go Link")</f>
        <v>12Go Link</v>
      </c>
      <c r="E2705" s="2" t="s">
        <v>226</v>
      </c>
    </row>
    <row r="2706">
      <c r="A2706" s="2" t="s">
        <v>2353</v>
      </c>
      <c r="B2706" s="2" t="s">
        <v>2200</v>
      </c>
      <c r="C2706" s="2" t="s">
        <v>2356</v>
      </c>
      <c r="D2706" s="3" t="str">
        <f>HYPERLINK("https://12go.asia/en/travel/anuppur-junction/katni-south", "12Go Link")</f>
        <v>12Go Link</v>
      </c>
      <c r="E2706" s="2" t="s">
        <v>226</v>
      </c>
    </row>
    <row r="2707">
      <c r="A2707" s="2" t="s">
        <v>2353</v>
      </c>
      <c r="B2707" s="2" t="s">
        <v>2200</v>
      </c>
      <c r="C2707" s="2" t="s">
        <v>2357</v>
      </c>
      <c r="D2707" s="3" t="str">
        <f>HYPERLINK("https://12go.asia/en/travel/anuppur/katni", "12Go Link")</f>
        <v>12Go Link</v>
      </c>
      <c r="E2707" s="2" t="s">
        <v>226</v>
      </c>
    </row>
    <row r="2708">
      <c r="A2708" s="2" t="s">
        <v>2358</v>
      </c>
      <c r="B2708" s="2" t="s">
        <v>2359</v>
      </c>
      <c r="C2708" s="2" t="s">
        <v>2360</v>
      </c>
      <c r="D2708" s="3" t="str">
        <f>HYPERLINK("https://12go.asia/en/travel/ara/jamshedpur", "12Go Link")</f>
        <v>12Go Link</v>
      </c>
      <c r="E2708" s="2" t="s">
        <v>226</v>
      </c>
    </row>
    <row r="2709">
      <c r="A2709" s="2" t="s">
        <v>2361</v>
      </c>
      <c r="B2709" s="2" t="s">
        <v>2362</v>
      </c>
      <c r="C2709" s="2" t="s">
        <v>2363</v>
      </c>
      <c r="D2709" s="3" t="str">
        <f>HYPERLINK("https://12go.asia/en/travel/arakkonam/palani", "12Go Link")</f>
        <v>12Go Link</v>
      </c>
      <c r="E2709" s="2" t="s">
        <v>226</v>
      </c>
    </row>
    <row r="2710">
      <c r="A2710" s="2" t="s">
        <v>2364</v>
      </c>
      <c r="B2710" s="2" t="s">
        <v>2365</v>
      </c>
      <c r="C2710" s="2" t="s">
        <v>2366</v>
      </c>
      <c r="D2710" s="3" t="str">
        <f>HYPERLINK("https://12go.asia/en/travel/araku-valley/simhachalam", "12Go Link")</f>
        <v>12Go Link</v>
      </c>
      <c r="E2710" s="2" t="s">
        <v>226</v>
      </c>
    </row>
    <row r="2711">
      <c r="A2711" s="2" t="s">
        <v>2364</v>
      </c>
      <c r="B2711" s="2" t="s">
        <v>2365</v>
      </c>
      <c r="C2711" s="2" t="s">
        <v>2367</v>
      </c>
      <c r="D2711" s="3" t="str">
        <f>HYPERLINK("https://12go.asia/en/travel/araku/simhachalam", "12Go Link")</f>
        <v>12Go Link</v>
      </c>
      <c r="E2711" s="2" t="s">
        <v>226</v>
      </c>
    </row>
    <row r="2712">
      <c r="A2712" s="2" t="s">
        <v>2368</v>
      </c>
      <c r="B2712" s="2" t="s">
        <v>113</v>
      </c>
      <c r="C2712" s="2" t="s">
        <v>2369</v>
      </c>
      <c r="D2712" s="3" t="str">
        <f>HYPERLINK("https://12go.asia/en/travel/arsikere/broadmeadow", "12Go Link")</f>
        <v>12Go Link</v>
      </c>
      <c r="E2712" s="2" t="s">
        <v>226</v>
      </c>
    </row>
    <row r="2713">
      <c r="A2713" s="2" t="s">
        <v>2368</v>
      </c>
      <c r="B2713" s="2" t="s">
        <v>113</v>
      </c>
      <c r="C2713" s="2" t="s">
        <v>2370</v>
      </c>
      <c r="D2713" s="3" t="str">
        <f>HYPERLINK("https://12go.asia/en/travel/arsikere/newcastle-nsw", "12Go Link")</f>
        <v>12Go Link</v>
      </c>
      <c r="E2713" s="2" t="s">
        <v>226</v>
      </c>
    </row>
    <row r="2714">
      <c r="A2714" s="2" t="s">
        <v>2371</v>
      </c>
      <c r="B2714" s="2" t="s">
        <v>2231</v>
      </c>
      <c r="C2714" s="2" t="s">
        <v>2372</v>
      </c>
      <c r="D2714" s="3" t="str">
        <f>HYPERLINK("https://12go.asia/en/travel/asansol-junction/ahmedabad-jn", "12Go Link")</f>
        <v>12Go Link</v>
      </c>
      <c r="E2714" s="2" t="s">
        <v>226</v>
      </c>
    </row>
    <row r="2715">
      <c r="A2715" s="2" t="s">
        <v>2371</v>
      </c>
      <c r="B2715" s="2" t="s">
        <v>2231</v>
      </c>
      <c r="C2715" s="2" t="s">
        <v>2373</v>
      </c>
      <c r="D2715" s="3" t="str">
        <f>HYPERLINK("https://12go.asia/en/travel/asansol/ahmedabad", "12Go Link")</f>
        <v>12Go Link</v>
      </c>
      <c r="E2715" s="2" t="s">
        <v>226</v>
      </c>
    </row>
    <row r="2716">
      <c r="A2716" s="2" t="s">
        <v>2371</v>
      </c>
      <c r="B2716" s="2" t="s">
        <v>2374</v>
      </c>
      <c r="C2716" s="2" t="s">
        <v>2375</v>
      </c>
      <c r="D2716" s="3" t="str">
        <f>HYPERLINK("https://12go.asia/en/travel/asansol-junction/akbarpur", "12Go Link")</f>
        <v>12Go Link</v>
      </c>
      <c r="E2716" s="2" t="s">
        <v>226</v>
      </c>
    </row>
    <row r="2717">
      <c r="A2717" s="2" t="s">
        <v>2371</v>
      </c>
      <c r="B2717" s="2" t="s">
        <v>2374</v>
      </c>
      <c r="C2717" s="2" t="s">
        <v>2376</v>
      </c>
      <c r="D2717" s="3" t="str">
        <f>HYPERLINK("https://12go.asia/en/travel/asansol/akbarpur", "12Go Link")</f>
        <v>12Go Link</v>
      </c>
      <c r="E2717" s="2" t="s">
        <v>226</v>
      </c>
    </row>
    <row r="2718">
      <c r="A2718" s="2" t="s">
        <v>2371</v>
      </c>
      <c r="B2718" s="2" t="s">
        <v>2377</v>
      </c>
      <c r="C2718" s="2" t="s">
        <v>2378</v>
      </c>
      <c r="D2718" s="3" t="str">
        <f>HYPERLINK("https://12go.asia/en/travel/asansol-junction/ayodhya", "12Go Link")</f>
        <v>12Go Link</v>
      </c>
      <c r="E2718" s="2" t="s">
        <v>226</v>
      </c>
    </row>
    <row r="2719">
      <c r="A2719" s="2" t="s">
        <v>2371</v>
      </c>
      <c r="B2719" s="2" t="s">
        <v>2377</v>
      </c>
      <c r="C2719" s="2" t="s">
        <v>2379</v>
      </c>
      <c r="D2719" s="3" t="str">
        <f>HYPERLINK("https://12go.asia/en/travel/asansol/ayodhya", "12Go Link")</f>
        <v>12Go Link</v>
      </c>
      <c r="E2719" s="2" t="s">
        <v>226</v>
      </c>
    </row>
    <row r="2720">
      <c r="A2720" s="2" t="s">
        <v>2371</v>
      </c>
      <c r="B2720" s="2" t="s">
        <v>2380</v>
      </c>
      <c r="C2720" s="2" t="s">
        <v>2381</v>
      </c>
      <c r="D2720" s="3" t="str">
        <f>HYPERLINK("https://12go.asia/en/travel/asansol-junction/ayodhya-cantt", "12Go Link")</f>
        <v>12Go Link</v>
      </c>
      <c r="E2720" s="2" t="s">
        <v>226</v>
      </c>
    </row>
    <row r="2721">
      <c r="A2721" s="2" t="s">
        <v>2371</v>
      </c>
      <c r="B2721" s="2" t="s">
        <v>2380</v>
      </c>
      <c r="C2721" s="2" t="s">
        <v>2382</v>
      </c>
      <c r="D2721" s="3" t="str">
        <f>HYPERLINK("https://12go.asia/en/travel/asansol/faizabad", "12Go Link")</f>
        <v>12Go Link</v>
      </c>
      <c r="E2721" s="2" t="s">
        <v>226</v>
      </c>
    </row>
    <row r="2722">
      <c r="A2722" s="2" t="s">
        <v>2371</v>
      </c>
      <c r="B2722" s="2" t="s">
        <v>2383</v>
      </c>
      <c r="C2722" s="2" t="s">
        <v>2384</v>
      </c>
      <c r="D2722" s="3" t="str">
        <f>HYPERLINK("https://12go.asia/en/travel/asansol/gujarat", "12Go Link")</f>
        <v>12Go Link</v>
      </c>
      <c r="E2722" s="2" t="s">
        <v>226</v>
      </c>
    </row>
    <row r="2723">
      <c r="A2723" s="2" t="s">
        <v>2385</v>
      </c>
      <c r="B2723" s="2" t="s">
        <v>2386</v>
      </c>
      <c r="C2723" s="2" t="s">
        <v>2387</v>
      </c>
      <c r="D2723" s="3" t="str">
        <f>HYPERLINK("https://12go.asia/en/travel/assam/dhubri", "12Go Link")</f>
        <v>12Go Link</v>
      </c>
      <c r="E2723" s="2" t="s">
        <v>226</v>
      </c>
    </row>
    <row r="2724">
      <c r="A2724" s="2" t="s">
        <v>2385</v>
      </c>
      <c r="B2724" s="2" t="s">
        <v>2388</v>
      </c>
      <c r="C2724" s="2" t="s">
        <v>2389</v>
      </c>
      <c r="D2724" s="3" t="str">
        <f>HYPERLINK("https://12go.asia/en/travel/assam/lumding", "12Go Link")</f>
        <v>12Go Link</v>
      </c>
      <c r="E2724" s="2" t="s">
        <v>226</v>
      </c>
    </row>
    <row r="2725">
      <c r="A2725" s="2" t="s">
        <v>2385</v>
      </c>
      <c r="B2725" s="2" t="s">
        <v>2390</v>
      </c>
      <c r="C2725" s="2" t="s">
        <v>2391</v>
      </c>
      <c r="D2725" s="3" t="str">
        <f>HYPERLINK("https://12go.asia/en/travel/assam/samastipur", "12Go Link")</f>
        <v>12Go Link</v>
      </c>
      <c r="E2725" s="2" t="s">
        <v>226</v>
      </c>
    </row>
    <row r="2726">
      <c r="A2726" s="2" t="s">
        <v>2385</v>
      </c>
      <c r="B2726" s="2" t="s">
        <v>2392</v>
      </c>
      <c r="C2726" s="2" t="s">
        <v>2393</v>
      </c>
      <c r="D2726" s="3" t="str">
        <f>HYPERLINK("https://12go.asia/en/travel/assam/silapathar", "12Go Link")</f>
        <v>12Go Link</v>
      </c>
      <c r="E2726" s="2" t="s">
        <v>226</v>
      </c>
    </row>
    <row r="2727">
      <c r="A2727" s="2" t="s">
        <v>2377</v>
      </c>
      <c r="B2727" s="2" t="s">
        <v>2262</v>
      </c>
      <c r="C2727" s="2" t="s">
        <v>2394</v>
      </c>
      <c r="D2727" s="3" t="str">
        <f>HYPERLINK("https://12go.asia/en/travel/ayodhya/aligarh", "12Go Link")</f>
        <v>12Go Link</v>
      </c>
      <c r="E2727" s="2" t="s">
        <v>226</v>
      </c>
    </row>
    <row r="2728">
      <c r="A2728" s="2" t="s">
        <v>2377</v>
      </c>
      <c r="B2728" s="2" t="s">
        <v>2296</v>
      </c>
      <c r="C2728" s="2" t="s">
        <v>2395</v>
      </c>
      <c r="D2728" s="3" t="str">
        <f>HYPERLINK("https://12go.asia/en/travel/ayodhya/sikandra-agra", "12Go Link")</f>
        <v>12Go Link</v>
      </c>
      <c r="E2728" s="2" t="s">
        <v>59</v>
      </c>
    </row>
    <row r="2729">
      <c r="A2729" s="2" t="s">
        <v>2396</v>
      </c>
      <c r="B2729" s="2" t="s">
        <v>2318</v>
      </c>
      <c r="C2729" s="2" t="s">
        <v>2397</v>
      </c>
      <c r="D2729" s="3" t="str">
        <f>HYPERLINK("https://12go.asia/en/travel/badnera-junction/hazrat-nizamuddin", "12Go Link")</f>
        <v>12Go Link</v>
      </c>
      <c r="E2729" s="2" t="s">
        <v>226</v>
      </c>
    </row>
    <row r="2730">
      <c r="A2730" s="2" t="s">
        <v>2396</v>
      </c>
      <c r="B2730" s="2" t="s">
        <v>2318</v>
      </c>
      <c r="C2730" s="2" t="s">
        <v>2398</v>
      </c>
      <c r="D2730" s="3" t="str">
        <f>HYPERLINK("https://12go.asia/en/travel/badnera/delhi", "12Go Link")</f>
        <v>12Go Link</v>
      </c>
      <c r="E2730" s="2" t="s">
        <v>226</v>
      </c>
    </row>
    <row r="2731">
      <c r="A2731" s="2" t="s">
        <v>2396</v>
      </c>
      <c r="B2731" s="2" t="s">
        <v>2399</v>
      </c>
      <c r="C2731" s="2" t="s">
        <v>2400</v>
      </c>
      <c r="D2731" s="3" t="str">
        <f>HYPERLINK("https://12go.asia/en/travel/badnera-junction/howrah", "12Go Link")</f>
        <v>12Go Link</v>
      </c>
      <c r="E2731" s="2" t="s">
        <v>226</v>
      </c>
    </row>
    <row r="2732">
      <c r="A2732" s="2" t="s">
        <v>2396</v>
      </c>
      <c r="B2732" s="2" t="s">
        <v>2399</v>
      </c>
      <c r="C2732" s="2" t="s">
        <v>2401</v>
      </c>
      <c r="D2732" s="3" t="str">
        <f>HYPERLINK("https://12go.asia/en/travel/badnera/howrah", "12Go Link")</f>
        <v>12Go Link</v>
      </c>
      <c r="E2732" s="2" t="s">
        <v>226</v>
      </c>
    </row>
    <row r="2733">
      <c r="A2733" s="2" t="s">
        <v>2396</v>
      </c>
      <c r="B2733" s="2" t="s">
        <v>2402</v>
      </c>
      <c r="C2733" s="2" t="s">
        <v>2403</v>
      </c>
      <c r="D2733" s="3" t="str">
        <f>HYPERLINK("https://12go.asia/en/travel/badnera-junction/shalimar", "12Go Link")</f>
        <v>12Go Link</v>
      </c>
      <c r="E2733" s="2" t="s">
        <v>226</v>
      </c>
    </row>
    <row r="2734">
      <c r="A2734" s="2" t="s">
        <v>2396</v>
      </c>
      <c r="B2734" s="2" t="s">
        <v>2402</v>
      </c>
      <c r="C2734" s="2" t="s">
        <v>2404</v>
      </c>
      <c r="D2734" s="3" t="str">
        <f>HYPERLINK("https://12go.asia/en/travel/badnera/kolkata", "12Go Link")</f>
        <v>12Go Link</v>
      </c>
      <c r="E2734" s="2" t="s">
        <v>226</v>
      </c>
    </row>
    <row r="2735">
      <c r="A2735" s="2" t="s">
        <v>2396</v>
      </c>
      <c r="B2735" s="2" t="s">
        <v>2405</v>
      </c>
      <c r="C2735" s="2" t="s">
        <v>2406</v>
      </c>
      <c r="D2735" s="3" t="str">
        <f>HYPERLINK("https://12go.asia/en/travel/badnera/new-delhi", "12Go Link")</f>
        <v>12Go Link</v>
      </c>
      <c r="E2735" s="2" t="s">
        <v>226</v>
      </c>
    </row>
    <row r="2736">
      <c r="A2736" s="2" t="s">
        <v>2263</v>
      </c>
      <c r="B2736" s="2" t="s">
        <v>2407</v>
      </c>
      <c r="C2736" s="2" t="s">
        <v>2408</v>
      </c>
      <c r="D2736" s="3" t="str">
        <f>HYPERLINK("https://12go.asia/en/travel/badshahnagar/jhansi", "12Go Link")</f>
        <v>12Go Link</v>
      </c>
      <c r="E2736" s="2" t="s">
        <v>226</v>
      </c>
    </row>
    <row r="2737">
      <c r="A2737" s="2" t="s">
        <v>2263</v>
      </c>
      <c r="B2737" s="2" t="s">
        <v>2407</v>
      </c>
      <c r="C2737" s="2" t="s">
        <v>2409</v>
      </c>
      <c r="D2737" s="3" t="str">
        <f>HYPERLINK("https://12go.asia/en/travel/badshahnagar/virangana-lakshmibai", "12Go Link")</f>
        <v>12Go Link</v>
      </c>
      <c r="E2737" s="2" t="s">
        <v>226</v>
      </c>
    </row>
    <row r="2738">
      <c r="A2738" s="2" t="s">
        <v>2263</v>
      </c>
      <c r="B2738" s="2" t="s">
        <v>2410</v>
      </c>
      <c r="C2738" s="2" t="s">
        <v>2411</v>
      </c>
      <c r="D2738" s="3" t="str">
        <f>HYPERLINK("https://12go.asia/en/travel/badshahnagar/uttar-pradesh", "12Go Link")</f>
        <v>12Go Link</v>
      </c>
      <c r="E2738" s="2" t="s">
        <v>226</v>
      </c>
    </row>
    <row r="2739">
      <c r="A2739" s="2" t="s">
        <v>2263</v>
      </c>
      <c r="B2739" s="2" t="s">
        <v>2412</v>
      </c>
      <c r="C2739" s="2" t="s">
        <v>2413</v>
      </c>
      <c r="D2739" s="3" t="str">
        <f>HYPERLINK("https://12go.asia/en/travel/badshahnagar/vrindavan", "12Go Link")</f>
        <v>12Go Link</v>
      </c>
      <c r="E2739" s="2" t="s">
        <v>226</v>
      </c>
    </row>
    <row r="2740">
      <c r="A2740" s="2" t="s">
        <v>2414</v>
      </c>
      <c r="B2740" s="2" t="s">
        <v>2415</v>
      </c>
      <c r="C2740" s="2" t="s">
        <v>2416</v>
      </c>
      <c r="D2740" s="3" t="str">
        <f>HYPERLINK("https://12go.asia/en/travel/balotra-junction/vadodara", "12Go Link")</f>
        <v>12Go Link</v>
      </c>
      <c r="E2740" s="2" t="s">
        <v>226</v>
      </c>
    </row>
    <row r="2741">
      <c r="A2741" s="2" t="s">
        <v>2414</v>
      </c>
      <c r="B2741" s="2" t="s">
        <v>2415</v>
      </c>
      <c r="C2741" s="2" t="s">
        <v>2417</v>
      </c>
      <c r="D2741" s="3" t="str">
        <f>HYPERLINK("https://12go.asia/en/travel/balotra/vadodara", "12Go Link")</f>
        <v>12Go Link</v>
      </c>
      <c r="E2741" s="2" t="s">
        <v>226</v>
      </c>
    </row>
    <row r="2742">
      <c r="A2742" s="2" t="s">
        <v>227</v>
      </c>
      <c r="B2742" s="2" t="s">
        <v>2418</v>
      </c>
      <c r="C2742" s="2" t="s">
        <v>2419</v>
      </c>
      <c r="D2742" s="3" t="str">
        <f>HYPERLINK("https://12go.asia/en/travel/ksr-bangalore/vaniyambadi", "12Go Link")</f>
        <v>12Go Link</v>
      </c>
      <c r="E2742" s="2" t="s">
        <v>226</v>
      </c>
    </row>
    <row r="2743">
      <c r="A2743" s="2" t="s">
        <v>2270</v>
      </c>
      <c r="B2743" s="2" t="s">
        <v>2420</v>
      </c>
      <c r="C2743" s="2" t="s">
        <v>2421</v>
      </c>
      <c r="D2743" s="3" t="str">
        <f>HYPERLINK("https://12go.asia/en/travel/barddhaman-junction/dhanbad-junction", "12Go Link")</f>
        <v>12Go Link</v>
      </c>
      <c r="E2743" s="2" t="s">
        <v>226</v>
      </c>
    </row>
    <row r="2744">
      <c r="A2744" s="2" t="s">
        <v>2270</v>
      </c>
      <c r="B2744" s="2" t="s">
        <v>2420</v>
      </c>
      <c r="C2744" s="2" t="s">
        <v>2422</v>
      </c>
      <c r="D2744" s="3" t="str">
        <f>HYPERLINK("https://12go.asia/en/travel/bardhaman/dhanbad", "12Go Link")</f>
        <v>12Go Link</v>
      </c>
      <c r="E2744" s="2" t="s">
        <v>226</v>
      </c>
    </row>
    <row r="2745">
      <c r="A2745" s="2" t="s">
        <v>2423</v>
      </c>
      <c r="B2745" s="2" t="s">
        <v>2290</v>
      </c>
      <c r="C2745" s="2" t="s">
        <v>2424</v>
      </c>
      <c r="D2745" s="3" t="str">
        <f>HYPERLINK("https://12go.asia/en/travel/bareilly/alwar", "12Go Link")</f>
        <v>12Go Link</v>
      </c>
      <c r="E2745" s="2" t="s">
        <v>226</v>
      </c>
    </row>
    <row r="2746">
      <c r="A2746" s="2" t="s">
        <v>2423</v>
      </c>
      <c r="B2746" s="2" t="s">
        <v>2425</v>
      </c>
      <c r="C2746" s="2" t="s">
        <v>2426</v>
      </c>
      <c r="D2746" s="3" t="str">
        <f>HYPERLINK("https://12go.asia/en/travel/bareilly/pilibhit-junction", "12Go Link")</f>
        <v>12Go Link</v>
      </c>
      <c r="E2746" s="2" t="s">
        <v>226</v>
      </c>
    </row>
    <row r="2747">
      <c r="A2747" s="2" t="s">
        <v>2423</v>
      </c>
      <c r="B2747" s="2" t="s">
        <v>2425</v>
      </c>
      <c r="C2747" s="2" t="s">
        <v>2427</v>
      </c>
      <c r="D2747" s="3" t="str">
        <f>HYPERLINK("https://12go.asia/en/travel/bareilly/pilibhit", "12Go Link")</f>
        <v>12Go Link</v>
      </c>
      <c r="E2747" s="2" t="s">
        <v>226</v>
      </c>
    </row>
    <row r="2748">
      <c r="A2748" s="2" t="s">
        <v>2423</v>
      </c>
      <c r="B2748" s="2" t="s">
        <v>2294</v>
      </c>
      <c r="C2748" s="2" t="s">
        <v>2428</v>
      </c>
      <c r="D2748" s="3" t="str">
        <f>HYPERLINK("https://12go.asia/en/travel/bareilly/punjab", "12Go Link")</f>
        <v>12Go Link</v>
      </c>
      <c r="E2748" s="2" t="s">
        <v>226</v>
      </c>
    </row>
    <row r="2749">
      <c r="A2749" s="2" t="s">
        <v>2423</v>
      </c>
      <c r="B2749" s="2" t="s">
        <v>2296</v>
      </c>
      <c r="C2749" s="2" t="s">
        <v>2429</v>
      </c>
      <c r="D2749" s="3" t="str">
        <f>HYPERLINK("https://12go.asia/en/travel/bareilly/sikandra-agra", "12Go Link")</f>
        <v>12Go Link</v>
      </c>
      <c r="E2749" s="2" t="s">
        <v>226</v>
      </c>
    </row>
    <row r="2750">
      <c r="A2750" s="2" t="s">
        <v>2430</v>
      </c>
      <c r="B2750" s="2" t="s">
        <v>2312</v>
      </c>
      <c r="C2750" s="2" t="s">
        <v>2431</v>
      </c>
      <c r="D2750" s="3" t="str">
        <f>HYPERLINK("https://12go.asia/en/travel/bathinda/madhya-pradesh", "12Go Link")</f>
        <v>12Go Link</v>
      </c>
      <c r="E2750" s="2" t="s">
        <v>226</v>
      </c>
    </row>
    <row r="2751">
      <c r="A2751" s="2" t="s">
        <v>2432</v>
      </c>
      <c r="B2751" s="2" t="s">
        <v>2294</v>
      </c>
      <c r="C2751" s="2" t="s">
        <v>2433</v>
      </c>
      <c r="D2751" s="3" t="str">
        <f>HYPERLINK("https://12go.asia/en/travel/beas/punjab", "12Go Link")</f>
        <v>12Go Link</v>
      </c>
      <c r="E2751" s="2" t="s">
        <v>226</v>
      </c>
    </row>
    <row r="2752">
      <c r="A2752" s="2" t="s">
        <v>2434</v>
      </c>
      <c r="B2752" s="2" t="s">
        <v>2242</v>
      </c>
      <c r="C2752" s="2" t="s">
        <v>2435</v>
      </c>
      <c r="D2752" s="3" t="str">
        <f>HYPERLINK("https://12go.asia/en/travel/beawar/ajmer-jn", "12Go Link")</f>
        <v>12Go Link</v>
      </c>
      <c r="E2752" s="2" t="s">
        <v>226</v>
      </c>
    </row>
    <row r="2753">
      <c r="A2753" s="2" t="s">
        <v>2434</v>
      </c>
      <c r="B2753" s="2" t="s">
        <v>2254</v>
      </c>
      <c r="C2753" s="2" t="s">
        <v>2436</v>
      </c>
      <c r="D2753" s="3" t="str">
        <f>HYPERLINK("https://12go.asia/en/travel/beawar/pushkar", "12Go Link")</f>
        <v>12Go Link</v>
      </c>
      <c r="E2753" s="2" t="s">
        <v>226</v>
      </c>
    </row>
    <row r="2754">
      <c r="A2754" s="2" t="s">
        <v>2437</v>
      </c>
      <c r="B2754" s="2" t="s">
        <v>2438</v>
      </c>
      <c r="C2754" s="2" t="s">
        <v>2439</v>
      </c>
      <c r="D2754" s="3" t="str">
        <f>HYPERLINK("https://12go.asia/en/travel/begusarai/danapur", "12Go Link")</f>
        <v>12Go Link</v>
      </c>
      <c r="E2754" s="2" t="s">
        <v>226</v>
      </c>
    </row>
    <row r="2755">
      <c r="A2755" s="2" t="s">
        <v>229</v>
      </c>
      <c r="B2755" s="2" t="s">
        <v>2440</v>
      </c>
      <c r="C2755" s="2" t="s">
        <v>2441</v>
      </c>
      <c r="D2755" s="3" t="str">
        <f>HYPERLINK("https://12go.asia/en/travel/belgaum/hubballi-jn", "12Go Link")</f>
        <v>12Go Link</v>
      </c>
      <c r="E2755" s="2" t="s">
        <v>226</v>
      </c>
    </row>
    <row r="2756">
      <c r="A2756" s="2" t="s">
        <v>2442</v>
      </c>
      <c r="B2756" s="2" t="s">
        <v>2443</v>
      </c>
      <c r="C2756" s="2" t="s">
        <v>2444</v>
      </c>
      <c r="D2756" s="3" t="str">
        <f>HYPERLINK("https://12go.asia/en/travel/berhampore-crt/krishnanagar-city-jn", "12Go Link")</f>
        <v>12Go Link</v>
      </c>
      <c r="E2756" s="2" t="s">
        <v>226</v>
      </c>
    </row>
    <row r="2757">
      <c r="A2757" s="2" t="s">
        <v>2442</v>
      </c>
      <c r="B2757" s="2" t="s">
        <v>2443</v>
      </c>
      <c r="C2757" s="2" t="s">
        <v>2445</v>
      </c>
      <c r="D2757" s="3" t="str">
        <f>HYPERLINK("https://12go.asia/en/travel/berhampore/krishnanagar-west-bengal", "12Go Link")</f>
        <v>12Go Link</v>
      </c>
      <c r="E2757" s="2" t="s">
        <v>226</v>
      </c>
    </row>
    <row r="2758">
      <c r="A2758" s="2" t="s">
        <v>2446</v>
      </c>
      <c r="B2758" s="2" t="s">
        <v>2447</v>
      </c>
      <c r="C2758" s="2" t="s">
        <v>2448</v>
      </c>
      <c r="D2758" s="3" t="str">
        <f>HYPERLINK("https://12go.asia/en/travel/bhilai-power-house/sakti", "12Go Link")</f>
        <v>12Go Link</v>
      </c>
      <c r="E2758" s="2" t="s">
        <v>226</v>
      </c>
    </row>
    <row r="2759">
      <c r="A2759" s="2" t="s">
        <v>2446</v>
      </c>
      <c r="B2759" s="2" t="s">
        <v>2447</v>
      </c>
      <c r="C2759" s="2" t="s">
        <v>2449</v>
      </c>
      <c r="D2759" s="3" t="str">
        <f>HYPERLINK("https://12go.asia/en/travel/bhilai/sakti", "12Go Link")</f>
        <v>12Go Link</v>
      </c>
      <c r="E2759" s="2" t="s">
        <v>226</v>
      </c>
    </row>
    <row r="2760">
      <c r="A2760" s="2" t="s">
        <v>2450</v>
      </c>
      <c r="B2760" s="2" t="s">
        <v>2451</v>
      </c>
      <c r="C2760" s="2" t="s">
        <v>2452</v>
      </c>
      <c r="D2760" s="3" t="str">
        <f>HYPERLINK("https://12go.asia/en/travel/rani-kamalapati/betul", "12Go Link")</f>
        <v>12Go Link</v>
      </c>
      <c r="E2760" s="2" t="s">
        <v>226</v>
      </c>
    </row>
    <row r="2761">
      <c r="A2761" s="2" t="s">
        <v>2450</v>
      </c>
      <c r="B2761" s="2" t="s">
        <v>2453</v>
      </c>
      <c r="C2761" s="2" t="s">
        <v>2454</v>
      </c>
      <c r="D2761" s="3" t="str">
        <f>HYPERLINK("https://12go.asia/en/travel/rani-kamalapati/bina-junction", "12Go Link")</f>
        <v>12Go Link</v>
      </c>
      <c r="E2761" s="2" t="s">
        <v>226</v>
      </c>
    </row>
    <row r="2762">
      <c r="A2762" s="2" t="s">
        <v>2450</v>
      </c>
      <c r="B2762" s="2" t="s">
        <v>2455</v>
      </c>
      <c r="C2762" s="2" t="s">
        <v>2456</v>
      </c>
      <c r="D2762" s="3" t="str">
        <f>HYPERLINK("https://12go.asia/en/travel/rani-kamalapati/khandwa", "12Go Link")</f>
        <v>12Go Link</v>
      </c>
      <c r="E2762" s="2" t="s">
        <v>226</v>
      </c>
    </row>
    <row r="2763">
      <c r="A2763" s="2" t="s">
        <v>2457</v>
      </c>
      <c r="B2763" s="2" t="s">
        <v>2458</v>
      </c>
      <c r="C2763" s="2" t="s">
        <v>2459</v>
      </c>
      <c r="D2763" s="3" t="str">
        <f>HYPERLINK("https://12go.asia/en/travel/bhubaneswar/paradeep", "12Go Link")</f>
        <v>12Go Link</v>
      </c>
      <c r="E2763" s="2" t="s">
        <v>226</v>
      </c>
    </row>
    <row r="2764">
      <c r="A2764" s="2" t="s">
        <v>2460</v>
      </c>
      <c r="B2764" s="2" t="s">
        <v>2423</v>
      </c>
      <c r="C2764" s="2" t="s">
        <v>2461</v>
      </c>
      <c r="D2764" s="3" t="str">
        <f>HYPERLINK("https://12go.asia/en/travel/bhuj/bareilly", "12Go Link")</f>
        <v>12Go Link</v>
      </c>
      <c r="E2764" s="2" t="s">
        <v>226</v>
      </c>
    </row>
    <row r="2765">
      <c r="A2765" s="2" t="s">
        <v>2462</v>
      </c>
      <c r="B2765" s="2" t="s">
        <v>2463</v>
      </c>
      <c r="C2765" s="2" t="s">
        <v>2464</v>
      </c>
      <c r="D2765" s="3" t="str">
        <f>HYPERLINK("https://12go.asia/en/travel/bihar/mirzapur", "12Go Link")</f>
        <v>12Go Link</v>
      </c>
      <c r="E2765" s="2" t="s">
        <v>226</v>
      </c>
    </row>
    <row r="2766">
      <c r="A2766" s="2" t="s">
        <v>2462</v>
      </c>
      <c r="B2766" s="2" t="s">
        <v>2296</v>
      </c>
      <c r="C2766" s="2" t="s">
        <v>2465</v>
      </c>
      <c r="D2766" s="3" t="str">
        <f>HYPERLINK("https://12go.asia/en/travel/bihar/sikandra-agra", "12Go Link")</f>
        <v>12Go Link</v>
      </c>
      <c r="E2766" s="2" t="s">
        <v>226</v>
      </c>
    </row>
    <row r="2767">
      <c r="A2767" s="2" t="s">
        <v>2466</v>
      </c>
      <c r="B2767" s="2" t="s">
        <v>2307</v>
      </c>
      <c r="C2767" s="2" t="s">
        <v>2467</v>
      </c>
      <c r="D2767" s="3" t="str">
        <f>HYPERLINK("https://12go.asia/en/travel/bikaner/mughalsarai", "12Go Link")</f>
        <v>12Go Link</v>
      </c>
      <c r="E2767" s="2" t="s">
        <v>226</v>
      </c>
    </row>
    <row r="2768">
      <c r="A2768" s="2" t="s">
        <v>2466</v>
      </c>
      <c r="B2768" s="2" t="s">
        <v>2296</v>
      </c>
      <c r="C2768" s="2" t="s">
        <v>2468</v>
      </c>
      <c r="D2768" s="3" t="str">
        <f>HYPERLINK("https://12go.asia/en/travel/bikaner/sikandra-agra", "12Go Link")</f>
        <v>12Go Link</v>
      </c>
      <c r="E2768" s="2" t="s">
        <v>226</v>
      </c>
    </row>
    <row r="2769">
      <c r="A2769" s="2" t="s">
        <v>2466</v>
      </c>
      <c r="B2769" s="2" t="s">
        <v>2190</v>
      </c>
      <c r="C2769" s="2" t="s">
        <v>2469</v>
      </c>
      <c r="D2769" s="3" t="str">
        <f>HYPERLINK("https://12go.asia/en/travel/bikaner-jn/deen-dayal-upadhyaya-jn", "12Go Link")</f>
        <v>12Go Link</v>
      </c>
      <c r="E2769" s="2" t="s">
        <v>226</v>
      </c>
    </row>
    <row r="2770">
      <c r="A2770" s="2" t="s">
        <v>2466</v>
      </c>
      <c r="B2770" s="2" t="s">
        <v>2470</v>
      </c>
      <c r="C2770" s="2" t="s">
        <v>2471</v>
      </c>
      <c r="D2770" s="3" t="str">
        <f>HYPERLINK("https://12go.asia/en/travel/bikaner/west-bengal", "12Go Link")</f>
        <v>12Go Link</v>
      </c>
      <c r="E2770" s="2" t="s">
        <v>226</v>
      </c>
    </row>
    <row r="2771">
      <c r="A2771" s="2" t="s">
        <v>2472</v>
      </c>
      <c r="B2771" s="2" t="s">
        <v>2327</v>
      </c>
      <c r="C2771" s="2" t="s">
        <v>2473</v>
      </c>
      <c r="D2771" s="3" t="str">
        <f>HYPERLINK("https://12go.asia/en/travel/bilaspur-jn/hatia", "12Go Link")</f>
        <v>12Go Link</v>
      </c>
      <c r="E2771" s="2" t="s">
        <v>226</v>
      </c>
    </row>
    <row r="2772">
      <c r="A2772" s="2" t="s">
        <v>2472</v>
      </c>
      <c r="B2772" s="2" t="s">
        <v>2327</v>
      </c>
      <c r="C2772" s="2" t="s">
        <v>2474</v>
      </c>
      <c r="D2772" s="3" t="str">
        <f>HYPERLINK("https://12go.asia/en/travel/bilaspur/hatia", "12Go Link")</f>
        <v>12Go Link</v>
      </c>
      <c r="E2772" s="2" t="s">
        <v>226</v>
      </c>
    </row>
    <row r="2773">
      <c r="A2773" s="2" t="s">
        <v>2472</v>
      </c>
      <c r="B2773" s="2" t="s">
        <v>2280</v>
      </c>
      <c r="C2773" s="2" t="s">
        <v>2475</v>
      </c>
      <c r="D2773" s="3" t="str">
        <f>HYPERLINK("https://12go.asia/en/travel/bilaspur/jharkhand", "12Go Link")</f>
        <v>12Go Link</v>
      </c>
      <c r="E2773" s="2" t="s">
        <v>226</v>
      </c>
    </row>
    <row r="2774">
      <c r="A2774" s="2" t="s">
        <v>2472</v>
      </c>
      <c r="B2774" s="2" t="s">
        <v>2476</v>
      </c>
      <c r="C2774" s="2" t="s">
        <v>2477</v>
      </c>
      <c r="D2774" s="3" t="str">
        <f>HYPERLINK("https://12go.asia/en/travel/bilaspur-jn/pune-jn", "12Go Link")</f>
        <v>12Go Link</v>
      </c>
      <c r="E2774" s="2" t="s">
        <v>226</v>
      </c>
    </row>
    <row r="2775">
      <c r="A2775" s="2" t="s">
        <v>2472</v>
      </c>
      <c r="B2775" s="2" t="s">
        <v>2476</v>
      </c>
      <c r="C2775" s="2" t="s">
        <v>2478</v>
      </c>
      <c r="D2775" s="3" t="str">
        <f>HYPERLINK("https://12go.asia/en/travel/bilaspur/pune", "12Go Link")</f>
        <v>12Go Link</v>
      </c>
      <c r="E2775" s="2" t="s">
        <v>226</v>
      </c>
    </row>
    <row r="2776">
      <c r="A2776" s="2" t="s">
        <v>2453</v>
      </c>
      <c r="B2776" s="2" t="s">
        <v>2479</v>
      </c>
      <c r="C2776" s="2" t="s">
        <v>2480</v>
      </c>
      <c r="D2776" s="3" t="str">
        <f>HYPERLINK("https://12go.asia/en/travel/bina-malkhedi-junction/mathura-jn", "12Go Link")</f>
        <v>12Go Link</v>
      </c>
      <c r="E2776" s="2" t="s">
        <v>226</v>
      </c>
    </row>
    <row r="2777">
      <c r="A2777" s="2" t="s">
        <v>2453</v>
      </c>
      <c r="B2777" s="2" t="s">
        <v>2412</v>
      </c>
      <c r="C2777" s="2" t="s">
        <v>2481</v>
      </c>
      <c r="D2777" s="3" t="str">
        <f>HYPERLINK("https://12go.asia/en/travel/bina/vrindavan", "12Go Link")</f>
        <v>12Go Link</v>
      </c>
      <c r="E2777" s="2" t="s">
        <v>226</v>
      </c>
    </row>
    <row r="2778">
      <c r="A2778" s="2" t="s">
        <v>2482</v>
      </c>
      <c r="B2778" s="2" t="s">
        <v>2483</v>
      </c>
      <c r="C2778" s="2" t="s">
        <v>2484</v>
      </c>
      <c r="D2778" s="3" t="str">
        <f>HYPERLINK("https://12go.asia/en/travel/bobbili/duvvada", "12Go Link")</f>
        <v>12Go Link</v>
      </c>
      <c r="E2778" s="2" t="s">
        <v>226</v>
      </c>
    </row>
    <row r="2779">
      <c r="A2779" s="2" t="s">
        <v>2485</v>
      </c>
      <c r="B2779" s="2" t="s">
        <v>2486</v>
      </c>
      <c r="C2779" s="2" t="s">
        <v>2487</v>
      </c>
      <c r="D2779" s="3" t="str">
        <f>HYPERLINK("https://12go.asia/en/travel/burhanpur/bhusaval", "12Go Link")</f>
        <v>12Go Link</v>
      </c>
      <c r="E2779" s="2" t="s">
        <v>226</v>
      </c>
    </row>
    <row r="2780">
      <c r="A2780" s="2" t="s">
        <v>2485</v>
      </c>
      <c r="B2780" s="2" t="s">
        <v>2486</v>
      </c>
      <c r="C2780" s="2" t="s">
        <v>2488</v>
      </c>
      <c r="D2780" s="3" t="str">
        <f>HYPERLINK("https://12go.asia/en/travel/burhanpur/bhusaval-junction", "12Go Link")</f>
        <v>12Go Link</v>
      </c>
      <c r="E2780" s="2" t="s">
        <v>226</v>
      </c>
    </row>
    <row r="2781">
      <c r="A2781" s="2" t="s">
        <v>2485</v>
      </c>
      <c r="B2781" s="2" t="s">
        <v>2489</v>
      </c>
      <c r="C2781" s="2" t="s">
        <v>2490</v>
      </c>
      <c r="D2781" s="3" t="str">
        <f>HYPERLINK("https://12go.asia/en/travel/burhanpur/nashik", "12Go Link")</f>
        <v>12Go Link</v>
      </c>
      <c r="E2781" s="2" t="s">
        <v>226</v>
      </c>
    </row>
    <row r="2782">
      <c r="A2782" s="2" t="s">
        <v>2485</v>
      </c>
      <c r="B2782" s="2" t="s">
        <v>2489</v>
      </c>
      <c r="C2782" s="2" t="s">
        <v>2491</v>
      </c>
      <c r="D2782" s="3" t="str">
        <f>HYPERLINK("https://12go.asia/en/travel/burhanpur/nasik-road", "12Go Link")</f>
        <v>12Go Link</v>
      </c>
      <c r="E2782" s="2" t="s">
        <v>226</v>
      </c>
    </row>
    <row r="2783">
      <c r="A2783" s="2" t="s">
        <v>2492</v>
      </c>
      <c r="B2783" s="2" t="s">
        <v>2493</v>
      </c>
      <c r="C2783" s="2" t="s">
        <v>2494</v>
      </c>
      <c r="D2783" s="3" t="str">
        <f>HYPERLINK("https://12go.asia/en/travel/burhar/jabalpur", "12Go Link")</f>
        <v>12Go Link</v>
      </c>
      <c r="E2783" s="2" t="s">
        <v>226</v>
      </c>
    </row>
    <row r="2784">
      <c r="A2784" s="2" t="s">
        <v>2495</v>
      </c>
      <c r="B2784" s="2" t="s">
        <v>244</v>
      </c>
      <c r="C2784" s="2" t="s">
        <v>2496</v>
      </c>
      <c r="D2784" s="3" t="str">
        <f>HYPERLINK("https://12go.asia/en/travel/buxar/karnataka", "12Go Link")</f>
        <v>12Go Link</v>
      </c>
      <c r="E2784" s="2" t="s">
        <v>226</v>
      </c>
    </row>
    <row r="2785">
      <c r="A2785" s="2" t="s">
        <v>2497</v>
      </c>
      <c r="B2785" s="2" t="s">
        <v>2498</v>
      </c>
      <c r="C2785" s="2" t="s">
        <v>2499</v>
      </c>
      <c r="D2785" s="3" t="str">
        <f>HYPERLINK("https://12go.asia/en/travel/chengalpattu/dindigul", "12Go Link")</f>
        <v>12Go Link</v>
      </c>
      <c r="E2785" s="2" t="s">
        <v>226</v>
      </c>
    </row>
    <row r="2786">
      <c r="A2786" s="2" t="s">
        <v>2497</v>
      </c>
      <c r="B2786" s="2" t="s">
        <v>2498</v>
      </c>
      <c r="C2786" s="2" t="s">
        <v>2500</v>
      </c>
      <c r="D2786" s="3" t="str">
        <f>HYPERLINK("https://12go.asia/en/travel/chengalpattu/dindigul-junction", "12Go Link")</f>
        <v>12Go Link</v>
      </c>
      <c r="E2786" s="2" t="s">
        <v>226</v>
      </c>
    </row>
    <row r="2787">
      <c r="A2787" s="2" t="s">
        <v>2497</v>
      </c>
      <c r="B2787" s="2" t="s">
        <v>2501</v>
      </c>
      <c r="C2787" s="2" t="s">
        <v>2502</v>
      </c>
      <c r="D2787" s="3" t="str">
        <f>HYPERLINK("https://12go.asia/en/travel/chengalpattu/hyderabad", "12Go Link")</f>
        <v>12Go Link</v>
      </c>
      <c r="E2787" s="2" t="s">
        <v>226</v>
      </c>
    </row>
    <row r="2788">
      <c r="A2788" s="2" t="s">
        <v>2497</v>
      </c>
      <c r="B2788" s="2" t="s">
        <v>2501</v>
      </c>
      <c r="C2788" s="2" t="s">
        <v>2503</v>
      </c>
      <c r="D2788" s="3" t="str">
        <f>HYPERLINK("https://12go.asia/en/travel/chengalpattu/kacheguda", "12Go Link")</f>
        <v>12Go Link</v>
      </c>
      <c r="E2788" s="2" t="s">
        <v>226</v>
      </c>
    </row>
    <row r="2789">
      <c r="A2789" s="2" t="s">
        <v>2497</v>
      </c>
      <c r="B2789" s="2" t="s">
        <v>2504</v>
      </c>
      <c r="C2789" s="2" t="s">
        <v>2505</v>
      </c>
      <c r="D2789" s="3" t="str">
        <f>HYPERLINK("https://12go.asia/en/travel/chengalpattu/karaikkudi-junction", "12Go Link")</f>
        <v>12Go Link</v>
      </c>
      <c r="E2789" s="2" t="s">
        <v>226</v>
      </c>
    </row>
    <row r="2790">
      <c r="A2790" s="2" t="s">
        <v>2497</v>
      </c>
      <c r="B2790" s="2" t="s">
        <v>2504</v>
      </c>
      <c r="C2790" s="2" t="s">
        <v>2506</v>
      </c>
      <c r="D2790" s="3" t="str">
        <f>HYPERLINK("https://12go.asia/en/travel/chengalpattu/karaikudi", "12Go Link")</f>
        <v>12Go Link</v>
      </c>
      <c r="E2790" s="2" t="s">
        <v>226</v>
      </c>
    </row>
    <row r="2791">
      <c r="A2791" s="2" t="s">
        <v>2497</v>
      </c>
      <c r="B2791" s="2" t="s">
        <v>2236</v>
      </c>
      <c r="C2791" s="2" t="s">
        <v>2507</v>
      </c>
      <c r="D2791" s="3" t="str">
        <f>HYPERLINK("https://12go.asia/en/travel/chengalpattu/renigunta", "12Go Link")</f>
        <v>12Go Link</v>
      </c>
      <c r="E2791" s="2" t="s">
        <v>226</v>
      </c>
    </row>
    <row r="2792">
      <c r="A2792" s="2" t="s">
        <v>2497</v>
      </c>
      <c r="B2792" s="2" t="s">
        <v>2260</v>
      </c>
      <c r="C2792" s="2" t="s">
        <v>2508</v>
      </c>
      <c r="D2792" s="3" t="str">
        <f>HYPERLINK("https://12go.asia/en/travel/chengalpattu/trivandrum", "12Go Link")</f>
        <v>12Go Link</v>
      </c>
      <c r="E2792" s="2" t="s">
        <v>226</v>
      </c>
    </row>
    <row r="2793">
      <c r="A2793" s="2" t="s">
        <v>2497</v>
      </c>
      <c r="B2793" s="2" t="s">
        <v>2260</v>
      </c>
      <c r="C2793" s="2" t="s">
        <v>2509</v>
      </c>
      <c r="D2793" s="3" t="str">
        <f>HYPERLINK("https://12go.asia/en/travel/chengalpattu/trivandrum-central", "12Go Link")</f>
        <v>12Go Link</v>
      </c>
      <c r="E2793" s="2" t="s">
        <v>226</v>
      </c>
    </row>
    <row r="2794">
      <c r="A2794" s="2" t="s">
        <v>2336</v>
      </c>
      <c r="B2794" s="2" t="s">
        <v>2510</v>
      </c>
      <c r="C2794" s="2" t="s">
        <v>2511</v>
      </c>
      <c r="D2794" s="3" t="str">
        <f>HYPERLINK("https://12go.asia/en/travel/chengannur/panvel", "12Go Link")</f>
        <v>12Go Link</v>
      </c>
      <c r="E2794" s="2" t="s">
        <v>226</v>
      </c>
    </row>
    <row r="2795">
      <c r="A2795" s="2" t="s">
        <v>2336</v>
      </c>
      <c r="B2795" s="2" t="s">
        <v>2512</v>
      </c>
      <c r="C2795" s="2" t="s">
        <v>2513</v>
      </c>
      <c r="D2795" s="3" t="str">
        <f>HYPERLINK("https://12go.asia/en/travel/chengannur/tamil-nadu", "12Go Link")</f>
        <v>12Go Link</v>
      </c>
      <c r="E2795" s="2" t="s">
        <v>226</v>
      </c>
    </row>
    <row r="2796">
      <c r="A2796" s="2" t="s">
        <v>2336</v>
      </c>
      <c r="B2796" s="2" t="s">
        <v>2514</v>
      </c>
      <c r="C2796" s="2" t="s">
        <v>2515</v>
      </c>
      <c r="D2796" s="3" t="str">
        <f>HYPERLINK("https://12go.asia/en/travel/chengannur/velankanni", "12Go Link")</f>
        <v>12Go Link</v>
      </c>
      <c r="E2796" s="2" t="s">
        <v>226</v>
      </c>
    </row>
    <row r="2797">
      <c r="A2797" s="2" t="s">
        <v>2516</v>
      </c>
      <c r="B2797" s="2" t="s">
        <v>2517</v>
      </c>
      <c r="C2797" s="2" t="s">
        <v>2518</v>
      </c>
      <c r="D2797" s="3" t="str">
        <f>HYPERLINK("https://12go.asia/en/travel/chennai-central/narsipatnam-road", "12Go Link")</f>
        <v>12Go Link</v>
      </c>
      <c r="E2797" s="2" t="s">
        <v>226</v>
      </c>
    </row>
    <row r="2798">
      <c r="A2798" s="2" t="s">
        <v>2516</v>
      </c>
      <c r="B2798" s="2" t="s">
        <v>2517</v>
      </c>
      <c r="C2798" s="2" t="s">
        <v>2519</v>
      </c>
      <c r="D2798" s="3" t="str">
        <f>HYPERLINK("https://12go.asia/en/travel/chennai/narsipatnam", "12Go Link")</f>
        <v>12Go Link</v>
      </c>
      <c r="E2798" s="2" t="s">
        <v>226</v>
      </c>
    </row>
    <row r="2799">
      <c r="A2799" s="2" t="s">
        <v>2520</v>
      </c>
      <c r="B2799" s="2" t="s">
        <v>2521</v>
      </c>
      <c r="C2799" s="2" t="s">
        <v>2522</v>
      </c>
      <c r="D2799" s="3" t="str">
        <f>HYPERLINK("https://12go.asia/en/travel/chhapra/sonpur", "12Go Link")</f>
        <v>12Go Link</v>
      </c>
      <c r="E2799" s="2" t="s">
        <v>226</v>
      </c>
    </row>
    <row r="2800">
      <c r="A2800" s="2" t="s">
        <v>2520</v>
      </c>
      <c r="B2800" s="2" t="s">
        <v>2521</v>
      </c>
      <c r="C2800" s="2" t="s">
        <v>2523</v>
      </c>
      <c r="D2800" s="3" t="str">
        <f>HYPERLINK("https://12go.asia/en/travel/chhapra/sonpur-junction", "12Go Link")</f>
        <v>12Go Link</v>
      </c>
      <c r="E2800" s="2" t="s">
        <v>226</v>
      </c>
    </row>
    <row r="2801">
      <c r="A2801" s="2" t="s">
        <v>2520</v>
      </c>
      <c r="B2801" s="2" t="s">
        <v>2410</v>
      </c>
      <c r="C2801" s="2" t="s">
        <v>2524</v>
      </c>
      <c r="D2801" s="3" t="str">
        <f>HYPERLINK("https://12go.asia/en/travel/chhapra/uttar-pradesh", "12Go Link")</f>
        <v>12Go Link</v>
      </c>
      <c r="E2801" s="2" t="s">
        <v>226</v>
      </c>
    </row>
    <row r="2802">
      <c r="A2802" s="2" t="s">
        <v>2525</v>
      </c>
      <c r="B2802" s="2" t="s">
        <v>2479</v>
      </c>
      <c r="C2802" s="2" t="s">
        <v>2526</v>
      </c>
      <c r="D2802" s="3" t="str">
        <f>HYPERLINK("https://12go.asia/en/travel/maharaja-chhatrasal/mathura-jn", "12Go Link")</f>
        <v>12Go Link</v>
      </c>
      <c r="E2802" s="2" t="s">
        <v>226</v>
      </c>
    </row>
    <row r="2803">
      <c r="A2803" s="2" t="s">
        <v>2525</v>
      </c>
      <c r="B2803" s="2" t="s">
        <v>2412</v>
      </c>
      <c r="C2803" s="2" t="s">
        <v>2527</v>
      </c>
      <c r="D2803" s="3" t="str">
        <f>HYPERLINK("https://12go.asia/en/travel/chhatarpur/vrindavan", "12Go Link")</f>
        <v>12Go Link</v>
      </c>
      <c r="E2803" s="2" t="s">
        <v>226</v>
      </c>
    </row>
    <row r="2804">
      <c r="A2804" s="2" t="s">
        <v>2528</v>
      </c>
      <c r="B2804" s="2" t="s">
        <v>2529</v>
      </c>
      <c r="C2804" s="2" t="s">
        <v>2530</v>
      </c>
      <c r="D2804" s="3" t="str">
        <f>HYPERLINK("https://12go.asia/en/travel/chhattisgarh/kantabanji", "12Go Link")</f>
        <v>12Go Link</v>
      </c>
      <c r="E2804" s="2" t="s">
        <v>226</v>
      </c>
    </row>
    <row r="2805">
      <c r="A2805" s="2" t="s">
        <v>2531</v>
      </c>
      <c r="B2805" s="2" t="s">
        <v>2532</v>
      </c>
      <c r="C2805" s="2" t="s">
        <v>2533</v>
      </c>
      <c r="D2805" s="3" t="str">
        <f>HYPERLINK("https://12go.asia/en/travel/chidambaram/kumbakonam", "12Go Link")</f>
        <v>12Go Link</v>
      </c>
      <c r="E2805" s="2" t="s">
        <v>226</v>
      </c>
    </row>
    <row r="2806">
      <c r="A2806" s="2" t="s">
        <v>2534</v>
      </c>
      <c r="B2806" s="2" t="s">
        <v>2535</v>
      </c>
      <c r="C2806" s="2" t="s">
        <v>2536</v>
      </c>
      <c r="D2806" s="3" t="str">
        <f>HYPERLINK("https://12go.asia/en/travel/cuttack/kendujhargarh", "12Go Link")</f>
        <v>12Go Link</v>
      </c>
      <c r="E2806" s="2" t="s">
        <v>226</v>
      </c>
    </row>
    <row r="2807">
      <c r="A2807" s="2" t="s">
        <v>2438</v>
      </c>
      <c r="B2807" s="2" t="s">
        <v>2463</v>
      </c>
      <c r="C2807" s="2" t="s">
        <v>2537</v>
      </c>
      <c r="D2807" s="3" t="str">
        <f>HYPERLINK("https://12go.asia/en/travel/danapur/mirzapur", "12Go Link")</f>
        <v>12Go Link</v>
      </c>
      <c r="E2807" s="2" t="s">
        <v>226</v>
      </c>
    </row>
    <row r="2808">
      <c r="A2808" s="2" t="s">
        <v>2538</v>
      </c>
      <c r="B2808" s="2" t="s">
        <v>2412</v>
      </c>
      <c r="C2808" s="2" t="s">
        <v>2539</v>
      </c>
      <c r="D2808" s="3" t="str">
        <f>HYPERLINK("https://12go.asia/en/travel/daund/vrindavan", "12Go Link")</f>
        <v>12Go Link</v>
      </c>
      <c r="E2808" s="2" t="s">
        <v>226</v>
      </c>
    </row>
    <row r="2809">
      <c r="A2809" s="2" t="s">
        <v>2540</v>
      </c>
      <c r="B2809" s="2" t="s">
        <v>2541</v>
      </c>
      <c r="C2809" s="2" t="s">
        <v>2542</v>
      </c>
      <c r="D2809" s="3" t="str">
        <f>HYPERLINK("https://12go.asia/en/travel/davangere/hospet-jn", "12Go Link")</f>
        <v>12Go Link</v>
      </c>
      <c r="E2809" s="2" t="s">
        <v>226</v>
      </c>
    </row>
    <row r="2810">
      <c r="A2810" s="2" t="s">
        <v>2540</v>
      </c>
      <c r="B2810" s="2" t="s">
        <v>2541</v>
      </c>
      <c r="C2810" s="2" t="s">
        <v>2543</v>
      </c>
      <c r="D2810" s="3" t="str">
        <f>HYPERLINK("https://12go.asia/en/travel/davanagere/hosapete", "12Go Link")</f>
        <v>12Go Link</v>
      </c>
      <c r="E2810" s="2" t="s">
        <v>226</v>
      </c>
    </row>
    <row r="2811">
      <c r="A2811" s="2" t="s">
        <v>2544</v>
      </c>
      <c r="B2811" s="2" t="s">
        <v>2545</v>
      </c>
      <c r="C2811" s="2" t="s">
        <v>2546</v>
      </c>
      <c r="D2811" s="3" t="str">
        <f>HYPERLINK("https://12go.asia/en/travel/dehri-on-sone/maihar", "12Go Link")</f>
        <v>12Go Link</v>
      </c>
      <c r="E2811" s="2" t="s">
        <v>226</v>
      </c>
    </row>
    <row r="2812">
      <c r="A2812" s="2" t="s">
        <v>2318</v>
      </c>
      <c r="B2812" s="2" t="s">
        <v>2547</v>
      </c>
      <c r="C2812" s="2" t="s">
        <v>2548</v>
      </c>
      <c r="D2812" s="3" t="str">
        <f>HYPERLINK("https://12go.asia/en/travel/hazrat-nizamuddin/bhadrakh", "12Go Link")</f>
        <v>12Go Link</v>
      </c>
      <c r="E2812" s="2" t="s">
        <v>226</v>
      </c>
    </row>
    <row r="2813">
      <c r="A2813" s="2" t="s">
        <v>2318</v>
      </c>
      <c r="B2813" s="2" t="s">
        <v>2549</v>
      </c>
      <c r="C2813" s="2" t="s">
        <v>2550</v>
      </c>
      <c r="D2813" s="3" t="str">
        <f>HYPERLINK("https://12go.asia/en/travel/anand-vihar-trm/bhatpar-rani", "12Go Link")</f>
        <v>12Go Link</v>
      </c>
      <c r="E2813" s="2" t="s">
        <v>226</v>
      </c>
    </row>
    <row r="2814">
      <c r="A2814" s="2" t="s">
        <v>2318</v>
      </c>
      <c r="B2814" s="2" t="s">
        <v>2551</v>
      </c>
      <c r="C2814" s="2" t="s">
        <v>2552</v>
      </c>
      <c r="D2814" s="3" t="str">
        <f>HYPERLINK("https://12go.asia/en/travel/delhi/bhitarkanika-national-park", "12Go Link")</f>
        <v>12Go Link</v>
      </c>
      <c r="E2814" s="2" t="s">
        <v>226</v>
      </c>
    </row>
    <row r="2815">
      <c r="A2815" s="2" t="s">
        <v>2318</v>
      </c>
      <c r="B2815" s="2" t="s">
        <v>2485</v>
      </c>
      <c r="C2815" s="2" t="s">
        <v>2553</v>
      </c>
      <c r="D2815" s="3" t="str">
        <f>HYPERLINK("https://12go.asia/en/travel/delhi/burhanpur", "12Go Link")</f>
        <v>12Go Link</v>
      </c>
      <c r="E2815" s="2" t="s">
        <v>226</v>
      </c>
    </row>
    <row r="2816">
      <c r="A2816" s="2" t="s">
        <v>2318</v>
      </c>
      <c r="B2816" s="2" t="s">
        <v>2485</v>
      </c>
      <c r="C2816" s="2" t="s">
        <v>2554</v>
      </c>
      <c r="D2816" s="3" t="str">
        <f>HYPERLINK("https://12go.asia/en/travel/hazrat-nizamuddin/burhanpur", "12Go Link")</f>
        <v>12Go Link</v>
      </c>
      <c r="E2816" s="2" t="s">
        <v>226</v>
      </c>
    </row>
    <row r="2817">
      <c r="A2817" s="2" t="s">
        <v>2318</v>
      </c>
      <c r="B2817" s="2" t="s">
        <v>2555</v>
      </c>
      <c r="C2817" s="2" t="s">
        <v>2556</v>
      </c>
      <c r="D2817" s="3" t="str">
        <f>HYPERLINK("https://12go.asia/en/travel/delhi/gomoh", "12Go Link")</f>
        <v>12Go Link</v>
      </c>
      <c r="E2817" s="2" t="s">
        <v>226</v>
      </c>
    </row>
    <row r="2818">
      <c r="A2818" s="2" t="s">
        <v>2318</v>
      </c>
      <c r="B2818" s="2" t="s">
        <v>2557</v>
      </c>
      <c r="C2818" s="2" t="s">
        <v>2558</v>
      </c>
      <c r="D2818" s="3" t="str">
        <f>HYPERLINK("https://12go.asia/en/travel/delhi-sarai-rohilla/mavli-junction", "12Go Link")</f>
        <v>12Go Link</v>
      </c>
      <c r="E2818" s="2" t="s">
        <v>226</v>
      </c>
    </row>
    <row r="2819">
      <c r="A2819" s="2" t="s">
        <v>2318</v>
      </c>
      <c r="B2819" s="2" t="s">
        <v>2559</v>
      </c>
      <c r="C2819" s="2" t="s">
        <v>2560</v>
      </c>
      <c r="D2819" s="3" t="str">
        <f>HYPERLINK("https://12go.asia/en/travel/delhi-cantt/modinagar", "12Go Link")</f>
        <v>12Go Link</v>
      </c>
      <c r="E2819" s="2" t="s">
        <v>226</v>
      </c>
    </row>
    <row r="2820">
      <c r="A2820" s="2" t="s">
        <v>2318</v>
      </c>
      <c r="B2820" s="2" t="s">
        <v>2559</v>
      </c>
      <c r="C2820" s="2" t="s">
        <v>2561</v>
      </c>
      <c r="D2820" s="3" t="str">
        <f>HYPERLINK("https://12go.asia/en/travel/hazrat-nizamuddin/modinagar", "12Go Link")</f>
        <v>12Go Link</v>
      </c>
      <c r="E2820" s="2" t="s">
        <v>226</v>
      </c>
    </row>
    <row r="2821">
      <c r="A2821" s="2" t="s">
        <v>2318</v>
      </c>
      <c r="B2821" s="2" t="s">
        <v>2559</v>
      </c>
      <c r="C2821" s="2" t="s">
        <v>2562</v>
      </c>
      <c r="D2821" s="3" t="str">
        <f>HYPERLINK("https://12go.asia/en/travel/delhi/modinagar", "12Go Link")</f>
        <v>12Go Link</v>
      </c>
      <c r="E2821" s="2" t="s">
        <v>226</v>
      </c>
    </row>
    <row r="2822">
      <c r="A2822" s="2" t="s">
        <v>2318</v>
      </c>
      <c r="B2822" s="2" t="s">
        <v>2190</v>
      </c>
      <c r="C2822" s="2" t="s">
        <v>2563</v>
      </c>
      <c r="D2822" s="3" t="str">
        <f>HYPERLINK("https://12go.asia/en/travel/delhi/deen-dayal-upadhyaya-jn", "12Go Link")</f>
        <v>12Go Link</v>
      </c>
      <c r="E2822" s="2" t="s">
        <v>226</v>
      </c>
    </row>
    <row r="2823">
      <c r="A2823" s="2" t="s">
        <v>2318</v>
      </c>
      <c r="B2823" s="2" t="s">
        <v>2564</v>
      </c>
      <c r="C2823" s="2" t="s">
        <v>2565</v>
      </c>
      <c r="D2823" s="3" t="str">
        <f>HYPERLINK("https://12go.asia/en/travel/delhi-sarai-rohilla/viramgam-junction", "12Go Link")</f>
        <v>12Go Link</v>
      </c>
      <c r="E2823" s="2" t="s">
        <v>226</v>
      </c>
    </row>
    <row r="2824">
      <c r="A2824" s="2" t="s">
        <v>2318</v>
      </c>
      <c r="B2824" s="2" t="s">
        <v>2564</v>
      </c>
      <c r="C2824" s="2" t="s">
        <v>2566</v>
      </c>
      <c r="D2824" s="3" t="str">
        <f>HYPERLINK("https://12go.asia/en/travel/delhi/viramgam", "12Go Link")</f>
        <v>12Go Link</v>
      </c>
      <c r="E2824" s="2" t="s">
        <v>226</v>
      </c>
    </row>
    <row r="2825">
      <c r="A2825" s="2" t="s">
        <v>2567</v>
      </c>
      <c r="B2825" s="2" t="s">
        <v>2273</v>
      </c>
      <c r="C2825" s="2" t="s">
        <v>2568</v>
      </c>
      <c r="D2825" s="3" t="str">
        <f>HYPERLINK("https://12go.asia/en/travel/deoghar/prayagraj", "12Go Link")</f>
        <v>12Go Link</v>
      </c>
      <c r="E2825" s="2" t="s">
        <v>226</v>
      </c>
    </row>
    <row r="2826">
      <c r="A2826" s="2" t="s">
        <v>2569</v>
      </c>
      <c r="B2826" s="2" t="s">
        <v>2192</v>
      </c>
      <c r="C2826" s="2" t="s">
        <v>2570</v>
      </c>
      <c r="D2826" s="3" t="str">
        <f>HYPERLINK("https://12go.asia/en/travel/deshnok/agra", "12Go Link")</f>
        <v>12Go Link</v>
      </c>
      <c r="E2826" s="2" t="s">
        <v>226</v>
      </c>
    </row>
    <row r="2827">
      <c r="A2827" s="2" t="s">
        <v>2569</v>
      </c>
      <c r="B2827" s="2" t="s">
        <v>2571</v>
      </c>
      <c r="C2827" s="2" t="s">
        <v>2572</v>
      </c>
      <c r="D2827" s="3" t="str">
        <f>HYPERLINK("https://12go.asia/en/travel/deshnok/bharatpur-jn", "12Go Link")</f>
        <v>12Go Link</v>
      </c>
      <c r="E2827" s="2" t="s">
        <v>226</v>
      </c>
    </row>
    <row r="2828">
      <c r="A2828" s="2" t="s">
        <v>2569</v>
      </c>
      <c r="B2828" s="2" t="s">
        <v>2571</v>
      </c>
      <c r="C2828" s="2" t="s">
        <v>2573</v>
      </c>
      <c r="D2828" s="3" t="str">
        <f>HYPERLINK("https://12go.asia/en/travel/deshnok/bharatpur-rajasthan", "12Go Link")</f>
        <v>12Go Link</v>
      </c>
      <c r="E2828" s="2" t="s">
        <v>226</v>
      </c>
    </row>
    <row r="2829">
      <c r="A2829" s="2" t="s">
        <v>2569</v>
      </c>
      <c r="B2829" s="2" t="s">
        <v>2574</v>
      </c>
      <c r="C2829" s="2" t="s">
        <v>2575</v>
      </c>
      <c r="D2829" s="3" t="str">
        <f>HYPERLINK("https://12go.asia/en/travel/deshnok/rajasthan", "12Go Link")</f>
        <v>12Go Link</v>
      </c>
      <c r="E2829" s="2" t="s">
        <v>226</v>
      </c>
    </row>
    <row r="2830">
      <c r="A2830" s="2" t="s">
        <v>2576</v>
      </c>
      <c r="B2830" s="2" t="s">
        <v>2577</v>
      </c>
      <c r="C2830" s="2" t="s">
        <v>2578</v>
      </c>
      <c r="D2830" s="3" t="str">
        <f>HYPERLINK("https://12go.asia/en/travel/dewas/roorkee", "12Go Link")</f>
        <v>12Go Link</v>
      </c>
      <c r="E2830" s="2" t="s">
        <v>226</v>
      </c>
    </row>
    <row r="2831">
      <c r="A2831" s="2" t="s">
        <v>2579</v>
      </c>
      <c r="B2831" s="2" t="s">
        <v>2380</v>
      </c>
      <c r="C2831" s="2" t="s">
        <v>2580</v>
      </c>
      <c r="D2831" s="3" t="str">
        <f>HYPERLINK("https://12go.asia/en/travel/dhampur/ayodhya-cantt", "12Go Link")</f>
        <v>12Go Link</v>
      </c>
      <c r="E2831" s="2" t="s">
        <v>226</v>
      </c>
    </row>
    <row r="2832">
      <c r="A2832" s="2" t="s">
        <v>2579</v>
      </c>
      <c r="B2832" s="2" t="s">
        <v>2380</v>
      </c>
      <c r="C2832" s="2" t="s">
        <v>2581</v>
      </c>
      <c r="D2832" s="3" t="str">
        <f>HYPERLINK("https://12go.asia/en/travel/dhampur/faizabad", "12Go Link")</f>
        <v>12Go Link</v>
      </c>
      <c r="E2832" s="2" t="s">
        <v>226</v>
      </c>
    </row>
    <row r="2833">
      <c r="A2833" s="2" t="s">
        <v>2420</v>
      </c>
      <c r="B2833" s="2" t="s">
        <v>2582</v>
      </c>
      <c r="C2833" s="2" t="s">
        <v>2583</v>
      </c>
      <c r="D2833" s="3" t="str">
        <f>HYPERLINK("https://12go.asia/en/travel/dhanbad-junction/darbhanga", "12Go Link")</f>
        <v>12Go Link</v>
      </c>
      <c r="E2833" s="2" t="s">
        <v>226</v>
      </c>
    </row>
    <row r="2834">
      <c r="A2834" s="2" t="s">
        <v>2420</v>
      </c>
      <c r="B2834" s="2" t="s">
        <v>2582</v>
      </c>
      <c r="C2834" s="2" t="s">
        <v>2584</v>
      </c>
      <c r="D2834" s="3" t="str">
        <f>HYPERLINK("https://12go.asia/en/travel/dhanbad/darbhanga", "12Go Link")</f>
        <v>12Go Link</v>
      </c>
      <c r="E2834" s="2" t="s">
        <v>226</v>
      </c>
    </row>
    <row r="2835">
      <c r="A2835" s="2" t="s">
        <v>2585</v>
      </c>
      <c r="B2835" s="2" t="s">
        <v>2260</v>
      </c>
      <c r="C2835" s="2" t="s">
        <v>2586</v>
      </c>
      <c r="D2835" s="3" t="str">
        <f>HYPERLINK("https://12go.asia/en/travel/dharmapuri-tamil-nadu/trivandrum", "12Go Link")</f>
        <v>12Go Link</v>
      </c>
      <c r="E2835" s="2" t="s">
        <v>59</v>
      </c>
    </row>
    <row r="2836">
      <c r="A2836" s="2" t="s">
        <v>231</v>
      </c>
      <c r="B2836" s="2" t="s">
        <v>113</v>
      </c>
      <c r="C2836" s="2" t="s">
        <v>2587</v>
      </c>
      <c r="D2836" s="3" t="str">
        <f>HYPERLINK("https://12go.asia/en/travel/dharwad/newcastle-nsw", "12Go Link")</f>
        <v>12Go Link</v>
      </c>
      <c r="E2836" s="2" t="s">
        <v>226</v>
      </c>
    </row>
    <row r="2837">
      <c r="A2837" s="2" t="s">
        <v>2588</v>
      </c>
      <c r="B2837" s="2" t="s">
        <v>2589</v>
      </c>
      <c r="C2837" s="2" t="s">
        <v>2590</v>
      </c>
      <c r="D2837" s="3" t="str">
        <f>HYPERLINK("https://12go.asia/en/travel/dhuri/haridwar", "12Go Link")</f>
        <v>12Go Link</v>
      </c>
      <c r="E2837" s="2" t="s">
        <v>226</v>
      </c>
    </row>
    <row r="2838">
      <c r="A2838" s="2" t="s">
        <v>2588</v>
      </c>
      <c r="B2838" s="2" t="s">
        <v>2294</v>
      </c>
      <c r="C2838" s="2" t="s">
        <v>2591</v>
      </c>
      <c r="D2838" s="3" t="str">
        <f>HYPERLINK("https://12go.asia/en/travel/dhuri/punjab", "12Go Link")</f>
        <v>12Go Link</v>
      </c>
      <c r="E2838" s="2" t="s">
        <v>226</v>
      </c>
    </row>
    <row r="2839">
      <c r="A2839" s="2" t="s">
        <v>2592</v>
      </c>
      <c r="B2839" s="2" t="s">
        <v>2593</v>
      </c>
      <c r="C2839" s="2" t="s">
        <v>2594</v>
      </c>
      <c r="D2839" s="3" t="str">
        <f>HYPERLINK("https://12go.asia/en/travel/dimapur/gorakhpur", "12Go Link")</f>
        <v>12Go Link</v>
      </c>
      <c r="E2839" s="2" t="s">
        <v>226</v>
      </c>
    </row>
    <row r="2840">
      <c r="A2840" s="2" t="s">
        <v>2595</v>
      </c>
      <c r="B2840" s="2" t="s">
        <v>2596</v>
      </c>
      <c r="C2840" s="2" t="s">
        <v>2597</v>
      </c>
      <c r="D2840" s="3" t="str">
        <f>HYPERLINK("https://12go.asia/en/travel/dodballapur/hampi", "12Go Link")</f>
        <v>12Go Link</v>
      </c>
      <c r="E2840" s="2" t="s">
        <v>226</v>
      </c>
    </row>
    <row r="2841">
      <c r="A2841" s="2" t="s">
        <v>2598</v>
      </c>
      <c r="B2841" s="2" t="s">
        <v>2410</v>
      </c>
      <c r="C2841" s="2" t="s">
        <v>2599</v>
      </c>
      <c r="D2841" s="3" t="str">
        <f>HYPERLINK("https://12go.asia/en/travel/doiwala/uttar-pradesh", "12Go Link")</f>
        <v>12Go Link</v>
      </c>
      <c r="E2841" s="2" t="s">
        <v>226</v>
      </c>
    </row>
    <row r="2842">
      <c r="A2842" s="2" t="s">
        <v>2600</v>
      </c>
      <c r="B2842" s="2" t="s">
        <v>2601</v>
      </c>
      <c r="C2842" s="2" t="s">
        <v>2602</v>
      </c>
      <c r="D2842" s="3" t="str">
        <f>HYPERLINK("https://12go.asia/en/travel/dondaicha/surat", "12Go Link")</f>
        <v>12Go Link</v>
      </c>
      <c r="E2842" s="2" t="s">
        <v>226</v>
      </c>
    </row>
    <row r="2843">
      <c r="A2843" s="2" t="s">
        <v>2603</v>
      </c>
      <c r="B2843" s="2" t="s">
        <v>2227</v>
      </c>
      <c r="C2843" s="2" t="s">
        <v>2604</v>
      </c>
      <c r="D2843" s="3" t="str">
        <f>HYPERLINK("https://12go.asia/en/travel/dudhani/maharashtra", "12Go Link")</f>
        <v>12Go Link</v>
      </c>
      <c r="E2843" s="2" t="s">
        <v>226</v>
      </c>
    </row>
    <row r="2844">
      <c r="A2844" s="2" t="s">
        <v>2483</v>
      </c>
      <c r="B2844" s="2" t="s">
        <v>2482</v>
      </c>
      <c r="C2844" s="2" t="s">
        <v>2605</v>
      </c>
      <c r="D2844" s="3" t="str">
        <f>HYPERLINK("https://12go.asia/en/travel/duvvada/bobbili", "12Go Link")</f>
        <v>12Go Link</v>
      </c>
      <c r="E2844" s="2" t="s">
        <v>226</v>
      </c>
    </row>
    <row r="2845">
      <c r="A2845" s="2" t="s">
        <v>2483</v>
      </c>
      <c r="B2845" s="2" t="s">
        <v>2205</v>
      </c>
      <c r="C2845" s="2" t="s">
        <v>2606</v>
      </c>
      <c r="D2845" s="3" t="str">
        <f>HYPERLINK("https://12go.asia/en/travel/duvvada/kothapatnam", "12Go Link")</f>
        <v>12Go Link</v>
      </c>
      <c r="E2845" s="2" t="s">
        <v>226</v>
      </c>
    </row>
    <row r="2846">
      <c r="A2846" s="2" t="s">
        <v>2483</v>
      </c>
      <c r="B2846" s="2" t="s">
        <v>2607</v>
      </c>
      <c r="C2846" s="2" t="s">
        <v>2608</v>
      </c>
      <c r="D2846" s="3" t="str">
        <f>HYPERLINK("https://12go.asia/en/travel/duvvada/ongole", "12Go Link")</f>
        <v>12Go Link</v>
      </c>
      <c r="E2846" s="2" t="s">
        <v>226</v>
      </c>
    </row>
    <row r="2847">
      <c r="A2847" s="2" t="s">
        <v>2349</v>
      </c>
      <c r="B2847" s="2" t="s">
        <v>2609</v>
      </c>
      <c r="C2847" s="2" t="s">
        <v>2610</v>
      </c>
      <c r="D2847" s="3" t="str">
        <f>HYPERLINK("https://12go.asia/en/travel/ernakulam/punalur", "12Go Link")</f>
        <v>12Go Link</v>
      </c>
      <c r="E2847" s="2" t="s">
        <v>226</v>
      </c>
    </row>
    <row r="2848">
      <c r="A2848" s="2" t="s">
        <v>2349</v>
      </c>
      <c r="B2848" s="2" t="s">
        <v>2611</v>
      </c>
      <c r="C2848" s="2" t="s">
        <v>2612</v>
      </c>
      <c r="D2848" s="3" t="str">
        <f>HYPERLINK("https://12go.asia/en/travel/ernakulam/thoothukudi", "12Go Link")</f>
        <v>12Go Link</v>
      </c>
      <c r="E2848" s="2" t="s">
        <v>226</v>
      </c>
    </row>
    <row r="2849">
      <c r="A2849" s="2" t="s">
        <v>2613</v>
      </c>
      <c r="B2849" s="2" t="s">
        <v>2405</v>
      </c>
      <c r="C2849" s="2" t="s">
        <v>2614</v>
      </c>
      <c r="D2849" s="3" t="str">
        <f>HYPERLINK("https://12go.asia/en/travel/erode/new-delhi", "12Go Link")</f>
        <v>12Go Link</v>
      </c>
      <c r="E2849" s="2" t="s">
        <v>226</v>
      </c>
    </row>
    <row r="2850">
      <c r="A2850" s="2" t="s">
        <v>2613</v>
      </c>
      <c r="B2850" s="2" t="s">
        <v>2236</v>
      </c>
      <c r="C2850" s="2" t="s">
        <v>2615</v>
      </c>
      <c r="D2850" s="3" t="str">
        <f>HYPERLINK("https://12go.asia/en/travel/erode/renigunta", "12Go Link")</f>
        <v>12Go Link</v>
      </c>
      <c r="E2850" s="2" t="s">
        <v>226</v>
      </c>
    </row>
    <row r="2851">
      <c r="A2851" s="2" t="s">
        <v>2613</v>
      </c>
      <c r="B2851" s="2" t="s">
        <v>2616</v>
      </c>
      <c r="C2851" s="2" t="s">
        <v>2617</v>
      </c>
      <c r="D2851" s="3" t="str">
        <f>HYPERLINK("https://12go.asia/en/travel/erode/secunderabad", "12Go Link")</f>
        <v>12Go Link</v>
      </c>
      <c r="E2851" s="2" t="s">
        <v>226</v>
      </c>
    </row>
    <row r="2852">
      <c r="A2852" s="2" t="s">
        <v>2613</v>
      </c>
      <c r="B2852" s="2" t="s">
        <v>2618</v>
      </c>
      <c r="C2852" s="2" t="s">
        <v>2619</v>
      </c>
      <c r="D2852" s="3" t="str">
        <f>HYPERLINK("https://12go.asia/en/travel/erode/thiruvananthapuram", "12Go Link")</f>
        <v>12Go Link</v>
      </c>
      <c r="E2852" s="2" t="s">
        <v>59</v>
      </c>
    </row>
    <row r="2853">
      <c r="A2853" s="2" t="s">
        <v>2620</v>
      </c>
      <c r="B2853" s="2" t="s">
        <v>2621</v>
      </c>
      <c r="C2853" s="2" t="s">
        <v>2622</v>
      </c>
      <c r="D2853" s="3" t="str">
        <f>HYPERLINK("https://12go.asia/en/travel/etawah/guwahati", "12Go Link")</f>
        <v>12Go Link</v>
      </c>
      <c r="E2853" s="2" t="s">
        <v>226</v>
      </c>
    </row>
    <row r="2854">
      <c r="A2854" s="2" t="s">
        <v>2620</v>
      </c>
      <c r="B2854" s="2" t="s">
        <v>2621</v>
      </c>
      <c r="C2854" s="2" t="s">
        <v>2623</v>
      </c>
      <c r="D2854" s="3" t="str">
        <f>HYPERLINK("https://12go.asia/en/travel/etawah/kamakhya", "12Go Link")</f>
        <v>12Go Link</v>
      </c>
      <c r="E2854" s="2" t="s">
        <v>226</v>
      </c>
    </row>
    <row r="2855">
      <c r="A2855" s="2" t="s">
        <v>2620</v>
      </c>
      <c r="B2855" s="2" t="s">
        <v>2227</v>
      </c>
      <c r="C2855" s="2" t="s">
        <v>2624</v>
      </c>
      <c r="D2855" s="3" t="str">
        <f>HYPERLINK("https://12go.asia/en/travel/etawah/maharashtra", "12Go Link")</f>
        <v>12Go Link</v>
      </c>
      <c r="E2855" s="2" t="s">
        <v>226</v>
      </c>
    </row>
    <row r="2856">
      <c r="A2856" s="2" t="s">
        <v>2620</v>
      </c>
      <c r="B2856" s="2" t="s">
        <v>2625</v>
      </c>
      <c r="C2856" s="2" t="s">
        <v>2626</v>
      </c>
      <c r="D2856" s="3" t="str">
        <f>HYPERLINK("https://12go.asia/en/travel/etawah/phaphund", "12Go Link")</f>
        <v>12Go Link</v>
      </c>
      <c r="E2856" s="2" t="s">
        <v>226</v>
      </c>
    </row>
    <row r="2857">
      <c r="A2857" s="2" t="s">
        <v>2620</v>
      </c>
      <c r="B2857" s="2" t="s">
        <v>2296</v>
      </c>
      <c r="C2857" s="2" t="s">
        <v>2627</v>
      </c>
      <c r="D2857" s="3" t="str">
        <f>HYPERLINK("https://12go.asia/en/travel/etawah/sikandra-agra", "12Go Link")</f>
        <v>12Go Link</v>
      </c>
      <c r="E2857" s="2" t="s">
        <v>226</v>
      </c>
    </row>
    <row r="2858">
      <c r="A2858" s="2" t="s">
        <v>2380</v>
      </c>
      <c r="B2858" s="2" t="s">
        <v>2628</v>
      </c>
      <c r="C2858" s="2" t="s">
        <v>2629</v>
      </c>
      <c r="D2858" s="3" t="str">
        <f>HYPERLINK("https://12go.asia/en/travel/ayodhya-cantt/jammu-tawi", "12Go Link")</f>
        <v>12Go Link</v>
      </c>
      <c r="E2858" s="2" t="s">
        <v>226</v>
      </c>
    </row>
    <row r="2859">
      <c r="A2859" s="2" t="s">
        <v>2380</v>
      </c>
      <c r="B2859" s="2" t="s">
        <v>2630</v>
      </c>
      <c r="C2859" s="2" t="s">
        <v>2631</v>
      </c>
      <c r="D2859" s="3" t="str">
        <f>HYPERLINK("https://12go.asia/en/travel/faizabad/jammu-and-kashmir", "12Go Link")</f>
        <v>12Go Link</v>
      </c>
      <c r="E2859" s="2" t="s">
        <v>226</v>
      </c>
    </row>
    <row r="2860">
      <c r="A2860" s="2" t="s">
        <v>2380</v>
      </c>
      <c r="B2860" s="2" t="s">
        <v>2632</v>
      </c>
      <c r="C2860" s="2" t="s">
        <v>2633</v>
      </c>
      <c r="D2860" s="3" t="str">
        <f>HYPERLINK("https://12go.asia/en/travel/faizabad/jammu-kashmir", "12Go Link")</f>
        <v>12Go Link</v>
      </c>
      <c r="E2860" s="2" t="s">
        <v>226</v>
      </c>
    </row>
    <row r="2861">
      <c r="A2861" s="2" t="s">
        <v>2380</v>
      </c>
      <c r="B2861" s="2" t="s">
        <v>2296</v>
      </c>
      <c r="C2861" s="2" t="s">
        <v>2634</v>
      </c>
      <c r="D2861" s="3" t="str">
        <f>HYPERLINK("https://12go.asia/en/travel/faizabad/sikandra-agra", "12Go Link")</f>
        <v>12Go Link</v>
      </c>
      <c r="E2861" s="2" t="s">
        <v>226</v>
      </c>
    </row>
    <row r="2862">
      <c r="A2862" s="2" t="s">
        <v>2635</v>
      </c>
      <c r="B2862" s="2" t="s">
        <v>2636</v>
      </c>
      <c r="C2862" s="2" t="s">
        <v>2637</v>
      </c>
      <c r="D2862" s="3" t="str">
        <f>HYPERLINK("https://12go.asia/en/travel/faridabad/haryana", "12Go Link")</f>
        <v>12Go Link</v>
      </c>
      <c r="E2862" s="2" t="s">
        <v>226</v>
      </c>
    </row>
    <row r="2863">
      <c r="A2863" s="2" t="s">
        <v>2635</v>
      </c>
      <c r="B2863" s="2" t="s">
        <v>2638</v>
      </c>
      <c r="C2863" s="2" t="s">
        <v>2639</v>
      </c>
      <c r="D2863" s="3" t="str">
        <f>HYPERLINK("https://12go.asia/en/travel/faridabad/jind-junction", "12Go Link")</f>
        <v>12Go Link</v>
      </c>
      <c r="E2863" s="2" t="s">
        <v>226</v>
      </c>
    </row>
    <row r="2864">
      <c r="A2864" s="2" t="s">
        <v>2635</v>
      </c>
      <c r="B2864" s="2" t="s">
        <v>2638</v>
      </c>
      <c r="C2864" s="2" t="s">
        <v>2640</v>
      </c>
      <c r="D2864" s="3" t="str">
        <f>HYPERLINK("https://12go.asia/en/travel/faridabad/jind", "12Go Link")</f>
        <v>12Go Link</v>
      </c>
      <c r="E2864" s="2" t="s">
        <v>226</v>
      </c>
    </row>
    <row r="2865">
      <c r="A2865" s="2" t="s">
        <v>2635</v>
      </c>
      <c r="B2865" s="2" t="s">
        <v>2296</v>
      </c>
      <c r="C2865" s="2" t="s">
        <v>2641</v>
      </c>
      <c r="D2865" s="3" t="str">
        <f>HYPERLINK("https://12go.asia/en/travel/faridabad/sikandra-agra", "12Go Link")</f>
        <v>12Go Link</v>
      </c>
      <c r="E2865" s="2" t="s">
        <v>226</v>
      </c>
    </row>
    <row r="2866">
      <c r="A2866" s="2" t="s">
        <v>2642</v>
      </c>
      <c r="B2866" s="2" t="s">
        <v>2466</v>
      </c>
      <c r="C2866" s="2" t="s">
        <v>2643</v>
      </c>
      <c r="D2866" s="3" t="str">
        <f>HYPERLINK("https://12go.asia/en/travel/fatehpur-uttar-pradesh/bikaner", "12Go Link")</f>
        <v>12Go Link</v>
      </c>
      <c r="E2866" s="2" t="s">
        <v>226</v>
      </c>
    </row>
    <row r="2867">
      <c r="A2867" s="2" t="s">
        <v>2644</v>
      </c>
      <c r="B2867" s="2" t="s">
        <v>2645</v>
      </c>
      <c r="C2867" s="2" t="s">
        <v>2646</v>
      </c>
      <c r="D2867" s="3" t="str">
        <f>HYPERLINK("https://12go.asia/en/travel/ferozepur/jalandhar", "12Go Link")</f>
        <v>12Go Link</v>
      </c>
      <c r="E2867" s="2" t="s">
        <v>226</v>
      </c>
    </row>
    <row r="2868">
      <c r="A2868" s="2" t="s">
        <v>2647</v>
      </c>
      <c r="B2868" s="2" t="s">
        <v>2296</v>
      </c>
      <c r="C2868" s="2" t="s">
        <v>2648</v>
      </c>
      <c r="D2868" s="3" t="str">
        <f>HYPERLINK("https://12go.asia/en/travel/firozabad/sikandra-agra", "12Go Link")</f>
        <v>12Go Link</v>
      </c>
      <c r="E2868" s="2" t="s">
        <v>226</v>
      </c>
    </row>
    <row r="2869">
      <c r="A2869" s="2" t="s">
        <v>2649</v>
      </c>
      <c r="B2869" s="2" t="s">
        <v>2650</v>
      </c>
      <c r="C2869" s="2" t="s">
        <v>2651</v>
      </c>
      <c r="D2869" s="3" t="str">
        <f>HYPERLINK("https://12go.asia/en/travel/gajraula-junction/ghaziabad", "12Go Link")</f>
        <v>12Go Link</v>
      </c>
      <c r="E2869" s="2" t="s">
        <v>226</v>
      </c>
    </row>
    <row r="2870">
      <c r="A2870" s="2" t="s">
        <v>2649</v>
      </c>
      <c r="B2870" s="2" t="s">
        <v>2410</v>
      </c>
      <c r="C2870" s="2" t="s">
        <v>2652</v>
      </c>
      <c r="D2870" s="3" t="str">
        <f>HYPERLINK("https://12go.asia/en/travel/gajraula/uttar-pradesh", "12Go Link")</f>
        <v>12Go Link</v>
      </c>
      <c r="E2870" s="2" t="s">
        <v>226</v>
      </c>
    </row>
    <row r="2871">
      <c r="A2871" s="2" t="s">
        <v>2653</v>
      </c>
      <c r="B2871" s="2" t="s">
        <v>2501</v>
      </c>
      <c r="C2871" s="2" t="s">
        <v>2654</v>
      </c>
      <c r="D2871" s="3" t="str">
        <f>HYPERLINK("https://12go.asia/en/travel/ganagapur-road/hyderabad", "12Go Link")</f>
        <v>12Go Link</v>
      </c>
      <c r="E2871" s="2" t="s">
        <v>226</v>
      </c>
    </row>
    <row r="2872">
      <c r="A2872" s="2" t="s">
        <v>2653</v>
      </c>
      <c r="B2872" s="2" t="s">
        <v>2501</v>
      </c>
      <c r="C2872" s="2" t="s">
        <v>2655</v>
      </c>
      <c r="D2872" s="3" t="str">
        <f>HYPERLINK("https://12go.asia/en/travel/ganagapur-road/hyderabad-decan", "12Go Link")</f>
        <v>12Go Link</v>
      </c>
      <c r="E2872" s="2" t="s">
        <v>226</v>
      </c>
    </row>
    <row r="2873">
      <c r="A2873" s="2" t="s">
        <v>2656</v>
      </c>
      <c r="B2873" s="2" t="s">
        <v>2657</v>
      </c>
      <c r="C2873" s="2" t="s">
        <v>2658</v>
      </c>
      <c r="D2873" s="3" t="str">
        <f>HYPERLINK("https://12go.asia/en/travel/gandhidham-bg/bharuch-junction", "12Go Link")</f>
        <v>12Go Link</v>
      </c>
      <c r="E2873" s="2" t="s">
        <v>226</v>
      </c>
    </row>
    <row r="2874">
      <c r="A2874" s="2" t="s">
        <v>2656</v>
      </c>
      <c r="B2874" s="2" t="s">
        <v>2657</v>
      </c>
      <c r="C2874" s="2" t="s">
        <v>2659</v>
      </c>
      <c r="D2874" s="3" t="str">
        <f>HYPERLINK("https://12go.asia/en/travel/gandhidham/bharuch", "12Go Link")</f>
        <v>12Go Link</v>
      </c>
      <c r="E2874" s="2" t="s">
        <v>226</v>
      </c>
    </row>
    <row r="2875">
      <c r="A2875" s="2" t="s">
        <v>2660</v>
      </c>
      <c r="B2875" s="2" t="s">
        <v>2385</v>
      </c>
      <c r="C2875" s="2" t="s">
        <v>2661</v>
      </c>
      <c r="D2875" s="3" t="str">
        <f>HYPERLINK("https://12go.asia/en/travel/gauripur-india/assam", "12Go Link")</f>
        <v>12Go Link</v>
      </c>
      <c r="E2875" s="2" t="s">
        <v>226</v>
      </c>
    </row>
    <row r="2876">
      <c r="A2876" s="2" t="s">
        <v>2662</v>
      </c>
      <c r="B2876" s="2" t="s">
        <v>2663</v>
      </c>
      <c r="C2876" s="2" t="s">
        <v>2664</v>
      </c>
      <c r="D2876" s="3" t="str">
        <f>HYPERLINK("https://12go.asia/en/travel/charlapalli/nizamabad", "12Go Link")</f>
        <v>12Go Link</v>
      </c>
      <c r="E2876" s="2" t="s">
        <v>226</v>
      </c>
    </row>
    <row r="2877">
      <c r="A2877" s="2" t="s">
        <v>2662</v>
      </c>
      <c r="B2877" s="2" t="s">
        <v>2663</v>
      </c>
      <c r="C2877" s="2" t="s">
        <v>2665</v>
      </c>
      <c r="D2877" s="3" t="str">
        <f>HYPERLINK("https://12go.asia/en/travel/ghatkesar/nizamabad", "12Go Link")</f>
        <v>12Go Link</v>
      </c>
      <c r="E2877" s="2" t="s">
        <v>226</v>
      </c>
    </row>
    <row r="2878">
      <c r="A2878" s="2" t="s">
        <v>2650</v>
      </c>
      <c r="B2878" s="2" t="s">
        <v>2666</v>
      </c>
      <c r="C2878" s="2" t="s">
        <v>2667</v>
      </c>
      <c r="D2878" s="3" t="str">
        <f>HYPERLINK("https://12go.asia/en/travel/ghaziabad/khurja", "12Go Link")</f>
        <v>12Go Link</v>
      </c>
      <c r="E2878" s="2" t="s">
        <v>226</v>
      </c>
    </row>
    <row r="2879">
      <c r="A2879" s="2" t="s">
        <v>2650</v>
      </c>
      <c r="B2879" s="2" t="s">
        <v>2666</v>
      </c>
      <c r="C2879" s="2" t="s">
        <v>2668</v>
      </c>
      <c r="D2879" s="3" t="str">
        <f>HYPERLINK("https://12go.asia/en/travel/ghaziabad/khurja-junction", "12Go Link")</f>
        <v>12Go Link</v>
      </c>
      <c r="E2879" s="2" t="s">
        <v>226</v>
      </c>
    </row>
    <row r="2880">
      <c r="A2880" s="2" t="s">
        <v>2650</v>
      </c>
      <c r="B2880" s="2" t="s">
        <v>2190</v>
      </c>
      <c r="C2880" s="2" t="s">
        <v>2669</v>
      </c>
      <c r="D2880" s="3" t="str">
        <f>HYPERLINK("https://12go.asia/en/travel/ghaziabad/deen-dayal-upadhyaya-jn", "12Go Link")</f>
        <v>12Go Link</v>
      </c>
      <c r="E2880" s="2" t="s">
        <v>226</v>
      </c>
    </row>
    <row r="2881">
      <c r="A2881" s="2" t="s">
        <v>2670</v>
      </c>
      <c r="B2881" s="2" t="s">
        <v>2227</v>
      </c>
      <c r="C2881" s="2" t="s">
        <v>2671</v>
      </c>
      <c r="D2881" s="3" t="str">
        <f>HYPERLINK("https://12go.asia/en/travel/ghazipur/maharashtra", "12Go Link")</f>
        <v>12Go Link</v>
      </c>
      <c r="E2881" s="2" t="s">
        <v>226</v>
      </c>
    </row>
    <row r="2882">
      <c r="A2882" s="2" t="s">
        <v>2672</v>
      </c>
      <c r="B2882" s="2" t="s">
        <v>2368</v>
      </c>
      <c r="C2882" s="2" t="s">
        <v>2673</v>
      </c>
      <c r="D2882" s="3" t="str">
        <f>HYPERLINK("https://12go.asia/en/travel/vasco-da-gama/arsikere", "12Go Link")</f>
        <v>12Go Link</v>
      </c>
      <c r="E2882" s="2" t="s">
        <v>226</v>
      </c>
    </row>
    <row r="2883">
      <c r="A2883" s="2" t="s">
        <v>2672</v>
      </c>
      <c r="B2883" s="2" t="s">
        <v>2342</v>
      </c>
      <c r="C2883" s="2" t="s">
        <v>2674</v>
      </c>
      <c r="D2883" s="3" t="str">
        <f>HYPERLINK("https://12go.asia/en/travel/thivim/kumta", "12Go Link")</f>
        <v>12Go Link</v>
      </c>
      <c r="E2883" s="2" t="s">
        <v>226</v>
      </c>
    </row>
    <row r="2884">
      <c r="A2884" s="2" t="s">
        <v>2672</v>
      </c>
      <c r="B2884" s="2" t="s">
        <v>2344</v>
      </c>
      <c r="C2884" s="2" t="s">
        <v>2675</v>
      </c>
      <c r="D2884" s="3" t="str">
        <f>HYPERLINK("https://12go.asia/en/travel/thivim/kundapura", "12Go Link")</f>
        <v>12Go Link</v>
      </c>
      <c r="E2884" s="2" t="s">
        <v>226</v>
      </c>
    </row>
    <row r="2885">
      <c r="A2885" s="2" t="s">
        <v>2383</v>
      </c>
      <c r="B2885" s="2" t="s">
        <v>2296</v>
      </c>
      <c r="C2885" s="2" t="s">
        <v>2676</v>
      </c>
      <c r="D2885" s="3" t="str">
        <f>HYPERLINK("https://12go.asia/en/travel/gujarat/sikandra-agra", "12Go Link")</f>
        <v>12Go Link</v>
      </c>
      <c r="E2885" s="2" t="s">
        <v>226</v>
      </c>
    </row>
    <row r="2886">
      <c r="A2886" s="2" t="s">
        <v>2677</v>
      </c>
      <c r="B2886" s="2" t="s">
        <v>2678</v>
      </c>
      <c r="C2886" s="2" t="s">
        <v>2679</v>
      </c>
      <c r="D2886" s="3" t="str">
        <f>HYPERLINK("https://12go.asia/en/travel/new-guntur/kakinada-town", "12Go Link")</f>
        <v>12Go Link</v>
      </c>
      <c r="E2886" s="2" t="s">
        <v>226</v>
      </c>
    </row>
    <row r="2887">
      <c r="A2887" s="2" t="s">
        <v>2677</v>
      </c>
      <c r="B2887" s="2" t="s">
        <v>2678</v>
      </c>
      <c r="C2887" s="2" t="s">
        <v>2680</v>
      </c>
      <c r="D2887" s="3" t="str">
        <f>HYPERLINK("https://12go.asia/en/travel/guntur/kakinada", "12Go Link")</f>
        <v>12Go Link</v>
      </c>
      <c r="E2887" s="2" t="s">
        <v>226</v>
      </c>
    </row>
    <row r="2888">
      <c r="A2888" s="2" t="s">
        <v>2677</v>
      </c>
      <c r="B2888" s="2" t="s">
        <v>2365</v>
      </c>
      <c r="C2888" s="2" t="s">
        <v>2681</v>
      </c>
      <c r="D2888" s="3" t="str">
        <f>HYPERLINK("https://12go.asia/en/travel/guntur-junction/simhachalam", "12Go Link")</f>
        <v>12Go Link</v>
      </c>
      <c r="E2888" s="2" t="s">
        <v>226</v>
      </c>
    </row>
    <row r="2889">
      <c r="A2889" s="2" t="s">
        <v>2677</v>
      </c>
      <c r="B2889" s="2" t="s">
        <v>2365</v>
      </c>
      <c r="C2889" s="2" t="s">
        <v>2682</v>
      </c>
      <c r="D2889" s="3" t="str">
        <f>HYPERLINK("https://12go.asia/en/travel/guntur/simhachalam", "12Go Link")</f>
        <v>12Go Link</v>
      </c>
      <c r="E2889" s="2" t="s">
        <v>226</v>
      </c>
    </row>
    <row r="2890">
      <c r="A2890" s="2" t="s">
        <v>2683</v>
      </c>
      <c r="B2890" s="2" t="s">
        <v>2296</v>
      </c>
      <c r="C2890" s="2" t="s">
        <v>2684</v>
      </c>
      <c r="D2890" s="3" t="str">
        <f>HYPERLINK("https://12go.asia/en/travel/gwalior/sikandra-agra", "12Go Link")</f>
        <v>12Go Link</v>
      </c>
      <c r="E2890" s="2" t="s">
        <v>226</v>
      </c>
    </row>
    <row r="2891">
      <c r="A2891" s="2" t="s">
        <v>2685</v>
      </c>
      <c r="B2891" s="2" t="s">
        <v>2451</v>
      </c>
      <c r="C2891" s="2" t="s">
        <v>2686</v>
      </c>
      <c r="D2891" s="3" t="str">
        <f>HYPERLINK("https://12go.asia/en/travel/habibganj/betul", "12Go Link")</f>
        <v>12Go Link</v>
      </c>
      <c r="E2891" s="2" t="s">
        <v>226</v>
      </c>
    </row>
    <row r="2892">
      <c r="A2892" s="2" t="s">
        <v>2685</v>
      </c>
      <c r="B2892" s="2" t="s">
        <v>2486</v>
      </c>
      <c r="C2892" s="2" t="s">
        <v>2687</v>
      </c>
      <c r="D2892" s="3" t="str">
        <f>HYPERLINK("https://12go.asia/en/travel/habibganj/bhusaval", "12Go Link")</f>
        <v>12Go Link</v>
      </c>
      <c r="E2892" s="2" t="s">
        <v>226</v>
      </c>
    </row>
    <row r="2893">
      <c r="A2893" s="2" t="s">
        <v>2685</v>
      </c>
      <c r="B2893" s="2" t="s">
        <v>2453</v>
      </c>
      <c r="C2893" s="2" t="s">
        <v>2688</v>
      </c>
      <c r="D2893" s="3" t="str">
        <f>HYPERLINK("https://12go.asia/en/travel/habibganj/bina", "12Go Link")</f>
        <v>12Go Link</v>
      </c>
      <c r="E2893" s="2" t="s">
        <v>226</v>
      </c>
    </row>
    <row r="2894">
      <c r="A2894" s="2" t="s">
        <v>2685</v>
      </c>
      <c r="B2894" s="2" t="s">
        <v>2516</v>
      </c>
      <c r="C2894" s="2" t="s">
        <v>2689</v>
      </c>
      <c r="D2894" s="3" t="str">
        <f>HYPERLINK("https://12go.asia/en/travel/habibganj/chennai", "12Go Link")</f>
        <v>12Go Link</v>
      </c>
      <c r="E2894" s="2" t="s">
        <v>226</v>
      </c>
    </row>
    <row r="2895">
      <c r="A2895" s="2" t="s">
        <v>2685</v>
      </c>
      <c r="B2895" s="2" t="s">
        <v>2593</v>
      </c>
      <c r="C2895" s="2" t="s">
        <v>2690</v>
      </c>
      <c r="D2895" s="3" t="str">
        <f>HYPERLINK("https://12go.asia/en/travel/habibganj/gorakhpur", "12Go Link")</f>
        <v>12Go Link</v>
      </c>
      <c r="E2895" s="2" t="s">
        <v>226</v>
      </c>
    </row>
    <row r="2896">
      <c r="A2896" s="2" t="s">
        <v>2685</v>
      </c>
      <c r="B2896" s="2" t="s">
        <v>2198</v>
      </c>
      <c r="C2896" s="2" t="s">
        <v>2691</v>
      </c>
      <c r="D2896" s="3" t="str">
        <f>HYPERLINK("https://12go.asia/en/travel/habibganj/kanpur", "12Go Link")</f>
        <v>12Go Link</v>
      </c>
      <c r="E2896" s="2" t="s">
        <v>226</v>
      </c>
    </row>
    <row r="2897">
      <c r="A2897" s="2" t="s">
        <v>2685</v>
      </c>
      <c r="B2897" s="2" t="s">
        <v>2455</v>
      </c>
      <c r="C2897" s="2" t="s">
        <v>2692</v>
      </c>
      <c r="D2897" s="3" t="str">
        <f>HYPERLINK("https://12go.asia/en/travel/habibganj/khandwa", "12Go Link")</f>
        <v>12Go Link</v>
      </c>
      <c r="E2897" s="2" t="s">
        <v>226</v>
      </c>
    </row>
    <row r="2898">
      <c r="A2898" s="2" t="s">
        <v>2685</v>
      </c>
      <c r="B2898" s="2" t="s">
        <v>2616</v>
      </c>
      <c r="C2898" s="2" t="s">
        <v>2693</v>
      </c>
      <c r="D2898" s="3" t="str">
        <f>HYPERLINK("https://12go.asia/en/travel/habibganj/secunderabad", "12Go Link")</f>
        <v>12Go Link</v>
      </c>
      <c r="E2898" s="2" t="s">
        <v>226</v>
      </c>
    </row>
    <row r="2899">
      <c r="A2899" s="2" t="s">
        <v>2685</v>
      </c>
      <c r="B2899" s="2" t="s">
        <v>2296</v>
      </c>
      <c r="C2899" s="2" t="s">
        <v>2694</v>
      </c>
      <c r="D2899" s="3" t="str">
        <f>HYPERLINK("https://12go.asia/en/travel/habibganj/sikandra-agra", "12Go Link")</f>
        <v>12Go Link</v>
      </c>
      <c r="E2899" s="2" t="s">
        <v>226</v>
      </c>
    </row>
    <row r="2900">
      <c r="A2900" s="2" t="s">
        <v>2695</v>
      </c>
      <c r="B2900" s="2" t="s">
        <v>2696</v>
      </c>
      <c r="C2900" s="2" t="s">
        <v>2697</v>
      </c>
      <c r="D2900" s="3" t="str">
        <f>HYPERLINK("https://12go.asia/en/travel/hajipur-junction/katihar-junction", "12Go Link")</f>
        <v>12Go Link</v>
      </c>
      <c r="E2900" s="2" t="s">
        <v>226</v>
      </c>
    </row>
    <row r="2901">
      <c r="A2901" s="2" t="s">
        <v>2695</v>
      </c>
      <c r="B2901" s="2" t="s">
        <v>2696</v>
      </c>
      <c r="C2901" s="2" t="s">
        <v>2698</v>
      </c>
      <c r="D2901" s="3" t="str">
        <f>HYPERLINK("https://12go.asia/en/travel/hajipur/katihar", "12Go Link")</f>
        <v>12Go Link</v>
      </c>
      <c r="E2901" s="2" t="s">
        <v>226</v>
      </c>
    </row>
    <row r="2902">
      <c r="A2902" s="2" t="s">
        <v>2695</v>
      </c>
      <c r="B2902" s="2" t="s">
        <v>2699</v>
      </c>
      <c r="C2902" s="2" t="s">
        <v>2700</v>
      </c>
      <c r="D2902" s="3" t="str">
        <f>HYPERLINK("https://12go.asia/en/travel/hajipur-junction/siwan-junction", "12Go Link")</f>
        <v>12Go Link</v>
      </c>
      <c r="E2902" s="2" t="s">
        <v>226</v>
      </c>
    </row>
    <row r="2903">
      <c r="A2903" s="2" t="s">
        <v>2695</v>
      </c>
      <c r="B2903" s="2" t="s">
        <v>2699</v>
      </c>
      <c r="C2903" s="2" t="s">
        <v>2701</v>
      </c>
      <c r="D2903" s="3" t="str">
        <f>HYPERLINK("https://12go.asia/en/travel/hajipur/siwan", "12Go Link")</f>
        <v>12Go Link</v>
      </c>
      <c r="E2903" s="2" t="s">
        <v>226</v>
      </c>
    </row>
    <row r="2904">
      <c r="A2904" s="2" t="s">
        <v>2702</v>
      </c>
      <c r="B2904" s="2" t="s">
        <v>2242</v>
      </c>
      <c r="C2904" s="2" t="s">
        <v>2703</v>
      </c>
      <c r="D2904" s="3" t="str">
        <f>HYPERLINK("https://12go.asia/en/travel/haldwani/ajmer-jn", "12Go Link")</f>
        <v>12Go Link</v>
      </c>
      <c r="E2904" s="2" t="s">
        <v>226</v>
      </c>
    </row>
    <row r="2905">
      <c r="A2905" s="2" t="s">
        <v>2702</v>
      </c>
      <c r="B2905" s="2" t="s">
        <v>2242</v>
      </c>
      <c r="C2905" s="2" t="s">
        <v>2704</v>
      </c>
      <c r="D2905" s="3" t="str">
        <f>HYPERLINK("https://12go.asia/en/travel/haldwani/ajmer", "12Go Link")</f>
        <v>12Go Link</v>
      </c>
      <c r="E2905" s="2" t="s">
        <v>226</v>
      </c>
    </row>
    <row r="2906">
      <c r="A2906" s="2" t="s">
        <v>2702</v>
      </c>
      <c r="B2906" s="2" t="s">
        <v>2705</v>
      </c>
      <c r="C2906" s="2" t="s">
        <v>2706</v>
      </c>
      <c r="D2906" s="3" t="str">
        <f>HYPERLINK("https://12go.asia/en/travel/haldwani/moradabad", "12Go Link")</f>
        <v>12Go Link</v>
      </c>
      <c r="E2906" s="2" t="s">
        <v>226</v>
      </c>
    </row>
    <row r="2907">
      <c r="A2907" s="2" t="s">
        <v>2702</v>
      </c>
      <c r="B2907" s="2" t="s">
        <v>2470</v>
      </c>
      <c r="C2907" s="2" t="s">
        <v>2707</v>
      </c>
      <c r="D2907" s="3" t="str">
        <f>HYPERLINK("https://12go.asia/en/travel/haldwani/west-bengal", "12Go Link")</f>
        <v>12Go Link</v>
      </c>
      <c r="E2907" s="2" t="s">
        <v>226</v>
      </c>
    </row>
    <row r="2908">
      <c r="A2908" s="2" t="s">
        <v>2708</v>
      </c>
      <c r="B2908" s="2" t="s">
        <v>2709</v>
      </c>
      <c r="C2908" s="2" t="s">
        <v>2710</v>
      </c>
      <c r="D2908" s="3" t="str">
        <f>HYPERLINK("https://12go.asia/en/travel/hanumangarh-junction/shri-ganganagar", "12Go Link")</f>
        <v>12Go Link</v>
      </c>
      <c r="E2908" s="2" t="s">
        <v>226</v>
      </c>
    </row>
    <row r="2909">
      <c r="A2909" s="2" t="s">
        <v>2708</v>
      </c>
      <c r="B2909" s="2" t="s">
        <v>2709</v>
      </c>
      <c r="C2909" s="2" t="s">
        <v>2711</v>
      </c>
      <c r="D2909" s="3" t="str">
        <f>HYPERLINK("https://12go.asia/en/travel/hanumangarh/sri-ganganagar", "12Go Link")</f>
        <v>12Go Link</v>
      </c>
      <c r="E2909" s="2" t="s">
        <v>226</v>
      </c>
    </row>
    <row r="2910">
      <c r="A2910" s="2" t="s">
        <v>2636</v>
      </c>
      <c r="B2910" s="2" t="s">
        <v>2432</v>
      </c>
      <c r="C2910" s="2" t="s">
        <v>2712</v>
      </c>
      <c r="D2910" s="3" t="str">
        <f>HYPERLINK("https://12go.asia/en/travel/haryana/beas", "12Go Link")</f>
        <v>12Go Link</v>
      </c>
      <c r="E2910" s="2" t="s">
        <v>226</v>
      </c>
    </row>
    <row r="2911">
      <c r="A2911" s="2" t="s">
        <v>2636</v>
      </c>
      <c r="B2911" s="2" t="s">
        <v>2713</v>
      </c>
      <c r="C2911" s="2" t="s">
        <v>2714</v>
      </c>
      <c r="D2911" s="3" t="str">
        <f>HYPERLINK("https://12go.asia/en/travel/haryana/bhiwani", "12Go Link")</f>
        <v>12Go Link</v>
      </c>
      <c r="E2911" s="2" t="s">
        <v>226</v>
      </c>
    </row>
    <row r="2912">
      <c r="A2912" s="2" t="s">
        <v>2636</v>
      </c>
      <c r="B2912" s="2" t="s">
        <v>2715</v>
      </c>
      <c r="C2912" s="2" t="s">
        <v>2716</v>
      </c>
      <c r="D2912" s="3" t="str">
        <f>HYPERLINK("https://12go.asia/en/travel/haryana/madurai", "12Go Link")</f>
        <v>12Go Link</v>
      </c>
      <c r="E2912" s="2" t="s">
        <v>226</v>
      </c>
    </row>
    <row r="2913">
      <c r="A2913" s="2" t="s">
        <v>2636</v>
      </c>
      <c r="B2913" s="2" t="s">
        <v>2717</v>
      </c>
      <c r="C2913" s="2" t="s">
        <v>2718</v>
      </c>
      <c r="D2913" s="3" t="str">
        <f>HYPERLINK("https://12go.asia/en/travel/rohtak-junction/panipat-junction", "12Go Link")</f>
        <v>12Go Link</v>
      </c>
      <c r="E2913" s="2" t="s">
        <v>226</v>
      </c>
    </row>
    <row r="2914">
      <c r="A2914" s="2" t="s">
        <v>2719</v>
      </c>
      <c r="B2914" s="2" t="s">
        <v>252</v>
      </c>
      <c r="C2914" s="2" t="s">
        <v>2720</v>
      </c>
      <c r="D2914" s="3" t="str">
        <f>HYPERLINK("https://12go.asia/en/travel/hassan/solapur-junction", "12Go Link")</f>
        <v>12Go Link</v>
      </c>
      <c r="E2914" s="2" t="s">
        <v>226</v>
      </c>
    </row>
    <row r="2915">
      <c r="A2915" s="2" t="s">
        <v>2719</v>
      </c>
      <c r="B2915" s="2" t="s">
        <v>252</v>
      </c>
      <c r="C2915" s="2" t="s">
        <v>2721</v>
      </c>
      <c r="D2915" s="3" t="str">
        <f>HYPERLINK("https://12go.asia/en/travel/hassan/solapur", "12Go Link")</f>
        <v>12Go Link</v>
      </c>
      <c r="E2915" s="2" t="s">
        <v>226</v>
      </c>
    </row>
    <row r="2916">
      <c r="A2916" s="2" t="s">
        <v>2722</v>
      </c>
      <c r="B2916" s="2" t="s">
        <v>2318</v>
      </c>
      <c r="C2916" s="2" t="s">
        <v>2723</v>
      </c>
      <c r="D2916" s="3" t="str">
        <f>HYPERLINK("https://12go.asia/en/travel/hoshangabad/delhi", "12Go Link")</f>
        <v>12Go Link</v>
      </c>
      <c r="E2916" s="2" t="s">
        <v>226</v>
      </c>
    </row>
    <row r="2917">
      <c r="A2917" s="2" t="s">
        <v>2722</v>
      </c>
      <c r="B2917" s="2" t="s">
        <v>2318</v>
      </c>
      <c r="C2917" s="2" t="s">
        <v>2724</v>
      </c>
      <c r="D2917" s="3" t="str">
        <f>HYPERLINK("https://12go.asia/en/travel/narmadapuram/delhi-safdarjung", "12Go Link")</f>
        <v>12Go Link</v>
      </c>
      <c r="E2917" s="2" t="s">
        <v>226</v>
      </c>
    </row>
    <row r="2918">
      <c r="A2918" s="2" t="s">
        <v>2722</v>
      </c>
      <c r="B2918" s="2" t="s">
        <v>2318</v>
      </c>
      <c r="C2918" s="2" t="s">
        <v>2725</v>
      </c>
      <c r="D2918" s="3" t="str">
        <f>HYPERLINK("https://12go.asia/en/travel/narmadapuram/hazrat-nizamuddin", "12Go Link")</f>
        <v>12Go Link</v>
      </c>
      <c r="E2918" s="2" t="s">
        <v>226</v>
      </c>
    </row>
    <row r="2919">
      <c r="A2919" s="2" t="s">
        <v>2722</v>
      </c>
      <c r="B2919" s="2" t="s">
        <v>2405</v>
      </c>
      <c r="C2919" s="2" t="s">
        <v>2726</v>
      </c>
      <c r="D2919" s="3" t="str">
        <f>HYPERLINK("https://12go.asia/en/travel/hoshangabad/new-delhi", "12Go Link")</f>
        <v>12Go Link</v>
      </c>
      <c r="E2919" s="2" t="s">
        <v>226</v>
      </c>
    </row>
    <row r="2920">
      <c r="A2920" s="2" t="s">
        <v>2722</v>
      </c>
      <c r="B2920" s="2" t="s">
        <v>2405</v>
      </c>
      <c r="C2920" s="2" t="s">
        <v>2727</v>
      </c>
      <c r="D2920" s="3" t="str">
        <f>HYPERLINK("https://12go.asia/en/travel/narmadapuram/new-delhi", "12Go Link")</f>
        <v>12Go Link</v>
      </c>
      <c r="E2920" s="2" t="s">
        <v>226</v>
      </c>
    </row>
    <row r="2921">
      <c r="A2921" s="2" t="s">
        <v>2399</v>
      </c>
      <c r="B2921" s="2" t="s">
        <v>2311</v>
      </c>
      <c r="C2921" s="2" t="s">
        <v>2728</v>
      </c>
      <c r="D2921" s="3" t="str">
        <f>HYPERLINK("https://12go.asia/en/travel/howrah/amravati", "12Go Link")</f>
        <v>12Go Link</v>
      </c>
      <c r="E2921" s="2" t="s">
        <v>226</v>
      </c>
    </row>
    <row r="2922">
      <c r="A2922" s="2" t="s">
        <v>2399</v>
      </c>
      <c r="B2922" s="2" t="s">
        <v>2396</v>
      </c>
      <c r="C2922" s="2" t="s">
        <v>2729</v>
      </c>
      <c r="D2922" s="3" t="str">
        <f>HYPERLINK("https://12go.asia/en/travel/howrah/badnera", "12Go Link")</f>
        <v>12Go Link</v>
      </c>
      <c r="E2922" s="2" t="s">
        <v>226</v>
      </c>
    </row>
    <row r="2923">
      <c r="A2923" s="2" t="s">
        <v>2399</v>
      </c>
      <c r="B2923" s="2" t="s">
        <v>2396</v>
      </c>
      <c r="C2923" s="2" t="s">
        <v>2730</v>
      </c>
      <c r="D2923" s="3" t="str">
        <f>HYPERLINK("https://12go.asia/en/travel/howrah/badnera-junction", "12Go Link")</f>
        <v>12Go Link</v>
      </c>
      <c r="E2923" s="2" t="s">
        <v>226</v>
      </c>
    </row>
    <row r="2924">
      <c r="A2924" s="2" t="s">
        <v>2399</v>
      </c>
      <c r="B2924" s="2" t="s">
        <v>2731</v>
      </c>
      <c r="C2924" s="2" t="s">
        <v>2732</v>
      </c>
      <c r="D2924" s="3" t="str">
        <f>HYPERLINK("https://12go.asia/en/travel/howrah/barabhum", "12Go Link")</f>
        <v>12Go Link</v>
      </c>
      <c r="E2924" s="2" t="s">
        <v>226</v>
      </c>
    </row>
    <row r="2925">
      <c r="A2925" s="2" t="s">
        <v>2399</v>
      </c>
      <c r="B2925" s="2" t="s">
        <v>2446</v>
      </c>
      <c r="C2925" s="2" t="s">
        <v>2733</v>
      </c>
      <c r="D2925" s="3" t="str">
        <f>HYPERLINK("https://12go.asia/en/travel/howrah/bhilai", "12Go Link")</f>
        <v>12Go Link</v>
      </c>
      <c r="E2925" s="2" t="s">
        <v>226</v>
      </c>
    </row>
    <row r="2926">
      <c r="A2926" s="2" t="s">
        <v>2399</v>
      </c>
      <c r="B2926" s="2" t="s">
        <v>2446</v>
      </c>
      <c r="C2926" s="2" t="s">
        <v>2734</v>
      </c>
      <c r="D2926" s="3" t="str">
        <f>HYPERLINK("https://12go.asia/en/travel/howrah/bhilai-power-house", "12Go Link")</f>
        <v>12Go Link</v>
      </c>
      <c r="E2926" s="2" t="s">
        <v>226</v>
      </c>
    </row>
    <row r="2927">
      <c r="A2927" s="2" t="s">
        <v>2399</v>
      </c>
      <c r="B2927" s="2" t="s">
        <v>2735</v>
      </c>
      <c r="C2927" s="2" t="s">
        <v>2736</v>
      </c>
      <c r="D2927" s="3" t="str">
        <f>HYPERLINK("https://12go.asia/en/travel/howrah/palasa", "12Go Link")</f>
        <v>12Go Link</v>
      </c>
      <c r="E2927" s="2" t="s">
        <v>226</v>
      </c>
    </row>
    <row r="2928">
      <c r="A2928" s="2" t="s">
        <v>238</v>
      </c>
      <c r="B2928" s="2" t="s">
        <v>229</v>
      </c>
      <c r="C2928" s="2" t="s">
        <v>2737</v>
      </c>
      <c r="D2928" s="3" t="str">
        <f>HYPERLINK("https://12go.asia/en/travel/hubballi-dharwad/belagavi", "12Go Link")</f>
        <v>12Go Link</v>
      </c>
      <c r="E2928" s="2" t="s">
        <v>226</v>
      </c>
    </row>
    <row r="2929">
      <c r="A2929" s="2" t="s">
        <v>238</v>
      </c>
      <c r="B2929" s="2" t="s">
        <v>2540</v>
      </c>
      <c r="C2929" s="2" t="s">
        <v>2738</v>
      </c>
      <c r="D2929" s="3" t="str">
        <f>HYPERLINK("https://12go.asia/en/travel/hubballi-dharwad/davanagere", "12Go Link")</f>
        <v>12Go Link</v>
      </c>
      <c r="E2929" s="2" t="s">
        <v>226</v>
      </c>
    </row>
    <row r="2930">
      <c r="A2930" s="2" t="s">
        <v>238</v>
      </c>
      <c r="B2930" s="2" t="s">
        <v>2739</v>
      </c>
      <c r="C2930" s="2" t="s">
        <v>2740</v>
      </c>
      <c r="D2930" s="3" t="str">
        <f>HYPERLINK("https://12go.asia/en/travel/hubballi-dharwad/gadag", "12Go Link")</f>
        <v>12Go Link</v>
      </c>
      <c r="E2930" s="2" t="s">
        <v>226</v>
      </c>
    </row>
    <row r="2931">
      <c r="A2931" s="2" t="s">
        <v>238</v>
      </c>
      <c r="B2931" s="2" t="s">
        <v>233</v>
      </c>
      <c r="C2931" s="2" t="s">
        <v>2741</v>
      </c>
      <c r="D2931" s="3" t="str">
        <f>HYPERLINK("https://12go.asia/en/travel/hubballi-dharwad/harihar", "12Go Link")</f>
        <v>12Go Link</v>
      </c>
      <c r="E2931" s="2" t="s">
        <v>226</v>
      </c>
    </row>
    <row r="2932">
      <c r="A2932" s="2" t="s">
        <v>2440</v>
      </c>
      <c r="B2932" s="2" t="s">
        <v>2368</v>
      </c>
      <c r="C2932" s="2" t="s">
        <v>2742</v>
      </c>
      <c r="D2932" s="3" t="str">
        <f>HYPERLINK("https://12go.asia/en/travel/hubballi-jn/arsikere", "12Go Link")</f>
        <v>12Go Link</v>
      </c>
      <c r="E2932" s="2" t="s">
        <v>226</v>
      </c>
    </row>
    <row r="2933">
      <c r="A2933" s="2" t="s">
        <v>2440</v>
      </c>
      <c r="B2933" s="2" t="s">
        <v>2368</v>
      </c>
      <c r="C2933" s="2" t="s">
        <v>2743</v>
      </c>
      <c r="D2933" s="3" t="str">
        <f>HYPERLINK("https://12go.asia/en/travel/hubli/arsikere", "12Go Link")</f>
        <v>12Go Link</v>
      </c>
      <c r="E2933" s="2" t="s">
        <v>226</v>
      </c>
    </row>
    <row r="2934">
      <c r="A2934" s="2" t="s">
        <v>2440</v>
      </c>
      <c r="B2934" s="2" t="s">
        <v>229</v>
      </c>
      <c r="C2934" s="2" t="s">
        <v>2744</v>
      </c>
      <c r="D2934" s="3" t="str">
        <f>HYPERLINK("https://12go.asia/en/travel/hubballi-jn/belgaum", "12Go Link")</f>
        <v>12Go Link</v>
      </c>
      <c r="E2934" s="2" t="s">
        <v>226</v>
      </c>
    </row>
    <row r="2935">
      <c r="A2935" s="2" t="s">
        <v>2440</v>
      </c>
      <c r="B2935" s="2" t="s">
        <v>233</v>
      </c>
      <c r="C2935" s="2" t="s">
        <v>2745</v>
      </c>
      <c r="D2935" s="3" t="str">
        <f>HYPERLINK("https://12go.asia/en/travel/hubballi-jn/harihar", "12Go Link")</f>
        <v>12Go Link</v>
      </c>
      <c r="E2935" s="2" t="s">
        <v>226</v>
      </c>
    </row>
    <row r="2936">
      <c r="A2936" s="2" t="s">
        <v>2501</v>
      </c>
      <c r="B2936" s="2" t="s">
        <v>2368</v>
      </c>
      <c r="C2936" s="2" t="s">
        <v>2746</v>
      </c>
      <c r="D2936" s="3" t="str">
        <f>HYPERLINK("https://12go.asia/en/travel/hyderabad/arsikere", "12Go Link")</f>
        <v>12Go Link</v>
      </c>
      <c r="E2936" s="2" t="s">
        <v>226</v>
      </c>
    </row>
    <row r="2937">
      <c r="A2937" s="2" t="s">
        <v>2501</v>
      </c>
      <c r="B2937" s="2" t="s">
        <v>2368</v>
      </c>
      <c r="C2937" s="2" t="s">
        <v>2747</v>
      </c>
      <c r="D2937" s="3" t="str">
        <f>HYPERLINK("https://12go.asia/en/travel/kacheguda/arsikere", "12Go Link")</f>
        <v>12Go Link</v>
      </c>
      <c r="E2937" s="2" t="s">
        <v>226</v>
      </c>
    </row>
    <row r="2938">
      <c r="A2938" s="2" t="s">
        <v>2501</v>
      </c>
      <c r="B2938" s="2" t="s">
        <v>2472</v>
      </c>
      <c r="C2938" s="2" t="s">
        <v>2748</v>
      </c>
      <c r="D2938" s="3" t="str">
        <f>HYPERLINK("https://12go.asia/en/travel/hyderabad/bilaspur", "12Go Link")</f>
        <v>12Go Link</v>
      </c>
      <c r="E2938" s="2" t="s">
        <v>226</v>
      </c>
    </row>
    <row r="2939">
      <c r="A2939" s="2" t="s">
        <v>2501</v>
      </c>
      <c r="B2939" s="2" t="s">
        <v>2749</v>
      </c>
      <c r="C2939" s="2" t="s">
        <v>2750</v>
      </c>
      <c r="D2939" s="3" t="str">
        <f>HYPERLINK("https://12go.asia/en/travel/hyderabad/chandipur", "12Go Link")</f>
        <v>12Go Link</v>
      </c>
      <c r="E2939" s="2" t="s">
        <v>226</v>
      </c>
    </row>
    <row r="2940">
      <c r="A2940" s="2" t="s">
        <v>2501</v>
      </c>
      <c r="B2940" s="2" t="s">
        <v>2751</v>
      </c>
      <c r="C2940" s="2" t="s">
        <v>2752</v>
      </c>
      <c r="D2940" s="3" t="str">
        <f>HYPERLINK("https://12go.asia/en/travel/hyderabad/dachepalle", "12Go Link")</f>
        <v>12Go Link</v>
      </c>
      <c r="E2940" s="2" t="s">
        <v>226</v>
      </c>
    </row>
    <row r="2941">
      <c r="A2941" s="2" t="s">
        <v>2501</v>
      </c>
      <c r="B2941" s="2" t="s">
        <v>2753</v>
      </c>
      <c r="C2941" s="2" t="s">
        <v>2754</v>
      </c>
      <c r="D2941" s="3" t="str">
        <f>HYPERLINK("https://12go.asia/en/travel/hyderabad/daman", "12Go Link")</f>
        <v>12Go Link</v>
      </c>
      <c r="E2941" s="2" t="s">
        <v>226</v>
      </c>
    </row>
    <row r="2942">
      <c r="A2942" s="2" t="s">
        <v>2501</v>
      </c>
      <c r="B2942" s="2" t="s">
        <v>2662</v>
      </c>
      <c r="C2942" s="2" t="s">
        <v>2755</v>
      </c>
      <c r="D2942" s="3" t="str">
        <f>HYPERLINK("https://12go.asia/en/travel/hyderabad-decan/charlapalli", "12Go Link")</f>
        <v>12Go Link</v>
      </c>
      <c r="E2942" s="2" t="s">
        <v>226</v>
      </c>
    </row>
    <row r="2943">
      <c r="A2943" s="2" t="s">
        <v>2501</v>
      </c>
      <c r="B2943" s="2" t="s">
        <v>2662</v>
      </c>
      <c r="C2943" s="2" t="s">
        <v>2756</v>
      </c>
      <c r="D2943" s="3" t="str">
        <f>HYPERLINK("https://12go.asia/en/travel/hyderabad/ghatkesar", "12Go Link")</f>
        <v>12Go Link</v>
      </c>
      <c r="E2943" s="2" t="s">
        <v>226</v>
      </c>
    </row>
    <row r="2944">
      <c r="A2944" s="2" t="s">
        <v>2501</v>
      </c>
      <c r="B2944" s="2" t="s">
        <v>2757</v>
      </c>
      <c r="C2944" s="2" t="s">
        <v>2758</v>
      </c>
      <c r="D2944" s="3" t="str">
        <f>HYPERLINK("https://12go.asia/en/travel/hyderabad-decan/jamikunta", "12Go Link")</f>
        <v>12Go Link</v>
      </c>
      <c r="E2944" s="2" t="s">
        <v>226</v>
      </c>
    </row>
    <row r="2945">
      <c r="A2945" s="2" t="s">
        <v>2501</v>
      </c>
      <c r="B2945" s="2" t="s">
        <v>2757</v>
      </c>
      <c r="C2945" s="2" t="s">
        <v>2759</v>
      </c>
      <c r="D2945" s="3" t="str">
        <f>HYPERLINK("https://12go.asia/en/travel/hyderabad/jamikunta", "12Go Link")</f>
        <v>12Go Link</v>
      </c>
      <c r="E2945" s="2" t="s">
        <v>226</v>
      </c>
    </row>
    <row r="2946">
      <c r="A2946" s="2" t="s">
        <v>2760</v>
      </c>
      <c r="B2946" s="2" t="s">
        <v>2353</v>
      </c>
      <c r="C2946" s="2" t="s">
        <v>2761</v>
      </c>
      <c r="D2946" s="3" t="str">
        <f>HYPERLINK("https://12go.asia/en/travel/indore-jn-bg/anuppur-junction", "12Go Link")</f>
        <v>12Go Link</v>
      </c>
      <c r="E2946" s="2" t="s">
        <v>226</v>
      </c>
    </row>
    <row r="2947">
      <c r="A2947" s="2" t="s">
        <v>2760</v>
      </c>
      <c r="B2947" s="2" t="s">
        <v>2353</v>
      </c>
      <c r="C2947" s="2" t="s">
        <v>2762</v>
      </c>
      <c r="D2947" s="3" t="str">
        <f>HYPERLINK("https://12go.asia/en/travel/indore/anuppur", "12Go Link")</f>
        <v>12Go Link</v>
      </c>
      <c r="E2947" s="2" t="s">
        <v>226</v>
      </c>
    </row>
    <row r="2948">
      <c r="A2948" s="2" t="s">
        <v>2760</v>
      </c>
      <c r="B2948" s="2" t="s">
        <v>2763</v>
      </c>
      <c r="C2948" s="2" t="s">
        <v>2764</v>
      </c>
      <c r="D2948" s="3" t="str">
        <f>HYPERLINK("https://12go.asia/en/travel/indore-jn-bg/narsinghpur", "12Go Link")</f>
        <v>12Go Link</v>
      </c>
      <c r="E2948" s="2" t="s">
        <v>226</v>
      </c>
    </row>
    <row r="2949">
      <c r="A2949" s="2" t="s">
        <v>2760</v>
      </c>
      <c r="B2949" s="2" t="s">
        <v>2763</v>
      </c>
      <c r="C2949" s="2" t="s">
        <v>2765</v>
      </c>
      <c r="D2949" s="3" t="str">
        <f>HYPERLINK("https://12go.asia/en/travel/indore/narsinghpur", "12Go Link")</f>
        <v>12Go Link</v>
      </c>
      <c r="E2949" s="2" t="s">
        <v>226</v>
      </c>
    </row>
    <row r="2950">
      <c r="A2950" s="2" t="s">
        <v>2760</v>
      </c>
      <c r="B2950" s="2" t="s">
        <v>2296</v>
      </c>
      <c r="C2950" s="2" t="s">
        <v>2766</v>
      </c>
      <c r="D2950" s="3" t="str">
        <f>HYPERLINK("https://12go.asia/en/travel/indore/sikandra-agra", "12Go Link")</f>
        <v>12Go Link</v>
      </c>
      <c r="E2950" s="2" t="s">
        <v>226</v>
      </c>
    </row>
    <row r="2951">
      <c r="A2951" s="2" t="s">
        <v>2243</v>
      </c>
      <c r="B2951" s="2" t="s">
        <v>2242</v>
      </c>
      <c r="C2951" s="2" t="s">
        <v>2767</v>
      </c>
      <c r="D2951" s="3" t="str">
        <f>HYPERLINK("https://12go.asia/en/travel/dahar-ka-balaji/ajmer-jn", "12Go Link")</f>
        <v>12Go Link</v>
      </c>
      <c r="E2951" s="2" t="s">
        <v>226</v>
      </c>
    </row>
    <row r="2952">
      <c r="A2952" s="2" t="s">
        <v>2645</v>
      </c>
      <c r="B2952" s="2" t="s">
        <v>2399</v>
      </c>
      <c r="C2952" s="2" t="s">
        <v>2768</v>
      </c>
      <c r="D2952" s="3" t="str">
        <f>HYPERLINK("https://12go.asia/en/travel/jalandhar/howrah", "12Go Link")</f>
        <v>12Go Link</v>
      </c>
      <c r="E2952" s="2" t="s">
        <v>226</v>
      </c>
    </row>
    <row r="2953">
      <c r="A2953" s="2" t="s">
        <v>2645</v>
      </c>
      <c r="B2953" s="2" t="s">
        <v>2402</v>
      </c>
      <c r="C2953" s="2" t="s">
        <v>2769</v>
      </c>
      <c r="D2953" s="3" t="str">
        <f>HYPERLINK("https://12go.asia/en/travel/jalandhar/kolkata", "12Go Link")</f>
        <v>12Go Link</v>
      </c>
      <c r="E2953" s="2" t="s">
        <v>226</v>
      </c>
    </row>
    <row r="2954">
      <c r="A2954" s="2" t="s">
        <v>2645</v>
      </c>
      <c r="B2954" s="2" t="s">
        <v>2770</v>
      </c>
      <c r="C2954" s="2" t="s">
        <v>2771</v>
      </c>
      <c r="D2954" s="3" t="str">
        <f>HYPERLINK("https://12go.asia/en/travel/jalandhar/taj-mahal", "12Go Link")</f>
        <v>12Go Link</v>
      </c>
      <c r="E2954" s="2" t="s">
        <v>226</v>
      </c>
    </row>
    <row r="2955">
      <c r="A2955" s="2" t="s">
        <v>2645</v>
      </c>
      <c r="B2955" s="2" t="s">
        <v>2470</v>
      </c>
      <c r="C2955" s="2" t="s">
        <v>2772</v>
      </c>
      <c r="D2955" s="3" t="str">
        <f>HYPERLINK("https://12go.asia/en/travel/jalandhar/west-bengal", "12Go Link")</f>
        <v>12Go Link</v>
      </c>
      <c r="E2955" s="2" t="s">
        <v>226</v>
      </c>
    </row>
    <row r="2956">
      <c r="A2956" s="2" t="s">
        <v>2773</v>
      </c>
      <c r="B2956" s="2" t="s">
        <v>2192</v>
      </c>
      <c r="C2956" s="2" t="s">
        <v>2774</v>
      </c>
      <c r="D2956" s="3" t="str">
        <f>HYPERLINK("https://12go.asia/en/travel/jalgaon-jn/agra-cantt", "12Go Link")</f>
        <v>12Go Link</v>
      </c>
      <c r="E2956" s="2" t="s">
        <v>226</v>
      </c>
    </row>
    <row r="2957">
      <c r="A2957" s="2" t="s">
        <v>2773</v>
      </c>
      <c r="B2957" s="2" t="s">
        <v>2770</v>
      </c>
      <c r="C2957" s="2" t="s">
        <v>2775</v>
      </c>
      <c r="D2957" s="3" t="str">
        <f>HYPERLINK("https://12go.asia/en/travel/jalgaon/taj-mahal", "12Go Link")</f>
        <v>12Go Link</v>
      </c>
      <c r="E2957" s="2" t="s">
        <v>226</v>
      </c>
    </row>
    <row r="2958">
      <c r="A2958" s="2" t="s">
        <v>2776</v>
      </c>
      <c r="B2958" s="2" t="s">
        <v>2777</v>
      </c>
      <c r="C2958" s="2" t="s">
        <v>2778</v>
      </c>
      <c r="D2958" s="3" t="str">
        <f>HYPERLINK("https://12go.asia/en/travel/jalor/ramdevra", "12Go Link")</f>
        <v>12Go Link</v>
      </c>
      <c r="E2958" s="2" t="s">
        <v>226</v>
      </c>
    </row>
    <row r="2959">
      <c r="A2959" s="2" t="s">
        <v>2776</v>
      </c>
      <c r="B2959" s="2" t="s">
        <v>2777</v>
      </c>
      <c r="C2959" s="2" t="s">
        <v>2779</v>
      </c>
      <c r="D2959" s="3" t="str">
        <f>HYPERLINK("https://12go.asia/en/travel/jalore/ramdevra", "12Go Link")</f>
        <v>12Go Link</v>
      </c>
      <c r="E2959" s="2" t="s">
        <v>226</v>
      </c>
    </row>
    <row r="2960">
      <c r="A2960" s="2" t="s">
        <v>2757</v>
      </c>
      <c r="B2960" s="2" t="s">
        <v>2501</v>
      </c>
      <c r="C2960" s="2" t="s">
        <v>2780</v>
      </c>
      <c r="D2960" s="3" t="str">
        <f>HYPERLINK("https://12go.asia/en/travel/jamikunta/hyderabad", "12Go Link")</f>
        <v>12Go Link</v>
      </c>
      <c r="E2960" s="2" t="s">
        <v>226</v>
      </c>
    </row>
    <row r="2961">
      <c r="A2961" s="2" t="s">
        <v>2628</v>
      </c>
      <c r="B2961" s="2" t="s">
        <v>2781</v>
      </c>
      <c r="C2961" s="2" t="s">
        <v>2782</v>
      </c>
      <c r="D2961" s="3" t="str">
        <f>HYPERLINK("https://12go.asia/en/travel/jammu-tawi/karnal", "12Go Link")</f>
        <v>12Go Link</v>
      </c>
      <c r="E2961" s="2" t="s">
        <v>226</v>
      </c>
    </row>
    <row r="2962">
      <c r="A2962" s="2" t="s">
        <v>2628</v>
      </c>
      <c r="B2962" s="2" t="s">
        <v>2781</v>
      </c>
      <c r="C2962" s="2" t="s">
        <v>2783</v>
      </c>
      <c r="D2962" s="3" t="str">
        <f>HYPERLINK("https://12go.asia/en/travel/jammu/karnal", "12Go Link")</f>
        <v>12Go Link</v>
      </c>
      <c r="E2962" s="2" t="s">
        <v>226</v>
      </c>
    </row>
    <row r="2963">
      <c r="A2963" s="2" t="s">
        <v>2628</v>
      </c>
      <c r="B2963" s="2" t="s">
        <v>2296</v>
      </c>
      <c r="C2963" s="2" t="s">
        <v>2784</v>
      </c>
      <c r="D2963" s="3" t="str">
        <f>HYPERLINK("https://12go.asia/en/travel/jammu/sikandra-agra", "12Go Link")</f>
        <v>12Go Link</v>
      </c>
      <c r="E2963" s="2" t="s">
        <v>226</v>
      </c>
    </row>
    <row r="2964">
      <c r="A2964" s="2" t="s">
        <v>2628</v>
      </c>
      <c r="B2964" s="2" t="s">
        <v>2190</v>
      </c>
      <c r="C2964" s="2" t="s">
        <v>2785</v>
      </c>
      <c r="D2964" s="3" t="str">
        <f>HYPERLINK("https://12go.asia/en/travel/jammu-tawi/deen-dayal-upadhyaya-jn", "12Go Link")</f>
        <v>12Go Link</v>
      </c>
      <c r="E2964" s="2" t="s">
        <v>226</v>
      </c>
    </row>
    <row r="2965">
      <c r="A2965" s="2" t="s">
        <v>2630</v>
      </c>
      <c r="B2965" s="2" t="s">
        <v>2198</v>
      </c>
      <c r="C2965" s="2" t="s">
        <v>2786</v>
      </c>
      <c r="D2965" s="3" t="str">
        <f>HYPERLINK("https://12go.asia/en/travel/jammu-and-kashmir/kanpur", "12Go Link")</f>
        <v>12Go Link</v>
      </c>
      <c r="E2965" s="2" t="s">
        <v>226</v>
      </c>
    </row>
    <row r="2966">
      <c r="A2966" s="2" t="s">
        <v>2630</v>
      </c>
      <c r="B2966" s="2" t="s">
        <v>2787</v>
      </c>
      <c r="C2966" s="2" t="s">
        <v>2788</v>
      </c>
      <c r="D2966" s="3" t="str">
        <f>HYPERLINK("https://12go.asia/en/travel/jammu-and-kashmir/kota", "12Go Link")</f>
        <v>12Go Link</v>
      </c>
      <c r="E2966" s="2" t="s">
        <v>226</v>
      </c>
    </row>
    <row r="2967">
      <c r="A2967" s="2" t="s">
        <v>2630</v>
      </c>
      <c r="B2967" s="2" t="s">
        <v>2705</v>
      </c>
      <c r="C2967" s="2" t="s">
        <v>2789</v>
      </c>
      <c r="D2967" s="3" t="str">
        <f>HYPERLINK("https://12go.asia/en/travel/jammu-and-kashmir/moradabad", "12Go Link")</f>
        <v>12Go Link</v>
      </c>
      <c r="E2967" s="2" t="s">
        <v>226</v>
      </c>
    </row>
    <row r="2968">
      <c r="A2968" s="2" t="s">
        <v>2630</v>
      </c>
      <c r="B2968" s="2" t="s">
        <v>2307</v>
      </c>
      <c r="C2968" s="2" t="s">
        <v>2790</v>
      </c>
      <c r="D2968" s="3" t="str">
        <f>HYPERLINK("https://12go.asia/en/travel/jammu-and-kashmir/mughalsarai", "12Go Link")</f>
        <v>12Go Link</v>
      </c>
      <c r="E2968" s="2" t="s">
        <v>226</v>
      </c>
    </row>
    <row r="2969">
      <c r="A2969" s="2" t="s">
        <v>2630</v>
      </c>
      <c r="B2969" s="2" t="s">
        <v>2296</v>
      </c>
      <c r="C2969" s="2" t="s">
        <v>2791</v>
      </c>
      <c r="D2969" s="3" t="str">
        <f>HYPERLINK("https://12go.asia/en/travel/jammu-and-kashmir/sikandra-agra", "12Go Link")</f>
        <v>12Go Link</v>
      </c>
      <c r="E2969" s="2" t="s">
        <v>226</v>
      </c>
    </row>
    <row r="2970">
      <c r="A2970" s="2" t="s">
        <v>2632</v>
      </c>
      <c r="B2970" s="2" t="s">
        <v>2781</v>
      </c>
      <c r="C2970" s="2" t="s">
        <v>2792</v>
      </c>
      <c r="D2970" s="3" t="str">
        <f>HYPERLINK("https://12go.asia/en/travel/jammu-kashmir/karnal", "12Go Link")</f>
        <v>12Go Link</v>
      </c>
      <c r="E2970" s="2" t="s">
        <v>226</v>
      </c>
    </row>
    <row r="2971">
      <c r="A2971" s="2" t="s">
        <v>2632</v>
      </c>
      <c r="B2971" s="2" t="s">
        <v>2705</v>
      </c>
      <c r="C2971" s="2" t="s">
        <v>2793</v>
      </c>
      <c r="D2971" s="3" t="str">
        <f>HYPERLINK("https://12go.asia/en/travel/jammu-kashmir/moradabad", "12Go Link")</f>
        <v>12Go Link</v>
      </c>
      <c r="E2971" s="2" t="s">
        <v>226</v>
      </c>
    </row>
    <row r="2972">
      <c r="A2972" s="2" t="s">
        <v>2632</v>
      </c>
      <c r="B2972" s="2" t="s">
        <v>2296</v>
      </c>
      <c r="C2972" s="2" t="s">
        <v>2794</v>
      </c>
      <c r="D2972" s="3" t="str">
        <f>HYPERLINK("https://12go.asia/en/travel/jammu-kashmir/sikandra-agra", "12Go Link")</f>
        <v>12Go Link</v>
      </c>
      <c r="E2972" s="2" t="s">
        <v>226</v>
      </c>
    </row>
    <row r="2973">
      <c r="A2973" s="2" t="s">
        <v>2632</v>
      </c>
      <c r="B2973" s="2" t="s">
        <v>2795</v>
      </c>
      <c r="C2973" s="2" t="s">
        <v>2796</v>
      </c>
      <c r="D2973" s="3" t="str">
        <f>HYPERLINK("https://12go.asia/en/travel/jammu-kashmir/tundla", "12Go Link")</f>
        <v>12Go Link</v>
      </c>
      <c r="E2973" s="2" t="s">
        <v>226</v>
      </c>
    </row>
    <row r="2974">
      <c r="A2974" s="2" t="s">
        <v>2359</v>
      </c>
      <c r="B2974" s="2" t="s">
        <v>2797</v>
      </c>
      <c r="C2974" s="2" t="s">
        <v>2798</v>
      </c>
      <c r="D2974" s="3" t="str">
        <f>HYPERLINK("https://12go.asia/en/travel/jamshedpur/fatwa", "12Go Link")</f>
        <v>12Go Link</v>
      </c>
      <c r="E2974" s="2" t="s">
        <v>226</v>
      </c>
    </row>
    <row r="2975">
      <c r="A2975" s="2" t="s">
        <v>2359</v>
      </c>
      <c r="B2975" s="2" t="s">
        <v>2799</v>
      </c>
      <c r="C2975" s="2" t="s">
        <v>2800</v>
      </c>
      <c r="D2975" s="3" t="str">
        <f>HYPERLINK("https://12go.asia/en/travel/jamshedpur/gopalpur-odisha", "12Go Link")</f>
        <v>12Go Link</v>
      </c>
      <c r="E2975" s="2" t="s">
        <v>226</v>
      </c>
    </row>
    <row r="2976">
      <c r="A2976" s="2" t="s">
        <v>2801</v>
      </c>
      <c r="B2976" s="2" t="s">
        <v>2696</v>
      </c>
      <c r="C2976" s="2" t="s">
        <v>2802</v>
      </c>
      <c r="D2976" s="3" t="str">
        <f>HYPERLINK("https://12go.asia/en/travel/jasidih-deoghar/katihar", "12Go Link")</f>
        <v>12Go Link</v>
      </c>
      <c r="E2976" s="2" t="s">
        <v>226</v>
      </c>
    </row>
    <row r="2977">
      <c r="A2977" s="2" t="s">
        <v>2801</v>
      </c>
      <c r="B2977" s="2" t="s">
        <v>2696</v>
      </c>
      <c r="C2977" s="2" t="s">
        <v>2803</v>
      </c>
      <c r="D2977" s="3" t="str">
        <f>HYPERLINK("https://12go.asia/en/travel/jasidih-junction/katihar-junction", "12Go Link")</f>
        <v>12Go Link</v>
      </c>
      <c r="E2977" s="2" t="s">
        <v>226</v>
      </c>
    </row>
    <row r="2978">
      <c r="A2978" s="2" t="s">
        <v>2804</v>
      </c>
      <c r="B2978" s="2" t="s">
        <v>2805</v>
      </c>
      <c r="C2978" s="2" t="s">
        <v>2806</v>
      </c>
      <c r="D2978" s="3" t="str">
        <f>HYPERLINK("https://12go.asia/en/travel/jaunpur-junction/vapi", "12Go Link")</f>
        <v>12Go Link</v>
      </c>
      <c r="E2978" s="2" t="s">
        <v>226</v>
      </c>
    </row>
    <row r="2979">
      <c r="A2979" s="2" t="s">
        <v>2804</v>
      </c>
      <c r="B2979" s="2" t="s">
        <v>2805</v>
      </c>
      <c r="C2979" s="2" t="s">
        <v>2807</v>
      </c>
      <c r="D2979" s="3" t="str">
        <f>HYPERLINK("https://12go.asia/en/travel/jaunpur/vapi", "12Go Link")</f>
        <v>12Go Link</v>
      </c>
      <c r="E2979" s="2" t="s">
        <v>226</v>
      </c>
    </row>
    <row r="2980">
      <c r="A2980" s="2" t="s">
        <v>2407</v>
      </c>
      <c r="B2980" s="2" t="s">
        <v>2808</v>
      </c>
      <c r="C2980" s="2" t="s">
        <v>2809</v>
      </c>
      <c r="D2980" s="3" t="str">
        <f>HYPERLINK("https://12go.asia/en/travel/virangana-lakshmibai/ernakulam-jn", "12Go Link")</f>
        <v>12Go Link</v>
      </c>
      <c r="E2980" s="2" t="s">
        <v>226</v>
      </c>
    </row>
    <row r="2981">
      <c r="A2981" s="2" t="s">
        <v>2407</v>
      </c>
      <c r="B2981" s="2" t="s">
        <v>2808</v>
      </c>
      <c r="C2981" s="2" t="s">
        <v>2810</v>
      </c>
      <c r="D2981" s="3" t="str">
        <f>HYPERLINK("https://12go.asia/en/travel/virangana-lakshmibai/ernakulam-town-north", "12Go Link")</f>
        <v>12Go Link</v>
      </c>
      <c r="E2981" s="2" t="s">
        <v>226</v>
      </c>
    </row>
    <row r="2982">
      <c r="A2982" s="2" t="s">
        <v>2407</v>
      </c>
      <c r="B2982" s="2" t="s">
        <v>2808</v>
      </c>
      <c r="C2982" s="2" t="s">
        <v>2811</v>
      </c>
      <c r="D2982" s="3" t="str">
        <f>HYPERLINK("https://12go.asia/en/travel/jhansi/kochi-india", "12Go Link")</f>
        <v>12Go Link</v>
      </c>
      <c r="E2982" s="2" t="s">
        <v>226</v>
      </c>
    </row>
    <row r="2983">
      <c r="A2983" s="2" t="s">
        <v>2407</v>
      </c>
      <c r="B2983" s="2" t="s">
        <v>2812</v>
      </c>
      <c r="C2983" s="2" t="s">
        <v>2813</v>
      </c>
      <c r="D2983" s="3" t="str">
        <f>HYPERLINK("https://12go.asia/en/travel/jhansi/puri", "12Go Link")</f>
        <v>12Go Link</v>
      </c>
      <c r="E2983" s="2" t="s">
        <v>226</v>
      </c>
    </row>
    <row r="2984">
      <c r="A2984" s="2" t="s">
        <v>2407</v>
      </c>
      <c r="B2984" s="2" t="s">
        <v>2812</v>
      </c>
      <c r="C2984" s="2" t="s">
        <v>2814</v>
      </c>
      <c r="D2984" s="3" t="str">
        <f>HYPERLINK("https://12go.asia/en/travel/virangana-lakshmibai/puri", "12Go Link")</f>
        <v>12Go Link</v>
      </c>
      <c r="E2984" s="2" t="s">
        <v>226</v>
      </c>
    </row>
    <row r="2985">
      <c r="A2985" s="2" t="s">
        <v>2407</v>
      </c>
      <c r="B2985" s="2" t="s">
        <v>2296</v>
      </c>
      <c r="C2985" s="2" t="s">
        <v>2815</v>
      </c>
      <c r="D2985" s="3" t="str">
        <f>HYPERLINK("https://12go.asia/en/travel/jhansi/sikandra-agra", "12Go Link")</f>
        <v>12Go Link</v>
      </c>
      <c r="E2985" s="2" t="s">
        <v>226</v>
      </c>
    </row>
    <row r="2986">
      <c r="A2986" s="2" t="s">
        <v>2816</v>
      </c>
      <c r="B2986" s="2" t="s">
        <v>2470</v>
      </c>
      <c r="C2986" s="2" t="s">
        <v>2817</v>
      </c>
      <c r="D2986" s="3" t="str">
        <f>HYPERLINK("https://12go.asia/en/travel/jogbani/west-bengal", "12Go Link")</f>
        <v>12Go Link</v>
      </c>
      <c r="E2986" s="2" t="s">
        <v>226</v>
      </c>
    </row>
    <row r="2987">
      <c r="A2987" s="2" t="s">
        <v>2818</v>
      </c>
      <c r="B2987" s="2" t="s">
        <v>2349</v>
      </c>
      <c r="C2987" s="2" t="s">
        <v>2819</v>
      </c>
      <c r="D2987" s="3" t="str">
        <f>HYPERLINK("https://12go.asia/en/travel/jolarpet/ernakulam", "12Go Link")</f>
        <v>12Go Link</v>
      </c>
      <c r="E2987" s="2" t="s">
        <v>226</v>
      </c>
    </row>
    <row r="2988">
      <c r="A2988" s="2" t="s">
        <v>2820</v>
      </c>
      <c r="B2988" s="2" t="s">
        <v>252</v>
      </c>
      <c r="C2988" s="2" t="s">
        <v>2821</v>
      </c>
      <c r="D2988" s="3" t="str">
        <f>HYPERLINK("https://12go.asia/en/travel/cuddapah/solapur-junction", "12Go Link")</f>
        <v>12Go Link</v>
      </c>
      <c r="E2988" s="2" t="s">
        <v>226</v>
      </c>
    </row>
    <row r="2989">
      <c r="A2989" s="2" t="s">
        <v>2820</v>
      </c>
      <c r="B2989" s="2" t="s">
        <v>252</v>
      </c>
      <c r="C2989" s="2" t="s">
        <v>2822</v>
      </c>
      <c r="D2989" s="3" t="str">
        <f>HYPERLINK("https://12go.asia/en/travel/kadapa/solapur", "12Go Link")</f>
        <v>12Go Link</v>
      </c>
      <c r="E2989" s="2" t="s">
        <v>226</v>
      </c>
    </row>
    <row r="2990">
      <c r="A2990" s="2" t="s">
        <v>2823</v>
      </c>
      <c r="B2990" s="2" t="s">
        <v>244</v>
      </c>
      <c r="C2990" s="2" t="s">
        <v>2824</v>
      </c>
      <c r="D2990" s="3" t="str">
        <f>HYPERLINK("https://12go.asia/en/travel/kadur/karnataka", "12Go Link")</f>
        <v>12Go Link</v>
      </c>
      <c r="E2990" s="2" t="s">
        <v>226</v>
      </c>
    </row>
    <row r="2991">
      <c r="A2991" s="2" t="s">
        <v>2823</v>
      </c>
      <c r="B2991" s="2" t="s">
        <v>2825</v>
      </c>
      <c r="C2991" s="2" t="s">
        <v>2826</v>
      </c>
      <c r="D2991" s="3" t="str">
        <f>HYPERLINK("https://12go.asia/en/travel/kadur/whitefield", "12Go Link")</f>
        <v>12Go Link</v>
      </c>
      <c r="E2991" s="2" t="s">
        <v>226</v>
      </c>
    </row>
    <row r="2992">
      <c r="A2992" s="2" t="s">
        <v>2823</v>
      </c>
      <c r="B2992" s="2" t="s">
        <v>2825</v>
      </c>
      <c r="C2992" s="2" t="s">
        <v>2827</v>
      </c>
      <c r="D2992" s="3" t="str">
        <f>HYPERLINK("https://12go.asia/en/travel/kadur/whitefield-bangalore", "12Go Link")</f>
        <v>12Go Link</v>
      </c>
      <c r="E2992" s="2" t="s">
        <v>226</v>
      </c>
    </row>
    <row r="2993">
      <c r="A2993" s="2" t="s">
        <v>240</v>
      </c>
      <c r="B2993" s="2" t="s">
        <v>2236</v>
      </c>
      <c r="C2993" s="2" t="s">
        <v>2828</v>
      </c>
      <c r="D2993" s="3" t="str">
        <f>HYPERLINK("https://12go.asia/en/travel/kalaburagi/renigunta", "12Go Link")</f>
        <v>12Go Link</v>
      </c>
      <c r="E2993" s="2" t="s">
        <v>226</v>
      </c>
    </row>
    <row r="2994">
      <c r="A2994" s="2" t="s">
        <v>240</v>
      </c>
      <c r="B2994" s="2" t="s">
        <v>2238</v>
      </c>
      <c r="C2994" s="2" t="s">
        <v>2829</v>
      </c>
      <c r="D2994" s="3" t="str">
        <f>HYPERLINK("https://12go.asia/en/travel/kalaburagi-junction/tambaram", "12Go Link")</f>
        <v>12Go Link</v>
      </c>
      <c r="E2994" s="2" t="s">
        <v>226</v>
      </c>
    </row>
    <row r="2995">
      <c r="A2995" s="2" t="s">
        <v>240</v>
      </c>
      <c r="B2995" s="2" t="s">
        <v>2238</v>
      </c>
      <c r="C2995" s="2" t="s">
        <v>2830</v>
      </c>
      <c r="D2995" s="3" t="str">
        <f>HYPERLINK("https://12go.asia/en/travel/kalaburagi/tambaram", "12Go Link")</f>
        <v>12Go Link</v>
      </c>
      <c r="E2995" s="2" t="s">
        <v>226</v>
      </c>
    </row>
    <row r="2996">
      <c r="A2996" s="2" t="s">
        <v>242</v>
      </c>
      <c r="B2996" s="2" t="s">
        <v>2277</v>
      </c>
      <c r="C2996" s="2" t="s">
        <v>2831</v>
      </c>
      <c r="D2996" s="3" t="str">
        <f>HYPERLINK("https://12go.asia/en/travel/kalyan-jn/aluva", "12Go Link")</f>
        <v>12Go Link</v>
      </c>
      <c r="E2996" s="2" t="s">
        <v>226</v>
      </c>
    </row>
    <row r="2997">
      <c r="A2997" s="2" t="s">
        <v>242</v>
      </c>
      <c r="B2997" s="2" t="s">
        <v>2277</v>
      </c>
      <c r="C2997" s="2" t="s">
        <v>2832</v>
      </c>
      <c r="D2997" s="3" t="str">
        <f>HYPERLINK("https://12go.asia/en/travel/kalyan/aluva", "12Go Link")</f>
        <v>12Go Link</v>
      </c>
      <c r="E2997" s="2" t="s">
        <v>226</v>
      </c>
    </row>
    <row r="2998">
      <c r="A2998" s="2" t="s">
        <v>242</v>
      </c>
      <c r="B2998" s="2" t="s">
        <v>2833</v>
      </c>
      <c r="C2998" s="2" t="s">
        <v>2834</v>
      </c>
      <c r="D2998" s="3" t="str">
        <f>HYPERLINK("https://12go.asia/en/travel/kalyan-jn/boisar", "12Go Link")</f>
        <v>12Go Link</v>
      </c>
      <c r="E2998" s="2" t="s">
        <v>226</v>
      </c>
    </row>
    <row r="2999">
      <c r="A2999" s="2" t="s">
        <v>242</v>
      </c>
      <c r="B2999" s="2" t="s">
        <v>2833</v>
      </c>
      <c r="C2999" s="2" t="s">
        <v>2835</v>
      </c>
      <c r="D2999" s="3" t="str">
        <f>HYPERLINK("https://12go.asia/en/travel/kalyan/boisar", "12Go Link")</f>
        <v>12Go Link</v>
      </c>
      <c r="E2999" s="2" t="s">
        <v>226</v>
      </c>
    </row>
    <row r="3000">
      <c r="A3000" s="2" t="s">
        <v>242</v>
      </c>
      <c r="B3000" s="2" t="s">
        <v>2564</v>
      </c>
      <c r="C3000" s="2" t="s">
        <v>2836</v>
      </c>
      <c r="D3000" s="3" t="str">
        <f>HYPERLINK("https://12go.asia/en/travel/kalyan-jn/viramgam-junction", "12Go Link")</f>
        <v>12Go Link</v>
      </c>
      <c r="E3000" s="2" t="s">
        <v>226</v>
      </c>
    </row>
    <row r="3001">
      <c r="A3001" s="2" t="s">
        <v>242</v>
      </c>
      <c r="B3001" s="2" t="s">
        <v>2564</v>
      </c>
      <c r="C3001" s="2" t="s">
        <v>2837</v>
      </c>
      <c r="D3001" s="3" t="str">
        <f>HYPERLINK("https://12go.asia/en/travel/kalyan/viramgam", "12Go Link")</f>
        <v>12Go Link</v>
      </c>
      <c r="E3001" s="2" t="s">
        <v>226</v>
      </c>
    </row>
    <row r="3002">
      <c r="A3002" s="2" t="s">
        <v>242</v>
      </c>
      <c r="B3002" s="2" t="s">
        <v>2838</v>
      </c>
      <c r="C3002" s="2" t="s">
        <v>2839</v>
      </c>
      <c r="D3002" s="3" t="str">
        <f>HYPERLINK("https://12go.asia/en/travel/kalyan-jn/yadgir", "12Go Link")</f>
        <v>12Go Link</v>
      </c>
      <c r="E3002" s="2" t="s">
        <v>226</v>
      </c>
    </row>
    <row r="3003">
      <c r="A3003" s="2" t="s">
        <v>242</v>
      </c>
      <c r="B3003" s="2" t="s">
        <v>2838</v>
      </c>
      <c r="C3003" s="2" t="s">
        <v>2840</v>
      </c>
      <c r="D3003" s="3" t="str">
        <f>HYPERLINK("https://12go.asia/en/travel/kalyan/yadgir", "12Go Link")</f>
        <v>12Go Link</v>
      </c>
      <c r="E3003" s="2" t="s">
        <v>226</v>
      </c>
    </row>
    <row r="3004">
      <c r="A3004" s="2" t="s">
        <v>2841</v>
      </c>
      <c r="B3004" s="2" t="s">
        <v>2753</v>
      </c>
      <c r="C3004" s="2" t="s">
        <v>2842</v>
      </c>
      <c r="D3004" s="3" t="str">
        <f>HYPERLINK("https://12go.asia/en/travel/kankanadi/daman", "12Go Link")</f>
        <v>12Go Link</v>
      </c>
      <c r="E3004" s="2" t="s">
        <v>226</v>
      </c>
    </row>
    <row r="3005">
      <c r="A3005" s="2" t="s">
        <v>2843</v>
      </c>
      <c r="B3005" s="2" t="s">
        <v>2844</v>
      </c>
      <c r="C3005" s="2" t="s">
        <v>2845</v>
      </c>
      <c r="D3005" s="3" t="str">
        <f>HYPERLINK("https://12go.asia/en/travel/kannur/canacona-goa", "12Go Link")</f>
        <v>12Go Link</v>
      </c>
      <c r="E3005" s="2" t="s">
        <v>226</v>
      </c>
    </row>
    <row r="3006">
      <c r="A3006" s="2" t="s">
        <v>2843</v>
      </c>
      <c r="B3006" s="2" t="s">
        <v>2844</v>
      </c>
      <c r="C3006" s="2" t="s">
        <v>2846</v>
      </c>
      <c r="D3006" s="3" t="str">
        <f>HYPERLINK("https://12go.asia/en/travel/kannur/cancona", "12Go Link")</f>
        <v>12Go Link</v>
      </c>
      <c r="E3006" s="2" t="s">
        <v>226</v>
      </c>
    </row>
    <row r="3007">
      <c r="A3007" s="2" t="s">
        <v>2843</v>
      </c>
      <c r="B3007" s="2" t="s">
        <v>2847</v>
      </c>
      <c r="C3007" s="2" t="s">
        <v>2848</v>
      </c>
      <c r="D3007" s="3" t="str">
        <f>HYPERLINK("https://12go.asia/en/travel/kannur/karwar", "12Go Link")</f>
        <v>12Go Link</v>
      </c>
      <c r="E3007" s="2" t="s">
        <v>226</v>
      </c>
    </row>
    <row r="3008">
      <c r="A3008" s="2" t="s">
        <v>2198</v>
      </c>
      <c r="B3008" s="2" t="s">
        <v>2849</v>
      </c>
      <c r="C3008" s="2" t="s">
        <v>2850</v>
      </c>
      <c r="D3008" s="3" t="str">
        <f>HYPERLINK("https://12go.asia/en/travel/kanpur-central/meja-road", "12Go Link")</f>
        <v>12Go Link</v>
      </c>
      <c r="E3008" s="2" t="s">
        <v>226</v>
      </c>
    </row>
    <row r="3009">
      <c r="A3009" s="2" t="s">
        <v>2198</v>
      </c>
      <c r="B3009" s="2" t="s">
        <v>2849</v>
      </c>
      <c r="C3009" s="2" t="s">
        <v>2851</v>
      </c>
      <c r="D3009" s="3" t="str">
        <f>HYPERLINK("https://12go.asia/en/travel/kanpur/meja-road", "12Go Link")</f>
        <v>12Go Link</v>
      </c>
      <c r="E3009" s="2" t="s">
        <v>226</v>
      </c>
    </row>
    <row r="3010">
      <c r="A3010" s="2" t="s">
        <v>2198</v>
      </c>
      <c r="B3010" s="2" t="s">
        <v>2296</v>
      </c>
      <c r="C3010" s="2" t="s">
        <v>2852</v>
      </c>
      <c r="D3010" s="3" t="str">
        <f>HYPERLINK("https://12go.asia/en/travel/kanpur/sikandra-agra", "12Go Link")</f>
        <v>12Go Link</v>
      </c>
      <c r="E3010" s="2" t="s">
        <v>226</v>
      </c>
    </row>
    <row r="3011">
      <c r="A3011" s="2" t="s">
        <v>2853</v>
      </c>
      <c r="B3011" s="2" t="s">
        <v>2630</v>
      </c>
      <c r="C3011" s="2" t="s">
        <v>2854</v>
      </c>
      <c r="D3011" s="3" t="str">
        <f>HYPERLINK("https://12go.asia/en/travel/kathua/jammu-and-kashmir", "12Go Link")</f>
        <v>12Go Link</v>
      </c>
      <c r="E3011" s="2" t="s">
        <v>226</v>
      </c>
    </row>
    <row r="3012">
      <c r="A3012" s="2" t="s">
        <v>2853</v>
      </c>
      <c r="B3012" s="2" t="s">
        <v>2632</v>
      </c>
      <c r="C3012" s="2" t="s">
        <v>2855</v>
      </c>
      <c r="D3012" s="3" t="str">
        <f>HYPERLINK("https://12go.asia/en/travel/kathua/jammu-kashmir", "12Go Link")</f>
        <v>12Go Link</v>
      </c>
      <c r="E3012" s="2" t="s">
        <v>226</v>
      </c>
    </row>
    <row r="3013">
      <c r="A3013" s="2" t="s">
        <v>2696</v>
      </c>
      <c r="B3013" s="2" t="s">
        <v>2402</v>
      </c>
      <c r="C3013" s="2" t="s">
        <v>2856</v>
      </c>
      <c r="D3013" s="3" t="str">
        <f>HYPERLINK("https://12go.asia/en/travel/katihar-junction/sealdah", "12Go Link")</f>
        <v>12Go Link</v>
      </c>
      <c r="E3013" s="2" t="s">
        <v>226</v>
      </c>
    </row>
    <row r="3014">
      <c r="A3014" s="2" t="s">
        <v>2696</v>
      </c>
      <c r="B3014" s="2" t="s">
        <v>2402</v>
      </c>
      <c r="C3014" s="2" t="s">
        <v>2857</v>
      </c>
      <c r="D3014" s="3" t="str">
        <f>HYPERLINK("https://12go.asia/en/travel/katihar/kolkata", "12Go Link")</f>
        <v>12Go Link</v>
      </c>
      <c r="E3014" s="2" t="s">
        <v>226</v>
      </c>
    </row>
    <row r="3015">
      <c r="A3015" s="2" t="s">
        <v>2200</v>
      </c>
      <c r="B3015" s="2" t="s">
        <v>2450</v>
      </c>
      <c r="C3015" s="2" t="s">
        <v>2858</v>
      </c>
      <c r="D3015" s="3" t="str">
        <f>HYPERLINK("https://12go.asia/en/travel/katni-south/bhopal-jn", "12Go Link")</f>
        <v>12Go Link</v>
      </c>
      <c r="E3015" s="2" t="s">
        <v>226</v>
      </c>
    </row>
    <row r="3016">
      <c r="A3016" s="2" t="s">
        <v>2200</v>
      </c>
      <c r="B3016" s="2" t="s">
        <v>2227</v>
      </c>
      <c r="C3016" s="2" t="s">
        <v>2859</v>
      </c>
      <c r="D3016" s="3" t="str">
        <f>HYPERLINK("https://12go.asia/en/travel/katni/maharashtra", "12Go Link")</f>
        <v>12Go Link</v>
      </c>
      <c r="E3016" s="2" t="s">
        <v>226</v>
      </c>
    </row>
    <row r="3017">
      <c r="A3017" s="2" t="s">
        <v>2200</v>
      </c>
      <c r="B3017" s="2" t="s">
        <v>2860</v>
      </c>
      <c r="C3017" s="2" t="s">
        <v>2861</v>
      </c>
      <c r="D3017" s="3" t="str">
        <f>HYPERLINK("https://12go.asia/en/travel/katni-murwara/lokmanya-tilak-term", "12Go Link")</f>
        <v>12Go Link</v>
      </c>
      <c r="E3017" s="2" t="s">
        <v>226</v>
      </c>
    </row>
    <row r="3018">
      <c r="A3018" s="2" t="s">
        <v>2200</v>
      </c>
      <c r="B3018" s="2" t="s">
        <v>2860</v>
      </c>
      <c r="C3018" s="2" t="s">
        <v>2862</v>
      </c>
      <c r="D3018" s="3" t="str">
        <f>HYPERLINK("https://12go.asia/en/travel/katni/lokmanya-tilak-term", "12Go Link")</f>
        <v>12Go Link</v>
      </c>
      <c r="E3018" s="2" t="s">
        <v>226</v>
      </c>
    </row>
    <row r="3019">
      <c r="A3019" s="2" t="s">
        <v>2200</v>
      </c>
      <c r="B3019" s="2" t="s">
        <v>2860</v>
      </c>
      <c r="C3019" s="2" t="s">
        <v>2863</v>
      </c>
      <c r="D3019" s="3" t="str">
        <f>HYPERLINK("https://12go.asia/en/travel/katni/mumbai-cst", "12Go Link")</f>
        <v>12Go Link</v>
      </c>
      <c r="E3019" s="2" t="s">
        <v>226</v>
      </c>
    </row>
    <row r="3020">
      <c r="A3020" s="2" t="s">
        <v>2200</v>
      </c>
      <c r="B3020" s="2" t="s">
        <v>2273</v>
      </c>
      <c r="C3020" s="2" t="s">
        <v>2864</v>
      </c>
      <c r="D3020" s="3" t="str">
        <f>HYPERLINK("https://12go.asia/en/travel/katni-murwara/prayagraj-junction", "12Go Link")</f>
        <v>12Go Link</v>
      </c>
      <c r="E3020" s="2" t="s">
        <v>226</v>
      </c>
    </row>
    <row r="3021">
      <c r="A3021" s="2" t="s">
        <v>2200</v>
      </c>
      <c r="B3021" s="2" t="s">
        <v>2273</v>
      </c>
      <c r="C3021" s="2" t="s">
        <v>2865</v>
      </c>
      <c r="D3021" s="3" t="str">
        <f>HYPERLINK("https://12go.asia/en/travel/katni/prayagraj", "12Go Link")</f>
        <v>12Go Link</v>
      </c>
      <c r="E3021" s="2" t="s">
        <v>226</v>
      </c>
    </row>
    <row r="3022">
      <c r="A3022" s="2" t="s">
        <v>2200</v>
      </c>
      <c r="B3022" s="2" t="s">
        <v>2273</v>
      </c>
      <c r="C3022" s="2" t="s">
        <v>2866</v>
      </c>
      <c r="D3022" s="3" t="str">
        <f>HYPERLINK("https://12go.asia/en/travel/katni/prayagraj-junction", "12Go Link")</f>
        <v>12Go Link</v>
      </c>
      <c r="E3022" s="2" t="s">
        <v>226</v>
      </c>
    </row>
    <row r="3023">
      <c r="A3023" s="2" t="s">
        <v>2867</v>
      </c>
      <c r="B3023" s="2" t="s">
        <v>2227</v>
      </c>
      <c r="C3023" s="2" t="s">
        <v>2868</v>
      </c>
      <c r="D3023" s="3" t="str">
        <f>HYPERLINK("https://12go.asia/en/travel/katpadi/maharashtra", "12Go Link")</f>
        <v>12Go Link</v>
      </c>
      <c r="E3023" s="2" t="s">
        <v>226</v>
      </c>
    </row>
    <row r="3024">
      <c r="A3024" s="2" t="s">
        <v>2867</v>
      </c>
      <c r="B3024" s="2" t="s">
        <v>2860</v>
      </c>
      <c r="C3024" s="2" t="s">
        <v>2869</v>
      </c>
      <c r="D3024" s="3" t="str">
        <f>HYPERLINK("https://12go.asia/en/travel/katpadi-junction/mumbai-cst", "12Go Link")</f>
        <v>12Go Link</v>
      </c>
      <c r="E3024" s="2" t="s">
        <v>226</v>
      </c>
    </row>
    <row r="3025">
      <c r="A3025" s="2" t="s">
        <v>2870</v>
      </c>
      <c r="B3025" s="2" t="s">
        <v>2192</v>
      </c>
      <c r="C3025" s="2" t="s">
        <v>2871</v>
      </c>
      <c r="D3025" s="3" t="str">
        <f>HYPERLINK("https://12go.asia/en/travel/katra-vaishno-devi/agra", "12Go Link")</f>
        <v>12Go Link</v>
      </c>
      <c r="E3025" s="2" t="s">
        <v>226</v>
      </c>
    </row>
    <row r="3026">
      <c r="A3026" s="2" t="s">
        <v>2870</v>
      </c>
      <c r="B3026" s="2" t="s">
        <v>2770</v>
      </c>
      <c r="C3026" s="2" t="s">
        <v>2872</v>
      </c>
      <c r="D3026" s="3" t="str">
        <f>HYPERLINK("https://12go.asia/en/travel/katra-vaishno-devi/taj-mahal", "12Go Link")</f>
        <v>12Go Link</v>
      </c>
      <c r="E3026" s="2" t="s">
        <v>226</v>
      </c>
    </row>
    <row r="3027">
      <c r="A3027" s="2" t="s">
        <v>2873</v>
      </c>
      <c r="B3027" s="2" t="s">
        <v>2362</v>
      </c>
      <c r="C3027" s="2" t="s">
        <v>2874</v>
      </c>
      <c r="D3027" s="3" t="str">
        <f>HYPERLINK("https://12go.asia/en/travel/kayamkulam-junction/palani", "12Go Link")</f>
        <v>12Go Link</v>
      </c>
      <c r="E3027" s="2" t="s">
        <v>226</v>
      </c>
    </row>
    <row r="3028">
      <c r="A3028" s="2" t="s">
        <v>2873</v>
      </c>
      <c r="B3028" s="2" t="s">
        <v>2362</v>
      </c>
      <c r="C3028" s="2" t="s">
        <v>2875</v>
      </c>
      <c r="D3028" s="3" t="str">
        <f>HYPERLINK("https://12go.asia/en/travel/kayamkulam/palani", "12Go Link")</f>
        <v>12Go Link</v>
      </c>
      <c r="E3028" s="2" t="s">
        <v>226</v>
      </c>
    </row>
    <row r="3029">
      <c r="A3029" s="2" t="s">
        <v>2876</v>
      </c>
      <c r="B3029" s="2" t="s">
        <v>2877</v>
      </c>
      <c r="C3029" s="2" t="s">
        <v>2878</v>
      </c>
      <c r="D3029" s="3" t="str">
        <f>HYPERLINK("https://12go.asia/en/travel/kumbla/mangalore-central", "12Go Link")</f>
        <v>12Go Link</v>
      </c>
      <c r="E3029" s="2" t="s">
        <v>226</v>
      </c>
    </row>
    <row r="3030">
      <c r="A3030" s="2" t="s">
        <v>2876</v>
      </c>
      <c r="B3030" s="2" t="s">
        <v>2296</v>
      </c>
      <c r="C3030" s="2" t="s">
        <v>2879</v>
      </c>
      <c r="D3030" s="3" t="str">
        <f>HYPERLINK("https://12go.asia/en/travel/kerala/sikandra-agra", "12Go Link")</f>
        <v>12Go Link</v>
      </c>
      <c r="E3030" s="2" t="s">
        <v>226</v>
      </c>
    </row>
    <row r="3031">
      <c r="A3031" s="2" t="s">
        <v>2880</v>
      </c>
      <c r="B3031" s="2" t="s">
        <v>2699</v>
      </c>
      <c r="C3031" s="2" t="s">
        <v>2881</v>
      </c>
      <c r="D3031" s="3" t="str">
        <f>HYPERLINK("https://12go.asia/en/travel/khagaria-junction/siwan-junction", "12Go Link")</f>
        <v>12Go Link</v>
      </c>
      <c r="E3031" s="2" t="s">
        <v>226</v>
      </c>
    </row>
    <row r="3032">
      <c r="A3032" s="2" t="s">
        <v>2880</v>
      </c>
      <c r="B3032" s="2" t="s">
        <v>2699</v>
      </c>
      <c r="C3032" s="2" t="s">
        <v>2882</v>
      </c>
      <c r="D3032" s="3" t="str">
        <f>HYPERLINK("https://12go.asia/en/travel/khagaria/siwan", "12Go Link")</f>
        <v>12Go Link</v>
      </c>
      <c r="E3032" s="2" t="s">
        <v>226</v>
      </c>
    </row>
    <row r="3033">
      <c r="A3033" s="2" t="s">
        <v>2883</v>
      </c>
      <c r="B3033" s="2" t="s">
        <v>2296</v>
      </c>
      <c r="C3033" s="2" t="s">
        <v>2884</v>
      </c>
      <c r="D3033" s="3" t="str">
        <f>HYPERLINK("https://12go.asia/en/travel/khajuraho/sikandra-agra", "12Go Link")</f>
        <v>12Go Link</v>
      </c>
      <c r="E3033" s="2" t="s">
        <v>226</v>
      </c>
    </row>
    <row r="3034">
      <c r="A3034" s="2" t="s">
        <v>2455</v>
      </c>
      <c r="B3034" s="2" t="s">
        <v>2885</v>
      </c>
      <c r="C3034" s="2" t="s">
        <v>2886</v>
      </c>
      <c r="D3034" s="3" t="str">
        <f>HYPERLINK("https://12go.asia/en/travel/khandwa/chittaurgarh", "12Go Link")</f>
        <v>12Go Link</v>
      </c>
      <c r="E3034" s="2" t="s">
        <v>226</v>
      </c>
    </row>
    <row r="3035">
      <c r="A3035" s="2" t="s">
        <v>2455</v>
      </c>
      <c r="B3035" s="2" t="s">
        <v>2885</v>
      </c>
      <c r="C3035" s="2" t="s">
        <v>2887</v>
      </c>
      <c r="D3035" s="3" t="str">
        <f>HYPERLINK("https://12go.asia/en/travel/khandwa/chittorgarh", "12Go Link")</f>
        <v>12Go Link</v>
      </c>
      <c r="E3035" s="2" t="s">
        <v>226</v>
      </c>
    </row>
    <row r="3036">
      <c r="A3036" s="2" t="s">
        <v>2888</v>
      </c>
      <c r="B3036" s="2" t="s">
        <v>2402</v>
      </c>
      <c r="C3036" s="2" t="s">
        <v>2889</v>
      </c>
      <c r="D3036" s="3" t="str">
        <f>HYPERLINK("https://12go.asia/en/travel/kiul-junction/kolkata", "12Go Link")</f>
        <v>12Go Link</v>
      </c>
      <c r="E3036" s="2" t="s">
        <v>226</v>
      </c>
    </row>
    <row r="3037">
      <c r="A3037" s="2" t="s">
        <v>2888</v>
      </c>
      <c r="B3037" s="2" t="s">
        <v>2402</v>
      </c>
      <c r="C3037" s="2" t="s">
        <v>2890</v>
      </c>
      <c r="D3037" s="3" t="str">
        <f>HYPERLINK("https://12go.asia/en/travel/kiul-junction/sealdah", "12Go Link")</f>
        <v>12Go Link</v>
      </c>
      <c r="E3037" s="2" t="s">
        <v>226</v>
      </c>
    </row>
    <row r="3038">
      <c r="A3038" s="2" t="s">
        <v>2808</v>
      </c>
      <c r="B3038" s="2" t="s">
        <v>2609</v>
      </c>
      <c r="C3038" s="2" t="s">
        <v>2891</v>
      </c>
      <c r="D3038" s="3" t="str">
        <f>HYPERLINK("https://12go.asia/en/travel/ernakulam-jn/punalur", "12Go Link")</f>
        <v>12Go Link</v>
      </c>
      <c r="E3038" s="2" t="s">
        <v>226</v>
      </c>
    </row>
    <row r="3039">
      <c r="A3039" s="2" t="s">
        <v>2808</v>
      </c>
      <c r="B3039" s="2" t="s">
        <v>2236</v>
      </c>
      <c r="C3039" s="2" t="s">
        <v>2892</v>
      </c>
      <c r="D3039" s="3" t="str">
        <f>HYPERLINK("https://12go.asia/en/travel/ernakulam-town-north/renigunta-junction", "12Go Link")</f>
        <v>12Go Link</v>
      </c>
      <c r="E3039" s="2" t="s">
        <v>226</v>
      </c>
    </row>
    <row r="3040">
      <c r="A3040" s="2" t="s">
        <v>2808</v>
      </c>
      <c r="B3040" s="2" t="s">
        <v>2236</v>
      </c>
      <c r="C3040" s="2" t="s">
        <v>2893</v>
      </c>
      <c r="D3040" s="3" t="str">
        <f>HYPERLINK("https://12go.asia/en/travel/kochi-india/renigunta", "12Go Link")</f>
        <v>12Go Link</v>
      </c>
      <c r="E3040" s="2" t="s">
        <v>226</v>
      </c>
    </row>
    <row r="3041">
      <c r="A3041" s="2" t="s">
        <v>2808</v>
      </c>
      <c r="B3041" s="2" t="s">
        <v>2611</v>
      </c>
      <c r="C3041" s="2" t="s">
        <v>2894</v>
      </c>
      <c r="D3041" s="3" t="str">
        <f>HYPERLINK("https://12go.asia/en/travel/ernakulam-town-north/tuti-melur", "12Go Link")</f>
        <v>12Go Link</v>
      </c>
      <c r="E3041" s="2" t="s">
        <v>226</v>
      </c>
    </row>
    <row r="3042">
      <c r="A3042" s="2" t="s">
        <v>2808</v>
      </c>
      <c r="B3042" s="2" t="s">
        <v>2611</v>
      </c>
      <c r="C3042" s="2" t="s">
        <v>2895</v>
      </c>
      <c r="D3042" s="3" t="str">
        <f>HYPERLINK("https://12go.asia/en/travel/ernakulam-town-north/tuticorin", "12Go Link")</f>
        <v>12Go Link</v>
      </c>
      <c r="E3042" s="2" t="s">
        <v>226</v>
      </c>
    </row>
    <row r="3043">
      <c r="A3043" s="2" t="s">
        <v>2808</v>
      </c>
      <c r="B3043" s="2" t="s">
        <v>2611</v>
      </c>
      <c r="C3043" s="2" t="s">
        <v>2896</v>
      </c>
      <c r="D3043" s="3" t="str">
        <f>HYPERLINK("https://12go.asia/en/travel/kochi-india/thoothukudi", "12Go Link")</f>
        <v>12Go Link</v>
      </c>
      <c r="E3043" s="2" t="s">
        <v>226</v>
      </c>
    </row>
    <row r="3044">
      <c r="A3044" s="2" t="s">
        <v>2897</v>
      </c>
      <c r="B3044" s="2" t="s">
        <v>2898</v>
      </c>
      <c r="C3044" s="2" t="s">
        <v>2899</v>
      </c>
      <c r="D3044" s="3" t="str">
        <f>HYPERLINK("https://12go.asia/en/travel/kolaghat/digha", "12Go Link")</f>
        <v>12Go Link</v>
      </c>
      <c r="E3044" s="2" t="s">
        <v>226</v>
      </c>
    </row>
    <row r="3045">
      <c r="A3045" s="2" t="s">
        <v>2897</v>
      </c>
      <c r="B3045" s="2" t="s">
        <v>2812</v>
      </c>
      <c r="C3045" s="2" t="s">
        <v>2900</v>
      </c>
      <c r="D3045" s="3" t="str">
        <f>HYPERLINK("https://12go.asia/en/travel/kolaghat/puri", "12Go Link")</f>
        <v>12Go Link</v>
      </c>
      <c r="E3045" s="2" t="s">
        <v>226</v>
      </c>
    </row>
    <row r="3046">
      <c r="A3046" s="2" t="s">
        <v>2897</v>
      </c>
      <c r="B3046" s="2" t="s">
        <v>2470</v>
      </c>
      <c r="C3046" s="2" t="s">
        <v>2901</v>
      </c>
      <c r="D3046" s="3" t="str">
        <f>HYPERLINK("https://12go.asia/en/travel/kolaghat/west-bengal", "12Go Link")</f>
        <v>12Go Link</v>
      </c>
      <c r="E3046" s="2" t="s">
        <v>226</v>
      </c>
    </row>
    <row r="3047">
      <c r="A3047" s="2" t="s">
        <v>2402</v>
      </c>
      <c r="B3047" s="2" t="s">
        <v>2902</v>
      </c>
      <c r="C3047" s="2" t="s">
        <v>2903</v>
      </c>
      <c r="D3047" s="3" t="str">
        <f>HYPERLINK("https://12go.asia/en/travel/kolkata/barbil", "12Go Link")</f>
        <v>12Go Link</v>
      </c>
      <c r="E3047" s="2" t="s">
        <v>226</v>
      </c>
    </row>
    <row r="3048">
      <c r="A3048" s="2" t="s">
        <v>2402</v>
      </c>
      <c r="B3048" s="2" t="s">
        <v>2236</v>
      </c>
      <c r="C3048" s="2" t="s">
        <v>2904</v>
      </c>
      <c r="D3048" s="3" t="str">
        <f>HYPERLINK("https://12go.asia/en/travel/kolkata/renigunta", "12Go Link")</f>
        <v>12Go Link</v>
      </c>
      <c r="E3048" s="2" t="s">
        <v>226</v>
      </c>
    </row>
    <row r="3049">
      <c r="A3049" s="2" t="s">
        <v>2402</v>
      </c>
      <c r="B3049" s="2" t="s">
        <v>2296</v>
      </c>
      <c r="C3049" s="2" t="s">
        <v>2905</v>
      </c>
      <c r="D3049" s="3" t="str">
        <f>HYPERLINK("https://12go.asia/en/travel/kolkata/sikandra-agra", "12Go Link")</f>
        <v>12Go Link</v>
      </c>
      <c r="E3049" s="2" t="s">
        <v>226</v>
      </c>
    </row>
    <row r="3050">
      <c r="A3050" s="2" t="s">
        <v>2402</v>
      </c>
      <c r="B3050" s="2" t="s">
        <v>2190</v>
      </c>
      <c r="C3050" s="2" t="s">
        <v>2906</v>
      </c>
      <c r="D3050" s="3" t="str">
        <f>HYPERLINK("https://12go.asia/en/travel/kolkata/deen-dayal-upadhyaya-jn", "12Go Link")</f>
        <v>12Go Link</v>
      </c>
      <c r="E3050" s="2" t="s">
        <v>226</v>
      </c>
    </row>
    <row r="3051">
      <c r="A3051" s="2" t="s">
        <v>2907</v>
      </c>
      <c r="B3051" s="2" t="s">
        <v>2318</v>
      </c>
      <c r="C3051" s="2" t="s">
        <v>2908</v>
      </c>
      <c r="D3051" s="3" t="str">
        <f>HYPERLINK("https://12go.asia/en/travel/korba/delhi", "12Go Link")</f>
        <v>12Go Link</v>
      </c>
      <c r="E3051" s="2" t="s">
        <v>226</v>
      </c>
    </row>
    <row r="3052">
      <c r="A3052" s="2" t="s">
        <v>2907</v>
      </c>
      <c r="B3052" s="2" t="s">
        <v>2318</v>
      </c>
      <c r="C3052" s="2" t="s">
        <v>2909</v>
      </c>
      <c r="D3052" s="3" t="str">
        <f>HYPERLINK("https://12go.asia/en/travel/korba/hazrat-nizamuddin", "12Go Link")</f>
        <v>12Go Link</v>
      </c>
      <c r="E3052" s="2" t="s">
        <v>226</v>
      </c>
    </row>
    <row r="3053">
      <c r="A3053" s="2" t="s">
        <v>2907</v>
      </c>
      <c r="B3053" s="2" t="s">
        <v>2405</v>
      </c>
      <c r="C3053" s="2" t="s">
        <v>2910</v>
      </c>
      <c r="D3053" s="3" t="str">
        <f>HYPERLINK("https://12go.asia/en/travel/korba/new-delhi", "12Go Link")</f>
        <v>12Go Link</v>
      </c>
      <c r="E3053" s="2" t="s">
        <v>226</v>
      </c>
    </row>
    <row r="3054">
      <c r="A3054" s="2" t="s">
        <v>2205</v>
      </c>
      <c r="B3054" s="2" t="s">
        <v>2318</v>
      </c>
      <c r="C3054" s="2" t="s">
        <v>2911</v>
      </c>
      <c r="D3054" s="3" t="str">
        <f>HYPERLINK("https://12go.asia/en/travel/kothapatnam/delhi", "12Go Link")</f>
        <v>12Go Link</v>
      </c>
      <c r="E3054" s="2" t="s">
        <v>226</v>
      </c>
    </row>
    <row r="3055">
      <c r="A3055" s="2" t="s">
        <v>2205</v>
      </c>
      <c r="B3055" s="2" t="s">
        <v>2236</v>
      </c>
      <c r="C3055" s="2" t="s">
        <v>2912</v>
      </c>
      <c r="D3055" s="3" t="str">
        <f>HYPERLINK("https://12go.asia/en/travel/kothapatnam/renigunta", "12Go Link")</f>
        <v>12Go Link</v>
      </c>
      <c r="E3055" s="2" t="s">
        <v>226</v>
      </c>
    </row>
    <row r="3056">
      <c r="A3056" s="2" t="s">
        <v>2913</v>
      </c>
      <c r="B3056" s="2" t="s">
        <v>2282</v>
      </c>
      <c r="C3056" s="2" t="s">
        <v>2914</v>
      </c>
      <c r="D3056" s="3" t="str">
        <f>HYPERLINK("https://12go.asia/en/travel/kudal/old-goa", "12Go Link")</f>
        <v>12Go Link</v>
      </c>
      <c r="E3056" s="2" t="s">
        <v>226</v>
      </c>
    </row>
    <row r="3057">
      <c r="A3057" s="2" t="s">
        <v>2342</v>
      </c>
      <c r="B3057" s="2" t="s">
        <v>2915</v>
      </c>
      <c r="C3057" s="2" t="s">
        <v>2916</v>
      </c>
      <c r="D3057" s="3" t="str">
        <f>HYPERLINK("https://12go.asia/en/travel/kumta/navi-mumbai", "12Go Link")</f>
        <v>12Go Link</v>
      </c>
      <c r="E3057" s="2" t="s">
        <v>226</v>
      </c>
    </row>
    <row r="3058">
      <c r="A3058" s="2" t="s">
        <v>2917</v>
      </c>
      <c r="B3058" s="2" t="s">
        <v>2918</v>
      </c>
      <c r="C3058" s="2" t="s">
        <v>2919</v>
      </c>
      <c r="D3058" s="3" t="str">
        <f>HYPERLINK("https://12go.asia/en/travel/kurnool-town/nanded", "12Go Link")</f>
        <v>12Go Link</v>
      </c>
      <c r="E3058" s="2" t="s">
        <v>226</v>
      </c>
    </row>
    <row r="3059">
      <c r="A3059" s="2" t="s">
        <v>2917</v>
      </c>
      <c r="B3059" s="2" t="s">
        <v>2918</v>
      </c>
      <c r="C3059" s="2" t="s">
        <v>2920</v>
      </c>
      <c r="D3059" s="3" t="str">
        <f>HYPERLINK("https://12go.asia/en/travel/kurnool/nanded", "12Go Link")</f>
        <v>12Go Link</v>
      </c>
      <c r="E3059" s="2" t="s">
        <v>226</v>
      </c>
    </row>
    <row r="3060">
      <c r="A3060" s="2" t="s">
        <v>2921</v>
      </c>
      <c r="B3060" s="2" t="s">
        <v>2227</v>
      </c>
      <c r="C3060" s="2" t="s">
        <v>2922</v>
      </c>
      <c r="D3060" s="3" t="str">
        <f>HYPERLINK("https://12go.asia/en/travel/kurukshetra/maharashtra", "12Go Link")</f>
        <v>12Go Link</v>
      </c>
      <c r="E3060" s="2" t="s">
        <v>226</v>
      </c>
    </row>
    <row r="3061">
      <c r="A3061" s="2" t="s">
        <v>2921</v>
      </c>
      <c r="B3061" s="2" t="s">
        <v>2860</v>
      </c>
      <c r="C3061" s="2" t="s">
        <v>2923</v>
      </c>
      <c r="D3061" s="3" t="str">
        <f>HYPERLINK("https://12go.asia/en/travel/kurukshetra-junction/mumbai-central", "12Go Link")</f>
        <v>12Go Link</v>
      </c>
      <c r="E3061" s="2" t="s">
        <v>226</v>
      </c>
    </row>
    <row r="3062">
      <c r="A3062" s="2" t="s">
        <v>2921</v>
      </c>
      <c r="B3062" s="2" t="s">
        <v>2860</v>
      </c>
      <c r="C3062" s="2" t="s">
        <v>2924</v>
      </c>
      <c r="D3062" s="3" t="str">
        <f>HYPERLINK("https://12go.asia/en/travel/kurukshetra-junction/mumbai-cst", "12Go Link")</f>
        <v>12Go Link</v>
      </c>
      <c r="E3062" s="2" t="s">
        <v>226</v>
      </c>
    </row>
    <row r="3063">
      <c r="A3063" s="2" t="s">
        <v>2925</v>
      </c>
      <c r="B3063" s="2" t="s">
        <v>2926</v>
      </c>
      <c r="C3063" s="2" t="s">
        <v>2927</v>
      </c>
      <c r="D3063" s="3" t="str">
        <f>HYPERLINK("https://12go.asia/en/travel/kuttippuram/kottayam", "12Go Link")</f>
        <v>12Go Link</v>
      </c>
      <c r="E3063" s="2" t="s">
        <v>59</v>
      </c>
    </row>
    <row r="3064">
      <c r="A3064" s="2" t="s">
        <v>2299</v>
      </c>
      <c r="B3064" s="2" t="s">
        <v>2928</v>
      </c>
      <c r="C3064" s="2" t="s">
        <v>2929</v>
      </c>
      <c r="D3064" s="3" t="str">
        <f>HYPERLINK("https://12go.asia/en/travel/lingampalli/jadcherla", "12Go Link")</f>
        <v>12Go Link</v>
      </c>
      <c r="E3064" s="2" t="s">
        <v>226</v>
      </c>
    </row>
    <row r="3065">
      <c r="A3065" s="2" t="s">
        <v>2930</v>
      </c>
      <c r="B3065" s="2" t="s">
        <v>2359</v>
      </c>
      <c r="C3065" s="2" t="s">
        <v>2931</v>
      </c>
      <c r="D3065" s="3" t="str">
        <f>HYPERLINK("https://12go.asia/en/travel/luckeesarai/jamshedpur", "12Go Link")</f>
        <v>12Go Link</v>
      </c>
      <c r="E3065" s="2" t="s">
        <v>226</v>
      </c>
    </row>
    <row r="3066">
      <c r="A3066" s="2" t="s">
        <v>2930</v>
      </c>
      <c r="B3066" s="2" t="s">
        <v>2470</v>
      </c>
      <c r="C3066" s="2" t="s">
        <v>2932</v>
      </c>
      <c r="D3066" s="3" t="str">
        <f>HYPERLINK("https://12go.asia/en/travel/luckeesarai/west-bengal", "12Go Link")</f>
        <v>12Go Link</v>
      </c>
      <c r="E3066" s="2" t="s">
        <v>226</v>
      </c>
    </row>
    <row r="3067">
      <c r="A3067" s="2" t="s">
        <v>2933</v>
      </c>
      <c r="B3067" s="2" t="s">
        <v>2358</v>
      </c>
      <c r="C3067" s="2" t="s">
        <v>2934</v>
      </c>
      <c r="D3067" s="3" t="str">
        <f>HYPERLINK("https://12go.asia/en/travel/gomti-nagar-lucknow/ara", "12Go Link")</f>
        <v>12Go Link</v>
      </c>
      <c r="E3067" s="2" t="s">
        <v>226</v>
      </c>
    </row>
    <row r="3068">
      <c r="A3068" s="2" t="s">
        <v>2933</v>
      </c>
      <c r="B3068" s="2" t="s">
        <v>2358</v>
      </c>
      <c r="C3068" s="2" t="s">
        <v>2935</v>
      </c>
      <c r="D3068" s="3" t="str">
        <f>HYPERLINK("https://12go.asia/en/travel/lucknow-nr/ara", "12Go Link")</f>
        <v>12Go Link</v>
      </c>
      <c r="E3068" s="2" t="s">
        <v>226</v>
      </c>
    </row>
    <row r="3069">
      <c r="A3069" s="2" t="s">
        <v>2933</v>
      </c>
      <c r="B3069" s="2" t="s">
        <v>2358</v>
      </c>
      <c r="C3069" s="2" t="s">
        <v>2936</v>
      </c>
      <c r="D3069" s="3" t="str">
        <f>HYPERLINK("https://12go.asia/en/travel/lucknow/ara", "12Go Link")</f>
        <v>12Go Link</v>
      </c>
      <c r="E3069" s="2" t="s">
        <v>226</v>
      </c>
    </row>
    <row r="3070">
      <c r="A3070" s="2" t="s">
        <v>2933</v>
      </c>
      <c r="B3070" s="2" t="s">
        <v>2263</v>
      </c>
      <c r="C3070" s="2" t="s">
        <v>2937</v>
      </c>
      <c r="D3070" s="3" t="str">
        <f>HYPERLINK("https://12go.asia/en/travel/aishbagh/badshahnagar", "12Go Link")</f>
        <v>12Go Link</v>
      </c>
      <c r="E3070" s="2" t="s">
        <v>226</v>
      </c>
    </row>
    <row r="3071">
      <c r="A3071" s="2" t="s">
        <v>2933</v>
      </c>
      <c r="B3071" s="2" t="s">
        <v>2263</v>
      </c>
      <c r="C3071" s="2" t="s">
        <v>2938</v>
      </c>
      <c r="D3071" s="3" t="str">
        <f>HYPERLINK("https://12go.asia/en/travel/lucknow-ne/badshahnagar", "12Go Link")</f>
        <v>12Go Link</v>
      </c>
      <c r="E3071" s="2" t="s">
        <v>226</v>
      </c>
    </row>
    <row r="3072">
      <c r="A3072" s="2" t="s">
        <v>2933</v>
      </c>
      <c r="B3072" s="2" t="s">
        <v>2263</v>
      </c>
      <c r="C3072" s="2" t="s">
        <v>2939</v>
      </c>
      <c r="D3072" s="3" t="str">
        <f>HYPERLINK("https://12go.asia/en/travel/lucknow/badshahnagar", "12Go Link")</f>
        <v>12Go Link</v>
      </c>
      <c r="E3072" s="2" t="s">
        <v>226</v>
      </c>
    </row>
    <row r="3073">
      <c r="A3073" s="2" t="s">
        <v>2940</v>
      </c>
      <c r="B3073" s="2" t="s">
        <v>2635</v>
      </c>
      <c r="C3073" s="2" t="s">
        <v>2941</v>
      </c>
      <c r="D3073" s="3" t="str">
        <f>HYPERLINK("https://12go.asia/en/travel/ludhiana/faridabad", "12Go Link")</f>
        <v>12Go Link</v>
      </c>
      <c r="E3073" s="2" t="s">
        <v>226</v>
      </c>
    </row>
    <row r="3074">
      <c r="A3074" s="2" t="s">
        <v>2940</v>
      </c>
      <c r="B3074" s="2" t="s">
        <v>2942</v>
      </c>
      <c r="C3074" s="2" t="s">
        <v>2943</v>
      </c>
      <c r="D3074" s="3" t="str">
        <f>HYPERLINK("https://12go.asia/en/travel/ludhiana/telangana", "12Go Link")</f>
        <v>12Go Link</v>
      </c>
      <c r="E3074" s="2" t="s">
        <v>226</v>
      </c>
    </row>
    <row r="3075">
      <c r="A3075" s="2" t="s">
        <v>2944</v>
      </c>
      <c r="B3075" s="2" t="s">
        <v>2616</v>
      </c>
      <c r="C3075" s="2" t="s">
        <v>2945</v>
      </c>
      <c r="D3075" s="3" t="str">
        <f>HYPERLINK("https://12go.asia/en/travel/madanapalle-road/secunderabad", "12Go Link")</f>
        <v>12Go Link</v>
      </c>
      <c r="E3075" s="2" t="s">
        <v>226</v>
      </c>
    </row>
    <row r="3076">
      <c r="A3076" s="2" t="s">
        <v>2944</v>
      </c>
      <c r="B3076" s="2" t="s">
        <v>2616</v>
      </c>
      <c r="C3076" s="2" t="s">
        <v>2946</v>
      </c>
      <c r="D3076" s="3" t="str">
        <f>HYPERLINK("https://12go.asia/en/travel/madanapalle/secunderabad", "12Go Link")</f>
        <v>12Go Link</v>
      </c>
      <c r="E3076" s="2" t="s">
        <v>226</v>
      </c>
    </row>
    <row r="3077">
      <c r="A3077" s="2" t="s">
        <v>2947</v>
      </c>
      <c r="B3077" s="2" t="s">
        <v>2280</v>
      </c>
      <c r="C3077" s="2" t="s">
        <v>2948</v>
      </c>
      <c r="D3077" s="3" t="str">
        <f>HYPERLINK("https://12go.asia/en/travel/madhupur/jharkhand", "12Go Link")</f>
        <v>12Go Link</v>
      </c>
      <c r="E3077" s="2" t="s">
        <v>226</v>
      </c>
    </row>
    <row r="3078">
      <c r="A3078" s="2" t="s">
        <v>2312</v>
      </c>
      <c r="B3078" s="2" t="s">
        <v>2949</v>
      </c>
      <c r="C3078" s="2" t="s">
        <v>2950</v>
      </c>
      <c r="D3078" s="3" t="str">
        <f>HYPERLINK("https://12go.asia/en/travel/madhya-pradesh/amla", "12Go Link")</f>
        <v>12Go Link</v>
      </c>
      <c r="E3078" s="2" t="s">
        <v>226</v>
      </c>
    </row>
    <row r="3079">
      <c r="A3079" s="2" t="s">
        <v>2312</v>
      </c>
      <c r="B3079" s="2" t="s">
        <v>2951</v>
      </c>
      <c r="C3079" s="2" t="s">
        <v>2952</v>
      </c>
      <c r="D3079" s="3" t="str">
        <f>HYPERLINK("https://12go.asia/en/travel/madhya-pradesh/chandrapur", "12Go Link")</f>
        <v>12Go Link</v>
      </c>
      <c r="E3079" s="2" t="s">
        <v>226</v>
      </c>
    </row>
    <row r="3080">
      <c r="A3080" s="2" t="s">
        <v>2312</v>
      </c>
      <c r="B3080" s="2" t="s">
        <v>2722</v>
      </c>
      <c r="C3080" s="2" t="s">
        <v>2953</v>
      </c>
      <c r="D3080" s="3" t="str">
        <f>HYPERLINK("https://12go.asia/en/travel/madhya-pradesh/hoshangabad", "12Go Link")</f>
        <v>12Go Link</v>
      </c>
      <c r="E3080" s="2" t="s">
        <v>226</v>
      </c>
    </row>
    <row r="3081">
      <c r="A3081" s="2" t="s">
        <v>2312</v>
      </c>
      <c r="B3081" s="2" t="s">
        <v>2954</v>
      </c>
      <c r="C3081" s="2" t="s">
        <v>2955</v>
      </c>
      <c r="D3081" s="3" t="str">
        <f>HYPERLINK("https://12go.asia/en/travel/madhya-pradesh/nagda", "12Go Link")</f>
        <v>12Go Link</v>
      </c>
      <c r="E3081" s="2" t="s">
        <v>226</v>
      </c>
    </row>
    <row r="3082">
      <c r="A3082" s="2" t="s">
        <v>2312</v>
      </c>
      <c r="B3082" s="2" t="s">
        <v>2812</v>
      </c>
      <c r="C3082" s="2" t="s">
        <v>2956</v>
      </c>
      <c r="D3082" s="3" t="str">
        <f>HYPERLINK("https://12go.asia/en/travel/madhya-pradesh/puri", "12Go Link")</f>
        <v>12Go Link</v>
      </c>
      <c r="E3082" s="2" t="s">
        <v>226</v>
      </c>
    </row>
    <row r="3083">
      <c r="A3083" s="2" t="s">
        <v>2312</v>
      </c>
      <c r="B3083" s="2" t="s">
        <v>2296</v>
      </c>
      <c r="C3083" s="2" t="s">
        <v>2957</v>
      </c>
      <c r="D3083" s="3" t="str">
        <f>HYPERLINK("https://12go.asia/en/travel/madhya-pradesh/sikandra-agra", "12Go Link")</f>
        <v>12Go Link</v>
      </c>
      <c r="E3083" s="2" t="s">
        <v>226</v>
      </c>
    </row>
    <row r="3084">
      <c r="A3084" s="2" t="s">
        <v>2312</v>
      </c>
      <c r="B3084" s="2" t="s">
        <v>2958</v>
      </c>
      <c r="C3084" s="2" t="s">
        <v>2959</v>
      </c>
      <c r="D3084" s="3" t="str">
        <f>HYPERLINK("https://12go.asia/en/travel/madhya-pradesh/thalassery", "12Go Link")</f>
        <v>12Go Link</v>
      </c>
      <c r="E3084" s="2" t="s">
        <v>226</v>
      </c>
    </row>
    <row r="3085">
      <c r="A3085" s="2" t="s">
        <v>2715</v>
      </c>
      <c r="B3085" s="2" t="s">
        <v>2339</v>
      </c>
      <c r="C3085" s="2" t="s">
        <v>2960</v>
      </c>
      <c r="D3085" s="3" t="str">
        <f>HYPERLINK("https://12go.asia/en/travel/madurai/anjuna", "12Go Link")</f>
        <v>12Go Link</v>
      </c>
      <c r="E3085" s="2" t="s">
        <v>226</v>
      </c>
    </row>
    <row r="3086">
      <c r="A3086" s="2" t="s">
        <v>2715</v>
      </c>
      <c r="B3086" s="2" t="s">
        <v>227</v>
      </c>
      <c r="C3086" s="2" t="s">
        <v>2961</v>
      </c>
      <c r="D3086" s="3" t="str">
        <f>HYPERLINK("https://12go.asia/en/travel/madurai-junction/yelahanka-junction", "12Go Link")</f>
        <v>12Go Link</v>
      </c>
      <c r="E3086" s="2" t="s">
        <v>226</v>
      </c>
    </row>
    <row r="3087">
      <c r="A3087" s="2" t="s">
        <v>2715</v>
      </c>
      <c r="B3087" s="2" t="s">
        <v>2962</v>
      </c>
      <c r="C3087" s="2" t="s">
        <v>2963</v>
      </c>
      <c r="D3087" s="3" t="str">
        <f>HYPERLINK("https://12go.asia/en/travel/madurai/yelhanka", "12Go Link")</f>
        <v>12Go Link</v>
      </c>
      <c r="E3087" s="2" t="s">
        <v>226</v>
      </c>
    </row>
    <row r="3088">
      <c r="A3088" s="2" t="s">
        <v>2227</v>
      </c>
      <c r="B3088" s="2" t="s">
        <v>2290</v>
      </c>
      <c r="C3088" s="2" t="s">
        <v>2964</v>
      </c>
      <c r="D3088" s="3" t="str">
        <f>HYPERLINK("https://12go.asia/en/travel/maharashtra/alwar", "12Go Link")</f>
        <v>12Go Link</v>
      </c>
      <c r="E3088" s="2" t="s">
        <v>226</v>
      </c>
    </row>
    <row r="3089">
      <c r="A3089" s="2" t="s">
        <v>2227</v>
      </c>
      <c r="B3089" s="2" t="s">
        <v>2540</v>
      </c>
      <c r="C3089" s="2" t="s">
        <v>2965</v>
      </c>
      <c r="D3089" s="3" t="str">
        <f>HYPERLINK("https://12go.asia/en/travel/maharashtra/davanagere", "12Go Link")</f>
        <v>12Go Link</v>
      </c>
      <c r="E3089" s="2" t="s">
        <v>226</v>
      </c>
    </row>
    <row r="3090">
      <c r="A3090" s="2" t="s">
        <v>2227</v>
      </c>
      <c r="B3090" s="2" t="s">
        <v>2613</v>
      </c>
      <c r="C3090" s="2" t="s">
        <v>2966</v>
      </c>
      <c r="D3090" s="3" t="str">
        <f>HYPERLINK("https://12go.asia/en/travel/maharashtra/erode", "12Go Link")</f>
        <v>12Go Link</v>
      </c>
      <c r="E3090" s="2" t="s">
        <v>226</v>
      </c>
    </row>
    <row r="3091">
      <c r="A3091" s="2" t="s">
        <v>2227</v>
      </c>
      <c r="B3091" s="2" t="s">
        <v>2440</v>
      </c>
      <c r="C3091" s="2" t="s">
        <v>2967</v>
      </c>
      <c r="D3091" s="3" t="str">
        <f>HYPERLINK("https://12go.asia/en/travel/miraj-junction/hubballi-jn", "12Go Link")</f>
        <v>12Go Link</v>
      </c>
      <c r="E3091" s="2" t="s">
        <v>226</v>
      </c>
    </row>
    <row r="3092">
      <c r="A3092" s="2" t="s">
        <v>2227</v>
      </c>
      <c r="B3092" s="2" t="s">
        <v>2968</v>
      </c>
      <c r="C3092" s="2" t="s">
        <v>2969</v>
      </c>
      <c r="D3092" s="3" t="str">
        <f>HYPERLINK("https://12go.asia/en/travel/maharashtra/jalamb", "12Go Link")</f>
        <v>12Go Link</v>
      </c>
      <c r="E3092" s="2" t="s">
        <v>226</v>
      </c>
    </row>
    <row r="3093">
      <c r="A3093" s="2" t="s">
        <v>2227</v>
      </c>
      <c r="B3093" s="2" t="s">
        <v>2921</v>
      </c>
      <c r="C3093" s="2" t="s">
        <v>2970</v>
      </c>
      <c r="D3093" s="3" t="str">
        <f>HYPERLINK("https://12go.asia/en/travel/maharashtra/kurukshetra", "12Go Link")</f>
        <v>12Go Link</v>
      </c>
      <c r="E3093" s="2" t="s">
        <v>226</v>
      </c>
    </row>
    <row r="3094">
      <c r="A3094" s="2" t="s">
        <v>2227</v>
      </c>
      <c r="B3094" s="2" t="s">
        <v>2971</v>
      </c>
      <c r="C3094" s="2" t="s">
        <v>2972</v>
      </c>
      <c r="D3094" s="3" t="str">
        <f>HYPERLINK("https://12go.asia/en/travel/miraj-junction/chinchvad", "12Go Link")</f>
        <v>12Go Link</v>
      </c>
      <c r="E3094" s="2" t="s">
        <v>226</v>
      </c>
    </row>
    <row r="3095">
      <c r="A3095" s="2" t="s">
        <v>2227</v>
      </c>
      <c r="B3095" s="2" t="s">
        <v>2236</v>
      </c>
      <c r="C3095" s="2" t="s">
        <v>2973</v>
      </c>
      <c r="D3095" s="3" t="str">
        <f>HYPERLINK("https://12go.asia/en/travel/maharashtra/renigunta", "12Go Link")</f>
        <v>12Go Link</v>
      </c>
      <c r="E3095" s="2" t="s">
        <v>226</v>
      </c>
    </row>
    <row r="3096">
      <c r="A3096" s="2" t="s">
        <v>2227</v>
      </c>
      <c r="B3096" s="2" t="s">
        <v>2962</v>
      </c>
      <c r="C3096" s="2" t="s">
        <v>2974</v>
      </c>
      <c r="D3096" s="3" t="str">
        <f>HYPERLINK("https://12go.asia/en/travel/maharashtra/yelhanka", "12Go Link")</f>
        <v>12Go Link</v>
      </c>
      <c r="E3096" s="2" t="s">
        <v>226</v>
      </c>
    </row>
    <row r="3097">
      <c r="A3097" s="2" t="s">
        <v>2975</v>
      </c>
      <c r="B3097" s="2" t="s">
        <v>2299</v>
      </c>
      <c r="C3097" s="2" t="s">
        <v>2976</v>
      </c>
      <c r="D3097" s="3" t="str">
        <f>HYPERLINK("https://12go.asia/en/travel/mahbubnagar/lingampalli", "12Go Link")</f>
        <v>12Go Link</v>
      </c>
      <c r="E3097" s="2" t="s">
        <v>226</v>
      </c>
    </row>
    <row r="3098">
      <c r="A3098" s="2" t="s">
        <v>2977</v>
      </c>
      <c r="B3098" s="2" t="s">
        <v>2978</v>
      </c>
      <c r="C3098" s="2" t="s">
        <v>2979</v>
      </c>
      <c r="D3098" s="3" t="str">
        <f>HYPERLINK("https://12go.asia/en/travel/mancherial/ramagundam", "12Go Link")</f>
        <v>12Go Link</v>
      </c>
      <c r="E3098" s="2" t="s">
        <v>226</v>
      </c>
    </row>
    <row r="3099">
      <c r="A3099" s="2" t="s">
        <v>2977</v>
      </c>
      <c r="B3099" s="2" t="s">
        <v>2978</v>
      </c>
      <c r="C3099" s="2" t="s">
        <v>2980</v>
      </c>
      <c r="D3099" s="3" t="str">
        <f>HYPERLINK("https://12go.asia/en/travel/manchiryal/ramagundam", "12Go Link")</f>
        <v>12Go Link</v>
      </c>
      <c r="E3099" s="2" t="s">
        <v>226</v>
      </c>
    </row>
    <row r="3100">
      <c r="A3100" s="2" t="s">
        <v>2981</v>
      </c>
      <c r="B3100" s="2" t="s">
        <v>244</v>
      </c>
      <c r="C3100" s="2" t="s">
        <v>2982</v>
      </c>
      <c r="D3100" s="3" t="str">
        <f>HYPERLINK("https://12go.asia/en/travel/mandya/karnataka", "12Go Link")</f>
        <v>12Go Link</v>
      </c>
      <c r="E3100" s="2" t="s">
        <v>226</v>
      </c>
    </row>
    <row r="3101">
      <c r="A3101" s="2" t="s">
        <v>2479</v>
      </c>
      <c r="B3101" s="2" t="s">
        <v>2983</v>
      </c>
      <c r="C3101" s="2" t="s">
        <v>2984</v>
      </c>
      <c r="D3101" s="3" t="str">
        <f>HYPERLINK("https://12go.asia/en/travel/mathura/abhaneri", "12Go Link")</f>
        <v>12Go Link</v>
      </c>
      <c r="E3101" s="2" t="s">
        <v>226</v>
      </c>
    </row>
    <row r="3102">
      <c r="A3102" s="2" t="s">
        <v>2479</v>
      </c>
      <c r="B3102" s="2" t="s">
        <v>2263</v>
      </c>
      <c r="C3102" s="2" t="s">
        <v>2985</v>
      </c>
      <c r="D3102" s="3" t="str">
        <f>HYPERLINK("https://12go.asia/en/travel/mathura-jn/badshahnagar", "12Go Link")</f>
        <v>12Go Link</v>
      </c>
      <c r="E3102" s="2" t="s">
        <v>226</v>
      </c>
    </row>
    <row r="3103">
      <c r="A3103" s="2" t="s">
        <v>2479</v>
      </c>
      <c r="B3103" s="2" t="s">
        <v>2263</v>
      </c>
      <c r="C3103" s="2" t="s">
        <v>2986</v>
      </c>
      <c r="D3103" s="3" t="str">
        <f>HYPERLINK("https://12go.asia/en/travel/mathura/badshahnagar", "12Go Link")</f>
        <v>12Go Link</v>
      </c>
      <c r="E3103" s="2" t="s">
        <v>226</v>
      </c>
    </row>
    <row r="3104">
      <c r="A3104" s="2" t="s">
        <v>2479</v>
      </c>
      <c r="B3104" s="2" t="s">
        <v>2987</v>
      </c>
      <c r="C3104" s="2" t="s">
        <v>2988</v>
      </c>
      <c r="D3104" s="3" t="str">
        <f>HYPERLINK("https://12go.asia/en/travel/mathura-jn/ratlam", "12Go Link")</f>
        <v>12Go Link</v>
      </c>
      <c r="E3104" s="2" t="s">
        <v>226</v>
      </c>
    </row>
    <row r="3105">
      <c r="A3105" s="2" t="s">
        <v>2479</v>
      </c>
      <c r="B3105" s="2" t="s">
        <v>2987</v>
      </c>
      <c r="C3105" s="2" t="s">
        <v>2989</v>
      </c>
      <c r="D3105" s="3" t="str">
        <f>HYPERLINK("https://12go.asia/en/travel/mathura/ratlam", "12Go Link")</f>
        <v>12Go Link</v>
      </c>
      <c r="E3105" s="2" t="s">
        <v>226</v>
      </c>
    </row>
    <row r="3106">
      <c r="A3106" s="2" t="s">
        <v>2990</v>
      </c>
      <c r="B3106" s="2" t="s">
        <v>2377</v>
      </c>
      <c r="C3106" s="2" t="s">
        <v>2991</v>
      </c>
      <c r="D3106" s="3" t="str">
        <f>HYPERLINK("https://12go.asia/en/travel/mau-junction/ayodhya", "12Go Link")</f>
        <v>12Go Link</v>
      </c>
      <c r="E3106" s="2" t="s">
        <v>226</v>
      </c>
    </row>
    <row r="3107">
      <c r="A3107" s="2" t="s">
        <v>2990</v>
      </c>
      <c r="B3107" s="2" t="s">
        <v>2377</v>
      </c>
      <c r="C3107" s="2" t="s">
        <v>2992</v>
      </c>
      <c r="D3107" s="3" t="str">
        <f>HYPERLINK("https://12go.asia/en/travel/mau/ayodhya", "12Go Link")</f>
        <v>12Go Link</v>
      </c>
      <c r="E3107" s="2" t="s">
        <v>226</v>
      </c>
    </row>
    <row r="3108">
      <c r="A3108" s="2" t="s">
        <v>2990</v>
      </c>
      <c r="B3108" s="2" t="s">
        <v>2198</v>
      </c>
      <c r="C3108" s="2" t="s">
        <v>2993</v>
      </c>
      <c r="D3108" s="3" t="str">
        <f>HYPERLINK("https://12go.asia/en/travel/mau-junction/kanpur-central", "12Go Link")</f>
        <v>12Go Link</v>
      </c>
      <c r="E3108" s="2" t="s">
        <v>226</v>
      </c>
    </row>
    <row r="3109">
      <c r="A3109" s="2" t="s">
        <v>2990</v>
      </c>
      <c r="B3109" s="2" t="s">
        <v>2198</v>
      </c>
      <c r="C3109" s="2" t="s">
        <v>2994</v>
      </c>
      <c r="D3109" s="3" t="str">
        <f>HYPERLINK("https://12go.asia/en/travel/mau/kanpur", "12Go Link")</f>
        <v>12Go Link</v>
      </c>
      <c r="E3109" s="2" t="s">
        <v>226</v>
      </c>
    </row>
    <row r="3110">
      <c r="A3110" s="2" t="s">
        <v>2995</v>
      </c>
      <c r="B3110" s="2" t="s">
        <v>2996</v>
      </c>
      <c r="C3110" s="2" t="s">
        <v>2997</v>
      </c>
      <c r="D3110" s="3" t="str">
        <f>HYPERLINK("https://12go.asia/en/travel/mayiladuthurai/villupuram", "12Go Link")</f>
        <v>12Go Link</v>
      </c>
      <c r="E3110" s="2" t="s">
        <v>226</v>
      </c>
    </row>
    <row r="3111">
      <c r="A3111" s="2" t="s">
        <v>2995</v>
      </c>
      <c r="B3111" s="2" t="s">
        <v>2996</v>
      </c>
      <c r="C3111" s="2" t="s">
        <v>2998</v>
      </c>
      <c r="D3111" s="3" t="str">
        <f>HYPERLINK("https://12go.asia/en/travel/mayiladuturai-jn/villuparam-junction", "12Go Link")</f>
        <v>12Go Link</v>
      </c>
      <c r="E3111" s="2" t="s">
        <v>226</v>
      </c>
    </row>
    <row r="3112">
      <c r="A3112" s="2" t="s">
        <v>2999</v>
      </c>
      <c r="B3112" s="2" t="s">
        <v>2296</v>
      </c>
      <c r="C3112" s="2" t="s">
        <v>3000</v>
      </c>
      <c r="D3112" s="3" t="str">
        <f>HYPERLINK("https://12go.asia/en/travel/meerut/sikandra-agra", "12Go Link")</f>
        <v>12Go Link</v>
      </c>
      <c r="E3112" s="2" t="s">
        <v>226</v>
      </c>
    </row>
    <row r="3113">
      <c r="A3113" s="2" t="s">
        <v>3001</v>
      </c>
      <c r="B3113" s="2" t="s">
        <v>2942</v>
      </c>
      <c r="C3113" s="2" t="s">
        <v>3002</v>
      </c>
      <c r="D3113" s="3" t="str">
        <f>HYPERLINK("https://12go.asia/en/travel/melmaruvattur/telangana", "12Go Link")</f>
        <v>12Go Link</v>
      </c>
      <c r="E3113" s="2" t="s">
        <v>226</v>
      </c>
    </row>
    <row r="3114">
      <c r="A3114" s="2" t="s">
        <v>2229</v>
      </c>
      <c r="B3114" s="2" t="s">
        <v>238</v>
      </c>
      <c r="C3114" s="2" t="s">
        <v>3003</v>
      </c>
      <c r="D3114" s="3" t="str">
        <f>HYPERLINK("https://12go.asia/en/travel/miraj/hubballi-dharwad", "12Go Link")</f>
        <v>12Go Link</v>
      </c>
      <c r="E3114" s="2" t="s">
        <v>226</v>
      </c>
    </row>
    <row r="3115">
      <c r="A3115" s="2" t="s">
        <v>2229</v>
      </c>
      <c r="B3115" s="2" t="s">
        <v>2351</v>
      </c>
      <c r="C3115" s="2" t="s">
        <v>3004</v>
      </c>
      <c r="D3115" s="3" t="str">
        <f>HYPERLINK("https://12go.asia/en/travel/miraj/margao", "12Go Link")</f>
        <v>12Go Link</v>
      </c>
      <c r="E3115" s="2" t="s">
        <v>226</v>
      </c>
    </row>
    <row r="3116">
      <c r="A3116" s="2" t="s">
        <v>2229</v>
      </c>
      <c r="B3116" s="2" t="s">
        <v>2971</v>
      </c>
      <c r="C3116" s="2" t="s">
        <v>3005</v>
      </c>
      <c r="D3116" s="3" t="str">
        <f>HYPERLINK("https://12go.asia/en/travel/miraj/pimpri-chinchwad", "12Go Link")</f>
        <v>12Go Link</v>
      </c>
      <c r="E3116" s="2" t="s">
        <v>226</v>
      </c>
    </row>
    <row r="3117">
      <c r="A3117" s="2" t="s">
        <v>2229</v>
      </c>
      <c r="B3117" s="2" t="s">
        <v>2825</v>
      </c>
      <c r="C3117" s="2" t="s">
        <v>3006</v>
      </c>
      <c r="D3117" s="3" t="str">
        <f>HYPERLINK("https://12go.asia/en/travel/miraj/whitefield-bangalore", "12Go Link")</f>
        <v>12Go Link</v>
      </c>
      <c r="E3117" s="2" t="s">
        <v>226</v>
      </c>
    </row>
    <row r="3118">
      <c r="A3118" s="2" t="s">
        <v>3007</v>
      </c>
      <c r="B3118" s="2" t="s">
        <v>2290</v>
      </c>
      <c r="C3118" s="2" t="s">
        <v>3008</v>
      </c>
      <c r="D3118" s="3" t="str">
        <f>HYPERLINK("https://12go.asia/en/travel/mohali/alwar", "12Go Link")</f>
        <v>12Go Link</v>
      </c>
      <c r="E3118" s="2" t="s">
        <v>226</v>
      </c>
    </row>
    <row r="3119">
      <c r="A3119" s="2" t="s">
        <v>3007</v>
      </c>
      <c r="B3119" s="2" t="s">
        <v>2290</v>
      </c>
      <c r="C3119" s="2" t="s">
        <v>3009</v>
      </c>
      <c r="D3119" s="3" t="str">
        <f>HYPERLINK("https://12go.asia/en/travel/sahibzada-ajeet-singh-nagar-mohali/alwar", "12Go Link")</f>
        <v>12Go Link</v>
      </c>
      <c r="E3119" s="2" t="s">
        <v>226</v>
      </c>
    </row>
    <row r="3120">
      <c r="A3120" s="2" t="s">
        <v>3007</v>
      </c>
      <c r="B3120" s="2" t="s">
        <v>3010</v>
      </c>
      <c r="C3120" s="2" t="s">
        <v>3011</v>
      </c>
      <c r="D3120" s="3" t="str">
        <f>HYPERLINK("https://12go.asia/en/travel/mohali/anandpur-sahib", "12Go Link")</f>
        <v>12Go Link</v>
      </c>
      <c r="E3120" s="2" t="s">
        <v>226</v>
      </c>
    </row>
    <row r="3121">
      <c r="A3121" s="2" t="s">
        <v>3007</v>
      </c>
      <c r="B3121" s="2" t="s">
        <v>3010</v>
      </c>
      <c r="C3121" s="2" t="s">
        <v>3012</v>
      </c>
      <c r="D3121" s="3" t="str">
        <f>HYPERLINK("https://12go.asia/en/travel/sahibzada-ajeet-singh-nagar-mohali/anandpur-sahib", "12Go Link")</f>
        <v>12Go Link</v>
      </c>
      <c r="E3121" s="2" t="s">
        <v>226</v>
      </c>
    </row>
    <row r="3122">
      <c r="A3122" s="2" t="s">
        <v>3007</v>
      </c>
      <c r="B3122" s="2" t="s">
        <v>2383</v>
      </c>
      <c r="C3122" s="2" t="s">
        <v>3013</v>
      </c>
      <c r="D3122" s="3" t="str">
        <f>HYPERLINK("https://12go.asia/en/travel/mohali/gujarat", "12Go Link")</f>
        <v>12Go Link</v>
      </c>
      <c r="E3122" s="2" t="s">
        <v>226</v>
      </c>
    </row>
    <row r="3123">
      <c r="A3123" s="2" t="s">
        <v>3007</v>
      </c>
      <c r="B3123" s="2" t="s">
        <v>2636</v>
      </c>
      <c r="C3123" s="2" t="s">
        <v>3014</v>
      </c>
      <c r="D3123" s="3" t="str">
        <f>HYPERLINK("https://12go.asia/en/travel/mohali/haryana", "12Go Link")</f>
        <v>12Go Link</v>
      </c>
      <c r="E3123" s="2" t="s">
        <v>226</v>
      </c>
    </row>
    <row r="3124">
      <c r="A3124" s="2" t="s">
        <v>3007</v>
      </c>
      <c r="B3124" s="2" t="s">
        <v>3015</v>
      </c>
      <c r="C3124" s="2" t="s">
        <v>3016</v>
      </c>
      <c r="D3124" s="3" t="str">
        <f>HYPERLINK("https://12go.asia/en/travel/mohali/rewari", "12Go Link")</f>
        <v>12Go Link</v>
      </c>
      <c r="E3124" s="2" t="s">
        <v>226</v>
      </c>
    </row>
    <row r="3125">
      <c r="A3125" s="2" t="s">
        <v>3007</v>
      </c>
      <c r="B3125" s="2" t="s">
        <v>3015</v>
      </c>
      <c r="C3125" s="2" t="s">
        <v>3017</v>
      </c>
      <c r="D3125" s="3" t="str">
        <f>HYPERLINK("https://12go.asia/en/travel/sahibzada-ajeet-singh-nagar-mohali/rewari", "12Go Link")</f>
        <v>12Go Link</v>
      </c>
      <c r="E3125" s="2" t="s">
        <v>226</v>
      </c>
    </row>
    <row r="3126">
      <c r="A3126" s="2" t="s">
        <v>2705</v>
      </c>
      <c r="B3126" s="2" t="s">
        <v>3018</v>
      </c>
      <c r="C3126" s="2" t="s">
        <v>3019</v>
      </c>
      <c r="D3126" s="3" t="str">
        <f>HYPERLINK("https://12go.asia/en/travel/moradabad/hapur", "12Go Link")</f>
        <v>12Go Link</v>
      </c>
      <c r="E3126" s="2" t="s">
        <v>226</v>
      </c>
    </row>
    <row r="3127">
      <c r="A3127" s="2" t="s">
        <v>2705</v>
      </c>
      <c r="B3127" s="2" t="s">
        <v>2479</v>
      </c>
      <c r="C3127" s="2" t="s">
        <v>3020</v>
      </c>
      <c r="D3127" s="3" t="str">
        <f>HYPERLINK("https://12go.asia/en/travel/moradabad/mathura-jn", "12Go Link")</f>
        <v>12Go Link</v>
      </c>
      <c r="E3127" s="2" t="s">
        <v>226</v>
      </c>
    </row>
    <row r="3128">
      <c r="A3128" s="2" t="s">
        <v>2705</v>
      </c>
      <c r="B3128" s="2" t="s">
        <v>2574</v>
      </c>
      <c r="C3128" s="2" t="s">
        <v>3021</v>
      </c>
      <c r="D3128" s="3" t="str">
        <f>HYPERLINK("https://12go.asia/en/travel/moradabad/ringas-junction", "12Go Link")</f>
        <v>12Go Link</v>
      </c>
      <c r="E3128" s="2" t="s">
        <v>226</v>
      </c>
    </row>
    <row r="3129">
      <c r="A3129" s="2" t="s">
        <v>2705</v>
      </c>
      <c r="B3129" s="2" t="s">
        <v>2412</v>
      </c>
      <c r="C3129" s="2" t="s">
        <v>3022</v>
      </c>
      <c r="D3129" s="3" t="str">
        <f>HYPERLINK("https://12go.asia/en/travel/moradabad/vrindavan", "12Go Link")</f>
        <v>12Go Link</v>
      </c>
      <c r="E3129" s="2" t="s">
        <v>226</v>
      </c>
    </row>
    <row r="3130">
      <c r="A3130" s="2" t="s">
        <v>3023</v>
      </c>
      <c r="B3130" s="2" t="s">
        <v>2512</v>
      </c>
      <c r="C3130" s="2" t="s">
        <v>3024</v>
      </c>
      <c r="D3130" s="3" t="str">
        <f>HYPERLINK("https://12go.asia/en/travel/morappur/tamil-nadu", "12Go Link")</f>
        <v>12Go Link</v>
      </c>
      <c r="E3130" s="2" t="s">
        <v>226</v>
      </c>
    </row>
    <row r="3131">
      <c r="A3131" s="2" t="s">
        <v>3025</v>
      </c>
      <c r="B3131" s="2" t="s">
        <v>2192</v>
      </c>
      <c r="C3131" s="2" t="s">
        <v>3026</v>
      </c>
      <c r="D3131" s="3" t="str">
        <f>HYPERLINK("https://12go.asia/en/travel/abu-road/agra-cantt", "12Go Link")</f>
        <v>12Go Link</v>
      </c>
      <c r="E3131" s="2" t="s">
        <v>226</v>
      </c>
    </row>
    <row r="3132">
      <c r="A3132" s="2" t="s">
        <v>3025</v>
      </c>
      <c r="B3132" s="2" t="s">
        <v>3027</v>
      </c>
      <c r="C3132" s="2" t="s">
        <v>3028</v>
      </c>
      <c r="D3132" s="3" t="str">
        <f>HYPERLINK("https://12go.asia/en/travel/mount-abu/borivali", "12Go Link")</f>
        <v>12Go Link</v>
      </c>
      <c r="E3132" s="2" t="s">
        <v>226</v>
      </c>
    </row>
    <row r="3133">
      <c r="A3133" s="2" t="s">
        <v>3025</v>
      </c>
      <c r="B3133" s="2" t="s">
        <v>3029</v>
      </c>
      <c r="C3133" s="2" t="s">
        <v>3030</v>
      </c>
      <c r="D3133" s="3" t="str">
        <f>HYPERLINK("https://12go.asia/en/travel/abu-road/hapa", "12Go Link")</f>
        <v>12Go Link</v>
      </c>
      <c r="E3133" s="2" t="s">
        <v>226</v>
      </c>
    </row>
    <row r="3134">
      <c r="A3134" s="2" t="s">
        <v>3025</v>
      </c>
      <c r="B3134" s="2" t="s">
        <v>3029</v>
      </c>
      <c r="C3134" s="2" t="s">
        <v>3031</v>
      </c>
      <c r="D3134" s="3" t="str">
        <f>HYPERLINK("https://12go.asia/en/travel/abu-road/jamnagar", "12Go Link")</f>
        <v>12Go Link</v>
      </c>
      <c r="E3134" s="2" t="s">
        <v>226</v>
      </c>
    </row>
    <row r="3135">
      <c r="A3135" s="2" t="s">
        <v>3025</v>
      </c>
      <c r="B3135" s="2" t="s">
        <v>3029</v>
      </c>
      <c r="C3135" s="2" t="s">
        <v>3032</v>
      </c>
      <c r="D3135" s="3" t="str">
        <f>HYPERLINK("https://12go.asia/en/travel/mount-abu/jamnagar", "12Go Link")</f>
        <v>12Go Link</v>
      </c>
      <c r="E3135" s="2" t="s">
        <v>226</v>
      </c>
    </row>
    <row r="3136">
      <c r="A3136" s="2" t="s">
        <v>3025</v>
      </c>
      <c r="B3136" s="2" t="s">
        <v>242</v>
      </c>
      <c r="C3136" s="2" t="s">
        <v>3033</v>
      </c>
      <c r="D3136" s="3" t="str">
        <f>HYPERLINK("https://12go.asia/en/travel/abu-road/kalyan-jn", "12Go Link")</f>
        <v>12Go Link</v>
      </c>
      <c r="E3136" s="2" t="s">
        <v>226</v>
      </c>
    </row>
    <row r="3137">
      <c r="A3137" s="2" t="s">
        <v>3025</v>
      </c>
      <c r="B3137" s="2" t="s">
        <v>242</v>
      </c>
      <c r="C3137" s="2" t="s">
        <v>3034</v>
      </c>
      <c r="D3137" s="3" t="str">
        <f>HYPERLINK("https://12go.asia/en/travel/mount-abu/kalyan", "12Go Link")</f>
        <v>12Go Link</v>
      </c>
      <c r="E3137" s="2" t="s">
        <v>226</v>
      </c>
    </row>
    <row r="3138">
      <c r="A3138" s="2" t="s">
        <v>3025</v>
      </c>
      <c r="B3138" s="2" t="s">
        <v>2510</v>
      </c>
      <c r="C3138" s="2" t="s">
        <v>3035</v>
      </c>
      <c r="D3138" s="3" t="str">
        <f>HYPERLINK("https://12go.asia/en/travel/mount-abu/panvel", "12Go Link")</f>
        <v>12Go Link</v>
      </c>
      <c r="E3138" s="2" t="s">
        <v>226</v>
      </c>
    </row>
    <row r="3139">
      <c r="A3139" s="2" t="s">
        <v>3025</v>
      </c>
      <c r="B3139" s="2" t="s">
        <v>2254</v>
      </c>
      <c r="C3139" s="2" t="s">
        <v>3036</v>
      </c>
      <c r="D3139" s="3" t="str">
        <f>HYPERLINK("https://12go.asia/en/travel/mount-abu/pushkar", "12Go Link")</f>
        <v>12Go Link</v>
      </c>
      <c r="E3139" s="2" t="s">
        <v>226</v>
      </c>
    </row>
    <row r="3140">
      <c r="A3140" s="2" t="s">
        <v>3025</v>
      </c>
      <c r="B3140" s="2" t="s">
        <v>2296</v>
      </c>
      <c r="C3140" s="2" t="s">
        <v>3037</v>
      </c>
      <c r="D3140" s="3" t="str">
        <f>HYPERLINK("https://12go.asia/en/travel/mount-abu/sikandra-agra", "12Go Link")</f>
        <v>12Go Link</v>
      </c>
      <c r="E3140" s="2" t="s">
        <v>226</v>
      </c>
    </row>
    <row r="3141">
      <c r="A3141" s="2" t="s">
        <v>3025</v>
      </c>
      <c r="B3141" s="2" t="s">
        <v>2795</v>
      </c>
      <c r="C3141" s="2" t="s">
        <v>3038</v>
      </c>
      <c r="D3141" s="3" t="str">
        <f>HYPERLINK("https://12go.asia/en/travel/abu-road/tundla-junction", "12Go Link")</f>
        <v>12Go Link</v>
      </c>
      <c r="E3141" s="2" t="s">
        <v>226</v>
      </c>
    </row>
    <row r="3142">
      <c r="A3142" s="2" t="s">
        <v>3025</v>
      </c>
      <c r="B3142" s="2" t="s">
        <v>2795</v>
      </c>
      <c r="C3142" s="2" t="s">
        <v>3039</v>
      </c>
      <c r="D3142" s="3" t="str">
        <f>HYPERLINK("https://12go.asia/en/travel/mount-abu/tundla", "12Go Link")</f>
        <v>12Go Link</v>
      </c>
      <c r="E3142" s="2" t="s">
        <v>226</v>
      </c>
    </row>
    <row r="3143">
      <c r="A3143" s="2" t="s">
        <v>3040</v>
      </c>
      <c r="B3143" s="2" t="s">
        <v>2942</v>
      </c>
      <c r="C3143" s="2" t="s">
        <v>3041</v>
      </c>
      <c r="D3143" s="3" t="str">
        <f>HYPERLINK("https://12go.asia/en/travel/muddanuru/telangana", "12Go Link")</f>
        <v>12Go Link</v>
      </c>
      <c r="E3143" s="2" t="s">
        <v>226</v>
      </c>
    </row>
    <row r="3144">
      <c r="A3144" s="2" t="s">
        <v>2307</v>
      </c>
      <c r="B3144" s="2" t="s">
        <v>2306</v>
      </c>
      <c r="C3144" s="2" t="s">
        <v>3042</v>
      </c>
      <c r="D3144" s="3" t="str">
        <f>HYPERLINK("https://12go.asia/en/travel/mughalsarai/ambala-city", "12Go Link")</f>
        <v>12Go Link</v>
      </c>
      <c r="E3144" s="2" t="s">
        <v>226</v>
      </c>
    </row>
    <row r="3145">
      <c r="A3145" s="2" t="s">
        <v>2307</v>
      </c>
      <c r="B3145" s="2" t="s">
        <v>2371</v>
      </c>
      <c r="C3145" s="2" t="s">
        <v>3043</v>
      </c>
      <c r="D3145" s="3" t="str">
        <f>HYPERLINK("https://12go.asia/en/travel/mughalsarai/asansol", "12Go Link")</f>
        <v>12Go Link</v>
      </c>
      <c r="E3145" s="2" t="s">
        <v>226</v>
      </c>
    </row>
    <row r="3146">
      <c r="A3146" s="2" t="s">
        <v>2307</v>
      </c>
      <c r="B3146" s="2" t="s">
        <v>3044</v>
      </c>
      <c r="C3146" s="2" t="s">
        <v>3045</v>
      </c>
      <c r="D3146" s="3" t="str">
        <f>HYPERLINK("https://12go.asia/en/travel/mughalsarai/aurangabad", "12Go Link")</f>
        <v>12Go Link</v>
      </c>
      <c r="E3146" s="2" t="s">
        <v>226</v>
      </c>
    </row>
    <row r="3147">
      <c r="A3147" s="2" t="s">
        <v>2307</v>
      </c>
      <c r="B3147" s="2" t="s">
        <v>3046</v>
      </c>
      <c r="C3147" s="2" t="s">
        <v>3047</v>
      </c>
      <c r="D3147" s="3" t="str">
        <f>HYPERLINK("https://12go.asia/en/travel/mughalsarai/bhagalpur", "12Go Link")</f>
        <v>12Go Link</v>
      </c>
      <c r="E3147" s="2" t="s">
        <v>226</v>
      </c>
    </row>
    <row r="3148">
      <c r="A3148" s="2" t="s">
        <v>2307</v>
      </c>
      <c r="B3148" s="2" t="s">
        <v>2525</v>
      </c>
      <c r="C3148" s="2" t="s">
        <v>3048</v>
      </c>
      <c r="D3148" s="3" t="str">
        <f>HYPERLINK("https://12go.asia/en/travel/mughalsarai/chhatarpur", "12Go Link")</f>
        <v>12Go Link</v>
      </c>
      <c r="E3148" s="2" t="s">
        <v>226</v>
      </c>
    </row>
    <row r="3149">
      <c r="A3149" s="2" t="s">
        <v>2307</v>
      </c>
      <c r="B3149" s="2" t="s">
        <v>2773</v>
      </c>
      <c r="C3149" s="2" t="s">
        <v>3049</v>
      </c>
      <c r="D3149" s="3" t="str">
        <f>HYPERLINK("https://12go.asia/en/travel/mughalsarai/jalgaon", "12Go Link")</f>
        <v>12Go Link</v>
      </c>
      <c r="E3149" s="2" t="s">
        <v>226</v>
      </c>
    </row>
    <row r="3150">
      <c r="A3150" s="2" t="s">
        <v>2307</v>
      </c>
      <c r="B3150" s="2" t="s">
        <v>2202</v>
      </c>
      <c r="C3150" s="2" t="s">
        <v>3050</v>
      </c>
      <c r="D3150" s="3" t="str">
        <f>HYPERLINK("https://12go.asia/en/travel/mughalsarai/khanna", "12Go Link")</f>
        <v>12Go Link</v>
      </c>
      <c r="E3150" s="2" t="s">
        <v>226</v>
      </c>
    </row>
    <row r="3151">
      <c r="A3151" s="2" t="s">
        <v>2307</v>
      </c>
      <c r="B3151" s="2" t="s">
        <v>2489</v>
      </c>
      <c r="C3151" s="2" t="s">
        <v>3051</v>
      </c>
      <c r="D3151" s="3" t="str">
        <f>HYPERLINK("https://12go.asia/en/travel/mughalsarai/nashik", "12Go Link")</f>
        <v>12Go Link</v>
      </c>
      <c r="E3151" s="2" t="s">
        <v>226</v>
      </c>
    </row>
    <row r="3152">
      <c r="A3152" s="2" t="s">
        <v>2307</v>
      </c>
      <c r="B3152" s="2" t="s">
        <v>2601</v>
      </c>
      <c r="C3152" s="2" t="s">
        <v>3052</v>
      </c>
      <c r="D3152" s="3" t="str">
        <f>HYPERLINK("https://12go.asia/en/travel/mughalsarai/surat", "12Go Link")</f>
        <v>12Go Link</v>
      </c>
      <c r="E3152" s="2" t="s">
        <v>226</v>
      </c>
    </row>
    <row r="3153">
      <c r="A3153" s="2" t="s">
        <v>2307</v>
      </c>
      <c r="B3153" s="2" t="s">
        <v>3053</v>
      </c>
      <c r="C3153" s="2" t="s">
        <v>3054</v>
      </c>
      <c r="D3153" s="3" t="str">
        <f>HYPERLINK("https://12go.asia/en/travel/mughalsarai/visakhapatnam", "12Go Link")</f>
        <v>12Go Link</v>
      </c>
      <c r="E3153" s="2" t="s">
        <v>226</v>
      </c>
    </row>
    <row r="3154">
      <c r="A3154" s="2" t="s">
        <v>3055</v>
      </c>
      <c r="B3154" s="2" t="s">
        <v>2227</v>
      </c>
      <c r="C3154" s="2" t="s">
        <v>3056</v>
      </c>
      <c r="D3154" s="3" t="str">
        <f>HYPERLINK("https://12go.asia/en/travel/mulki-karnataka/maharashtra", "12Go Link")</f>
        <v>12Go Link</v>
      </c>
      <c r="E3154" s="2" t="s">
        <v>226</v>
      </c>
    </row>
    <row r="3155">
      <c r="A3155" s="2" t="s">
        <v>3057</v>
      </c>
      <c r="B3155" s="2" t="s">
        <v>2312</v>
      </c>
      <c r="C3155" s="2" t="s">
        <v>3058</v>
      </c>
      <c r="D3155" s="3" t="str">
        <f>HYPERLINK("https://12go.asia/en/travel/multai/madhya-pradesh", "12Go Link")</f>
        <v>12Go Link</v>
      </c>
      <c r="E3155" s="2" t="s">
        <v>226</v>
      </c>
    </row>
    <row r="3156">
      <c r="A3156" s="2" t="s">
        <v>2860</v>
      </c>
      <c r="B3156" s="2" t="s">
        <v>2187</v>
      </c>
      <c r="C3156" s="2" t="s">
        <v>3059</v>
      </c>
      <c r="D3156" s="3" t="str">
        <f>HYPERLINK("https://12go.asia/en/travel/lokmanya-tilak-term/adoni", "12Go Link")</f>
        <v>12Go Link</v>
      </c>
      <c r="E3156" s="2" t="s">
        <v>226</v>
      </c>
    </row>
    <row r="3157">
      <c r="A3157" s="2" t="s">
        <v>2860</v>
      </c>
      <c r="B3157" s="2" t="s">
        <v>2187</v>
      </c>
      <c r="C3157" s="2" t="s">
        <v>3060</v>
      </c>
      <c r="D3157" s="3" t="str">
        <f>HYPERLINK("https://12go.asia/en/travel/mumbai-cst/adoni", "12Go Link")</f>
        <v>12Go Link</v>
      </c>
      <c r="E3157" s="2" t="s">
        <v>226</v>
      </c>
    </row>
    <row r="3158">
      <c r="A3158" s="2" t="s">
        <v>2860</v>
      </c>
      <c r="B3158" s="2" t="s">
        <v>2187</v>
      </c>
      <c r="C3158" s="2" t="s">
        <v>3061</v>
      </c>
      <c r="D3158" s="3" t="str">
        <f>HYPERLINK("https://12go.asia/en/travel/mumbai/adoni", "12Go Link")</f>
        <v>12Go Link</v>
      </c>
      <c r="E3158" s="2" t="s">
        <v>226</v>
      </c>
    </row>
    <row r="3159">
      <c r="A3159" s="2" t="s">
        <v>2860</v>
      </c>
      <c r="B3159" s="2" t="s">
        <v>3062</v>
      </c>
      <c r="C3159" s="2" t="s">
        <v>3063</v>
      </c>
      <c r="D3159" s="3" t="str">
        <f>HYPERLINK("https://12go.asia/en/travel/lokmanya-tilak-term/babhnan", "12Go Link")</f>
        <v>12Go Link</v>
      </c>
      <c r="E3159" s="2" t="s">
        <v>226</v>
      </c>
    </row>
    <row r="3160">
      <c r="A3160" s="2" t="s">
        <v>2860</v>
      </c>
      <c r="B3160" s="2" t="s">
        <v>3062</v>
      </c>
      <c r="C3160" s="2" t="s">
        <v>3064</v>
      </c>
      <c r="D3160" s="3" t="str">
        <f>HYPERLINK("https://12go.asia/en/travel/mumbai/babhnan", "12Go Link")</f>
        <v>12Go Link</v>
      </c>
      <c r="E3160" s="2" t="s">
        <v>226</v>
      </c>
    </row>
    <row r="3161">
      <c r="A3161" s="2" t="s">
        <v>2860</v>
      </c>
      <c r="B3161" s="2" t="s">
        <v>227</v>
      </c>
      <c r="C3161" s="2" t="s">
        <v>3065</v>
      </c>
      <c r="D3161" s="3" t="str">
        <f>HYPERLINK("https://12go.asia/en/travel/mumbai-cst/yelahanka-junction", "12Go Link")</f>
        <v>12Go Link</v>
      </c>
      <c r="E3161" s="2" t="s">
        <v>226</v>
      </c>
    </row>
    <row r="3162">
      <c r="A3162" s="2" t="s">
        <v>2860</v>
      </c>
      <c r="B3162" s="2" t="s">
        <v>2540</v>
      </c>
      <c r="C3162" s="2" t="s">
        <v>3066</v>
      </c>
      <c r="D3162" s="3" t="str">
        <f>HYPERLINK("https://12go.asia/en/travel/mumbai-dadar/davangere", "12Go Link")</f>
        <v>12Go Link</v>
      </c>
      <c r="E3162" s="2" t="s">
        <v>226</v>
      </c>
    </row>
    <row r="3163">
      <c r="A3163" s="2" t="s">
        <v>2860</v>
      </c>
      <c r="B3163" s="2" t="s">
        <v>2613</v>
      </c>
      <c r="C3163" s="2" t="s">
        <v>3067</v>
      </c>
      <c r="D3163" s="3" t="str">
        <f>HYPERLINK("https://12go.asia/en/travel/mumbai-cst/erode", "12Go Link")</f>
        <v>12Go Link</v>
      </c>
      <c r="E3163" s="2" t="s">
        <v>226</v>
      </c>
    </row>
    <row r="3164">
      <c r="A3164" s="2" t="s">
        <v>2860</v>
      </c>
      <c r="B3164" s="2" t="s">
        <v>3068</v>
      </c>
      <c r="C3164" s="2" t="s">
        <v>3069</v>
      </c>
      <c r="D3164" s="3" t="str">
        <f>HYPERLINK("https://12go.asia/en/travel/mumbai-dadar/gotan", "12Go Link")</f>
        <v>12Go Link</v>
      </c>
      <c r="E3164" s="2" t="s">
        <v>226</v>
      </c>
    </row>
    <row r="3165">
      <c r="A3165" s="2" t="s">
        <v>2860</v>
      </c>
      <c r="B3165" s="2" t="s">
        <v>3068</v>
      </c>
      <c r="C3165" s="2" t="s">
        <v>3070</v>
      </c>
      <c r="D3165" s="3" t="str">
        <f>HYPERLINK("https://12go.asia/en/travel/mumbai/gotan", "12Go Link")</f>
        <v>12Go Link</v>
      </c>
      <c r="E3165" s="2" t="s">
        <v>226</v>
      </c>
    </row>
    <row r="3166">
      <c r="A3166" s="2" t="s">
        <v>2860</v>
      </c>
      <c r="B3166" s="2" t="s">
        <v>3071</v>
      </c>
      <c r="C3166" s="2" t="s">
        <v>3072</v>
      </c>
      <c r="D3166" s="3" t="str">
        <f>HYPERLINK("https://12go.asia/en/travel/mumbai-central/meghnagar", "12Go Link")</f>
        <v>12Go Link</v>
      </c>
      <c r="E3166" s="2" t="s">
        <v>226</v>
      </c>
    </row>
    <row r="3167">
      <c r="A3167" s="2" t="s">
        <v>2860</v>
      </c>
      <c r="B3167" s="2" t="s">
        <v>3071</v>
      </c>
      <c r="C3167" s="2" t="s">
        <v>3073</v>
      </c>
      <c r="D3167" s="3" t="str">
        <f>HYPERLINK("https://12go.asia/en/travel/mumbai/meghnagar", "12Go Link")</f>
        <v>12Go Link</v>
      </c>
      <c r="E3167" s="2" t="s">
        <v>226</v>
      </c>
    </row>
    <row r="3168">
      <c r="A3168" s="2" t="s">
        <v>3074</v>
      </c>
      <c r="B3168" s="2" t="s">
        <v>3075</v>
      </c>
      <c r="C3168" s="2" t="s">
        <v>3076</v>
      </c>
      <c r="D3168" s="3" t="str">
        <f>HYPERLINK("https://12go.asia/en/travel/muniguda/raipur", "12Go Link")</f>
        <v>12Go Link</v>
      </c>
      <c r="E3168" s="2" t="s">
        <v>226</v>
      </c>
    </row>
    <row r="3169">
      <c r="A3169" s="2" t="s">
        <v>3074</v>
      </c>
      <c r="B3169" s="2" t="s">
        <v>3075</v>
      </c>
      <c r="C3169" s="2" t="s">
        <v>3077</v>
      </c>
      <c r="D3169" s="3" t="str">
        <f>HYPERLINK("https://12go.asia/en/travel/muniguda/raipur-jn", "12Go Link")</f>
        <v>12Go Link</v>
      </c>
      <c r="E3169" s="2" t="s">
        <v>226</v>
      </c>
    </row>
    <row r="3170">
      <c r="A3170" s="2" t="s">
        <v>3078</v>
      </c>
      <c r="B3170" s="2" t="s">
        <v>2753</v>
      </c>
      <c r="C3170" s="2" t="s">
        <v>3079</v>
      </c>
      <c r="D3170" s="3" t="str">
        <f>HYPERLINK("https://12go.asia/en/travel/muzaffarnagar/daman", "12Go Link")</f>
        <v>12Go Link</v>
      </c>
      <c r="E3170" s="2" t="s">
        <v>226</v>
      </c>
    </row>
    <row r="3171">
      <c r="A3171" s="2" t="s">
        <v>3078</v>
      </c>
      <c r="B3171" s="2" t="s">
        <v>2415</v>
      </c>
      <c r="C3171" s="2" t="s">
        <v>3080</v>
      </c>
      <c r="D3171" s="3" t="str">
        <f>HYPERLINK("https://12go.asia/en/travel/muzaffarnagar/vadodara", "12Go Link")</f>
        <v>12Go Link</v>
      </c>
      <c r="E3171" s="2" t="s">
        <v>226</v>
      </c>
    </row>
    <row r="3172">
      <c r="A3172" s="2" t="s">
        <v>3078</v>
      </c>
      <c r="B3172" s="2" t="s">
        <v>2805</v>
      </c>
      <c r="C3172" s="2" t="s">
        <v>3081</v>
      </c>
      <c r="D3172" s="3" t="str">
        <f>HYPERLINK("https://12go.asia/en/travel/muzaffarnagar/vapi", "12Go Link")</f>
        <v>12Go Link</v>
      </c>
      <c r="E3172" s="2" t="s">
        <v>226</v>
      </c>
    </row>
    <row r="3173">
      <c r="A3173" s="2" t="s">
        <v>3082</v>
      </c>
      <c r="B3173" s="2" t="s">
        <v>2942</v>
      </c>
      <c r="C3173" s="2" t="s">
        <v>3083</v>
      </c>
      <c r="D3173" s="3" t="str">
        <f>HYPERLINK("https://12go.asia/en/travel/nadikude/telangana", "12Go Link")</f>
        <v>12Go Link</v>
      </c>
      <c r="E3173" s="2" t="s">
        <v>226</v>
      </c>
    </row>
    <row r="3174">
      <c r="A3174" s="2" t="s">
        <v>3084</v>
      </c>
      <c r="B3174" s="2" t="s">
        <v>2593</v>
      </c>
      <c r="C3174" s="2" t="s">
        <v>3085</v>
      </c>
      <c r="D3174" s="3" t="str">
        <f>HYPERLINK("https://12go.asia/en/travel/nagaland/gorakhpur", "12Go Link")</f>
        <v>12Go Link</v>
      </c>
      <c r="E3174" s="2" t="s">
        <v>226</v>
      </c>
    </row>
    <row r="3175">
      <c r="A3175" s="2" t="s">
        <v>2954</v>
      </c>
      <c r="B3175" s="2" t="s">
        <v>2760</v>
      </c>
      <c r="C3175" s="2" t="s">
        <v>3086</v>
      </c>
      <c r="D3175" s="3" t="str">
        <f>HYPERLINK("https://12go.asia/en/travel/nagda-junction/indore-jn-bg", "12Go Link")</f>
        <v>12Go Link</v>
      </c>
      <c r="E3175" s="2" t="s">
        <v>226</v>
      </c>
    </row>
    <row r="3176">
      <c r="A3176" s="2" t="s">
        <v>2954</v>
      </c>
      <c r="B3176" s="2" t="s">
        <v>2760</v>
      </c>
      <c r="C3176" s="2" t="s">
        <v>3087</v>
      </c>
      <c r="D3176" s="3" t="str">
        <f>HYPERLINK("https://12go.asia/en/travel/nagda/indore", "12Go Link")</f>
        <v>12Go Link</v>
      </c>
      <c r="E3176" s="2" t="s">
        <v>226</v>
      </c>
    </row>
    <row r="3177">
      <c r="A3177" s="2" t="s">
        <v>2954</v>
      </c>
      <c r="B3177" s="2" t="s">
        <v>2227</v>
      </c>
      <c r="C3177" s="2" t="s">
        <v>3088</v>
      </c>
      <c r="D3177" s="3" t="str">
        <f>HYPERLINK("https://12go.asia/en/travel/nagda/maharashtra", "12Go Link")</f>
        <v>12Go Link</v>
      </c>
      <c r="E3177" s="2" t="s">
        <v>226</v>
      </c>
    </row>
    <row r="3178">
      <c r="A3178" s="2" t="s">
        <v>2233</v>
      </c>
      <c r="B3178" s="2" t="s">
        <v>2873</v>
      </c>
      <c r="C3178" s="2" t="s">
        <v>3089</v>
      </c>
      <c r="D3178" s="3" t="str">
        <f>HYPERLINK("https://12go.asia/en/travel/nagercoil-jn/kayamkulam-junction", "12Go Link")</f>
        <v>12Go Link</v>
      </c>
      <c r="E3178" s="2" t="s">
        <v>226</v>
      </c>
    </row>
    <row r="3179">
      <c r="A3179" s="2" t="s">
        <v>2233</v>
      </c>
      <c r="B3179" s="2" t="s">
        <v>2873</v>
      </c>
      <c r="C3179" s="2" t="s">
        <v>3090</v>
      </c>
      <c r="D3179" s="3" t="str">
        <f>HYPERLINK("https://12go.asia/en/travel/nagercoil/kayamkulam", "12Go Link")</f>
        <v>12Go Link</v>
      </c>
      <c r="E3179" s="2" t="s">
        <v>226</v>
      </c>
    </row>
    <row r="3180">
      <c r="A3180" s="2" t="s">
        <v>2233</v>
      </c>
      <c r="B3180" s="2" t="s">
        <v>2876</v>
      </c>
      <c r="C3180" s="2" t="s">
        <v>3091</v>
      </c>
      <c r="D3180" s="3" t="str">
        <f>HYPERLINK("https://12go.asia/en/travel/nagercoil/kerala", "12Go Link")</f>
        <v>12Go Link</v>
      </c>
      <c r="E3180" s="2" t="s">
        <v>226</v>
      </c>
    </row>
    <row r="3181">
      <c r="A3181" s="2" t="s">
        <v>3092</v>
      </c>
      <c r="B3181" s="2" t="s">
        <v>238</v>
      </c>
      <c r="C3181" s="2" t="s">
        <v>3093</v>
      </c>
      <c r="D3181" s="3" t="str">
        <f>HYPERLINK("https://12go.asia/en/travel/nagpur/hubballi-dharwad", "12Go Link")</f>
        <v>12Go Link</v>
      </c>
      <c r="E3181" s="2" t="s">
        <v>226</v>
      </c>
    </row>
    <row r="3182">
      <c r="A3182" s="2" t="s">
        <v>3092</v>
      </c>
      <c r="B3182" s="2" t="s">
        <v>3094</v>
      </c>
      <c r="C3182" s="2" t="s">
        <v>3095</v>
      </c>
      <c r="D3182" s="3" t="str">
        <f>HYPERLINK("https://12go.asia/en/travel/nagpur/igatpuri", "12Go Link")</f>
        <v>12Go Link</v>
      </c>
      <c r="E3182" s="2" t="s">
        <v>226</v>
      </c>
    </row>
    <row r="3183">
      <c r="A3183" s="2" t="s">
        <v>3092</v>
      </c>
      <c r="B3183" s="2" t="s">
        <v>3096</v>
      </c>
      <c r="C3183" s="2" t="s">
        <v>3097</v>
      </c>
      <c r="D3183" s="3" t="str">
        <f>HYPERLINK("https://12go.asia/en/travel/nagpur/narkher", "12Go Link")</f>
        <v>12Go Link</v>
      </c>
      <c r="E3183" s="2" t="s">
        <v>226</v>
      </c>
    </row>
    <row r="3184">
      <c r="A3184" s="2" t="s">
        <v>3092</v>
      </c>
      <c r="B3184" s="2" t="s">
        <v>2296</v>
      </c>
      <c r="C3184" s="2" t="s">
        <v>3098</v>
      </c>
      <c r="D3184" s="3" t="str">
        <f>HYPERLINK("https://12go.asia/en/travel/nagpur/sikandra-agra", "12Go Link")</f>
        <v>12Go Link</v>
      </c>
      <c r="E3184" s="2" t="s">
        <v>226</v>
      </c>
    </row>
    <row r="3185">
      <c r="A3185" s="2" t="s">
        <v>3099</v>
      </c>
      <c r="B3185" s="2" t="s">
        <v>3100</v>
      </c>
      <c r="C3185" s="2" t="s">
        <v>3101</v>
      </c>
      <c r="D3185" s="3" t="str">
        <f>HYPERLINK("https://12go.asia/en/travel/naihati-jn/durgapur", "12Go Link")</f>
        <v>12Go Link</v>
      </c>
      <c r="E3185" s="2" t="s">
        <v>226</v>
      </c>
    </row>
    <row r="3186">
      <c r="A3186" s="2" t="s">
        <v>3099</v>
      </c>
      <c r="B3186" s="2" t="s">
        <v>3100</v>
      </c>
      <c r="C3186" s="2" t="s">
        <v>3102</v>
      </c>
      <c r="D3186" s="3" t="str">
        <f>HYPERLINK("https://12go.asia/en/travel/naihati-junction/durgapur", "12Go Link")</f>
        <v>12Go Link</v>
      </c>
      <c r="E3186" s="2" t="s">
        <v>226</v>
      </c>
    </row>
    <row r="3187">
      <c r="A3187" s="2" t="s">
        <v>2210</v>
      </c>
      <c r="B3187" s="2" t="s">
        <v>3103</v>
      </c>
      <c r="C3187" s="2" t="s">
        <v>3104</v>
      </c>
      <c r="D3187" s="3" t="str">
        <f>HYPERLINK("https://12go.asia/en/travel/naini-junction/ballia", "12Go Link")</f>
        <v>12Go Link</v>
      </c>
      <c r="E3187" s="2" t="s">
        <v>226</v>
      </c>
    </row>
    <row r="3188">
      <c r="A3188" s="2" t="s">
        <v>2210</v>
      </c>
      <c r="B3188" s="2" t="s">
        <v>3103</v>
      </c>
      <c r="C3188" s="2" t="s">
        <v>3105</v>
      </c>
      <c r="D3188" s="3" t="str">
        <f>HYPERLINK("https://12go.asia/en/travel/naini/ballia", "12Go Link")</f>
        <v>12Go Link</v>
      </c>
      <c r="E3188" s="2" t="s">
        <v>226</v>
      </c>
    </row>
    <row r="3189">
      <c r="A3189" s="2" t="s">
        <v>2210</v>
      </c>
      <c r="B3189" s="2" t="s">
        <v>2198</v>
      </c>
      <c r="C3189" s="2" t="s">
        <v>3106</v>
      </c>
      <c r="D3189" s="3" t="str">
        <f>HYPERLINK("https://12go.asia/en/travel/naini-junction/kanpur-central", "12Go Link")</f>
        <v>12Go Link</v>
      </c>
      <c r="E3189" s="2" t="s">
        <v>226</v>
      </c>
    </row>
    <row r="3190">
      <c r="A3190" s="2" t="s">
        <v>2210</v>
      </c>
      <c r="B3190" s="2" t="s">
        <v>2198</v>
      </c>
      <c r="C3190" s="2" t="s">
        <v>3107</v>
      </c>
      <c r="D3190" s="3" t="str">
        <f>HYPERLINK("https://12go.asia/en/travel/naini/kanpur", "12Go Link")</f>
        <v>12Go Link</v>
      </c>
      <c r="E3190" s="2" t="s">
        <v>226</v>
      </c>
    </row>
    <row r="3191">
      <c r="A3191" s="2" t="s">
        <v>2210</v>
      </c>
      <c r="B3191" s="2" t="s">
        <v>2933</v>
      </c>
      <c r="C3191" s="2" t="s">
        <v>3108</v>
      </c>
      <c r="D3191" s="3" t="str">
        <f>HYPERLINK("https://12go.asia/en/travel/naini-junction/lucknow-nr", "12Go Link")</f>
        <v>12Go Link</v>
      </c>
      <c r="E3191" s="2" t="s">
        <v>226</v>
      </c>
    </row>
    <row r="3192">
      <c r="A3192" s="2" t="s">
        <v>2210</v>
      </c>
      <c r="B3192" s="2" t="s">
        <v>2933</v>
      </c>
      <c r="C3192" s="2" t="s">
        <v>3109</v>
      </c>
      <c r="D3192" s="3" t="str">
        <f>HYPERLINK("https://12go.asia/en/travel/naini/lucknow", "12Go Link")</f>
        <v>12Go Link</v>
      </c>
      <c r="E3192" s="2" t="s">
        <v>226</v>
      </c>
    </row>
    <row r="3193">
      <c r="A3193" s="2" t="s">
        <v>2210</v>
      </c>
      <c r="B3193" s="2" t="s">
        <v>2273</v>
      </c>
      <c r="C3193" s="2" t="s">
        <v>3110</v>
      </c>
      <c r="D3193" s="3" t="str">
        <f>HYPERLINK("https://12go.asia/en/travel/naini-junction/prayagraj-junction", "12Go Link")</f>
        <v>12Go Link</v>
      </c>
      <c r="E3193" s="2" t="s">
        <v>226</v>
      </c>
    </row>
    <row r="3194">
      <c r="A3194" s="2" t="s">
        <v>2210</v>
      </c>
      <c r="B3194" s="2" t="s">
        <v>2273</v>
      </c>
      <c r="C3194" s="2" t="s">
        <v>3111</v>
      </c>
      <c r="D3194" s="3" t="str">
        <f>HYPERLINK("https://12go.asia/en/travel/naini/prayagraj", "12Go Link")</f>
        <v>12Go Link</v>
      </c>
      <c r="E3194" s="2" t="s">
        <v>226</v>
      </c>
    </row>
    <row r="3195">
      <c r="A3195" s="2" t="s">
        <v>2210</v>
      </c>
      <c r="B3195" s="2" t="s">
        <v>2410</v>
      </c>
      <c r="C3195" s="2" t="s">
        <v>3112</v>
      </c>
      <c r="D3195" s="3" t="str">
        <f>HYPERLINK("https://12go.asia/en/travel/naini/uttar-pradesh", "12Go Link")</f>
        <v>12Go Link</v>
      </c>
      <c r="E3195" s="2" t="s">
        <v>226</v>
      </c>
    </row>
    <row r="3196">
      <c r="A3196" s="2" t="s">
        <v>3113</v>
      </c>
      <c r="B3196" s="2" t="s">
        <v>2462</v>
      </c>
      <c r="C3196" s="2" t="s">
        <v>3114</v>
      </c>
      <c r="D3196" s="3" t="str">
        <f>HYPERLINK("https://12go.asia/en/travel/nalanda/bihar", "12Go Link")</f>
        <v>12Go Link</v>
      </c>
      <c r="E3196" s="2" t="s">
        <v>226</v>
      </c>
    </row>
    <row r="3197">
      <c r="A3197" s="2" t="s">
        <v>2918</v>
      </c>
      <c r="B3197" s="2" t="s">
        <v>3115</v>
      </c>
      <c r="C3197" s="2" t="s">
        <v>3116</v>
      </c>
      <c r="D3197" s="3" t="str">
        <f>HYPERLINK("https://12go.asia/en/travel/nanded/hingoli", "12Go Link")</f>
        <v>12Go Link</v>
      </c>
      <c r="E3197" s="2" t="s">
        <v>226</v>
      </c>
    </row>
    <row r="3198">
      <c r="A3198" s="2" t="s">
        <v>2918</v>
      </c>
      <c r="B3198" s="2" t="s">
        <v>3115</v>
      </c>
      <c r="C3198" s="2" t="s">
        <v>3117</v>
      </c>
      <c r="D3198" s="3" t="str">
        <f>HYPERLINK("https://12go.asia/en/travel/nanded/hingoli-deccan", "12Go Link")</f>
        <v>12Go Link</v>
      </c>
      <c r="E3198" s="2" t="s">
        <v>226</v>
      </c>
    </row>
    <row r="3199">
      <c r="A3199" s="2" t="s">
        <v>2918</v>
      </c>
      <c r="B3199" s="2" t="s">
        <v>3053</v>
      </c>
      <c r="C3199" s="2" t="s">
        <v>3118</v>
      </c>
      <c r="D3199" s="3" t="str">
        <f>HYPERLINK("https://12go.asia/en/travel/nanded/visakhapatnam", "12Go Link")</f>
        <v>12Go Link</v>
      </c>
      <c r="E3199" s="2" t="s">
        <v>226</v>
      </c>
    </row>
    <row r="3200">
      <c r="A3200" s="2" t="s">
        <v>3119</v>
      </c>
      <c r="B3200" s="2" t="s">
        <v>3092</v>
      </c>
      <c r="C3200" s="2" t="s">
        <v>3120</v>
      </c>
      <c r="D3200" s="3" t="str">
        <f>HYPERLINK("https://12go.asia/en/travel/nandura/ajni-junction", "12Go Link")</f>
        <v>12Go Link</v>
      </c>
      <c r="E3200" s="2" t="s">
        <v>226</v>
      </c>
    </row>
    <row r="3201">
      <c r="A3201" s="2" t="s">
        <v>3119</v>
      </c>
      <c r="B3201" s="2" t="s">
        <v>3092</v>
      </c>
      <c r="C3201" s="2" t="s">
        <v>3121</v>
      </c>
      <c r="D3201" s="3" t="str">
        <f>HYPERLINK("https://12go.asia/en/travel/nandura/nagpur", "12Go Link")</f>
        <v>12Go Link</v>
      </c>
      <c r="E3201" s="2" t="s">
        <v>226</v>
      </c>
    </row>
    <row r="3202">
      <c r="A3202" s="2" t="s">
        <v>2489</v>
      </c>
      <c r="B3202" s="2" t="s">
        <v>2951</v>
      </c>
      <c r="C3202" s="2" t="s">
        <v>3122</v>
      </c>
      <c r="D3202" s="3" t="str">
        <f>HYPERLINK("https://12go.asia/en/travel/nasik-road/chandrapur", "12Go Link")</f>
        <v>12Go Link</v>
      </c>
      <c r="E3202" s="2" t="s">
        <v>226</v>
      </c>
    </row>
    <row r="3203">
      <c r="A3203" s="2" t="s">
        <v>2489</v>
      </c>
      <c r="B3203" s="2" t="s">
        <v>2951</v>
      </c>
      <c r="C3203" s="2" t="s">
        <v>3123</v>
      </c>
      <c r="D3203" s="3" t="str">
        <f>HYPERLINK("https://12go.asia/en/travel/nashik/chandrapur", "12Go Link")</f>
        <v>12Go Link</v>
      </c>
      <c r="E3203" s="2" t="s">
        <v>226</v>
      </c>
    </row>
    <row r="3204">
      <c r="A3204" s="2" t="s">
        <v>2915</v>
      </c>
      <c r="B3204" s="2" t="s">
        <v>2277</v>
      </c>
      <c r="C3204" s="2" t="s">
        <v>3124</v>
      </c>
      <c r="D3204" s="3" t="str">
        <f>HYPERLINK("https://12go.asia/en/travel/navi-mumbai/aluva", "12Go Link")</f>
        <v>12Go Link</v>
      </c>
      <c r="E3204" s="2" t="s">
        <v>226</v>
      </c>
    </row>
    <row r="3205">
      <c r="A3205" s="2" t="s">
        <v>2915</v>
      </c>
      <c r="B3205" s="2" t="s">
        <v>2349</v>
      </c>
      <c r="C3205" s="2" t="s">
        <v>3125</v>
      </c>
      <c r="D3205" s="3" t="str">
        <f>HYPERLINK("https://12go.asia/en/travel/navi-mumbai/ernakulam", "12Go Link")</f>
        <v>12Go Link</v>
      </c>
      <c r="E3205" s="2" t="s">
        <v>226</v>
      </c>
    </row>
    <row r="3206">
      <c r="A3206" s="2" t="s">
        <v>2915</v>
      </c>
      <c r="B3206" s="2" t="s">
        <v>3126</v>
      </c>
      <c r="C3206" s="2" t="s">
        <v>3127</v>
      </c>
      <c r="D3206" s="3" t="str">
        <f>HYPERLINK("https://12go.asia/en/travel/navi-mumbai/gondia", "12Go Link")</f>
        <v>12Go Link</v>
      </c>
      <c r="E3206" s="2" t="s">
        <v>226</v>
      </c>
    </row>
    <row r="3207">
      <c r="A3207" s="2" t="s">
        <v>2915</v>
      </c>
      <c r="B3207" s="2" t="s">
        <v>3128</v>
      </c>
      <c r="C3207" s="2" t="s">
        <v>3129</v>
      </c>
      <c r="D3207" s="3" t="str">
        <f>HYPERLINK("https://12go.asia/en/travel/navi-mumbai/kanyakumari", "12Go Link")</f>
        <v>12Go Link</v>
      </c>
      <c r="E3207" s="2" t="s">
        <v>226</v>
      </c>
    </row>
    <row r="3208">
      <c r="A3208" s="2" t="s">
        <v>2915</v>
      </c>
      <c r="B3208" s="2" t="s">
        <v>2808</v>
      </c>
      <c r="C3208" s="2" t="s">
        <v>3130</v>
      </c>
      <c r="D3208" s="3" t="str">
        <f>HYPERLINK("https://12go.asia/en/travel/navi-mumbai/kochi-india", "12Go Link")</f>
        <v>12Go Link</v>
      </c>
      <c r="E3208" s="2" t="s">
        <v>226</v>
      </c>
    </row>
    <row r="3209">
      <c r="A3209" s="2" t="s">
        <v>2915</v>
      </c>
      <c r="B3209" s="2" t="s">
        <v>2926</v>
      </c>
      <c r="C3209" s="2" t="s">
        <v>3131</v>
      </c>
      <c r="D3209" s="3" t="str">
        <f>HYPERLINK("https://12go.asia/en/travel/navi-mumbai/kottayam", "12Go Link")</f>
        <v>12Go Link</v>
      </c>
      <c r="E3209" s="2" t="s">
        <v>226</v>
      </c>
    </row>
    <row r="3210">
      <c r="A3210" s="2" t="s">
        <v>2915</v>
      </c>
      <c r="B3210" s="2" t="s">
        <v>2342</v>
      </c>
      <c r="C3210" s="2" t="s">
        <v>3132</v>
      </c>
      <c r="D3210" s="3" t="str">
        <f>HYPERLINK("https://12go.asia/en/travel/navi-mumbai/kumta", "12Go Link")</f>
        <v>12Go Link</v>
      </c>
      <c r="E3210" s="2" t="s">
        <v>226</v>
      </c>
    </row>
    <row r="3211">
      <c r="A3211" s="2" t="s">
        <v>2915</v>
      </c>
      <c r="B3211" s="2" t="s">
        <v>3055</v>
      </c>
      <c r="C3211" s="2" t="s">
        <v>3133</v>
      </c>
      <c r="D3211" s="3" t="str">
        <f>HYPERLINK("https://12go.asia/en/travel/navi-mumbai/mulki-karnataka", "12Go Link")</f>
        <v>12Go Link</v>
      </c>
      <c r="E3211" s="2" t="s">
        <v>226</v>
      </c>
    </row>
    <row r="3212">
      <c r="A3212" s="2" t="s">
        <v>2915</v>
      </c>
      <c r="B3212" s="2" t="s">
        <v>2233</v>
      </c>
      <c r="C3212" s="2" t="s">
        <v>3134</v>
      </c>
      <c r="D3212" s="3" t="str">
        <f>HYPERLINK("https://12go.asia/en/travel/navi-mumbai/nagercoil", "12Go Link")</f>
        <v>12Go Link</v>
      </c>
      <c r="E3212" s="2" t="s">
        <v>226</v>
      </c>
    </row>
    <row r="3213">
      <c r="A3213" s="2" t="s">
        <v>3135</v>
      </c>
      <c r="B3213" s="2" t="s">
        <v>2987</v>
      </c>
      <c r="C3213" s="2" t="s">
        <v>3136</v>
      </c>
      <c r="D3213" s="3" t="str">
        <f>HYPERLINK("https://12go.asia/en/travel/neemuch/ratlam", "12Go Link")</f>
        <v>12Go Link</v>
      </c>
      <c r="E3213" s="2" t="s">
        <v>226</v>
      </c>
    </row>
    <row r="3214">
      <c r="A3214" s="2" t="s">
        <v>3135</v>
      </c>
      <c r="B3214" s="2" t="s">
        <v>2987</v>
      </c>
      <c r="C3214" s="2" t="s">
        <v>3137</v>
      </c>
      <c r="D3214" s="3" t="str">
        <f>HYPERLINK("https://12go.asia/en/travel/nimach/ratlam", "12Go Link")</f>
        <v>12Go Link</v>
      </c>
      <c r="E3214" s="2" t="s">
        <v>226</v>
      </c>
    </row>
    <row r="3215">
      <c r="A3215" s="2" t="s">
        <v>3138</v>
      </c>
      <c r="B3215" s="2" t="s">
        <v>2940</v>
      </c>
      <c r="C3215" s="2" t="s">
        <v>3139</v>
      </c>
      <c r="D3215" s="3" t="str">
        <f>HYPERLINK("https://12go.asia/en/travel/nellore/ludhiana", "12Go Link")</f>
        <v>12Go Link</v>
      </c>
      <c r="E3215" s="2" t="s">
        <v>226</v>
      </c>
    </row>
    <row r="3216">
      <c r="A3216" s="2" t="s">
        <v>3138</v>
      </c>
      <c r="B3216" s="2" t="s">
        <v>2236</v>
      </c>
      <c r="C3216" s="2" t="s">
        <v>3140</v>
      </c>
      <c r="D3216" s="3" t="str">
        <f>HYPERLINK("https://12go.asia/en/travel/nellore/renigunta", "12Go Link")</f>
        <v>12Go Link</v>
      </c>
      <c r="E3216" s="2" t="s">
        <v>226</v>
      </c>
    </row>
    <row r="3217">
      <c r="A3217" s="2" t="s">
        <v>2405</v>
      </c>
      <c r="B3217" s="2" t="s">
        <v>3141</v>
      </c>
      <c r="C3217" s="2" t="s">
        <v>3142</v>
      </c>
      <c r="D3217" s="3" t="str">
        <f>HYPERLINK("https://12go.asia/en/travel/new-delhi/bakhtiyarpur", "12Go Link")</f>
        <v>12Go Link</v>
      </c>
      <c r="E3217" s="2" t="s">
        <v>226</v>
      </c>
    </row>
    <row r="3218">
      <c r="A3218" s="2" t="s">
        <v>2405</v>
      </c>
      <c r="B3218" s="2" t="s">
        <v>3141</v>
      </c>
      <c r="C3218" s="2" t="s">
        <v>3143</v>
      </c>
      <c r="D3218" s="3" t="str">
        <f>HYPERLINK("https://12go.asia/en/travel/new-delhi/bakhtiyarpur-junction", "12Go Link")</f>
        <v>12Go Link</v>
      </c>
      <c r="E3218" s="2" t="s">
        <v>226</v>
      </c>
    </row>
    <row r="3219">
      <c r="A3219" s="2" t="s">
        <v>2405</v>
      </c>
      <c r="B3219" s="2" t="s">
        <v>2557</v>
      </c>
      <c r="C3219" s="2" t="s">
        <v>3144</v>
      </c>
      <c r="D3219" s="3" t="str">
        <f>HYPERLINK("https://12go.asia/en/travel/new-delhi/mavli", "12Go Link")</f>
        <v>12Go Link</v>
      </c>
      <c r="E3219" s="2" t="s">
        <v>226</v>
      </c>
    </row>
    <row r="3220">
      <c r="A3220" s="2" t="s">
        <v>2405</v>
      </c>
      <c r="B3220" s="2" t="s">
        <v>2559</v>
      </c>
      <c r="C3220" s="2" t="s">
        <v>3145</v>
      </c>
      <c r="D3220" s="3" t="str">
        <f>HYPERLINK("https://12go.asia/en/travel/new-delhi/modinagar", "12Go Link")</f>
        <v>12Go Link</v>
      </c>
      <c r="E3220" s="2" t="s">
        <v>226</v>
      </c>
    </row>
    <row r="3221">
      <c r="A3221" s="2" t="s">
        <v>2405</v>
      </c>
      <c r="B3221" s="2" t="s">
        <v>3146</v>
      </c>
      <c r="C3221" s="2" t="s">
        <v>3147</v>
      </c>
      <c r="D3221" s="3" t="str">
        <f>HYPERLINK("https://12go.asia/en/travel/new-delhi/ramgarh-cantonment", "12Go Link")</f>
        <v>12Go Link</v>
      </c>
      <c r="E3221" s="2" t="s">
        <v>226</v>
      </c>
    </row>
    <row r="3222">
      <c r="A3222" s="2" t="s">
        <v>2405</v>
      </c>
      <c r="B3222" s="2" t="s">
        <v>2190</v>
      </c>
      <c r="C3222" s="2" t="s">
        <v>3148</v>
      </c>
      <c r="D3222" s="3" t="str">
        <f>HYPERLINK("https://12go.asia/en/travel/new-delhi/deen-dayal-upadhyaya-jn", "12Go Link")</f>
        <v>12Go Link</v>
      </c>
      <c r="E3222" s="2" t="s">
        <v>226</v>
      </c>
    </row>
    <row r="3223">
      <c r="A3223" s="2" t="s">
        <v>2663</v>
      </c>
      <c r="B3223" s="2" t="s">
        <v>2236</v>
      </c>
      <c r="C3223" s="2" t="s">
        <v>3149</v>
      </c>
      <c r="D3223" s="3" t="str">
        <f>HYPERLINK("https://12go.asia/en/travel/nizamabad/renigunta-junction", "12Go Link")</f>
        <v>12Go Link</v>
      </c>
      <c r="E3223" s="2" t="s">
        <v>226</v>
      </c>
    </row>
    <row r="3224">
      <c r="A3224" s="2" t="s">
        <v>2663</v>
      </c>
      <c r="B3224" s="2" t="s">
        <v>2236</v>
      </c>
      <c r="C3224" s="2" t="s">
        <v>3150</v>
      </c>
      <c r="D3224" s="3" t="str">
        <f>HYPERLINK("https://12go.asia/en/travel/nizamabad/renigunta", "12Go Link")</f>
        <v>12Go Link</v>
      </c>
      <c r="E3224" s="2" t="s">
        <v>226</v>
      </c>
    </row>
    <row r="3225">
      <c r="A3225" s="2" t="s">
        <v>3151</v>
      </c>
      <c r="B3225" s="2" t="s">
        <v>2200</v>
      </c>
      <c r="C3225" s="2" t="s">
        <v>3152</v>
      </c>
      <c r="D3225" s="3" t="str">
        <f>HYPERLINK("https://12go.asia/en/travel/odisha/katni", "12Go Link")</f>
        <v>12Go Link</v>
      </c>
      <c r="E3225" s="2" t="s">
        <v>226</v>
      </c>
    </row>
    <row r="3226">
      <c r="A3226" s="2" t="s">
        <v>3151</v>
      </c>
      <c r="B3226" s="2" t="s">
        <v>2458</v>
      </c>
      <c r="C3226" s="2" t="s">
        <v>3153</v>
      </c>
      <c r="D3226" s="3" t="str">
        <f>HYPERLINK("https://12go.asia/en/travel/odisha/paradeep", "12Go Link")</f>
        <v>12Go Link</v>
      </c>
      <c r="E3226" s="2" t="s">
        <v>226</v>
      </c>
    </row>
    <row r="3227">
      <c r="A3227" s="2" t="s">
        <v>3151</v>
      </c>
      <c r="B3227" s="2" t="s">
        <v>3154</v>
      </c>
      <c r="C3227" s="2" t="s">
        <v>3155</v>
      </c>
      <c r="D3227" s="3" t="str">
        <f>HYPERLINK("https://12go.asia/en/travel/odisha/puducherry", "12Go Link")</f>
        <v>12Go Link</v>
      </c>
      <c r="E3227" s="2" t="s">
        <v>226</v>
      </c>
    </row>
    <row r="3228">
      <c r="A3228" s="2" t="s">
        <v>3151</v>
      </c>
      <c r="B3228" s="2" t="s">
        <v>2236</v>
      </c>
      <c r="C3228" s="2" t="s">
        <v>3156</v>
      </c>
      <c r="D3228" s="3" t="str">
        <f>HYPERLINK("https://12go.asia/en/travel/odisha/renigunta", "12Go Link")</f>
        <v>12Go Link</v>
      </c>
      <c r="E3228" s="2" t="s">
        <v>226</v>
      </c>
    </row>
    <row r="3229">
      <c r="A3229" s="2" t="s">
        <v>3157</v>
      </c>
      <c r="B3229" s="2" t="s">
        <v>2510</v>
      </c>
      <c r="C3229" s="2" t="s">
        <v>3158</v>
      </c>
      <c r="D3229" s="3" t="str">
        <f>HYPERLINK("https://12go.asia/en/travel/okha/panvel", "12Go Link")</f>
        <v>12Go Link</v>
      </c>
      <c r="E3229" s="2" t="s">
        <v>226</v>
      </c>
    </row>
    <row r="3230">
      <c r="A3230" s="2" t="s">
        <v>2282</v>
      </c>
      <c r="B3230" s="2" t="s">
        <v>2843</v>
      </c>
      <c r="C3230" s="2" t="s">
        <v>3159</v>
      </c>
      <c r="D3230" s="3" t="str">
        <f>HYPERLINK("https://12go.asia/en/travel/old-goa/kannur", "12Go Link")</f>
        <v>12Go Link</v>
      </c>
      <c r="E3230" s="2" t="s">
        <v>226</v>
      </c>
    </row>
    <row r="3231">
      <c r="A3231" s="2" t="s">
        <v>2282</v>
      </c>
      <c r="B3231" s="2" t="s">
        <v>2847</v>
      </c>
      <c r="C3231" s="2" t="s">
        <v>3160</v>
      </c>
      <c r="D3231" s="3" t="str">
        <f>HYPERLINK("https://12go.asia/en/travel/old-goa/karwar", "12Go Link")</f>
        <v>12Go Link</v>
      </c>
      <c r="E3231" s="2" t="s">
        <v>226</v>
      </c>
    </row>
    <row r="3232">
      <c r="A3232" s="2" t="s">
        <v>3161</v>
      </c>
      <c r="B3232" s="2" t="s">
        <v>2335</v>
      </c>
      <c r="C3232" s="2" t="s">
        <v>3162</v>
      </c>
      <c r="D3232" s="3" t="str">
        <f>HYPERLINK("https://12go.asia/en/travel/ottappalam/angamali", "12Go Link")</f>
        <v>12Go Link</v>
      </c>
      <c r="E3232" s="2" t="s">
        <v>226</v>
      </c>
    </row>
    <row r="3233">
      <c r="A3233" s="2" t="s">
        <v>2717</v>
      </c>
      <c r="B3233" s="2" t="s">
        <v>2296</v>
      </c>
      <c r="C3233" s="2" t="s">
        <v>3163</v>
      </c>
      <c r="D3233" s="3" t="str">
        <f>HYPERLINK("https://12go.asia/en/travel/panipat/sikandra-agra", "12Go Link")</f>
        <v>12Go Link</v>
      </c>
      <c r="E3233" s="2" t="s">
        <v>226</v>
      </c>
    </row>
    <row r="3234">
      <c r="A3234" s="2" t="s">
        <v>2717</v>
      </c>
      <c r="B3234" s="2" t="s">
        <v>2770</v>
      </c>
      <c r="C3234" s="2" t="s">
        <v>3164</v>
      </c>
      <c r="D3234" s="3" t="str">
        <f>HYPERLINK("https://12go.asia/en/travel/panipat/taj-mahal", "12Go Link")</f>
        <v>12Go Link</v>
      </c>
      <c r="E3234" s="2" t="s">
        <v>226</v>
      </c>
    </row>
    <row r="3235">
      <c r="A3235" s="2" t="s">
        <v>3165</v>
      </c>
      <c r="B3235" s="2" t="s">
        <v>2463</v>
      </c>
      <c r="C3235" s="2" t="s">
        <v>3166</v>
      </c>
      <c r="D3235" s="3" t="str">
        <f>HYPERLINK("https://12go.asia/en/travel/patliputra/mirzapur", "12Go Link")</f>
        <v>12Go Link</v>
      </c>
      <c r="E3235" s="2" t="s">
        <v>226</v>
      </c>
    </row>
    <row r="3236">
      <c r="A3236" s="2" t="s">
        <v>3165</v>
      </c>
      <c r="B3236" s="2" t="s">
        <v>2463</v>
      </c>
      <c r="C3236" s="2" t="s">
        <v>3167</v>
      </c>
      <c r="D3236" s="3" t="str">
        <f>HYPERLINK("https://12go.asia/en/travel/patna-jn/mirzapur", "12Go Link")</f>
        <v>12Go Link</v>
      </c>
      <c r="E3236" s="2" t="s">
        <v>226</v>
      </c>
    </row>
    <row r="3237">
      <c r="A3237" s="2" t="s">
        <v>2971</v>
      </c>
      <c r="B3237" s="2" t="s">
        <v>3168</v>
      </c>
      <c r="C3237" s="2" t="s">
        <v>3169</v>
      </c>
      <c r="D3237" s="3" t="str">
        <f>HYPERLINK("https://12go.asia/en/travel/chinchvad/sainagar-shirdi", "12Go Link")</f>
        <v>12Go Link</v>
      </c>
      <c r="E3237" s="2" t="s">
        <v>226</v>
      </c>
    </row>
    <row r="3238">
      <c r="A3238" s="2" t="s">
        <v>2971</v>
      </c>
      <c r="B3238" s="2" t="s">
        <v>3168</v>
      </c>
      <c r="C3238" s="2" t="s">
        <v>3170</v>
      </c>
      <c r="D3238" s="3" t="str">
        <f>HYPERLINK("https://12go.asia/en/travel/pimpri-chinchwad/shirdi", "12Go Link")</f>
        <v>12Go Link</v>
      </c>
      <c r="E3238" s="2" t="s">
        <v>226</v>
      </c>
    </row>
    <row r="3239">
      <c r="A3239" s="2" t="s">
        <v>3171</v>
      </c>
      <c r="B3239" s="2" t="s">
        <v>2238</v>
      </c>
      <c r="C3239" s="2" t="s">
        <v>3172</v>
      </c>
      <c r="D3239" s="3" t="str">
        <f>HYPERLINK("https://12go.asia/en/travel/podanur-junction/tambaram", "12Go Link")</f>
        <v>12Go Link</v>
      </c>
      <c r="E3239" s="2" t="s">
        <v>226</v>
      </c>
    </row>
    <row r="3240">
      <c r="A3240" s="2" t="s">
        <v>3171</v>
      </c>
      <c r="B3240" s="2" t="s">
        <v>2238</v>
      </c>
      <c r="C3240" s="2" t="s">
        <v>3173</v>
      </c>
      <c r="D3240" s="3" t="str">
        <f>HYPERLINK("https://12go.asia/en/travel/podanur/tambaram", "12Go Link")</f>
        <v>12Go Link</v>
      </c>
      <c r="E3240" s="2" t="s">
        <v>226</v>
      </c>
    </row>
    <row r="3241">
      <c r="A3241" s="2" t="s">
        <v>2273</v>
      </c>
      <c r="B3241" s="2" t="s">
        <v>2190</v>
      </c>
      <c r="C3241" s="2" t="s">
        <v>3174</v>
      </c>
      <c r="D3241" s="3" t="str">
        <f>HYPERLINK("https://12go.asia/en/travel/allahabad-city/deen-dayal-upadhyaya-jn", "12Go Link")</f>
        <v>12Go Link</v>
      </c>
      <c r="E3241" s="2" t="s">
        <v>226</v>
      </c>
    </row>
    <row r="3242">
      <c r="A3242" s="2" t="s">
        <v>2273</v>
      </c>
      <c r="B3242" s="2" t="s">
        <v>2190</v>
      </c>
      <c r="C3242" s="2" t="s">
        <v>3175</v>
      </c>
      <c r="D3242" s="3" t="str">
        <f>HYPERLINK("https://12go.asia/en/travel/allahabad/deen-dayal-upadhyaya-jn", "12Go Link")</f>
        <v>12Go Link</v>
      </c>
      <c r="E3242" s="2" t="s">
        <v>226</v>
      </c>
    </row>
    <row r="3243">
      <c r="A3243" s="2" t="s">
        <v>2476</v>
      </c>
      <c r="B3243" s="2" t="s">
        <v>2227</v>
      </c>
      <c r="C3243" s="2" t="s">
        <v>3176</v>
      </c>
      <c r="D3243" s="3" t="str">
        <f>HYPERLINK("https://12go.asia/en/travel/pune-jn/purna-junction", "12Go Link")</f>
        <v>12Go Link</v>
      </c>
      <c r="E3243" s="2" t="s">
        <v>226</v>
      </c>
    </row>
    <row r="3244">
      <c r="A3244" s="2" t="s">
        <v>2294</v>
      </c>
      <c r="B3244" s="2" t="s">
        <v>2589</v>
      </c>
      <c r="C3244" s="2" t="s">
        <v>3177</v>
      </c>
      <c r="D3244" s="3" t="str">
        <f>HYPERLINK("https://12go.asia/en/travel/dhuri-junction/haridwar-jn", "12Go Link")</f>
        <v>12Go Link</v>
      </c>
      <c r="E3244" s="2" t="s">
        <v>226</v>
      </c>
    </row>
    <row r="3245">
      <c r="A3245" s="2" t="s">
        <v>2294</v>
      </c>
      <c r="B3245" s="2" t="s">
        <v>2645</v>
      </c>
      <c r="C3245" s="2" t="s">
        <v>3178</v>
      </c>
      <c r="D3245" s="3" t="str">
        <f>HYPERLINK("https://12go.asia/en/travel/firozpur-cant/jalandhar", "12Go Link")</f>
        <v>12Go Link</v>
      </c>
      <c r="E3245" s="2" t="s">
        <v>226</v>
      </c>
    </row>
    <row r="3246">
      <c r="A3246" s="2" t="s">
        <v>3179</v>
      </c>
      <c r="B3246" s="2" t="s">
        <v>2238</v>
      </c>
      <c r="C3246" s="2" t="s">
        <v>3180</v>
      </c>
      <c r="D3246" s="3" t="str">
        <f>HYPERLINK("https://12go.asia/en/travel/rajapalayam/tambaram", "12Go Link")</f>
        <v>12Go Link</v>
      </c>
      <c r="E3246" s="2" t="s">
        <v>226</v>
      </c>
    </row>
    <row r="3247">
      <c r="A3247" s="2" t="s">
        <v>3181</v>
      </c>
      <c r="B3247" s="2" t="s">
        <v>3182</v>
      </c>
      <c r="C3247" s="2" t="s">
        <v>3183</v>
      </c>
      <c r="D3247" s="3" t="str">
        <f>HYPERLINK("https://12go.asia/en/travel/rajpura-junction/fazilka", "12Go Link")</f>
        <v>12Go Link</v>
      </c>
      <c r="E3247" s="2" t="s">
        <v>226</v>
      </c>
    </row>
    <row r="3248">
      <c r="A3248" s="2" t="s">
        <v>3181</v>
      </c>
      <c r="B3248" s="2" t="s">
        <v>3182</v>
      </c>
      <c r="C3248" s="2" t="s">
        <v>3184</v>
      </c>
      <c r="D3248" s="3" t="str">
        <f>HYPERLINK("https://12go.asia/en/travel/rajpura/fazilka", "12Go Link")</f>
        <v>12Go Link</v>
      </c>
      <c r="E3248" s="2" t="s">
        <v>226</v>
      </c>
    </row>
    <row r="3249">
      <c r="A3249" s="2" t="s">
        <v>2236</v>
      </c>
      <c r="B3249" s="2" t="s">
        <v>2361</v>
      </c>
      <c r="C3249" s="2" t="s">
        <v>3185</v>
      </c>
      <c r="D3249" s="3" t="str">
        <f>HYPERLINK("https://12go.asia/en/travel/renigunta-junction/arakkonam", "12Go Link")</f>
        <v>12Go Link</v>
      </c>
      <c r="E3249" s="2" t="s">
        <v>226</v>
      </c>
    </row>
    <row r="3250">
      <c r="A3250" s="2" t="s">
        <v>2236</v>
      </c>
      <c r="B3250" s="2" t="s">
        <v>2361</v>
      </c>
      <c r="C3250" s="2" t="s">
        <v>3186</v>
      </c>
      <c r="D3250" s="3" t="str">
        <f>HYPERLINK("https://12go.asia/en/travel/renigunta/arakkonam", "12Go Link")</f>
        <v>12Go Link</v>
      </c>
      <c r="E3250" s="2" t="s">
        <v>226</v>
      </c>
    </row>
    <row r="3251">
      <c r="A3251" s="2" t="s">
        <v>2236</v>
      </c>
      <c r="B3251" s="2" t="s">
        <v>3187</v>
      </c>
      <c r="C3251" s="2" t="s">
        <v>3188</v>
      </c>
      <c r="D3251" s="3" t="str">
        <f>HYPERLINK("https://12go.asia/en/travel/renigunta-junction/gooty", "12Go Link")</f>
        <v>12Go Link</v>
      </c>
      <c r="E3251" s="2" t="s">
        <v>226</v>
      </c>
    </row>
    <row r="3252">
      <c r="A3252" s="2" t="s">
        <v>2236</v>
      </c>
      <c r="B3252" s="2" t="s">
        <v>3187</v>
      </c>
      <c r="C3252" s="2" t="s">
        <v>3189</v>
      </c>
      <c r="D3252" s="3" t="str">
        <f>HYPERLINK("https://12go.asia/en/travel/renigunta/gooty", "12Go Link")</f>
        <v>12Go Link</v>
      </c>
      <c r="E3252" s="2" t="s">
        <v>226</v>
      </c>
    </row>
    <row r="3253">
      <c r="A3253" s="2" t="s">
        <v>2236</v>
      </c>
      <c r="B3253" s="2" t="s">
        <v>240</v>
      </c>
      <c r="C3253" s="2" t="s">
        <v>3190</v>
      </c>
      <c r="D3253" s="3" t="str">
        <f>HYPERLINK("https://12go.asia/en/travel/renigunta-junction/kalaburagi-junction", "12Go Link")</f>
        <v>12Go Link</v>
      </c>
      <c r="E3253" s="2" t="s">
        <v>226</v>
      </c>
    </row>
    <row r="3254">
      <c r="A3254" s="2" t="s">
        <v>2236</v>
      </c>
      <c r="B3254" s="2" t="s">
        <v>240</v>
      </c>
      <c r="C3254" s="2" t="s">
        <v>3191</v>
      </c>
      <c r="D3254" s="3" t="str">
        <f>HYPERLINK("https://12go.asia/en/travel/renigunta/kalaburagi", "12Go Link")</f>
        <v>12Go Link</v>
      </c>
      <c r="E3254" s="2" t="s">
        <v>226</v>
      </c>
    </row>
    <row r="3255">
      <c r="A3255" s="2" t="s">
        <v>2236</v>
      </c>
      <c r="B3255" s="2" t="s">
        <v>3128</v>
      </c>
      <c r="C3255" s="2" t="s">
        <v>3192</v>
      </c>
      <c r="D3255" s="3" t="str">
        <f>HYPERLINK("https://12go.asia/en/travel/renigunta/kanyakumari", "12Go Link")</f>
        <v>12Go Link</v>
      </c>
      <c r="E3255" s="2" t="s">
        <v>226</v>
      </c>
    </row>
    <row r="3256">
      <c r="A3256" s="2" t="s">
        <v>2236</v>
      </c>
      <c r="B3256" s="2" t="s">
        <v>244</v>
      </c>
      <c r="C3256" s="2" t="s">
        <v>3193</v>
      </c>
      <c r="D3256" s="3" t="str">
        <f>HYPERLINK("https://12go.asia/en/travel/renigunta/karnataka", "12Go Link")</f>
        <v>12Go Link</v>
      </c>
      <c r="E3256" s="2" t="s">
        <v>226</v>
      </c>
    </row>
    <row r="3257">
      <c r="A3257" s="2" t="s">
        <v>2236</v>
      </c>
      <c r="B3257" s="2" t="s">
        <v>2867</v>
      </c>
      <c r="C3257" s="2" t="s">
        <v>3194</v>
      </c>
      <c r="D3257" s="3" t="str">
        <f>HYPERLINK("https://12go.asia/en/travel/renigunta/katpadi", "12Go Link")</f>
        <v>12Go Link</v>
      </c>
      <c r="E3257" s="2" t="s">
        <v>226</v>
      </c>
    </row>
    <row r="3258">
      <c r="A3258" s="2" t="s">
        <v>2236</v>
      </c>
      <c r="B3258" s="2" t="s">
        <v>2227</v>
      </c>
      <c r="C3258" s="2" t="s">
        <v>3195</v>
      </c>
      <c r="D3258" s="3" t="str">
        <f>HYPERLINK("https://12go.asia/en/travel/renigunta/maharashtra", "12Go Link")</f>
        <v>12Go Link</v>
      </c>
      <c r="E3258" s="2" t="s">
        <v>226</v>
      </c>
    </row>
    <row r="3259">
      <c r="A3259" s="2" t="s">
        <v>2236</v>
      </c>
      <c r="B3259" s="2" t="s">
        <v>2860</v>
      </c>
      <c r="C3259" s="2" t="s">
        <v>3196</v>
      </c>
      <c r="D3259" s="3" t="str">
        <f>HYPERLINK("https://12go.asia/en/travel/renigunta-junction/lokmanya-tilak-term", "12Go Link")</f>
        <v>12Go Link</v>
      </c>
      <c r="E3259" s="2" t="s">
        <v>226</v>
      </c>
    </row>
    <row r="3260">
      <c r="A3260" s="2" t="s">
        <v>2236</v>
      </c>
      <c r="B3260" s="2" t="s">
        <v>2860</v>
      </c>
      <c r="C3260" s="2" t="s">
        <v>3197</v>
      </c>
      <c r="D3260" s="3" t="str">
        <f>HYPERLINK("https://12go.asia/en/travel/renigunta-junction/mumbai-cst", "12Go Link")</f>
        <v>12Go Link</v>
      </c>
      <c r="E3260" s="2" t="s">
        <v>226</v>
      </c>
    </row>
    <row r="3261">
      <c r="A3261" s="2" t="s">
        <v>2236</v>
      </c>
      <c r="B3261" s="2" t="s">
        <v>2860</v>
      </c>
      <c r="C3261" s="2" t="s">
        <v>3198</v>
      </c>
      <c r="D3261" s="3" t="str">
        <f>HYPERLINK("https://12go.asia/en/travel/renigunta/mumbai", "12Go Link")</f>
        <v>12Go Link</v>
      </c>
      <c r="E3261" s="2" t="s">
        <v>226</v>
      </c>
    </row>
    <row r="3262">
      <c r="A3262" s="2" t="s">
        <v>2236</v>
      </c>
      <c r="B3262" s="2" t="s">
        <v>2233</v>
      </c>
      <c r="C3262" s="2" t="s">
        <v>3199</v>
      </c>
      <c r="D3262" s="3" t="str">
        <f>HYPERLINK("https://12go.asia/en/travel/renigunta/nagercoil", "12Go Link")</f>
        <v>12Go Link</v>
      </c>
      <c r="E3262" s="2" t="s">
        <v>226</v>
      </c>
    </row>
    <row r="3263">
      <c r="A3263" s="2" t="s">
        <v>2236</v>
      </c>
      <c r="B3263" s="2" t="s">
        <v>3154</v>
      </c>
      <c r="C3263" s="2" t="s">
        <v>3200</v>
      </c>
      <c r="D3263" s="3" t="str">
        <f>HYPERLINK("https://12go.asia/en/travel/renigunta-junction/pondicherry", "12Go Link")</f>
        <v>12Go Link</v>
      </c>
      <c r="E3263" s="2" t="s">
        <v>226</v>
      </c>
    </row>
    <row r="3264">
      <c r="A3264" s="2" t="s">
        <v>2236</v>
      </c>
      <c r="B3264" s="2" t="s">
        <v>3154</v>
      </c>
      <c r="C3264" s="2" t="s">
        <v>3201</v>
      </c>
      <c r="D3264" s="3" t="str">
        <f>HYPERLINK("https://12go.asia/en/travel/renigunta/puducherry", "12Go Link")</f>
        <v>12Go Link</v>
      </c>
      <c r="E3264" s="2" t="s">
        <v>226</v>
      </c>
    </row>
    <row r="3265">
      <c r="A3265" s="2" t="s">
        <v>2236</v>
      </c>
      <c r="B3265" s="2" t="s">
        <v>2286</v>
      </c>
      <c r="C3265" s="2" t="s">
        <v>3202</v>
      </c>
      <c r="D3265" s="3" t="str">
        <f>HYPERLINK("https://12go.asia/en/travel/renigunta-junction/srirangam", "12Go Link")</f>
        <v>12Go Link</v>
      </c>
      <c r="E3265" s="2" t="s">
        <v>226</v>
      </c>
    </row>
    <row r="3266">
      <c r="A3266" s="2" t="s">
        <v>2236</v>
      </c>
      <c r="B3266" s="2" t="s">
        <v>2286</v>
      </c>
      <c r="C3266" s="2" t="s">
        <v>3203</v>
      </c>
      <c r="D3266" s="3" t="str">
        <f>HYPERLINK("https://12go.asia/en/travel/renigunta/srirangam", "12Go Link")</f>
        <v>12Go Link</v>
      </c>
      <c r="E3266" s="2" t="s">
        <v>226</v>
      </c>
    </row>
    <row r="3267">
      <c r="A3267" s="2" t="s">
        <v>2236</v>
      </c>
      <c r="B3267" s="2" t="s">
        <v>2238</v>
      </c>
      <c r="C3267" s="2" t="s">
        <v>3204</v>
      </c>
      <c r="D3267" s="3" t="str">
        <f>HYPERLINK("https://12go.asia/en/travel/renigunta/tambaram", "12Go Link")</f>
        <v>12Go Link</v>
      </c>
      <c r="E3267" s="2" t="s">
        <v>226</v>
      </c>
    </row>
    <row r="3268">
      <c r="A3268" s="2" t="s">
        <v>2236</v>
      </c>
      <c r="B3268" s="2" t="s">
        <v>3205</v>
      </c>
      <c r="C3268" s="2" t="s">
        <v>3206</v>
      </c>
      <c r="D3268" s="3" t="str">
        <f>HYPERLINK("https://12go.asia/en/travel/renigunta/vellore", "12Go Link")</f>
        <v>12Go Link</v>
      </c>
      <c r="E3268" s="2" t="s">
        <v>226</v>
      </c>
    </row>
    <row r="3269">
      <c r="A3269" s="2" t="s">
        <v>3015</v>
      </c>
      <c r="B3269" s="2" t="s">
        <v>3207</v>
      </c>
      <c r="C3269" s="2" t="s">
        <v>3208</v>
      </c>
      <c r="D3269" s="3" t="str">
        <f>HYPERLINK("https://12go.asia/en/travel/rewari/charkhi-dadri", "12Go Link")</f>
        <v>12Go Link</v>
      </c>
      <c r="E3269" s="2" t="s">
        <v>226</v>
      </c>
    </row>
    <row r="3270">
      <c r="A3270" s="2" t="s">
        <v>3209</v>
      </c>
      <c r="B3270" s="2" t="s">
        <v>2296</v>
      </c>
      <c r="C3270" s="2" t="s">
        <v>3210</v>
      </c>
      <c r="D3270" s="3" t="str">
        <f>HYPERLINK("https://12go.asia/en/travel/rishikesh/sikandra-agra", "12Go Link")</f>
        <v>12Go Link</v>
      </c>
      <c r="E3270" s="2" t="s">
        <v>226</v>
      </c>
    </row>
    <row r="3271">
      <c r="A3271" s="2" t="s">
        <v>3211</v>
      </c>
      <c r="B3271" s="2" t="s">
        <v>2717</v>
      </c>
      <c r="C3271" s="2" t="s">
        <v>3212</v>
      </c>
      <c r="D3271" s="3" t="str">
        <f>HYPERLINK("https://12go.asia/en/travel/rohtak/panipat", "12Go Link")</f>
        <v>12Go Link</v>
      </c>
      <c r="E3271" s="2" t="s">
        <v>226</v>
      </c>
    </row>
    <row r="3272">
      <c r="A3272" s="2" t="s">
        <v>2616</v>
      </c>
      <c r="B3272" s="2" t="s">
        <v>2368</v>
      </c>
      <c r="C3272" s="2" t="s">
        <v>3213</v>
      </c>
      <c r="D3272" s="3" t="str">
        <f>HYPERLINK("https://12go.asia/en/travel/secunderabad/arsikere", "12Go Link")</f>
        <v>12Go Link</v>
      </c>
      <c r="E3272" s="2" t="s">
        <v>226</v>
      </c>
    </row>
    <row r="3273">
      <c r="A3273" s="2" t="s">
        <v>2616</v>
      </c>
      <c r="B3273" s="2" t="s">
        <v>2472</v>
      </c>
      <c r="C3273" s="2" t="s">
        <v>3214</v>
      </c>
      <c r="D3273" s="3" t="str">
        <f>HYPERLINK("https://12go.asia/en/travel/secunderabad/bilaspur-jn", "12Go Link")</f>
        <v>12Go Link</v>
      </c>
      <c r="E3273" s="2" t="s">
        <v>226</v>
      </c>
    </row>
    <row r="3274">
      <c r="A3274" s="2" t="s">
        <v>2616</v>
      </c>
      <c r="B3274" s="2" t="s">
        <v>2299</v>
      </c>
      <c r="C3274" s="2" t="s">
        <v>3215</v>
      </c>
      <c r="D3274" s="3" t="str">
        <f>HYPERLINK("https://12go.asia/en/travel/moula-ali/lingampalli", "12Go Link")</f>
        <v>12Go Link</v>
      </c>
      <c r="E3274" s="2" t="s">
        <v>226</v>
      </c>
    </row>
    <row r="3275">
      <c r="A3275" s="2" t="s">
        <v>2616</v>
      </c>
      <c r="B3275" s="2" t="s">
        <v>3216</v>
      </c>
      <c r="C3275" s="2" t="s">
        <v>3217</v>
      </c>
      <c r="D3275" s="3" t="str">
        <f>HYPERLINK("https://12go.asia/en/travel/moula-ali/tirupati", "12Go Link")</f>
        <v>12Go Link</v>
      </c>
      <c r="E3275" s="2" t="s">
        <v>226</v>
      </c>
    </row>
    <row r="3276">
      <c r="A3276" s="2" t="s">
        <v>3218</v>
      </c>
      <c r="B3276" s="2" t="s">
        <v>2396</v>
      </c>
      <c r="C3276" s="2" t="s">
        <v>3219</v>
      </c>
      <c r="D3276" s="3" t="str">
        <f>HYPERLINK("https://12go.asia/en/travel/shegaon/badnera", "12Go Link")</f>
        <v>12Go Link</v>
      </c>
      <c r="E3276" s="2" t="s">
        <v>226</v>
      </c>
    </row>
    <row r="3277">
      <c r="A3277" s="2" t="s">
        <v>3218</v>
      </c>
      <c r="B3277" s="2" t="s">
        <v>2396</v>
      </c>
      <c r="C3277" s="2" t="s">
        <v>3220</v>
      </c>
      <c r="D3277" s="3" t="str">
        <f>HYPERLINK("https://12go.asia/en/travel/shegaon/badnera-junction", "12Go Link")</f>
        <v>12Go Link</v>
      </c>
      <c r="E3277" s="2" t="s">
        <v>226</v>
      </c>
    </row>
    <row r="3278">
      <c r="A3278" s="2" t="s">
        <v>3221</v>
      </c>
      <c r="B3278" s="2" t="s">
        <v>2282</v>
      </c>
      <c r="C3278" s="2" t="s">
        <v>3222</v>
      </c>
      <c r="D3278" s="3" t="str">
        <f>HYPERLINK("https://12go.asia/en/travel/shoranur/old-goa", "12Go Link")</f>
        <v>12Go Link</v>
      </c>
      <c r="E3278" s="2" t="s">
        <v>226</v>
      </c>
    </row>
    <row r="3279">
      <c r="A3279" s="2" t="s">
        <v>3223</v>
      </c>
      <c r="B3279" s="2" t="s">
        <v>227</v>
      </c>
      <c r="C3279" s="2" t="s">
        <v>3224</v>
      </c>
      <c r="D3279" s="3" t="str">
        <f>HYPERLINK("https://12go.asia/en/travel/shravanabelagola/yesvantpur", "12Go Link")</f>
        <v>12Go Link</v>
      </c>
      <c r="E3279" s="2" t="s">
        <v>226</v>
      </c>
    </row>
    <row r="3280">
      <c r="A3280" s="2" t="s">
        <v>3223</v>
      </c>
      <c r="B3280" s="2" t="s">
        <v>227</v>
      </c>
      <c r="C3280" s="2" t="s">
        <v>3225</v>
      </c>
      <c r="D3280" s="3" t="str">
        <f>HYPERLINK("https://12go.asia/en/travel/shravanbela-gola/bangalore", "12Go Link")</f>
        <v>12Go Link</v>
      </c>
      <c r="E3280" s="2" t="s">
        <v>226</v>
      </c>
    </row>
    <row r="3281">
      <c r="A3281" s="2" t="s">
        <v>3226</v>
      </c>
      <c r="B3281" s="2" t="s">
        <v>2853</v>
      </c>
      <c r="C3281" s="2" t="s">
        <v>3227</v>
      </c>
      <c r="D3281" s="3" t="str">
        <f>HYPERLINK("https://12go.asia/en/travel/shri-mata-vaishno/kathua", "12Go Link")</f>
        <v>12Go Link</v>
      </c>
      <c r="E3281" s="2" t="s">
        <v>226</v>
      </c>
    </row>
    <row r="3282">
      <c r="A3282" s="2" t="s">
        <v>3226</v>
      </c>
      <c r="B3282" s="2" t="s">
        <v>2296</v>
      </c>
      <c r="C3282" s="2" t="s">
        <v>3228</v>
      </c>
      <c r="D3282" s="3" t="str">
        <f>HYPERLINK("https://12go.asia/en/travel/shri-mata-vaishno/sikandra-agra", "12Go Link")</f>
        <v>12Go Link</v>
      </c>
      <c r="E3282" s="2" t="s">
        <v>226</v>
      </c>
    </row>
    <row r="3283">
      <c r="A3283" s="2" t="s">
        <v>3229</v>
      </c>
      <c r="B3283" s="2" t="s">
        <v>2672</v>
      </c>
      <c r="C3283" s="2" t="s">
        <v>3230</v>
      </c>
      <c r="D3283" s="3" t="str">
        <f>HYPERLINK("https://12go.asia/en/travel/belapur/madgaon", "12Go Link")</f>
        <v>12Go Link</v>
      </c>
      <c r="E3283" s="2" t="s">
        <v>226</v>
      </c>
    </row>
    <row r="3284">
      <c r="A3284" s="2" t="s">
        <v>3229</v>
      </c>
      <c r="B3284" s="2" t="s">
        <v>2351</v>
      </c>
      <c r="C3284" s="2" t="s">
        <v>3231</v>
      </c>
      <c r="D3284" s="3" t="str">
        <f>HYPERLINK("https://12go.asia/en/travel/shrirampur/margao", "12Go Link")</f>
        <v>12Go Link</v>
      </c>
      <c r="E3284" s="2" t="s">
        <v>226</v>
      </c>
    </row>
    <row r="3285">
      <c r="A3285" s="2" t="s">
        <v>2296</v>
      </c>
      <c r="B3285" s="2" t="s">
        <v>2983</v>
      </c>
      <c r="C3285" s="2" t="s">
        <v>3232</v>
      </c>
      <c r="D3285" s="3" t="str">
        <f>HYPERLINK("https://12go.asia/en/travel/sikandra-agra/abhaneri", "12Go Link")</f>
        <v>12Go Link</v>
      </c>
      <c r="E3285" s="2" t="s">
        <v>226</v>
      </c>
    </row>
    <row r="3286">
      <c r="A3286" s="2" t="s">
        <v>2296</v>
      </c>
      <c r="B3286" s="2" t="s">
        <v>2192</v>
      </c>
      <c r="C3286" s="2" t="s">
        <v>3233</v>
      </c>
      <c r="D3286" s="3" t="str">
        <f>HYPERLINK("https://12go.asia/en/travel/sikandra-agra/agra", "12Go Link")</f>
        <v>12Go Link</v>
      </c>
      <c r="E3286" s="2" t="s">
        <v>226</v>
      </c>
    </row>
    <row r="3287">
      <c r="A3287" s="2" t="s">
        <v>2296</v>
      </c>
      <c r="B3287" s="2" t="s">
        <v>2231</v>
      </c>
      <c r="C3287" s="2" t="s">
        <v>3234</v>
      </c>
      <c r="D3287" s="3" t="str">
        <f>HYPERLINK("https://12go.asia/en/travel/sikandra-agra/ahmedabad", "12Go Link")</f>
        <v>12Go Link</v>
      </c>
      <c r="E3287" s="2" t="s">
        <v>226</v>
      </c>
    </row>
    <row r="3288">
      <c r="A3288" s="2" t="s">
        <v>2296</v>
      </c>
      <c r="B3288" s="2" t="s">
        <v>2242</v>
      </c>
      <c r="C3288" s="2" t="s">
        <v>3235</v>
      </c>
      <c r="D3288" s="3" t="str">
        <f>HYPERLINK("https://12go.asia/en/travel/sikandra-agra/ajmer", "12Go Link")</f>
        <v>12Go Link</v>
      </c>
      <c r="E3288" s="2" t="s">
        <v>226</v>
      </c>
    </row>
    <row r="3289">
      <c r="A3289" s="2" t="s">
        <v>2296</v>
      </c>
      <c r="B3289" s="2" t="s">
        <v>2339</v>
      </c>
      <c r="C3289" s="2" t="s">
        <v>3236</v>
      </c>
      <c r="D3289" s="3" t="str">
        <f>HYPERLINK("https://12go.asia/en/travel/sikandra-agra/anjuna", "12Go Link")</f>
        <v>12Go Link</v>
      </c>
      <c r="E3289" s="2" t="s">
        <v>226</v>
      </c>
    </row>
    <row r="3290">
      <c r="A3290" s="2" t="s">
        <v>2296</v>
      </c>
      <c r="B3290" s="2" t="s">
        <v>3044</v>
      </c>
      <c r="C3290" s="2" t="s">
        <v>3237</v>
      </c>
      <c r="D3290" s="3" t="str">
        <f>HYPERLINK("https://12go.asia/en/travel/sikandra-agra/aurangabad", "12Go Link")</f>
        <v>12Go Link</v>
      </c>
      <c r="E3290" s="2" t="s">
        <v>226</v>
      </c>
    </row>
    <row r="3291">
      <c r="A3291" s="2" t="s">
        <v>2296</v>
      </c>
      <c r="B3291" s="2" t="s">
        <v>3238</v>
      </c>
      <c r="C3291" s="2" t="s">
        <v>3239</v>
      </c>
      <c r="D3291" s="3" t="str">
        <f>HYPERLINK("https://12go.asia/en/travel/sikandra-agra/bandikui", "12Go Link")</f>
        <v>12Go Link</v>
      </c>
      <c r="E3291" s="2" t="s">
        <v>226</v>
      </c>
    </row>
    <row r="3292">
      <c r="A3292" s="2" t="s">
        <v>2296</v>
      </c>
      <c r="B3292" s="2" t="s">
        <v>2423</v>
      </c>
      <c r="C3292" s="2" t="s">
        <v>3240</v>
      </c>
      <c r="D3292" s="3" t="str">
        <f>HYPERLINK("https://12go.asia/en/travel/sikandra-agra/bareilly", "12Go Link")</f>
        <v>12Go Link</v>
      </c>
      <c r="E3292" s="2" t="s">
        <v>226</v>
      </c>
    </row>
    <row r="3293">
      <c r="A3293" s="2" t="s">
        <v>2296</v>
      </c>
      <c r="B3293" s="2" t="s">
        <v>2571</v>
      </c>
      <c r="C3293" s="2" t="s">
        <v>3241</v>
      </c>
      <c r="D3293" s="3" t="str">
        <f>HYPERLINK("https://12go.asia/en/travel/sikandra-agra/bharatpur-rajasthan", "12Go Link")</f>
        <v>12Go Link</v>
      </c>
      <c r="E3293" s="2" t="s">
        <v>226</v>
      </c>
    </row>
    <row r="3294">
      <c r="A3294" s="2" t="s">
        <v>2296</v>
      </c>
      <c r="B3294" s="2" t="s">
        <v>2450</v>
      </c>
      <c r="C3294" s="2" t="s">
        <v>3242</v>
      </c>
      <c r="D3294" s="3" t="str">
        <f>HYPERLINK("https://12go.asia/en/travel/sikandra-agra/bhopal", "12Go Link")</f>
        <v>12Go Link</v>
      </c>
      <c r="E3294" s="2" t="s">
        <v>226</v>
      </c>
    </row>
    <row r="3295">
      <c r="A3295" s="2" t="s">
        <v>2296</v>
      </c>
      <c r="B3295" s="2" t="s">
        <v>2466</v>
      </c>
      <c r="C3295" s="2" t="s">
        <v>3243</v>
      </c>
      <c r="D3295" s="3" t="str">
        <f>HYPERLINK("https://12go.asia/en/travel/sikandra-agra/bikaner", "12Go Link")</f>
        <v>12Go Link</v>
      </c>
      <c r="E3295" s="2" t="s">
        <v>226</v>
      </c>
    </row>
    <row r="3296">
      <c r="A3296" s="2" t="s">
        <v>2296</v>
      </c>
      <c r="B3296" s="2" t="s">
        <v>2196</v>
      </c>
      <c r="C3296" s="2" t="s">
        <v>3244</v>
      </c>
      <c r="D3296" s="3" t="str">
        <f>HYPERLINK("https://12go.asia/en/travel/sikandra-agra/bundi", "12Go Link")</f>
        <v>12Go Link</v>
      </c>
      <c r="E3296" s="2" t="s">
        <v>226</v>
      </c>
    </row>
    <row r="3297">
      <c r="A3297" s="2" t="s">
        <v>2296</v>
      </c>
      <c r="B3297" s="2" t="s">
        <v>2516</v>
      </c>
      <c r="C3297" s="2" t="s">
        <v>3245</v>
      </c>
      <c r="D3297" s="3" t="str">
        <f>HYPERLINK("https://12go.asia/en/travel/sikandra-agra/chennai", "12Go Link")</f>
        <v>12Go Link</v>
      </c>
      <c r="E3297" s="2" t="s">
        <v>226</v>
      </c>
    </row>
    <row r="3298">
      <c r="A3298" s="2" t="s">
        <v>2296</v>
      </c>
      <c r="B3298" s="2" t="s">
        <v>2528</v>
      </c>
      <c r="C3298" s="2" t="s">
        <v>3246</v>
      </c>
      <c r="D3298" s="3" t="str">
        <f>HYPERLINK("https://12go.asia/en/travel/sikandra-agra/chhattisgarh", "12Go Link")</f>
        <v>12Go Link</v>
      </c>
      <c r="E3298" s="2" t="s">
        <v>226</v>
      </c>
    </row>
    <row r="3299">
      <c r="A3299" s="2" t="s">
        <v>2296</v>
      </c>
      <c r="B3299" s="2" t="s">
        <v>3247</v>
      </c>
      <c r="C3299" s="2" t="s">
        <v>3248</v>
      </c>
      <c r="D3299" s="3" t="str">
        <f>HYPERLINK("https://12go.asia/en/travel/sikandra-agra/coimbatore", "12Go Link")</f>
        <v>12Go Link</v>
      </c>
      <c r="E3299" s="2" t="s">
        <v>226</v>
      </c>
    </row>
    <row r="3300">
      <c r="A3300" s="2" t="s">
        <v>2296</v>
      </c>
      <c r="B3300" s="2" t="s">
        <v>2438</v>
      </c>
      <c r="C3300" s="2" t="s">
        <v>3249</v>
      </c>
      <c r="D3300" s="3" t="str">
        <f>HYPERLINK("https://12go.asia/en/travel/sikandra-agra/danapur", "12Go Link")</f>
        <v>12Go Link</v>
      </c>
      <c r="E3300" s="2" t="s">
        <v>226</v>
      </c>
    </row>
    <row r="3301">
      <c r="A3301" s="2" t="s">
        <v>2296</v>
      </c>
      <c r="B3301" s="2" t="s">
        <v>2349</v>
      </c>
      <c r="C3301" s="2" t="s">
        <v>3250</v>
      </c>
      <c r="D3301" s="3" t="str">
        <f>HYPERLINK("https://12go.asia/en/travel/sikandra-agra/ernakulam", "12Go Link")</f>
        <v>12Go Link</v>
      </c>
      <c r="E3301" s="2" t="s">
        <v>226</v>
      </c>
    </row>
    <row r="3302">
      <c r="A3302" s="2" t="s">
        <v>2296</v>
      </c>
      <c r="B3302" s="2" t="s">
        <v>2620</v>
      </c>
      <c r="C3302" s="2" t="s">
        <v>3251</v>
      </c>
      <c r="D3302" s="3" t="str">
        <f>HYPERLINK("https://12go.asia/en/travel/sikandra-agra/etawah", "12Go Link")</f>
        <v>12Go Link</v>
      </c>
      <c r="E3302" s="2" t="s">
        <v>226</v>
      </c>
    </row>
    <row r="3303">
      <c r="A3303" s="2" t="s">
        <v>2296</v>
      </c>
      <c r="B3303" s="2" t="s">
        <v>2642</v>
      </c>
      <c r="C3303" s="2" t="s">
        <v>3252</v>
      </c>
      <c r="D3303" s="3" t="str">
        <f>HYPERLINK("https://12go.asia/en/travel/sikandra-agra/fatehpur-uttar-pradesh", "12Go Link")</f>
        <v>12Go Link</v>
      </c>
      <c r="E3303" s="2" t="s">
        <v>226</v>
      </c>
    </row>
    <row r="3304">
      <c r="A3304" s="2" t="s">
        <v>2296</v>
      </c>
      <c r="B3304" s="2" t="s">
        <v>2647</v>
      </c>
      <c r="C3304" s="2" t="s">
        <v>3253</v>
      </c>
      <c r="D3304" s="3" t="str">
        <f>HYPERLINK("https://12go.asia/en/travel/sikandra-agra/firozabad", "12Go Link")</f>
        <v>12Go Link</v>
      </c>
      <c r="E3304" s="2" t="s">
        <v>226</v>
      </c>
    </row>
    <row r="3305">
      <c r="A3305" s="2" t="s">
        <v>2296</v>
      </c>
      <c r="B3305" s="2" t="s">
        <v>3254</v>
      </c>
      <c r="C3305" s="2" t="s">
        <v>3255</v>
      </c>
      <c r="D3305" s="3" t="str">
        <f>HYPERLINK("https://12go.asia/en/travel/sikandra-agra/gaya", "12Go Link")</f>
        <v>12Go Link</v>
      </c>
      <c r="E3305" s="2" t="s">
        <v>226</v>
      </c>
    </row>
    <row r="3306">
      <c r="A3306" s="2" t="s">
        <v>2296</v>
      </c>
      <c r="B3306" s="2" t="s">
        <v>2672</v>
      </c>
      <c r="C3306" s="2" t="s">
        <v>3256</v>
      </c>
      <c r="D3306" s="3" t="str">
        <f>HYPERLINK("https://12go.asia/en/travel/sikandra-agra/goa", "12Go Link")</f>
        <v>12Go Link</v>
      </c>
      <c r="E3306" s="2" t="s">
        <v>226</v>
      </c>
    </row>
    <row r="3307">
      <c r="A3307" s="2" t="s">
        <v>2296</v>
      </c>
      <c r="B3307" s="2" t="s">
        <v>3257</v>
      </c>
      <c r="C3307" s="2" t="s">
        <v>3258</v>
      </c>
      <c r="D3307" s="3" t="str">
        <f>HYPERLINK("https://12go.asia/en/travel/sikandra-agra/gonda", "12Go Link")</f>
        <v>12Go Link</v>
      </c>
      <c r="E3307" s="2" t="s">
        <v>226</v>
      </c>
    </row>
    <row r="3308">
      <c r="A3308" s="2" t="s">
        <v>2296</v>
      </c>
      <c r="B3308" s="2" t="s">
        <v>2383</v>
      </c>
      <c r="C3308" s="2" t="s">
        <v>3259</v>
      </c>
      <c r="D3308" s="3" t="str">
        <f>HYPERLINK("https://12go.asia/en/travel/sikandra-agra/gujarat", "12Go Link")</f>
        <v>12Go Link</v>
      </c>
      <c r="E3308" s="2" t="s">
        <v>226</v>
      </c>
    </row>
    <row r="3309">
      <c r="A3309" s="2" t="s">
        <v>2296</v>
      </c>
      <c r="B3309" s="2" t="s">
        <v>2683</v>
      </c>
      <c r="C3309" s="2" t="s">
        <v>3260</v>
      </c>
      <c r="D3309" s="3" t="str">
        <f>HYPERLINK("https://12go.asia/en/travel/sikandra-agra/gwalior", "12Go Link")</f>
        <v>12Go Link</v>
      </c>
      <c r="E3309" s="2" t="s">
        <v>226</v>
      </c>
    </row>
    <row r="3310">
      <c r="A3310" s="2" t="s">
        <v>2296</v>
      </c>
      <c r="B3310" s="2" t="s">
        <v>2685</v>
      </c>
      <c r="C3310" s="2" t="s">
        <v>3261</v>
      </c>
      <c r="D3310" s="3" t="str">
        <f>HYPERLINK("https://12go.asia/en/travel/sikandra-agra/habibganj", "12Go Link")</f>
        <v>12Go Link</v>
      </c>
      <c r="E3310" s="2" t="s">
        <v>226</v>
      </c>
    </row>
    <row r="3311">
      <c r="A3311" s="2" t="s">
        <v>2296</v>
      </c>
      <c r="B3311" s="2" t="s">
        <v>2589</v>
      </c>
      <c r="C3311" s="2" t="s">
        <v>3262</v>
      </c>
      <c r="D3311" s="3" t="str">
        <f>HYPERLINK("https://12go.asia/en/travel/sikandra-agra/haridwar", "12Go Link")</f>
        <v>12Go Link</v>
      </c>
      <c r="E3311" s="2" t="s">
        <v>226</v>
      </c>
    </row>
    <row r="3312">
      <c r="A3312" s="2" t="s">
        <v>2296</v>
      </c>
      <c r="B3312" s="2" t="s">
        <v>3263</v>
      </c>
      <c r="C3312" s="2" t="s">
        <v>3264</v>
      </c>
      <c r="D3312" s="3" t="str">
        <f>HYPERLINK("https://12go.asia/en/travel/sikandra-agra/hindaun", "12Go Link")</f>
        <v>12Go Link</v>
      </c>
      <c r="E3312" s="2" t="s">
        <v>226</v>
      </c>
    </row>
    <row r="3313">
      <c r="A3313" s="2" t="s">
        <v>2296</v>
      </c>
      <c r="B3313" s="2" t="s">
        <v>2501</v>
      </c>
      <c r="C3313" s="2" t="s">
        <v>3265</v>
      </c>
      <c r="D3313" s="3" t="str">
        <f>HYPERLINK("https://12go.asia/en/travel/sikandra-agra/hyderabad", "12Go Link")</f>
        <v>12Go Link</v>
      </c>
      <c r="E3313" s="2" t="s">
        <v>226</v>
      </c>
    </row>
    <row r="3314">
      <c r="A3314" s="2" t="s">
        <v>2296</v>
      </c>
      <c r="B3314" s="2" t="s">
        <v>2760</v>
      </c>
      <c r="C3314" s="2" t="s">
        <v>3266</v>
      </c>
      <c r="D3314" s="3" t="str">
        <f>HYPERLINK("https://12go.asia/en/travel/sikandra-agra/indore", "12Go Link")</f>
        <v>12Go Link</v>
      </c>
      <c r="E3314" s="2" t="s">
        <v>226</v>
      </c>
    </row>
    <row r="3315">
      <c r="A3315" s="2" t="s">
        <v>2296</v>
      </c>
      <c r="B3315" s="2" t="s">
        <v>2407</v>
      </c>
      <c r="C3315" s="2" t="s">
        <v>3267</v>
      </c>
      <c r="D3315" s="3" t="str">
        <f>HYPERLINK("https://12go.asia/en/travel/sikandra-agra/jhansi", "12Go Link")</f>
        <v>12Go Link</v>
      </c>
      <c r="E3315" s="2" t="s">
        <v>226</v>
      </c>
    </row>
    <row r="3316">
      <c r="A3316" s="2" t="s">
        <v>2296</v>
      </c>
      <c r="B3316" s="2" t="s">
        <v>2198</v>
      </c>
      <c r="C3316" s="2" t="s">
        <v>3268</v>
      </c>
      <c r="D3316" s="3" t="str">
        <f>HYPERLINK("https://12go.asia/en/travel/sikandra-agra/kanpur", "12Go Link")</f>
        <v>12Go Link</v>
      </c>
      <c r="E3316" s="2" t="s">
        <v>226</v>
      </c>
    </row>
    <row r="3317">
      <c r="A3317" s="2" t="s">
        <v>2296</v>
      </c>
      <c r="B3317" s="2" t="s">
        <v>2781</v>
      </c>
      <c r="C3317" s="2" t="s">
        <v>3269</v>
      </c>
      <c r="D3317" s="3" t="str">
        <f>HYPERLINK("https://12go.asia/en/travel/sikandra-agra/karnal", "12Go Link")</f>
        <v>12Go Link</v>
      </c>
      <c r="E3317" s="2" t="s">
        <v>226</v>
      </c>
    </row>
    <row r="3318">
      <c r="A3318" s="2" t="s">
        <v>2296</v>
      </c>
      <c r="B3318" s="2" t="s">
        <v>2200</v>
      </c>
      <c r="C3318" s="2" t="s">
        <v>3270</v>
      </c>
      <c r="D3318" s="3" t="str">
        <f>HYPERLINK("https://12go.asia/en/travel/sikandra-agra/katni", "12Go Link")</f>
        <v>12Go Link</v>
      </c>
      <c r="E3318" s="2" t="s">
        <v>226</v>
      </c>
    </row>
    <row r="3319">
      <c r="A3319" s="2" t="s">
        <v>2296</v>
      </c>
      <c r="B3319" s="2" t="s">
        <v>2876</v>
      </c>
      <c r="C3319" s="2" t="s">
        <v>3271</v>
      </c>
      <c r="D3319" s="3" t="str">
        <f>HYPERLINK("https://12go.asia/en/travel/sikandra-agra/kerala", "12Go Link")</f>
        <v>12Go Link</v>
      </c>
      <c r="E3319" s="2" t="s">
        <v>226</v>
      </c>
    </row>
    <row r="3320">
      <c r="A3320" s="2" t="s">
        <v>2296</v>
      </c>
      <c r="B3320" s="2" t="s">
        <v>2883</v>
      </c>
      <c r="C3320" s="2" t="s">
        <v>3272</v>
      </c>
      <c r="D3320" s="3" t="str">
        <f>HYPERLINK("https://12go.asia/en/travel/sikandra-agra/khajuraho", "12Go Link")</f>
        <v>12Go Link</v>
      </c>
      <c r="E3320" s="2" t="s">
        <v>226</v>
      </c>
    </row>
    <row r="3321">
      <c r="A3321" s="2" t="s">
        <v>2296</v>
      </c>
      <c r="B3321" s="2" t="s">
        <v>2787</v>
      </c>
      <c r="C3321" s="2" t="s">
        <v>3273</v>
      </c>
      <c r="D3321" s="3" t="str">
        <f>HYPERLINK("https://12go.asia/en/travel/sikandra-agra/kota", "12Go Link")</f>
        <v>12Go Link</v>
      </c>
      <c r="E3321" s="2" t="s">
        <v>226</v>
      </c>
    </row>
    <row r="3322">
      <c r="A3322" s="2" t="s">
        <v>2296</v>
      </c>
      <c r="B3322" s="2" t="s">
        <v>2933</v>
      </c>
      <c r="C3322" s="2" t="s">
        <v>3274</v>
      </c>
      <c r="D3322" s="3" t="str">
        <f>HYPERLINK("https://12go.asia/en/travel/sikandra-agra/lucknow", "12Go Link")</f>
        <v>12Go Link</v>
      </c>
      <c r="E3322" s="2" t="s">
        <v>226</v>
      </c>
    </row>
    <row r="3323">
      <c r="A3323" s="2" t="s">
        <v>2296</v>
      </c>
      <c r="B3323" s="2" t="s">
        <v>2940</v>
      </c>
      <c r="C3323" s="2" t="s">
        <v>3275</v>
      </c>
      <c r="D3323" s="3" t="str">
        <f>HYPERLINK("https://12go.asia/en/travel/sikandra-agra/ludhiana", "12Go Link")</f>
        <v>12Go Link</v>
      </c>
      <c r="E3323" s="2" t="s">
        <v>226</v>
      </c>
    </row>
    <row r="3324">
      <c r="A3324" s="2" t="s">
        <v>2296</v>
      </c>
      <c r="B3324" s="2" t="s">
        <v>2312</v>
      </c>
      <c r="C3324" s="2" t="s">
        <v>3276</v>
      </c>
      <c r="D3324" s="3" t="str">
        <f>HYPERLINK("https://12go.asia/en/travel/sikandra-agra/madhya-pradesh", "12Go Link")</f>
        <v>12Go Link</v>
      </c>
      <c r="E3324" s="2" t="s">
        <v>226</v>
      </c>
    </row>
    <row r="3325">
      <c r="A3325" s="2" t="s">
        <v>2296</v>
      </c>
      <c r="B3325" s="2" t="s">
        <v>3092</v>
      </c>
      <c r="C3325" s="2" t="s">
        <v>3277</v>
      </c>
      <c r="D3325" s="3" t="str">
        <f>HYPERLINK("https://12go.asia/en/travel/sikandra-agra/nagpur", "12Go Link")</f>
        <v>12Go Link</v>
      </c>
      <c r="E3325" s="2" t="s">
        <v>226</v>
      </c>
    </row>
    <row r="3326">
      <c r="A3326" s="2" t="s">
        <v>2296</v>
      </c>
      <c r="B3326" s="2" t="s">
        <v>3278</v>
      </c>
      <c r="C3326" s="2" t="s">
        <v>3279</v>
      </c>
      <c r="D3326" s="3" t="str">
        <f>HYPERLINK("https://12go.asia/en/travel/sikandra-agra/north-goa", "12Go Link")</f>
        <v>12Go Link</v>
      </c>
      <c r="E3326" s="2" t="s">
        <v>226</v>
      </c>
    </row>
    <row r="3327">
      <c r="A3327" s="2" t="s">
        <v>2296</v>
      </c>
      <c r="B3327" s="2" t="s">
        <v>3280</v>
      </c>
      <c r="C3327" s="2" t="s">
        <v>3281</v>
      </c>
      <c r="D3327" s="3" t="str">
        <f>HYPERLINK("https://12go.asia/en/travel/sikandra-agra/pathankot", "12Go Link")</f>
        <v>12Go Link</v>
      </c>
      <c r="E3327" s="2" t="s">
        <v>226</v>
      </c>
    </row>
    <row r="3328">
      <c r="A3328" s="2" t="s">
        <v>2296</v>
      </c>
      <c r="B3328" s="2" t="s">
        <v>3165</v>
      </c>
      <c r="C3328" s="2" t="s">
        <v>3282</v>
      </c>
      <c r="D3328" s="3" t="str">
        <f>HYPERLINK("https://12go.asia/en/travel/sikandra-agra/patna", "12Go Link")</f>
        <v>12Go Link</v>
      </c>
      <c r="E3328" s="2" t="s">
        <v>226</v>
      </c>
    </row>
    <row r="3329">
      <c r="A3329" s="2" t="s">
        <v>2296</v>
      </c>
      <c r="B3329" s="2" t="s">
        <v>2273</v>
      </c>
      <c r="C3329" s="2" t="s">
        <v>3283</v>
      </c>
      <c r="D3329" s="3" t="str">
        <f>HYPERLINK("https://12go.asia/en/travel/sikandra-agra/prayagraj", "12Go Link")</f>
        <v>12Go Link</v>
      </c>
      <c r="E3329" s="2" t="s">
        <v>59</v>
      </c>
    </row>
    <row r="3330">
      <c r="A3330" s="2" t="s">
        <v>2296</v>
      </c>
      <c r="B3330" s="2" t="s">
        <v>2476</v>
      </c>
      <c r="C3330" s="2" t="s">
        <v>3284</v>
      </c>
      <c r="D3330" s="3" t="str">
        <f>HYPERLINK("https://12go.asia/en/travel/sikandra-agra/pune", "12Go Link")</f>
        <v>12Go Link</v>
      </c>
      <c r="E3330" s="2" t="s">
        <v>226</v>
      </c>
    </row>
    <row r="3331">
      <c r="A3331" s="2" t="s">
        <v>2296</v>
      </c>
      <c r="B3331" s="2" t="s">
        <v>2254</v>
      </c>
      <c r="C3331" s="2" t="s">
        <v>3285</v>
      </c>
      <c r="D3331" s="3" t="str">
        <f>HYPERLINK("https://12go.asia/en/travel/sikandra-agra/pushkar", "12Go Link")</f>
        <v>12Go Link</v>
      </c>
      <c r="E3331" s="2" t="s">
        <v>226</v>
      </c>
    </row>
    <row r="3332">
      <c r="A3332" s="2" t="s">
        <v>2296</v>
      </c>
      <c r="B3332" s="2" t="s">
        <v>3075</v>
      </c>
      <c r="C3332" s="2" t="s">
        <v>3286</v>
      </c>
      <c r="D3332" s="3" t="str">
        <f>HYPERLINK("https://12go.asia/en/travel/sikandra-agra/raipur", "12Go Link")</f>
        <v>12Go Link</v>
      </c>
      <c r="E3332" s="2" t="s">
        <v>226</v>
      </c>
    </row>
    <row r="3333">
      <c r="A3333" s="2" t="s">
        <v>2296</v>
      </c>
      <c r="B3333" s="2" t="s">
        <v>3209</v>
      </c>
      <c r="C3333" s="2" t="s">
        <v>3287</v>
      </c>
      <c r="D3333" s="3" t="str">
        <f>HYPERLINK("https://12go.asia/en/travel/sikandra-agra/rishikesh", "12Go Link")</f>
        <v>12Go Link</v>
      </c>
      <c r="E3333" s="2" t="s">
        <v>226</v>
      </c>
    </row>
    <row r="3334">
      <c r="A3334" s="2" t="s">
        <v>2296</v>
      </c>
      <c r="B3334" s="2" t="s">
        <v>2577</v>
      </c>
      <c r="C3334" s="2" t="s">
        <v>3288</v>
      </c>
      <c r="D3334" s="3" t="str">
        <f>HYPERLINK("https://12go.asia/en/travel/sikandra-agra/roorkee", "12Go Link")</f>
        <v>12Go Link</v>
      </c>
      <c r="E3334" s="2" t="s">
        <v>226</v>
      </c>
    </row>
    <row r="3335">
      <c r="A3335" s="2" t="s">
        <v>2296</v>
      </c>
      <c r="B3335" s="2" t="s">
        <v>3289</v>
      </c>
      <c r="C3335" s="2" t="s">
        <v>3290</v>
      </c>
      <c r="D3335" s="3" t="str">
        <f>HYPERLINK("https://12go.asia/en/travel/sikandra-agra/sabarmati", "12Go Link")</f>
        <v>12Go Link</v>
      </c>
      <c r="E3335" s="2" t="s">
        <v>226</v>
      </c>
    </row>
    <row r="3336">
      <c r="A3336" s="2" t="s">
        <v>2296</v>
      </c>
      <c r="B3336" s="2" t="s">
        <v>3291</v>
      </c>
      <c r="C3336" s="2" t="s">
        <v>3292</v>
      </c>
      <c r="D3336" s="3" t="str">
        <f>HYPERLINK("https://12go.asia/en/travel/sikandra-agra/sawai-madhopur", "12Go Link")</f>
        <v>12Go Link</v>
      </c>
      <c r="E3336" s="2" t="s">
        <v>226</v>
      </c>
    </row>
    <row r="3337">
      <c r="A3337" s="2" t="s">
        <v>2296</v>
      </c>
      <c r="B3337" s="2" t="s">
        <v>2616</v>
      </c>
      <c r="C3337" s="2" t="s">
        <v>3293</v>
      </c>
      <c r="D3337" s="3" t="str">
        <f>HYPERLINK("https://12go.asia/en/travel/sikandra-agra/secunderabad", "12Go Link")</f>
        <v>12Go Link</v>
      </c>
      <c r="E3337" s="2" t="s">
        <v>226</v>
      </c>
    </row>
    <row r="3338">
      <c r="A3338" s="2" t="s">
        <v>2296</v>
      </c>
      <c r="B3338" s="2" t="s">
        <v>2215</v>
      </c>
      <c r="C3338" s="2" t="s">
        <v>3294</v>
      </c>
      <c r="D3338" s="3" t="str">
        <f>HYPERLINK("https://12go.asia/en/travel/sikandra-agra/sikar", "12Go Link")</f>
        <v>12Go Link</v>
      </c>
      <c r="E3338" s="2" t="s">
        <v>226</v>
      </c>
    </row>
    <row r="3339">
      <c r="A3339" s="2" t="s">
        <v>2296</v>
      </c>
      <c r="B3339" s="2" t="s">
        <v>2770</v>
      </c>
      <c r="C3339" s="2" t="s">
        <v>3295</v>
      </c>
      <c r="D3339" s="3" t="str">
        <f>HYPERLINK("https://12go.asia/en/travel/sikandra-agra/taj-mahal", "12Go Link")</f>
        <v>12Go Link</v>
      </c>
      <c r="E3339" s="2" t="s">
        <v>226</v>
      </c>
    </row>
    <row r="3340">
      <c r="A3340" s="2" t="s">
        <v>2296</v>
      </c>
      <c r="B3340" s="2" t="s">
        <v>2512</v>
      </c>
      <c r="C3340" s="2" t="s">
        <v>3296</v>
      </c>
      <c r="D3340" s="3" t="str">
        <f>HYPERLINK("https://12go.asia/en/travel/sikandra-agra/tamil-nadu", "12Go Link")</f>
        <v>12Go Link</v>
      </c>
      <c r="E3340" s="2" t="s">
        <v>226</v>
      </c>
    </row>
    <row r="3341">
      <c r="A3341" s="2" t="s">
        <v>2296</v>
      </c>
      <c r="B3341" s="2" t="s">
        <v>2942</v>
      </c>
      <c r="C3341" s="2" t="s">
        <v>3297</v>
      </c>
      <c r="D3341" s="3" t="str">
        <f>HYPERLINK("https://12go.asia/en/travel/sikandra-agra/telangana", "12Go Link")</f>
        <v>12Go Link</v>
      </c>
      <c r="E3341" s="2" t="s">
        <v>226</v>
      </c>
    </row>
    <row r="3342">
      <c r="A3342" s="2" t="s">
        <v>2296</v>
      </c>
      <c r="B3342" s="2" t="s">
        <v>2217</v>
      </c>
      <c r="C3342" s="2" t="s">
        <v>3298</v>
      </c>
      <c r="D3342" s="3" t="str">
        <f>HYPERLINK("https://12go.asia/en/travel/sikandra-agra/tiruchirappalli", "12Go Link")</f>
        <v>12Go Link</v>
      </c>
      <c r="E3342" s="2" t="s">
        <v>226</v>
      </c>
    </row>
    <row r="3343">
      <c r="A3343" s="2" t="s">
        <v>2296</v>
      </c>
      <c r="B3343" s="2" t="s">
        <v>2219</v>
      </c>
      <c r="C3343" s="2" t="s">
        <v>3299</v>
      </c>
      <c r="D3343" s="3" t="str">
        <f>HYPERLINK("https://12go.asia/en/travel/sikandra-agra/tiruppur", "12Go Link")</f>
        <v>12Go Link</v>
      </c>
      <c r="E3343" s="2" t="s">
        <v>226</v>
      </c>
    </row>
    <row r="3344">
      <c r="A3344" s="2" t="s">
        <v>2296</v>
      </c>
      <c r="B3344" s="2" t="s">
        <v>2795</v>
      </c>
      <c r="C3344" s="2" t="s">
        <v>3300</v>
      </c>
      <c r="D3344" s="3" t="str">
        <f>HYPERLINK("https://12go.asia/en/travel/sikandra-agra/tundla", "12Go Link")</f>
        <v>12Go Link</v>
      </c>
      <c r="E3344" s="2" t="s">
        <v>226</v>
      </c>
    </row>
    <row r="3345">
      <c r="A3345" s="2" t="s">
        <v>2296</v>
      </c>
      <c r="B3345" s="2" t="s">
        <v>2410</v>
      </c>
      <c r="C3345" s="2" t="s">
        <v>3301</v>
      </c>
      <c r="D3345" s="3" t="str">
        <f>HYPERLINK("https://12go.asia/en/travel/sikandra-agra/uttar-pradesh", "12Go Link")</f>
        <v>12Go Link</v>
      </c>
      <c r="E3345" s="2" t="s">
        <v>226</v>
      </c>
    </row>
    <row r="3346">
      <c r="A3346" s="2" t="s">
        <v>2296</v>
      </c>
      <c r="B3346" s="2" t="s">
        <v>2412</v>
      </c>
      <c r="C3346" s="2" t="s">
        <v>3302</v>
      </c>
      <c r="D3346" s="3" t="str">
        <f>HYPERLINK("https://12go.asia/en/travel/sikandra-agra/vrindavan", "12Go Link")</f>
        <v>12Go Link</v>
      </c>
      <c r="E3346" s="2" t="s">
        <v>226</v>
      </c>
    </row>
    <row r="3347">
      <c r="A3347" s="2" t="s">
        <v>2215</v>
      </c>
      <c r="B3347" s="2" t="s">
        <v>3303</v>
      </c>
      <c r="C3347" s="2" t="s">
        <v>3304</v>
      </c>
      <c r="D3347" s="3" t="str">
        <f>HYPERLINK("https://12go.asia/en/travel/sikar-junction/hisar", "12Go Link")</f>
        <v>12Go Link</v>
      </c>
      <c r="E3347" s="2" t="s">
        <v>226</v>
      </c>
    </row>
    <row r="3348">
      <c r="A3348" s="2" t="s">
        <v>3305</v>
      </c>
      <c r="B3348" s="2" t="s">
        <v>3305</v>
      </c>
      <c r="C3348" s="2" t="s">
        <v>3306</v>
      </c>
      <c r="D3348" s="3" t="str">
        <f>HYPERLINK("https://12go.asia/en/travel/siliguri-junction/siliguri-town", "12Go Link")</f>
        <v>12Go Link</v>
      </c>
      <c r="E3348" s="2" t="s">
        <v>226</v>
      </c>
    </row>
    <row r="3349">
      <c r="A3349" s="2" t="s">
        <v>2699</v>
      </c>
      <c r="B3349" s="2" t="s">
        <v>2301</v>
      </c>
      <c r="C3349" s="2" t="s">
        <v>3307</v>
      </c>
      <c r="D3349" s="3" t="str">
        <f>HYPERLINK("https://12go.asia/en/travel/siwan/ambala", "12Go Link")</f>
        <v>12Go Link</v>
      </c>
      <c r="E3349" s="2" t="s">
        <v>226</v>
      </c>
    </row>
    <row r="3350">
      <c r="A3350" s="2" t="s">
        <v>2699</v>
      </c>
      <c r="B3350" s="2" t="s">
        <v>2306</v>
      </c>
      <c r="C3350" s="2" t="s">
        <v>3308</v>
      </c>
      <c r="D3350" s="3" t="str">
        <f>HYPERLINK("https://12go.asia/en/travel/siwan-junction/ambala-city", "12Go Link")</f>
        <v>12Go Link</v>
      </c>
      <c r="E3350" s="2" t="s">
        <v>226</v>
      </c>
    </row>
    <row r="3351">
      <c r="A3351" s="2" t="s">
        <v>2699</v>
      </c>
      <c r="B3351" s="2" t="s">
        <v>2306</v>
      </c>
      <c r="C3351" s="2" t="s">
        <v>3309</v>
      </c>
      <c r="D3351" s="3" t="str">
        <f>HYPERLINK("https://12go.asia/en/travel/siwan/ambala-city", "12Go Link")</f>
        <v>12Go Link</v>
      </c>
      <c r="E3351" s="2" t="s">
        <v>226</v>
      </c>
    </row>
    <row r="3352">
      <c r="A3352" s="2" t="s">
        <v>252</v>
      </c>
      <c r="B3352" s="2" t="s">
        <v>3310</v>
      </c>
      <c r="C3352" s="2" t="s">
        <v>3311</v>
      </c>
      <c r="D3352" s="3" t="str">
        <f>HYPERLINK("https://12go.asia/en/travel/solapur-junction/kopargaon", "12Go Link")</f>
        <v>12Go Link</v>
      </c>
      <c r="E3352" s="2" t="s">
        <v>226</v>
      </c>
    </row>
    <row r="3353">
      <c r="A3353" s="2" t="s">
        <v>252</v>
      </c>
      <c r="B3353" s="2" t="s">
        <v>3310</v>
      </c>
      <c r="C3353" s="2" t="s">
        <v>3312</v>
      </c>
      <c r="D3353" s="3" t="str">
        <f>HYPERLINK("https://12go.asia/en/travel/solapur/kopargaon", "12Go Link")</f>
        <v>12Go Link</v>
      </c>
      <c r="E3353" s="2" t="s">
        <v>226</v>
      </c>
    </row>
    <row r="3354">
      <c r="A3354" s="2" t="s">
        <v>252</v>
      </c>
      <c r="B3354" s="2" t="s">
        <v>2236</v>
      </c>
      <c r="C3354" s="2" t="s">
        <v>3313</v>
      </c>
      <c r="D3354" s="3" t="str">
        <f>HYPERLINK("https://12go.asia/en/travel/solapur/renigunta", "12Go Link")</f>
        <v>12Go Link</v>
      </c>
      <c r="E3354" s="2" t="s">
        <v>226</v>
      </c>
    </row>
    <row r="3355">
      <c r="A3355" s="2" t="s">
        <v>252</v>
      </c>
      <c r="B3355" s="2" t="s">
        <v>2996</v>
      </c>
      <c r="C3355" s="2" t="s">
        <v>3314</v>
      </c>
      <c r="D3355" s="3" t="str">
        <f>HYPERLINK("https://12go.asia/en/travel/solapur-junction/villuparam-junction", "12Go Link")</f>
        <v>12Go Link</v>
      </c>
      <c r="E3355" s="2" t="s">
        <v>226</v>
      </c>
    </row>
    <row r="3356">
      <c r="A3356" s="2" t="s">
        <v>252</v>
      </c>
      <c r="B3356" s="2" t="s">
        <v>2996</v>
      </c>
      <c r="C3356" s="2" t="s">
        <v>3315</v>
      </c>
      <c r="D3356" s="3" t="str">
        <f>HYPERLINK("https://12go.asia/en/travel/solapur/villupuram", "12Go Link")</f>
        <v>12Go Link</v>
      </c>
      <c r="E3356" s="2" t="s">
        <v>226</v>
      </c>
    </row>
    <row r="3357">
      <c r="A3357" s="2" t="s">
        <v>3316</v>
      </c>
      <c r="B3357" s="2" t="s">
        <v>3317</v>
      </c>
      <c r="C3357" s="2" t="s">
        <v>3318</v>
      </c>
      <c r="D3357" s="3" t="str">
        <f>HYPERLINK("https://12go.asia/en/travel/somnath/valsad", "12Go Link")</f>
        <v>12Go Link</v>
      </c>
      <c r="E3357" s="2" t="s">
        <v>226</v>
      </c>
    </row>
    <row r="3358">
      <c r="A3358" s="2" t="s">
        <v>3319</v>
      </c>
      <c r="B3358" s="2" t="s">
        <v>2192</v>
      </c>
      <c r="C3358" s="2" t="s">
        <v>3320</v>
      </c>
      <c r="D3358" s="3" t="str">
        <f>HYPERLINK("https://12go.asia/en/travel/sonipat/agra-cantt", "12Go Link")</f>
        <v>12Go Link</v>
      </c>
      <c r="E3358" s="2" t="s">
        <v>226</v>
      </c>
    </row>
    <row r="3359">
      <c r="A3359" s="2" t="s">
        <v>3319</v>
      </c>
      <c r="B3359" s="2" t="s">
        <v>2296</v>
      </c>
      <c r="C3359" s="2" t="s">
        <v>3321</v>
      </c>
      <c r="D3359" s="3" t="str">
        <f>HYPERLINK("https://12go.asia/en/travel/sonipat/sikandra-agra", "12Go Link")</f>
        <v>12Go Link</v>
      </c>
      <c r="E3359" s="2" t="s">
        <v>226</v>
      </c>
    </row>
    <row r="3360">
      <c r="A3360" s="2" t="s">
        <v>2521</v>
      </c>
      <c r="B3360" s="2" t="s">
        <v>3165</v>
      </c>
      <c r="C3360" s="2" t="s">
        <v>3322</v>
      </c>
      <c r="D3360" s="3" t="str">
        <f>HYPERLINK("https://12go.asia/en/travel/sonpur-junction/patliputra", "12Go Link")</f>
        <v>12Go Link</v>
      </c>
      <c r="E3360" s="2" t="s">
        <v>226</v>
      </c>
    </row>
    <row r="3361">
      <c r="A3361" s="2" t="s">
        <v>2709</v>
      </c>
      <c r="B3361" s="2" t="s">
        <v>3182</v>
      </c>
      <c r="C3361" s="2" t="s">
        <v>3323</v>
      </c>
      <c r="D3361" s="3" t="str">
        <f>HYPERLINK("https://12go.asia/en/travel/shri-ganganagar/fazilka", "12Go Link")</f>
        <v>12Go Link</v>
      </c>
      <c r="E3361" s="2" t="s">
        <v>226</v>
      </c>
    </row>
    <row r="3362">
      <c r="A3362" s="2" t="s">
        <v>3324</v>
      </c>
      <c r="B3362" s="2" t="s">
        <v>2299</v>
      </c>
      <c r="C3362" s="2" t="s">
        <v>3325</v>
      </c>
      <c r="D3362" s="3" t="str">
        <f>HYPERLINK("https://12go.asia/en/travel/srikakulam-road/lingampalli", "12Go Link")</f>
        <v>12Go Link</v>
      </c>
      <c r="E3362" s="2" t="s">
        <v>226</v>
      </c>
    </row>
    <row r="3363">
      <c r="A3363" s="2" t="s">
        <v>3324</v>
      </c>
      <c r="B3363" s="2" t="s">
        <v>2299</v>
      </c>
      <c r="C3363" s="2" t="s">
        <v>3326</v>
      </c>
      <c r="D3363" s="3" t="str">
        <f>HYPERLINK("https://12go.asia/en/travel/srikakulam/lingampalli", "12Go Link")</f>
        <v>12Go Link</v>
      </c>
      <c r="E3363" s="2" t="s">
        <v>226</v>
      </c>
    </row>
    <row r="3364">
      <c r="A3364" s="2" t="s">
        <v>3327</v>
      </c>
      <c r="B3364" s="2" t="s">
        <v>2677</v>
      </c>
      <c r="C3364" s="2" t="s">
        <v>3328</v>
      </c>
      <c r="D3364" s="3" t="str">
        <f>HYPERLINK("https://12go.asia/en/travel/sri-kalahasti/new-guntur", "12Go Link")</f>
        <v>12Go Link</v>
      </c>
      <c r="E3364" s="2" t="s">
        <v>226</v>
      </c>
    </row>
    <row r="3365">
      <c r="A3365" s="2" t="s">
        <v>3327</v>
      </c>
      <c r="B3365" s="2" t="s">
        <v>2677</v>
      </c>
      <c r="C3365" s="2" t="s">
        <v>3329</v>
      </c>
      <c r="D3365" s="3" t="str">
        <f>HYPERLINK("https://12go.asia/en/travel/srikalahasti/guntur", "12Go Link")</f>
        <v>12Go Link</v>
      </c>
      <c r="E3365" s="2" t="s">
        <v>226</v>
      </c>
    </row>
    <row r="3366">
      <c r="A3366" s="2" t="s">
        <v>3327</v>
      </c>
      <c r="B3366" s="2" t="s">
        <v>2299</v>
      </c>
      <c r="C3366" s="2" t="s">
        <v>3330</v>
      </c>
      <c r="D3366" s="3" t="str">
        <f>HYPERLINK("https://12go.asia/en/travel/sri-kalahasti/lingampalli", "12Go Link")</f>
        <v>12Go Link</v>
      </c>
      <c r="E3366" s="2" t="s">
        <v>226</v>
      </c>
    </row>
    <row r="3367">
      <c r="A3367" s="2" t="s">
        <v>3327</v>
      </c>
      <c r="B3367" s="2" t="s">
        <v>2299</v>
      </c>
      <c r="C3367" s="2" t="s">
        <v>3331</v>
      </c>
      <c r="D3367" s="3" t="str">
        <f>HYPERLINK("https://12go.asia/en/travel/srikalahasti/lingampalli", "12Go Link")</f>
        <v>12Go Link</v>
      </c>
      <c r="E3367" s="2" t="s">
        <v>226</v>
      </c>
    </row>
    <row r="3368">
      <c r="A3368" s="2" t="s">
        <v>2286</v>
      </c>
      <c r="B3368" s="2" t="s">
        <v>2498</v>
      </c>
      <c r="C3368" s="2" t="s">
        <v>3332</v>
      </c>
      <c r="D3368" s="3" t="str">
        <f>HYPERLINK("https://12go.asia/en/travel/srirangam/dindigul", "12Go Link")</f>
        <v>12Go Link</v>
      </c>
      <c r="E3368" s="2" t="s">
        <v>226</v>
      </c>
    </row>
    <row r="3369">
      <c r="A3369" s="2" t="s">
        <v>2286</v>
      </c>
      <c r="B3369" s="2" t="s">
        <v>2498</v>
      </c>
      <c r="C3369" s="2" t="s">
        <v>3333</v>
      </c>
      <c r="D3369" s="3" t="str">
        <f>HYPERLINK("https://12go.asia/en/travel/srirangam/dindigul-junction", "12Go Link")</f>
        <v>12Go Link</v>
      </c>
      <c r="E3369" s="2" t="s">
        <v>226</v>
      </c>
    </row>
    <row r="3370">
      <c r="A3370" s="2" t="s">
        <v>2286</v>
      </c>
      <c r="B3370" s="2" t="s">
        <v>2877</v>
      </c>
      <c r="C3370" s="2" t="s">
        <v>3334</v>
      </c>
      <c r="D3370" s="3" t="str">
        <f>HYPERLINK("https://12go.asia/en/travel/srirangam/mangalore", "12Go Link")</f>
        <v>12Go Link</v>
      </c>
      <c r="E3370" s="2" t="s">
        <v>226</v>
      </c>
    </row>
    <row r="3371">
      <c r="A3371" s="2" t="s">
        <v>2286</v>
      </c>
      <c r="B3371" s="2" t="s">
        <v>2877</v>
      </c>
      <c r="C3371" s="2" t="s">
        <v>3335</v>
      </c>
      <c r="D3371" s="3" t="str">
        <f>HYPERLINK("https://12go.asia/en/travel/srirangam/mangalore-central", "12Go Link")</f>
        <v>12Go Link</v>
      </c>
      <c r="E3371" s="2" t="s">
        <v>226</v>
      </c>
    </row>
    <row r="3372">
      <c r="A3372" s="2" t="s">
        <v>3336</v>
      </c>
      <c r="B3372" s="2" t="s">
        <v>2245</v>
      </c>
      <c r="C3372" s="2" t="s">
        <v>3337</v>
      </c>
      <c r="D3372" s="3" t="str">
        <f>HYPERLINK("https://12go.asia/en/travel/sujangarh/jodhpur-jn", "12Go Link")</f>
        <v>12Go Link</v>
      </c>
      <c r="E3372" s="2" t="s">
        <v>226</v>
      </c>
    </row>
    <row r="3373">
      <c r="A3373" s="2" t="s">
        <v>3336</v>
      </c>
      <c r="B3373" s="2" t="s">
        <v>2245</v>
      </c>
      <c r="C3373" s="2" t="s">
        <v>3338</v>
      </c>
      <c r="D3373" s="3" t="str">
        <f>HYPERLINK("https://12go.asia/en/travel/sujangarh-rajasthan/jodhpur", "12Go Link")</f>
        <v>12Go Link</v>
      </c>
      <c r="E3373" s="2" t="s">
        <v>226</v>
      </c>
    </row>
    <row r="3374">
      <c r="A3374" s="2" t="s">
        <v>3336</v>
      </c>
      <c r="B3374" s="2" t="s">
        <v>2227</v>
      </c>
      <c r="C3374" s="2" t="s">
        <v>3339</v>
      </c>
      <c r="D3374" s="3" t="str">
        <f>HYPERLINK("https://12go.asia/en/travel/sujangarh-rajasthan/maharashtra", "12Go Link")</f>
        <v>12Go Link</v>
      </c>
      <c r="E3374" s="2" t="s">
        <v>226</v>
      </c>
    </row>
    <row r="3375">
      <c r="A3375" s="2" t="s">
        <v>3340</v>
      </c>
      <c r="B3375" s="2" t="s">
        <v>2628</v>
      </c>
      <c r="C3375" s="2" t="s">
        <v>3341</v>
      </c>
      <c r="D3375" s="3" t="str">
        <f>HYPERLINK("https://12go.asia/en/travel/sultanganj/jammu", "12Go Link")</f>
        <v>12Go Link</v>
      </c>
      <c r="E3375" s="2" t="s">
        <v>226</v>
      </c>
    </row>
    <row r="3376">
      <c r="A3376" s="2" t="s">
        <v>3340</v>
      </c>
      <c r="B3376" s="2" t="s">
        <v>2628</v>
      </c>
      <c r="C3376" s="2" t="s">
        <v>3342</v>
      </c>
      <c r="D3376" s="3" t="str">
        <f>HYPERLINK("https://12go.asia/en/travel/sultanganj/jammu-tawi", "12Go Link")</f>
        <v>12Go Link</v>
      </c>
      <c r="E3376" s="2" t="s">
        <v>226</v>
      </c>
    </row>
    <row r="3377">
      <c r="A3377" s="2" t="s">
        <v>3343</v>
      </c>
      <c r="B3377" s="2" t="s">
        <v>2192</v>
      </c>
      <c r="C3377" s="2" t="s">
        <v>3344</v>
      </c>
      <c r="D3377" s="3" t="str">
        <f>HYPERLINK("https://12go.asia/en/travel/sultanpur/agra-cantt", "12Go Link")</f>
        <v>12Go Link</v>
      </c>
      <c r="E3377" s="2" t="s">
        <v>226</v>
      </c>
    </row>
    <row r="3378">
      <c r="A3378" s="2" t="s">
        <v>3343</v>
      </c>
      <c r="B3378" s="2" t="s">
        <v>2192</v>
      </c>
      <c r="C3378" s="2" t="s">
        <v>3345</v>
      </c>
      <c r="D3378" s="3" t="str">
        <f>HYPERLINK("https://12go.asia/en/travel/sultanpur/agra", "12Go Link")</f>
        <v>12Go Link</v>
      </c>
      <c r="E3378" s="2" t="s">
        <v>226</v>
      </c>
    </row>
    <row r="3379">
      <c r="A3379" s="2" t="s">
        <v>3343</v>
      </c>
      <c r="B3379" s="2" t="s">
        <v>2380</v>
      </c>
      <c r="C3379" s="2" t="s">
        <v>3346</v>
      </c>
      <c r="D3379" s="3" t="str">
        <f>HYPERLINK("https://12go.asia/en/travel/sultanpur/ayodhya-cantt", "12Go Link")</f>
        <v>12Go Link</v>
      </c>
      <c r="E3379" s="2" t="s">
        <v>226</v>
      </c>
    </row>
    <row r="3380">
      <c r="A3380" s="2" t="s">
        <v>3343</v>
      </c>
      <c r="B3380" s="2" t="s">
        <v>2307</v>
      </c>
      <c r="C3380" s="2" t="s">
        <v>3347</v>
      </c>
      <c r="D3380" s="3" t="str">
        <f>HYPERLINK("https://12go.asia/en/travel/sultanpur/mughalsarai", "12Go Link")</f>
        <v>12Go Link</v>
      </c>
      <c r="E3380" s="2" t="s">
        <v>226</v>
      </c>
    </row>
    <row r="3381">
      <c r="A3381" s="2" t="s">
        <v>3343</v>
      </c>
      <c r="B3381" s="2" t="s">
        <v>2296</v>
      </c>
      <c r="C3381" s="2" t="s">
        <v>3348</v>
      </c>
      <c r="D3381" s="3" t="str">
        <f>HYPERLINK("https://12go.asia/en/travel/sultanpur/sikandra-agra", "12Go Link")</f>
        <v>12Go Link</v>
      </c>
      <c r="E3381" s="2" t="s">
        <v>226</v>
      </c>
    </row>
    <row r="3382">
      <c r="A3382" s="2" t="s">
        <v>3343</v>
      </c>
      <c r="B3382" s="2" t="s">
        <v>2770</v>
      </c>
      <c r="C3382" s="2" t="s">
        <v>3349</v>
      </c>
      <c r="D3382" s="3" t="str">
        <f>HYPERLINK("https://12go.asia/en/travel/sultanpur/taj-mahal", "12Go Link")</f>
        <v>12Go Link</v>
      </c>
      <c r="E3382" s="2" t="s">
        <v>226</v>
      </c>
    </row>
    <row r="3383">
      <c r="A3383" s="2" t="s">
        <v>3343</v>
      </c>
      <c r="B3383" s="2" t="s">
        <v>2190</v>
      </c>
      <c r="C3383" s="2" t="s">
        <v>3350</v>
      </c>
      <c r="D3383" s="3" t="str">
        <f>HYPERLINK("https://12go.asia/en/travel/sultanpur/deen-dayal-upadhyaya-jn", "12Go Link")</f>
        <v>12Go Link</v>
      </c>
      <c r="E3383" s="2" t="s">
        <v>226</v>
      </c>
    </row>
    <row r="3384">
      <c r="A3384" s="2" t="s">
        <v>2601</v>
      </c>
      <c r="B3384" s="2" t="s">
        <v>2307</v>
      </c>
      <c r="C3384" s="2" t="s">
        <v>3351</v>
      </c>
      <c r="D3384" s="3" t="str">
        <f>HYPERLINK("https://12go.asia/en/travel/surat/mughalsarai", "12Go Link")</f>
        <v>12Go Link</v>
      </c>
      <c r="E3384" s="2" t="s">
        <v>226</v>
      </c>
    </row>
    <row r="3385">
      <c r="A3385" s="2" t="s">
        <v>2601</v>
      </c>
      <c r="B3385" s="2" t="s">
        <v>3352</v>
      </c>
      <c r="C3385" s="2" t="s">
        <v>3353</v>
      </c>
      <c r="D3385" s="3" t="str">
        <f>HYPERLINK("https://12go.asia/en/travel/surat/pipariya", "12Go Link")</f>
        <v>12Go Link</v>
      </c>
      <c r="E3385" s="2" t="s">
        <v>226</v>
      </c>
    </row>
    <row r="3386">
      <c r="A3386" s="2" t="s">
        <v>2601</v>
      </c>
      <c r="B3386" s="2" t="s">
        <v>3354</v>
      </c>
      <c r="C3386" s="2" t="s">
        <v>3355</v>
      </c>
      <c r="D3386" s="3" t="str">
        <f>HYPERLINK("https://12go.asia/en/travel/surat/sevagram", "12Go Link")</f>
        <v>12Go Link</v>
      </c>
      <c r="E3386" s="2" t="s">
        <v>226</v>
      </c>
    </row>
    <row r="3387">
      <c r="A3387" s="2" t="s">
        <v>2601</v>
      </c>
      <c r="B3387" s="2" t="s">
        <v>2795</v>
      </c>
      <c r="C3387" s="2" t="s">
        <v>3356</v>
      </c>
      <c r="D3387" s="3" t="str">
        <f>HYPERLINK("https://12go.asia/en/travel/surat/tundla", "12Go Link")</f>
        <v>12Go Link</v>
      </c>
      <c r="E3387" s="2" t="s">
        <v>226</v>
      </c>
    </row>
    <row r="3388">
      <c r="A3388" s="2" t="s">
        <v>2601</v>
      </c>
      <c r="B3388" s="2" t="s">
        <v>2795</v>
      </c>
      <c r="C3388" s="2" t="s">
        <v>3357</v>
      </c>
      <c r="D3388" s="3" t="str">
        <f>HYPERLINK("https://12go.asia/en/travel/surat/tundla-junction", "12Go Link")</f>
        <v>12Go Link</v>
      </c>
      <c r="E3388" s="2" t="s">
        <v>226</v>
      </c>
    </row>
    <row r="3389">
      <c r="A3389" s="2" t="s">
        <v>2601</v>
      </c>
      <c r="B3389" s="2" t="s">
        <v>2190</v>
      </c>
      <c r="C3389" s="2" t="s">
        <v>3358</v>
      </c>
      <c r="D3389" s="3" t="str">
        <f>HYPERLINK("https://12go.asia/en/travel/surat/deen-dayal-upadhyaya-jn", "12Go Link")</f>
        <v>12Go Link</v>
      </c>
      <c r="E3389" s="2" t="s">
        <v>226</v>
      </c>
    </row>
    <row r="3390">
      <c r="A3390" s="2" t="s">
        <v>3359</v>
      </c>
      <c r="B3390" s="2" t="s">
        <v>2231</v>
      </c>
      <c r="C3390" s="2" t="s">
        <v>3360</v>
      </c>
      <c r="D3390" s="3" t="str">
        <f>HYPERLINK("https://12go.asia/en/travel/jorawarnagar-junction/ahmedabad-jn", "12Go Link")</f>
        <v>12Go Link</v>
      </c>
      <c r="E3390" s="2" t="s">
        <v>226</v>
      </c>
    </row>
    <row r="3391">
      <c r="A3391" s="2" t="s">
        <v>3359</v>
      </c>
      <c r="B3391" s="2" t="s">
        <v>3027</v>
      </c>
      <c r="C3391" s="2" t="s">
        <v>3361</v>
      </c>
      <c r="D3391" s="3" t="str">
        <f>HYPERLINK("https://12go.asia/en/travel/surendranagar/bandra-terminus", "12Go Link")</f>
        <v>12Go Link</v>
      </c>
      <c r="E3391" s="2" t="s">
        <v>226</v>
      </c>
    </row>
    <row r="3392">
      <c r="A3392" s="2" t="s">
        <v>3359</v>
      </c>
      <c r="B3392" s="2" t="s">
        <v>2383</v>
      </c>
      <c r="C3392" s="2" t="s">
        <v>3362</v>
      </c>
      <c r="D3392" s="3" t="str">
        <f>HYPERLINK("https://12go.asia/en/travel/surendranagar/gujarat", "12Go Link")</f>
        <v>12Go Link</v>
      </c>
      <c r="E3392" s="2" t="s">
        <v>226</v>
      </c>
    </row>
    <row r="3393">
      <c r="A3393" s="2" t="s">
        <v>3359</v>
      </c>
      <c r="B3393" s="2" t="s">
        <v>2227</v>
      </c>
      <c r="C3393" s="2" t="s">
        <v>3363</v>
      </c>
      <c r="D3393" s="3" t="str">
        <f>HYPERLINK("https://12go.asia/en/travel/surendranagar/maharashtra", "12Go Link")</f>
        <v>12Go Link</v>
      </c>
      <c r="E3393" s="2" t="s">
        <v>226</v>
      </c>
    </row>
    <row r="3394">
      <c r="A3394" s="2" t="s">
        <v>3359</v>
      </c>
      <c r="B3394" s="2" t="s">
        <v>3025</v>
      </c>
      <c r="C3394" s="2" t="s">
        <v>3364</v>
      </c>
      <c r="D3394" s="3" t="str">
        <f>HYPERLINK("https://12go.asia/en/travel/surendranagar/abu-road", "12Go Link")</f>
        <v>12Go Link</v>
      </c>
      <c r="E3394" s="2" t="s">
        <v>226</v>
      </c>
    </row>
    <row r="3395">
      <c r="A3395" s="2" t="s">
        <v>3359</v>
      </c>
      <c r="B3395" s="2" t="s">
        <v>3025</v>
      </c>
      <c r="C3395" s="2" t="s">
        <v>3365</v>
      </c>
      <c r="D3395" s="3" t="str">
        <f>HYPERLINK("https://12go.asia/en/travel/surendranagar/mount-abu", "12Go Link")</f>
        <v>12Go Link</v>
      </c>
      <c r="E3395" s="2" t="s">
        <v>226</v>
      </c>
    </row>
    <row r="3396">
      <c r="A3396" s="2" t="s">
        <v>3359</v>
      </c>
      <c r="B3396" s="2" t="s">
        <v>2915</v>
      </c>
      <c r="C3396" s="2" t="s">
        <v>3366</v>
      </c>
      <c r="D3396" s="3" t="str">
        <f>HYPERLINK("https://12go.asia/en/travel/surendranagar/navi-mumbai", "12Go Link")</f>
        <v>12Go Link</v>
      </c>
      <c r="E3396" s="2" t="s">
        <v>226</v>
      </c>
    </row>
    <row r="3397">
      <c r="A3397" s="2" t="s">
        <v>3359</v>
      </c>
      <c r="B3397" s="2" t="s">
        <v>2510</v>
      </c>
      <c r="C3397" s="2" t="s">
        <v>3367</v>
      </c>
      <c r="D3397" s="3" t="str">
        <f>HYPERLINK("https://12go.asia/en/travel/surendranagar/panvel", "12Go Link")</f>
        <v>12Go Link</v>
      </c>
      <c r="E3397" s="2" t="s">
        <v>226</v>
      </c>
    </row>
    <row r="3398">
      <c r="A3398" s="2" t="s">
        <v>3368</v>
      </c>
      <c r="B3398" s="2" t="s">
        <v>2797</v>
      </c>
      <c r="C3398" s="2" t="s">
        <v>3369</v>
      </c>
      <c r="D3398" s="3" t="str">
        <f>HYPERLINK("https://12go.asia/en/travel/tatanagar/fatwa", "12Go Link")</f>
        <v>12Go Link</v>
      </c>
      <c r="E3398" s="2" t="s">
        <v>226</v>
      </c>
    </row>
    <row r="3399">
      <c r="A3399" s="2" t="s">
        <v>3370</v>
      </c>
      <c r="B3399" s="2" t="s">
        <v>3371</v>
      </c>
      <c r="C3399" s="2" t="s">
        <v>3372</v>
      </c>
      <c r="D3399" s="3" t="str">
        <f>HYPERLINK("https://12go.asia/en/travel/thane/anand-gujarat", "12Go Link")</f>
        <v>12Go Link</v>
      </c>
      <c r="E3399" s="2" t="s">
        <v>226</v>
      </c>
    </row>
    <row r="3400">
      <c r="A3400" s="2" t="s">
        <v>2795</v>
      </c>
      <c r="B3400" s="2" t="s">
        <v>2318</v>
      </c>
      <c r="C3400" s="2" t="s">
        <v>3373</v>
      </c>
      <c r="D3400" s="3" t="str">
        <f>HYPERLINK("https://12go.asia/en/travel/tundla-junction/delhi-cantt", "12Go Link")</f>
        <v>12Go Link</v>
      </c>
      <c r="E3400" s="2" t="s">
        <v>226</v>
      </c>
    </row>
    <row r="3401">
      <c r="A3401" s="2" t="s">
        <v>2795</v>
      </c>
      <c r="B3401" s="2" t="s">
        <v>2190</v>
      </c>
      <c r="C3401" s="2" t="s">
        <v>3374</v>
      </c>
      <c r="D3401" s="3" t="str">
        <f>HYPERLINK("https://12go.asia/en/travel/tundla-junction/deen-dayal-upadhyaya-jn", "12Go Link")</f>
        <v>12Go Link</v>
      </c>
      <c r="E3401" s="2" t="s">
        <v>226</v>
      </c>
    </row>
    <row r="3402">
      <c r="A3402" s="2" t="s">
        <v>2410</v>
      </c>
      <c r="B3402" s="2" t="s">
        <v>2933</v>
      </c>
      <c r="C3402" s="2" t="s">
        <v>3375</v>
      </c>
      <c r="D3402" s="3" t="str">
        <f>HYPERLINK("https://12go.asia/en/travel/karimuddin-pur/lucknow-ne", "12Go Link")</f>
        <v>12Go Link</v>
      </c>
      <c r="E3402" s="2" t="s">
        <v>226</v>
      </c>
    </row>
    <row r="3403">
      <c r="A3403" s="2" t="s">
        <v>2190</v>
      </c>
      <c r="B3403" s="2" t="s">
        <v>2371</v>
      </c>
      <c r="C3403" s="2" t="s">
        <v>3376</v>
      </c>
      <c r="D3403" s="3" t="str">
        <f>HYPERLINK("https://12go.asia/en/travel/deen-dayal-upadhyaya-jn/asansol-junction", "12Go Link")</f>
        <v>12Go Link</v>
      </c>
      <c r="E3403" s="2" t="s">
        <v>226</v>
      </c>
    </row>
    <row r="3404">
      <c r="A3404" s="2" t="s">
        <v>2190</v>
      </c>
      <c r="B3404" s="2" t="s">
        <v>3044</v>
      </c>
      <c r="C3404" s="2" t="s">
        <v>3377</v>
      </c>
      <c r="D3404" s="3" t="str">
        <f>HYPERLINK("https://12go.asia/en/travel/deen-dayal-upadhyaya-jn/aurangabad", "12Go Link")</f>
        <v>12Go Link</v>
      </c>
      <c r="E3404" s="2" t="s">
        <v>226</v>
      </c>
    </row>
    <row r="3405">
      <c r="A3405" s="2" t="s">
        <v>2190</v>
      </c>
      <c r="B3405" s="2" t="s">
        <v>3046</v>
      </c>
      <c r="C3405" s="2" t="s">
        <v>3378</v>
      </c>
      <c r="D3405" s="3" t="str">
        <f>HYPERLINK("https://12go.asia/en/travel/deen-dayal-upadhyaya-jn/bhagalpur", "12Go Link")</f>
        <v>12Go Link</v>
      </c>
      <c r="E3405" s="2" t="s">
        <v>226</v>
      </c>
    </row>
    <row r="3406">
      <c r="A3406" s="2" t="s">
        <v>2190</v>
      </c>
      <c r="B3406" s="2" t="s">
        <v>2525</v>
      </c>
      <c r="C3406" s="2" t="s">
        <v>3379</v>
      </c>
      <c r="D3406" s="3" t="str">
        <f>HYPERLINK("https://12go.asia/en/travel/deen-dayal-upadhyaya-jn/maharaja-chhatrasal", "12Go Link")</f>
        <v>12Go Link</v>
      </c>
      <c r="E3406" s="2" t="s">
        <v>226</v>
      </c>
    </row>
    <row r="3407">
      <c r="A3407" s="2" t="s">
        <v>2190</v>
      </c>
      <c r="B3407" s="2" t="s">
        <v>2399</v>
      </c>
      <c r="C3407" s="2" t="s">
        <v>3380</v>
      </c>
      <c r="D3407" s="3" t="str">
        <f>HYPERLINK("https://12go.asia/en/travel/deen-dayal-upadhyaya-jn/howrah", "12Go Link")</f>
        <v>12Go Link</v>
      </c>
      <c r="E3407" s="2" t="s">
        <v>226</v>
      </c>
    </row>
    <row r="3408">
      <c r="A3408" s="2" t="s">
        <v>2190</v>
      </c>
      <c r="B3408" s="2" t="s">
        <v>2773</v>
      </c>
      <c r="C3408" s="2" t="s">
        <v>3381</v>
      </c>
      <c r="D3408" s="3" t="str">
        <f>HYPERLINK("https://12go.asia/en/travel/deen-dayal-upadhyaya-jn/jalgaon-jn", "12Go Link")</f>
        <v>12Go Link</v>
      </c>
      <c r="E3408" s="2" t="s">
        <v>226</v>
      </c>
    </row>
    <row r="3409">
      <c r="A3409" s="2" t="s">
        <v>2190</v>
      </c>
      <c r="B3409" s="2" t="s">
        <v>2801</v>
      </c>
      <c r="C3409" s="2" t="s">
        <v>3382</v>
      </c>
      <c r="D3409" s="3" t="str">
        <f>HYPERLINK("https://12go.asia/en/travel/deen-dayal-upadhyaya-jn/jasidih-junction", "12Go Link")</f>
        <v>12Go Link</v>
      </c>
      <c r="E3409" s="2" t="s">
        <v>226</v>
      </c>
    </row>
    <row r="3410">
      <c r="A3410" s="2" t="s">
        <v>2190</v>
      </c>
      <c r="B3410" s="2" t="s">
        <v>2489</v>
      </c>
      <c r="C3410" s="2" t="s">
        <v>3383</v>
      </c>
      <c r="D3410" s="3" t="str">
        <f>HYPERLINK("https://12go.asia/en/travel/deen-dayal-upadhyaya-jn/nasik-road", "12Go Link")</f>
        <v>12Go Link</v>
      </c>
      <c r="E3410" s="2" t="s">
        <v>226</v>
      </c>
    </row>
    <row r="3411">
      <c r="A3411" s="2" t="s">
        <v>2190</v>
      </c>
      <c r="B3411" s="2" t="s">
        <v>2273</v>
      </c>
      <c r="C3411" s="2" t="s">
        <v>3384</v>
      </c>
      <c r="D3411" s="3" t="str">
        <f>HYPERLINK("https://12go.asia/en/travel/deen-dayal-upadhyaya-jn/allahabad-city", "12Go Link")</f>
        <v>12Go Link</v>
      </c>
      <c r="E3411" s="2" t="s">
        <v>226</v>
      </c>
    </row>
    <row r="3412">
      <c r="A3412" s="2" t="s">
        <v>2190</v>
      </c>
      <c r="B3412" s="2" t="s">
        <v>2601</v>
      </c>
      <c r="C3412" s="2" t="s">
        <v>3385</v>
      </c>
      <c r="D3412" s="3" t="str">
        <f>HYPERLINK("https://12go.asia/en/travel/deen-dayal-upadhyaya-jn/surat", "12Go Link")</f>
        <v>12Go Link</v>
      </c>
      <c r="E3412" s="2" t="s">
        <v>226</v>
      </c>
    </row>
    <row r="3413">
      <c r="A3413" s="2" t="s">
        <v>2190</v>
      </c>
      <c r="B3413" s="2" t="s">
        <v>3053</v>
      </c>
      <c r="C3413" s="2" t="s">
        <v>3386</v>
      </c>
      <c r="D3413" s="3" t="str">
        <f>HYPERLINK("https://12go.asia/en/travel/deen-dayal-upadhyaya-jn/visakhapatnam", "12Go Link")</f>
        <v>12Go Link</v>
      </c>
      <c r="E3413" s="2" t="s">
        <v>226</v>
      </c>
    </row>
    <row r="3414">
      <c r="A3414" s="2" t="s">
        <v>3387</v>
      </c>
      <c r="B3414" s="2" t="s">
        <v>3317</v>
      </c>
      <c r="C3414" s="2" t="s">
        <v>3388</v>
      </c>
      <c r="D3414" s="3" t="str">
        <f>HYPERLINK("https://12go.asia/en/travel/veraval/valsad", "12Go Link")</f>
        <v>12Go Link</v>
      </c>
      <c r="E3414" s="2" t="s">
        <v>226</v>
      </c>
    </row>
    <row r="3415">
      <c r="A3415" s="2" t="s">
        <v>3389</v>
      </c>
      <c r="B3415" s="2" t="s">
        <v>2325</v>
      </c>
      <c r="C3415" s="2" t="s">
        <v>3390</v>
      </c>
      <c r="D3415" s="3" t="str">
        <f>HYPERLINK("https://12go.asia/en/travel/vijayawada-jn/piler", "12Go Link")</f>
        <v>12Go Link</v>
      </c>
      <c r="E3415" s="2" t="s">
        <v>226</v>
      </c>
    </row>
    <row r="3416">
      <c r="A3416" s="2" t="s">
        <v>3389</v>
      </c>
      <c r="B3416" s="2" t="s">
        <v>3391</v>
      </c>
      <c r="C3416" s="2" t="s">
        <v>3392</v>
      </c>
      <c r="D3416" s="3" t="str">
        <f>HYPERLINK("https://12go.asia/en/travel/vijayawada-jn/kazipet-junction", "12Go Link")</f>
        <v>12Go Link</v>
      </c>
      <c r="E3416" s="2" t="s">
        <v>226</v>
      </c>
    </row>
    <row r="3417">
      <c r="A3417" s="2" t="s">
        <v>2470</v>
      </c>
      <c r="B3417" s="2" t="s">
        <v>2402</v>
      </c>
      <c r="C3417" s="2" t="s">
        <v>3393</v>
      </c>
      <c r="D3417" s="3" t="str">
        <f>HYPERLINK("https://12go.asia/en/travel/midnapore/santragachi-junction", "12Go Link")</f>
        <v>12Go Link</v>
      </c>
      <c r="E3417" s="2" t="s">
        <v>226</v>
      </c>
    </row>
    <row r="3418">
      <c r="A3418" s="2" t="s">
        <v>153</v>
      </c>
      <c r="B3418" s="2" t="s">
        <v>3394</v>
      </c>
      <c r="C3418" s="2" t="s">
        <v>3395</v>
      </c>
      <c r="D3418" s="3" t="str">
        <f>HYPERLINK("https://12go.asia/en/travel/Canggu-Transfer/Gili-Air", "12Go Link")</f>
        <v>12Go Link</v>
      </c>
      <c r="E3418" s="2" t="s">
        <v>3396</v>
      </c>
    </row>
    <row r="3419">
      <c r="A3419" s="2" t="s">
        <v>153</v>
      </c>
      <c r="B3419" s="2" t="s">
        <v>3394</v>
      </c>
      <c r="C3419" s="2" t="s">
        <v>3397</v>
      </c>
      <c r="D3419" s="3" t="str">
        <f>HYPERLINK("https://12go.asia/en/travel/Canggu-Transfer/Gili-Meno", "12Go Link")</f>
        <v>12Go Link</v>
      </c>
      <c r="E3419" s="2" t="s">
        <v>3396</v>
      </c>
    </row>
    <row r="3420">
      <c r="A3420" s="2" t="s">
        <v>153</v>
      </c>
      <c r="B3420" s="2" t="s">
        <v>3394</v>
      </c>
      <c r="C3420" s="2" t="s">
        <v>3398</v>
      </c>
      <c r="D3420" s="3" t="str">
        <f>HYPERLINK("https://12go.asia/en/travel/Canggu-Transfer/Gili-Trawangan-Port", "12Go Link")</f>
        <v>12Go Link</v>
      </c>
      <c r="E3420" s="2" t="s">
        <v>3396</v>
      </c>
    </row>
    <row r="3421">
      <c r="A3421" s="2" t="s">
        <v>153</v>
      </c>
      <c r="B3421" s="2" t="s">
        <v>3394</v>
      </c>
      <c r="C3421" s="2" t="s">
        <v>3399</v>
      </c>
      <c r="D3421" s="3" t="str">
        <f>HYPERLINK("https://12go.asia/en/travel/Kuta-Transfer/Gili-Air", "12Go Link")</f>
        <v>12Go Link</v>
      </c>
      <c r="E3421" s="2" t="s">
        <v>3396</v>
      </c>
    </row>
    <row r="3422">
      <c r="A3422" s="2" t="s">
        <v>153</v>
      </c>
      <c r="B3422" s="2" t="s">
        <v>3394</v>
      </c>
      <c r="C3422" s="2" t="s">
        <v>3400</v>
      </c>
      <c r="D3422" s="3" t="str">
        <f>HYPERLINK("https://12go.asia/en/travel/Kuta-Transfer/Gili-Meno", "12Go Link")</f>
        <v>12Go Link</v>
      </c>
      <c r="E3422" s="2" t="s">
        <v>3396</v>
      </c>
    </row>
    <row r="3423">
      <c r="A3423" s="2" t="s">
        <v>153</v>
      </c>
      <c r="B3423" s="2" t="s">
        <v>3394</v>
      </c>
      <c r="C3423" s="2" t="s">
        <v>3401</v>
      </c>
      <c r="D3423" s="3" t="str">
        <f>HYPERLINK("https://12go.asia/en/travel/Kuta-Transfer/Gili-Trawangan-Port", "12Go Link")</f>
        <v>12Go Link</v>
      </c>
      <c r="E3423" s="2" t="s">
        <v>3396</v>
      </c>
    </row>
    <row r="3424">
      <c r="A3424" s="2" t="s">
        <v>153</v>
      </c>
      <c r="B3424" s="2" t="s">
        <v>3394</v>
      </c>
      <c r="C3424" s="2" t="s">
        <v>3402</v>
      </c>
      <c r="D3424" s="3" t="str">
        <f>HYPERLINK("https://12go.asia/en/travel/Legian-Transfer/Gili-Air", "12Go Link")</f>
        <v>12Go Link</v>
      </c>
      <c r="E3424" s="2" t="s">
        <v>3396</v>
      </c>
    </row>
    <row r="3425">
      <c r="A3425" s="2" t="s">
        <v>153</v>
      </c>
      <c r="B3425" s="2" t="s">
        <v>3394</v>
      </c>
      <c r="C3425" s="2" t="s">
        <v>3403</v>
      </c>
      <c r="D3425" s="3" t="str">
        <f>HYPERLINK("https://12go.asia/en/travel/Legian-Transfer/Gili-Meno", "12Go Link")</f>
        <v>12Go Link</v>
      </c>
      <c r="E3425" s="2" t="s">
        <v>3396</v>
      </c>
    </row>
    <row r="3426">
      <c r="A3426" s="2" t="s">
        <v>153</v>
      </c>
      <c r="B3426" s="2" t="s">
        <v>3394</v>
      </c>
      <c r="C3426" s="2" t="s">
        <v>3404</v>
      </c>
      <c r="D3426" s="3" t="str">
        <f>HYPERLINK("https://12go.asia/en/travel/Legian-Transfer/Gili-Trawangan-Port", "12Go Link")</f>
        <v>12Go Link</v>
      </c>
      <c r="E3426" s="2" t="s">
        <v>3396</v>
      </c>
    </row>
    <row r="3427">
      <c r="A3427" s="2" t="s">
        <v>153</v>
      </c>
      <c r="B3427" s="2" t="s">
        <v>3405</v>
      </c>
      <c r="C3427" s="2" t="s">
        <v>3406</v>
      </c>
      <c r="D3427" s="3" t="str">
        <f t="shared" ref="D3427:D3430" si="510">HYPERLINK("https://12go.asia/en/travel/Canggu-Transfer/I-Gusti-Ngurah-Rai-International-Airport", "12Go Link")</f>
        <v>12Go Link</v>
      </c>
      <c r="E3427" s="2" t="s">
        <v>286</v>
      </c>
    </row>
    <row r="3428">
      <c r="A3428" s="2" t="s">
        <v>153</v>
      </c>
      <c r="B3428" s="2" t="s">
        <v>3405</v>
      </c>
      <c r="C3428" s="2" t="s">
        <v>3406</v>
      </c>
      <c r="D3428" s="3" t="str">
        <f t="shared" si="510"/>
        <v>12Go Link</v>
      </c>
      <c r="E3428" s="2" t="s">
        <v>3407</v>
      </c>
    </row>
    <row r="3429">
      <c r="A3429" s="2" t="s">
        <v>153</v>
      </c>
      <c r="B3429" s="2" t="s">
        <v>3405</v>
      </c>
      <c r="C3429" s="2" t="s">
        <v>3406</v>
      </c>
      <c r="D3429" s="3" t="str">
        <f t="shared" si="510"/>
        <v>12Go Link</v>
      </c>
      <c r="E3429" s="2" t="s">
        <v>3408</v>
      </c>
    </row>
    <row r="3430">
      <c r="A3430" s="2" t="s">
        <v>153</v>
      </c>
      <c r="B3430" s="2" t="s">
        <v>3405</v>
      </c>
      <c r="C3430" s="2" t="s">
        <v>3406</v>
      </c>
      <c r="D3430" s="3" t="str">
        <f t="shared" si="510"/>
        <v>12Go Link</v>
      </c>
      <c r="E3430" s="2" t="s">
        <v>3409</v>
      </c>
    </row>
    <row r="3431">
      <c r="A3431" s="2" t="s">
        <v>153</v>
      </c>
      <c r="B3431" s="2" t="s">
        <v>3405</v>
      </c>
      <c r="C3431" s="2" t="s">
        <v>3410</v>
      </c>
      <c r="D3431" s="3" t="str">
        <f t="shared" ref="D3431:D3434" si="511">HYPERLINK("https://12go.asia/en/travel/Jimbaran-Transfer/I-Gusti-Ngurah-Rai-International-Airport", "12Go Link")</f>
        <v>12Go Link</v>
      </c>
      <c r="E3431" s="2" t="s">
        <v>286</v>
      </c>
    </row>
    <row r="3432">
      <c r="A3432" s="2" t="s">
        <v>153</v>
      </c>
      <c r="B3432" s="2" t="s">
        <v>3405</v>
      </c>
      <c r="C3432" s="2" t="s">
        <v>3410</v>
      </c>
      <c r="D3432" s="3" t="str">
        <f t="shared" si="511"/>
        <v>12Go Link</v>
      </c>
      <c r="E3432" s="2" t="s">
        <v>3407</v>
      </c>
    </row>
    <row r="3433">
      <c r="A3433" s="2" t="s">
        <v>153</v>
      </c>
      <c r="B3433" s="2" t="s">
        <v>3405</v>
      </c>
      <c r="C3433" s="2" t="s">
        <v>3410</v>
      </c>
      <c r="D3433" s="3" t="str">
        <f t="shared" si="511"/>
        <v>12Go Link</v>
      </c>
      <c r="E3433" s="2" t="s">
        <v>3408</v>
      </c>
    </row>
    <row r="3434">
      <c r="A3434" s="2" t="s">
        <v>153</v>
      </c>
      <c r="B3434" s="2" t="s">
        <v>3405</v>
      </c>
      <c r="C3434" s="2" t="s">
        <v>3410</v>
      </c>
      <c r="D3434" s="3" t="str">
        <f t="shared" si="511"/>
        <v>12Go Link</v>
      </c>
      <c r="E3434" s="2" t="s">
        <v>3409</v>
      </c>
    </row>
    <row r="3435">
      <c r="A3435" s="2" t="s">
        <v>153</v>
      </c>
      <c r="B3435" s="2" t="s">
        <v>3405</v>
      </c>
      <c r="C3435" s="2" t="s">
        <v>3411</v>
      </c>
      <c r="D3435" s="3" t="str">
        <f t="shared" ref="D3435:D3438" si="512">HYPERLINK("https://12go.asia/en/travel/Kuta-Transfer/I-Gusti-Ngurah-Rai-International-Airport", "12Go Link")</f>
        <v>12Go Link</v>
      </c>
      <c r="E3435" s="2" t="s">
        <v>286</v>
      </c>
    </row>
    <row r="3436">
      <c r="A3436" s="2" t="s">
        <v>153</v>
      </c>
      <c r="B3436" s="2" t="s">
        <v>3405</v>
      </c>
      <c r="C3436" s="2" t="s">
        <v>3411</v>
      </c>
      <c r="D3436" s="3" t="str">
        <f t="shared" si="512"/>
        <v>12Go Link</v>
      </c>
      <c r="E3436" s="2" t="s">
        <v>3407</v>
      </c>
    </row>
    <row r="3437">
      <c r="A3437" s="2" t="s">
        <v>153</v>
      </c>
      <c r="B3437" s="2" t="s">
        <v>3405</v>
      </c>
      <c r="C3437" s="2" t="s">
        <v>3411</v>
      </c>
      <c r="D3437" s="3" t="str">
        <f t="shared" si="512"/>
        <v>12Go Link</v>
      </c>
      <c r="E3437" s="2" t="s">
        <v>3408</v>
      </c>
    </row>
    <row r="3438">
      <c r="A3438" s="2" t="s">
        <v>153</v>
      </c>
      <c r="B3438" s="2" t="s">
        <v>3405</v>
      </c>
      <c r="C3438" s="2" t="s">
        <v>3411</v>
      </c>
      <c r="D3438" s="3" t="str">
        <f t="shared" si="512"/>
        <v>12Go Link</v>
      </c>
      <c r="E3438" s="2" t="s">
        <v>3409</v>
      </c>
    </row>
    <row r="3439">
      <c r="A3439" s="2" t="s">
        <v>153</v>
      </c>
      <c r="B3439" s="2" t="s">
        <v>3412</v>
      </c>
      <c r="C3439" s="2" t="s">
        <v>3413</v>
      </c>
      <c r="D3439" s="3" t="str">
        <f>HYPERLINK("https://12go.asia/en/travel/Denpasar-Transfer/Malang-Transfer", "12Go Link")</f>
        <v>12Go Link</v>
      </c>
      <c r="E3439" s="2" t="s">
        <v>3414</v>
      </c>
    </row>
    <row r="3440">
      <c r="A3440" s="2" t="s">
        <v>153</v>
      </c>
      <c r="B3440" s="2" t="s">
        <v>3415</v>
      </c>
      <c r="C3440" s="2" t="s">
        <v>3416</v>
      </c>
      <c r="D3440" s="3" t="str">
        <f>HYPERLINK("https://12go.asia/en/travel/Denpasar-Transfer/Jungut-Batu-Harbour", "12Go Link")</f>
        <v>12Go Link</v>
      </c>
      <c r="E3440" s="2" t="s">
        <v>3417</v>
      </c>
    </row>
    <row r="3441">
      <c r="A3441" s="2" t="s">
        <v>153</v>
      </c>
      <c r="B3441" s="2" t="s">
        <v>3415</v>
      </c>
      <c r="C3441" s="2" t="s">
        <v>3418</v>
      </c>
      <c r="D3441" s="3" t="str">
        <f>HYPERLINK("https://12go.asia/en/travel/Jimbaran-Transfer/Jungut-Batu-Harbour", "12Go Link")</f>
        <v>12Go Link</v>
      </c>
      <c r="E3441" s="2" t="s">
        <v>3417</v>
      </c>
    </row>
    <row r="3442">
      <c r="A3442" s="2" t="s">
        <v>153</v>
      </c>
      <c r="B3442" s="2" t="s">
        <v>3415</v>
      </c>
      <c r="C3442" s="2" t="s">
        <v>3419</v>
      </c>
      <c r="D3442" s="3" t="str">
        <f>HYPERLINK("https://12go.asia/en/travel/Kerobokan-Transfer/Jungut-Batu-Harbour", "12Go Link")</f>
        <v>12Go Link</v>
      </c>
      <c r="E3442" s="2" t="s">
        <v>3417</v>
      </c>
    </row>
    <row r="3443">
      <c r="A3443" s="2" t="s">
        <v>153</v>
      </c>
      <c r="B3443" s="2" t="s">
        <v>3415</v>
      </c>
      <c r="C3443" s="2" t="s">
        <v>3420</v>
      </c>
      <c r="D3443" s="3" t="str">
        <f>HYPERLINK("https://12go.asia/en/travel/Kuta-Transfer/Jungut-Batu-Harbour", "12Go Link")</f>
        <v>12Go Link</v>
      </c>
      <c r="E3443" s="2" t="s">
        <v>3417</v>
      </c>
    </row>
    <row r="3444">
      <c r="A3444" s="2" t="s">
        <v>153</v>
      </c>
      <c r="B3444" s="2" t="s">
        <v>3415</v>
      </c>
      <c r="C3444" s="2" t="s">
        <v>3421</v>
      </c>
      <c r="D3444" s="3" t="str">
        <f>HYPERLINK("https://12go.asia/en/travel/Legian-Transfer/Jungut-Batu-Harbour", "12Go Link")</f>
        <v>12Go Link</v>
      </c>
      <c r="E3444" s="2" t="s">
        <v>3417</v>
      </c>
    </row>
    <row r="3445">
      <c r="A3445" s="2" t="s">
        <v>153</v>
      </c>
      <c r="B3445" s="2" t="s">
        <v>3415</v>
      </c>
      <c r="C3445" s="2" t="s">
        <v>3422</v>
      </c>
      <c r="D3445" s="3" t="str">
        <f>HYPERLINK("https://12go.asia/en/travel/Nusa-Dua-Transfer/Jungut-Batu-Harbour", "12Go Link")</f>
        <v>12Go Link</v>
      </c>
      <c r="E3445" s="2" t="s">
        <v>3417</v>
      </c>
    </row>
    <row r="3446">
      <c r="A3446" s="2" t="s">
        <v>153</v>
      </c>
      <c r="B3446" s="2" t="s">
        <v>3415</v>
      </c>
      <c r="C3446" s="2" t="s">
        <v>3423</v>
      </c>
      <c r="D3446" s="3" t="str">
        <f>HYPERLINK("https://12go.asia/en/travel/Petitenget-Transfer/Jungut-Batu-Harbour", "12Go Link")</f>
        <v>12Go Link</v>
      </c>
      <c r="E3446" s="2" t="s">
        <v>3417</v>
      </c>
    </row>
    <row r="3447">
      <c r="A3447" s="2" t="s">
        <v>153</v>
      </c>
      <c r="B3447" s="2" t="s">
        <v>3424</v>
      </c>
      <c r="C3447" s="2" t="s">
        <v>3425</v>
      </c>
      <c r="D3447" s="3" t="str">
        <f>HYPERLINK("https://12go.asia/en/travel/Denpasar-Transfer/Surabaya-Transfer", "12Go Link")</f>
        <v>12Go Link</v>
      </c>
      <c r="E3447" s="2" t="s">
        <v>3414</v>
      </c>
    </row>
    <row r="3448">
      <c r="A3448" s="2" t="s">
        <v>3426</v>
      </c>
      <c r="B3448" s="2" t="s">
        <v>158</v>
      </c>
      <c r="C3448" s="2" t="s">
        <v>3427</v>
      </c>
      <c r="D3448" s="3" t="str">
        <f>HYPERLINK("https://12go.asia/en/travel/Pelabuhan-Ketapang/Terminal-Ubung", "12Go Link")</f>
        <v>12Go Link</v>
      </c>
      <c r="E3448" s="2" t="s">
        <v>3414</v>
      </c>
    </row>
    <row r="3449">
      <c r="A3449" s="2" t="s">
        <v>3426</v>
      </c>
      <c r="B3449" s="2" t="s">
        <v>3428</v>
      </c>
      <c r="C3449" s="2" t="s">
        <v>3429</v>
      </c>
      <c r="D3449" s="3" t="str">
        <f>HYPERLINK("https://12go.asia/en/travel/Pelabuhan-Ketapang/Terminal-Mengwi", "12Go Link")</f>
        <v>12Go Link</v>
      </c>
      <c r="E3449" s="2" t="s">
        <v>3414</v>
      </c>
    </row>
    <row r="3450">
      <c r="A3450" s="2" t="s">
        <v>3426</v>
      </c>
      <c r="B3450" s="2" t="s">
        <v>3430</v>
      </c>
      <c r="C3450" s="2" t="s">
        <v>3431</v>
      </c>
      <c r="D3450" s="3" t="str">
        <f>HYPERLINK("https://12go.asia/en/travel/Pelabuhan-Ketapang/Terminal-Persiapan", "12Go Link")</f>
        <v>12Go Link</v>
      </c>
      <c r="E3450" s="2" t="s">
        <v>3414</v>
      </c>
    </row>
    <row r="3451">
      <c r="A3451" s="2" t="s">
        <v>3432</v>
      </c>
      <c r="B3451" s="2" t="s">
        <v>3433</v>
      </c>
      <c r="C3451" s="2" t="s">
        <v>3434</v>
      </c>
      <c r="D3451" s="3" t="str">
        <f>HYPERLINK("https://12go.asia/en/travel/batam/pasuruan", "12Go Link")</f>
        <v>12Go Link</v>
      </c>
      <c r="E3451" s="2" t="s">
        <v>155</v>
      </c>
    </row>
    <row r="3452">
      <c r="A3452" s="2" t="s">
        <v>3432</v>
      </c>
      <c r="B3452" s="2" t="s">
        <v>3435</v>
      </c>
      <c r="C3452" s="2" t="s">
        <v>3436</v>
      </c>
      <c r="D3452" s="3" t="str">
        <f>HYPERLINK("https://12go.asia/en/travel/batam/west-kalimantan", "12Go Link")</f>
        <v>12Go Link</v>
      </c>
      <c r="E3452" s="2" t="s">
        <v>155</v>
      </c>
    </row>
    <row r="3453">
      <c r="A3453" s="2" t="s">
        <v>3432</v>
      </c>
      <c r="B3453" s="2" t="s">
        <v>3437</v>
      </c>
      <c r="C3453" s="2" t="s">
        <v>3438</v>
      </c>
      <c r="D3453" s="3" t="str">
        <f>HYPERLINK("https://12go.asia/en/travel/batam/bandar-sunway", "12Go Link")</f>
        <v>12Go Link</v>
      </c>
      <c r="E3453" s="2" t="s">
        <v>155</v>
      </c>
    </row>
    <row r="3454">
      <c r="A3454" s="2" t="s">
        <v>3432</v>
      </c>
      <c r="B3454" s="2" t="s">
        <v>3439</v>
      </c>
      <c r="C3454" s="2" t="s">
        <v>3440</v>
      </c>
      <c r="D3454" s="3" t="str">
        <f>HYPERLINK("https://12go.asia/en/travel/batam/putrajaya", "12Go Link")</f>
        <v>12Go Link</v>
      </c>
      <c r="E3454" s="2" t="s">
        <v>155</v>
      </c>
    </row>
    <row r="3455">
      <c r="A3455" s="2" t="s">
        <v>3432</v>
      </c>
      <c r="B3455" s="2" t="s">
        <v>3441</v>
      </c>
      <c r="C3455" s="2" t="s">
        <v>3442</v>
      </c>
      <c r="D3455" s="3" t="str">
        <f>HYPERLINK("https://12go.asia/en/travel/batam/seremban", "12Go Link")</f>
        <v>12Go Link</v>
      </c>
      <c r="E3455" s="2" t="s">
        <v>155</v>
      </c>
    </row>
    <row r="3456">
      <c r="A3456" s="2" t="s">
        <v>3443</v>
      </c>
      <c r="B3456" s="2" t="s">
        <v>3444</v>
      </c>
      <c r="C3456" s="2" t="s">
        <v>3445</v>
      </c>
      <c r="D3456" s="3" t="str">
        <f>HYPERLINK("https://12go.asia/en/travel/baubau/ujungpandang", "12Go Link")</f>
        <v>12Go Link</v>
      </c>
      <c r="E3456" s="2" t="s">
        <v>155</v>
      </c>
    </row>
    <row r="3457">
      <c r="A3457" s="2" t="s">
        <v>156</v>
      </c>
      <c r="B3457" s="2" t="s">
        <v>3446</v>
      </c>
      <c r="C3457" s="2" t="s">
        <v>3447</v>
      </c>
      <c r="D3457" s="3" t="str">
        <f>HYPERLINK("https://12go.asia/en/travel/canggu/kupang", "12Go Link")</f>
        <v>12Go Link</v>
      </c>
      <c r="E3457" s="2" t="s">
        <v>155</v>
      </c>
    </row>
    <row r="3458">
      <c r="A3458" s="2" t="s">
        <v>156</v>
      </c>
      <c r="B3458" s="2" t="s">
        <v>3448</v>
      </c>
      <c r="C3458" s="2" t="s">
        <v>3449</v>
      </c>
      <c r="D3458" s="3" t="str">
        <f>HYPERLINK("https://12go.asia/en/travel/canggu/martapura", "12Go Link")</f>
        <v>12Go Link</v>
      </c>
      <c r="E3458" s="2" t="s">
        <v>155</v>
      </c>
    </row>
    <row r="3459">
      <c r="A3459" s="2" t="s">
        <v>156</v>
      </c>
      <c r="B3459" s="2" t="s">
        <v>3450</v>
      </c>
      <c r="C3459" s="2" t="s">
        <v>3451</v>
      </c>
      <c r="D3459" s="3" t="str">
        <f>HYPERLINK("https://12go.asia/en/travel/canggu/salatiga", "12Go Link")</f>
        <v>12Go Link</v>
      </c>
      <c r="E3459" s="2" t="s">
        <v>155</v>
      </c>
    </row>
    <row r="3460">
      <c r="A3460" s="2" t="s">
        <v>156</v>
      </c>
      <c r="B3460" s="2" t="s">
        <v>3452</v>
      </c>
      <c r="C3460" s="2" t="s">
        <v>3453</v>
      </c>
      <c r="D3460" s="3" t="str">
        <f>HYPERLINK("https://12go.asia/en/travel/canggu/sragen", "12Go Link")</f>
        <v>12Go Link</v>
      </c>
      <c r="E3460" s="2" t="s">
        <v>155</v>
      </c>
    </row>
    <row r="3461">
      <c r="A3461" s="2" t="s">
        <v>156</v>
      </c>
      <c r="B3461" s="2" t="s">
        <v>3454</v>
      </c>
      <c r="C3461" s="2" t="s">
        <v>3455</v>
      </c>
      <c r="D3461" s="3" t="str">
        <f>HYPERLINK("https://12go.asia/en/travel/canggu/zzbandjarmasin", "12Go Link")</f>
        <v>12Go Link</v>
      </c>
      <c r="E3461" s="2" t="s">
        <v>155</v>
      </c>
    </row>
    <row r="3462">
      <c r="A3462" s="2" t="s">
        <v>158</v>
      </c>
      <c r="B3462" s="2" t="s">
        <v>3426</v>
      </c>
      <c r="C3462" s="2" t="s">
        <v>3456</v>
      </c>
      <c r="D3462" s="3" t="str">
        <f>HYPERLINK("https://12go.asia/en/travel/Kantor-Pusat-Ladju-Trans/Pelabuhan-Ketapang", "12Go Link")</f>
        <v>12Go Link</v>
      </c>
      <c r="E3462" s="2" t="s">
        <v>3414</v>
      </c>
    </row>
    <row r="3463">
      <c r="A3463" s="2" t="s">
        <v>158</v>
      </c>
      <c r="B3463" s="2" t="s">
        <v>3426</v>
      </c>
      <c r="C3463" s="2" t="s">
        <v>3457</v>
      </c>
      <c r="D3463" s="3" t="str">
        <f>HYPERLINK("https://12go.asia/en/travel/Terminal-Ubung/Pelabuhan-Ketapang", "12Go Link")</f>
        <v>12Go Link</v>
      </c>
      <c r="E3463" s="2" t="s">
        <v>3414</v>
      </c>
    </row>
    <row r="3464">
      <c r="A3464" s="2" t="s">
        <v>158</v>
      </c>
      <c r="B3464" s="2" t="s">
        <v>3458</v>
      </c>
      <c r="C3464" s="2" t="s">
        <v>3459</v>
      </c>
      <c r="D3464" s="3" t="str">
        <f>HYPERLINK("https://12go.asia/en/travel/Terminal-Ubung/Terminal-Tawang-Alun", "12Go Link")</f>
        <v>12Go Link</v>
      </c>
      <c r="E3464" s="2" t="s">
        <v>3414</v>
      </c>
    </row>
    <row r="3465">
      <c r="A3465" s="2" t="s">
        <v>158</v>
      </c>
      <c r="B3465" s="2" t="s">
        <v>3460</v>
      </c>
      <c r="C3465" s="2" t="s">
        <v>3461</v>
      </c>
      <c r="D3465" s="3" t="str">
        <f>HYPERLINK("https://12go.asia/en/travel/Terminal-Ubung/Pelabuhan-Gilimanuk", "12Go Link")</f>
        <v>12Go Link</v>
      </c>
      <c r="E3465" s="2" t="s">
        <v>3414</v>
      </c>
    </row>
    <row r="3466">
      <c r="A3466" s="2" t="s">
        <v>158</v>
      </c>
      <c r="B3466" s="2" t="s">
        <v>3412</v>
      </c>
      <c r="C3466" s="2" t="s">
        <v>3462</v>
      </c>
      <c r="D3466" s="3" t="str">
        <f>HYPERLINK("https://12go.asia/en/travel/Kantor-Pusat-Ladju-Trans/Kantor-Ladju-Transport-Malang", "12Go Link")</f>
        <v>12Go Link</v>
      </c>
      <c r="E3466" s="2" t="s">
        <v>3414</v>
      </c>
    </row>
    <row r="3467">
      <c r="A3467" s="2" t="s">
        <v>158</v>
      </c>
      <c r="B3467" s="2" t="s">
        <v>3424</v>
      </c>
      <c r="C3467" s="2" t="s">
        <v>3463</v>
      </c>
      <c r="D3467" s="3" t="str">
        <f>HYPERLINK("https://12go.asia/en/travel/Kantor-Pusat-Ladju-Trans/Kantor-Ladju-Transport-Surabaya", "12Go Link")</f>
        <v>12Go Link</v>
      </c>
      <c r="E3467" s="2" t="s">
        <v>3414</v>
      </c>
    </row>
    <row r="3468">
      <c r="A3468" s="2" t="s">
        <v>158</v>
      </c>
      <c r="B3468" s="2" t="s">
        <v>3454</v>
      </c>
      <c r="C3468" s="2" t="s">
        <v>3464</v>
      </c>
      <c r="D3468" s="3" t="str">
        <f>HYPERLINK("https://12go.asia/en/travel/denpasar/zzbandjarmasin", "12Go Link")</f>
        <v>12Go Link</v>
      </c>
      <c r="E3468" s="2" t="s">
        <v>155</v>
      </c>
    </row>
    <row r="3469">
      <c r="A3469" s="2" t="s">
        <v>160</v>
      </c>
      <c r="B3469" s="2" t="s">
        <v>3454</v>
      </c>
      <c r="C3469" s="2" t="s">
        <v>3465</v>
      </c>
      <c r="D3469" s="3" t="str">
        <f>HYPERLINK("https://12go.asia/en/travel/east-bali/zzbandjarmasin", "12Go Link")</f>
        <v>12Go Link</v>
      </c>
      <c r="E3469" s="2" t="s">
        <v>155</v>
      </c>
    </row>
    <row r="3470">
      <c r="A3470" s="2" t="s">
        <v>3466</v>
      </c>
      <c r="B3470" s="2" t="s">
        <v>3454</v>
      </c>
      <c r="C3470" s="2" t="s">
        <v>3467</v>
      </c>
      <c r="D3470" s="3" t="str">
        <f>HYPERLINK("https://12go.asia/en/travel/east-java/zzbandjarmasin", "12Go Link")</f>
        <v>12Go Link</v>
      </c>
      <c r="E3470" s="2" t="s">
        <v>155</v>
      </c>
    </row>
    <row r="3471">
      <c r="A3471" s="2" t="s">
        <v>3468</v>
      </c>
      <c r="B3471" s="2" t="s">
        <v>3469</v>
      </c>
      <c r="C3471" s="2" t="s">
        <v>3470</v>
      </c>
      <c r="D3471" s="3" t="str">
        <f>HYPERLINK("https://12go.asia/en/travel/east-nusa-tenggara/zzende-regency", "12Go Link")</f>
        <v>12Go Link</v>
      </c>
      <c r="E3471" s="2" t="s">
        <v>155</v>
      </c>
    </row>
    <row r="3472">
      <c r="A3472" s="2" t="s">
        <v>3471</v>
      </c>
      <c r="B3472" s="2" t="s">
        <v>3469</v>
      </c>
      <c r="C3472" s="2" t="s">
        <v>3472</v>
      </c>
      <c r="D3472" s="3" t="str">
        <f>HYPERLINK("https://12go.asia/en/travel/flores/zzende-regency", "12Go Link")</f>
        <v>12Go Link</v>
      </c>
      <c r="E3472" s="2" t="s">
        <v>155</v>
      </c>
    </row>
    <row r="3473">
      <c r="A3473" s="2" t="s">
        <v>3394</v>
      </c>
      <c r="B3473" s="2" t="s">
        <v>3473</v>
      </c>
      <c r="C3473" s="2" t="s">
        <v>3474</v>
      </c>
      <c r="D3473" s="3" t="str">
        <f t="shared" ref="D3473:D3474" si="513">HYPERLINK("https://12go.asia/en/travel/Gili-Air/Kuta-Lombok", "12Go Link")</f>
        <v>12Go Link</v>
      </c>
      <c r="E3473" s="2" t="s">
        <v>3475</v>
      </c>
    </row>
    <row r="3474">
      <c r="A3474" s="2" t="s">
        <v>3394</v>
      </c>
      <c r="B3474" s="2" t="s">
        <v>3473</v>
      </c>
      <c r="C3474" s="2" t="s">
        <v>3474</v>
      </c>
      <c r="D3474" s="3" t="str">
        <f t="shared" si="513"/>
        <v>12Go Link</v>
      </c>
      <c r="E3474" s="2" t="s">
        <v>3476</v>
      </c>
    </row>
    <row r="3475">
      <c r="A3475" s="2" t="s">
        <v>3394</v>
      </c>
      <c r="B3475" s="2" t="s">
        <v>3473</v>
      </c>
      <c r="C3475" s="2" t="s">
        <v>3477</v>
      </c>
      <c r="D3475" s="3" t="str">
        <f t="shared" ref="D3475:D3476" si="514">HYPERLINK("https://12go.asia/en/travel/Gili-Air/Lombok-Airport", "12Go Link")</f>
        <v>12Go Link</v>
      </c>
      <c r="E3475" s="2" t="s">
        <v>3475</v>
      </c>
    </row>
    <row r="3476">
      <c r="A3476" s="2" t="s">
        <v>3394</v>
      </c>
      <c r="B3476" s="2" t="s">
        <v>3473</v>
      </c>
      <c r="C3476" s="2" t="s">
        <v>3477</v>
      </c>
      <c r="D3476" s="3" t="str">
        <f t="shared" si="514"/>
        <v>12Go Link</v>
      </c>
      <c r="E3476" s="2" t="s">
        <v>3476</v>
      </c>
    </row>
    <row r="3477">
      <c r="A3477" s="2" t="s">
        <v>3394</v>
      </c>
      <c r="B3477" s="2" t="s">
        <v>3473</v>
      </c>
      <c r="C3477" s="2" t="s">
        <v>3478</v>
      </c>
      <c r="D3477" s="3" t="str">
        <f t="shared" ref="D3477:D3478" si="515">HYPERLINK("https://12go.asia/en/travel/Gili-Air/Mataram", "12Go Link")</f>
        <v>12Go Link</v>
      </c>
      <c r="E3477" s="2" t="s">
        <v>3475</v>
      </c>
    </row>
    <row r="3478">
      <c r="A3478" s="2" t="s">
        <v>3394</v>
      </c>
      <c r="B3478" s="2" t="s">
        <v>3473</v>
      </c>
      <c r="C3478" s="2" t="s">
        <v>3478</v>
      </c>
      <c r="D3478" s="3" t="str">
        <f t="shared" si="515"/>
        <v>12Go Link</v>
      </c>
      <c r="E3478" s="2" t="s">
        <v>3476</v>
      </c>
    </row>
    <row r="3479">
      <c r="A3479" s="2" t="s">
        <v>3394</v>
      </c>
      <c r="B3479" s="2" t="s">
        <v>3473</v>
      </c>
      <c r="C3479" s="2" t="s">
        <v>3479</v>
      </c>
      <c r="D3479" s="3" t="str">
        <f t="shared" ref="D3479:D3480" si="516">HYPERLINK("https://12go.asia/en/travel/Gili-Air/Senggigi-Pier", "12Go Link")</f>
        <v>12Go Link</v>
      </c>
      <c r="E3479" s="2" t="s">
        <v>3475</v>
      </c>
    </row>
    <row r="3480">
      <c r="A3480" s="2" t="s">
        <v>3394</v>
      </c>
      <c r="B3480" s="2" t="s">
        <v>3473</v>
      </c>
      <c r="C3480" s="2" t="s">
        <v>3479</v>
      </c>
      <c r="D3480" s="3" t="str">
        <f t="shared" si="516"/>
        <v>12Go Link</v>
      </c>
      <c r="E3480" s="2" t="s">
        <v>3476</v>
      </c>
    </row>
    <row r="3481">
      <c r="A3481" s="2" t="s">
        <v>3394</v>
      </c>
      <c r="B3481" s="2" t="s">
        <v>3473</v>
      </c>
      <c r="C3481" s="2" t="s">
        <v>3480</v>
      </c>
      <c r="D3481" s="3" t="str">
        <f t="shared" ref="D3481:D3482" si="517">HYPERLINK("https://12go.asia/en/travel/Gili-Trawangan-Port/Kuta-Lombok", "12Go Link")</f>
        <v>12Go Link</v>
      </c>
      <c r="E3481" s="2" t="s">
        <v>3475</v>
      </c>
    </row>
    <row r="3482">
      <c r="A3482" s="2" t="s">
        <v>3394</v>
      </c>
      <c r="B3482" s="2" t="s">
        <v>3473</v>
      </c>
      <c r="C3482" s="2" t="s">
        <v>3480</v>
      </c>
      <c r="D3482" s="3" t="str">
        <f t="shared" si="517"/>
        <v>12Go Link</v>
      </c>
      <c r="E3482" s="2" t="s">
        <v>3476</v>
      </c>
    </row>
    <row r="3483">
      <c r="A3483" s="2" t="s">
        <v>3394</v>
      </c>
      <c r="B3483" s="2" t="s">
        <v>3473</v>
      </c>
      <c r="C3483" s="2" t="s">
        <v>3481</v>
      </c>
      <c r="D3483" s="3" t="str">
        <f t="shared" ref="D3483:D3484" si="518">HYPERLINK("https://12go.asia/en/travel/Gili-Trawangan-Port/Lombok-Airport", "12Go Link")</f>
        <v>12Go Link</v>
      </c>
      <c r="E3483" s="2" t="s">
        <v>3475</v>
      </c>
    </row>
    <row r="3484">
      <c r="A3484" s="2" t="s">
        <v>3394</v>
      </c>
      <c r="B3484" s="2" t="s">
        <v>3473</v>
      </c>
      <c r="C3484" s="2" t="s">
        <v>3481</v>
      </c>
      <c r="D3484" s="3" t="str">
        <f t="shared" si="518"/>
        <v>12Go Link</v>
      </c>
      <c r="E3484" s="2" t="s">
        <v>3476</v>
      </c>
    </row>
    <row r="3485">
      <c r="A3485" s="2" t="s">
        <v>3394</v>
      </c>
      <c r="B3485" s="2" t="s">
        <v>3473</v>
      </c>
      <c r="C3485" s="2" t="s">
        <v>3482</v>
      </c>
      <c r="D3485" s="3" t="str">
        <f t="shared" ref="D3485:D3486" si="519">HYPERLINK("https://12go.asia/en/travel/Gili-Trawangan-Port/Mataram", "12Go Link")</f>
        <v>12Go Link</v>
      </c>
      <c r="E3485" s="2" t="s">
        <v>3475</v>
      </c>
    </row>
    <row r="3486">
      <c r="A3486" s="2" t="s">
        <v>3394</v>
      </c>
      <c r="B3486" s="2" t="s">
        <v>3473</v>
      </c>
      <c r="C3486" s="2" t="s">
        <v>3482</v>
      </c>
      <c r="D3486" s="3" t="str">
        <f t="shared" si="519"/>
        <v>12Go Link</v>
      </c>
      <c r="E3486" s="2" t="s">
        <v>3476</v>
      </c>
    </row>
    <row r="3487">
      <c r="A3487" s="2" t="s">
        <v>3394</v>
      </c>
      <c r="B3487" s="2" t="s">
        <v>3473</v>
      </c>
      <c r="C3487" s="2" t="s">
        <v>3483</v>
      </c>
      <c r="D3487" s="3" t="str">
        <f t="shared" ref="D3487:D3488" si="520">HYPERLINK("https://12go.asia/en/travel/Gili-Trawangan-Port/Senggigi-Pier", "12Go Link")</f>
        <v>12Go Link</v>
      </c>
      <c r="E3487" s="2" t="s">
        <v>3475</v>
      </c>
    </row>
    <row r="3488">
      <c r="A3488" s="2" t="s">
        <v>3394</v>
      </c>
      <c r="B3488" s="2" t="s">
        <v>3473</v>
      </c>
      <c r="C3488" s="2" t="s">
        <v>3483</v>
      </c>
      <c r="D3488" s="3" t="str">
        <f t="shared" si="520"/>
        <v>12Go Link</v>
      </c>
      <c r="E3488" s="2" t="s">
        <v>3476</v>
      </c>
    </row>
    <row r="3489">
      <c r="A3489" s="2" t="s">
        <v>3394</v>
      </c>
      <c r="B3489" s="2" t="s">
        <v>168</v>
      </c>
      <c r="C3489" s="2" t="s">
        <v>3484</v>
      </c>
      <c r="D3489" s="3" t="str">
        <f>HYPERLINK("https://12go.asia/en/travel/Gili-Air/Nusa-Penida", "12Go Link")</f>
        <v>12Go Link</v>
      </c>
      <c r="E3489" s="2" t="s">
        <v>3485</v>
      </c>
    </row>
    <row r="3490">
      <c r="A3490" s="2" t="s">
        <v>3394</v>
      </c>
      <c r="B3490" s="2" t="s">
        <v>172</v>
      </c>
      <c r="C3490" s="2" t="s">
        <v>3486</v>
      </c>
      <c r="D3490" s="3" t="str">
        <f>HYPERLINK("https://12go.asia/en/travel/Gili-Air/Sanur-Port", "12Go Link")</f>
        <v>12Go Link</v>
      </c>
      <c r="E3490" s="2" t="s">
        <v>3485</v>
      </c>
    </row>
    <row r="3491">
      <c r="A3491" s="2" t="s">
        <v>3487</v>
      </c>
      <c r="B3491" s="2" t="s">
        <v>168</v>
      </c>
      <c r="C3491" s="2" t="s">
        <v>3488</v>
      </c>
      <c r="D3491" s="3" t="str">
        <f>HYPERLINK("https://12go.asia/en/travel/Gili-Trawangan-Sama-Sama-Reggae/Nusa-Penida", "12Go Link")</f>
        <v>12Go Link</v>
      </c>
      <c r="E3491" s="2" t="s">
        <v>3485</v>
      </c>
    </row>
    <row r="3492">
      <c r="A3492" s="2" t="s">
        <v>3487</v>
      </c>
      <c r="B3492" s="2" t="s">
        <v>168</v>
      </c>
      <c r="C3492" s="2" t="s">
        <v>3489</v>
      </c>
      <c r="D3492" s="3" t="str">
        <f>HYPERLINK("https://12go.asia/en/travel/Gili-Trawangan-Starfish/Nusa-Penida", "12Go Link")</f>
        <v>12Go Link</v>
      </c>
      <c r="E3492" s="2" t="s">
        <v>3485</v>
      </c>
    </row>
    <row r="3493">
      <c r="A3493" s="2" t="s">
        <v>3487</v>
      </c>
      <c r="B3493" s="2" t="s">
        <v>172</v>
      </c>
      <c r="C3493" s="2" t="s">
        <v>3490</v>
      </c>
      <c r="D3493" s="3" t="str">
        <f>HYPERLINK("https://12go.asia/en/travel/Gili-Trawangan-Sama-Sama-Reggae/Sanur-Port", "12Go Link")</f>
        <v>12Go Link</v>
      </c>
      <c r="E3493" s="2" t="s">
        <v>3485</v>
      </c>
    </row>
    <row r="3494">
      <c r="A3494" s="2" t="s">
        <v>3487</v>
      </c>
      <c r="B3494" s="2" t="s">
        <v>172</v>
      </c>
      <c r="C3494" s="2" t="s">
        <v>3491</v>
      </c>
      <c r="D3494" s="3" t="str">
        <f>HYPERLINK("https://12go.asia/en/travel/Gili-Trawangan-Starfish/Sanur-Port", "12Go Link")</f>
        <v>12Go Link</v>
      </c>
      <c r="E3494" s="2" t="s">
        <v>3485</v>
      </c>
    </row>
    <row r="3495">
      <c r="A3495" s="2" t="s">
        <v>3405</v>
      </c>
      <c r="B3495" s="2" t="s">
        <v>153</v>
      </c>
      <c r="C3495" s="2" t="s">
        <v>3492</v>
      </c>
      <c r="D3495" s="3" t="str">
        <f t="shared" ref="D3495:D3498" si="521">HYPERLINK("https://12go.asia/en/travel/I-Gusti-Ngurah-Rai-International-Airport/Canggu-Transfer", "12Go Link")</f>
        <v>12Go Link</v>
      </c>
      <c r="E3495" s="2" t="s">
        <v>286</v>
      </c>
    </row>
    <row r="3496">
      <c r="A3496" s="2" t="s">
        <v>3405</v>
      </c>
      <c r="B3496" s="2" t="s">
        <v>153</v>
      </c>
      <c r="C3496" s="2" t="s">
        <v>3492</v>
      </c>
      <c r="D3496" s="3" t="str">
        <f t="shared" si="521"/>
        <v>12Go Link</v>
      </c>
      <c r="E3496" s="2" t="s">
        <v>3407</v>
      </c>
    </row>
    <row r="3497">
      <c r="A3497" s="2" t="s">
        <v>3405</v>
      </c>
      <c r="B3497" s="2" t="s">
        <v>153</v>
      </c>
      <c r="C3497" s="2" t="s">
        <v>3492</v>
      </c>
      <c r="D3497" s="3" t="str">
        <f t="shared" si="521"/>
        <v>12Go Link</v>
      </c>
      <c r="E3497" s="2" t="s">
        <v>3408</v>
      </c>
    </row>
    <row r="3498">
      <c r="A3498" s="2" t="s">
        <v>3405</v>
      </c>
      <c r="B3498" s="2" t="s">
        <v>153</v>
      </c>
      <c r="C3498" s="2" t="s">
        <v>3492</v>
      </c>
      <c r="D3498" s="3" t="str">
        <f t="shared" si="521"/>
        <v>12Go Link</v>
      </c>
      <c r="E3498" s="2" t="s">
        <v>3409</v>
      </c>
    </row>
    <row r="3499">
      <c r="A3499" s="2" t="s">
        <v>3405</v>
      </c>
      <c r="B3499" s="2" t="s">
        <v>153</v>
      </c>
      <c r="C3499" s="2" t="s">
        <v>3493</v>
      </c>
      <c r="D3499" s="3" t="str">
        <f t="shared" ref="D3499:D3502" si="522">HYPERLINK("https://12go.asia/en/travel/I-Gusti-Ngurah-Rai-International-Airport/Jimbaran-Transfer", "12Go Link")</f>
        <v>12Go Link</v>
      </c>
      <c r="E3499" s="2" t="s">
        <v>286</v>
      </c>
    </row>
    <row r="3500">
      <c r="A3500" s="2" t="s">
        <v>3405</v>
      </c>
      <c r="B3500" s="2" t="s">
        <v>153</v>
      </c>
      <c r="C3500" s="2" t="s">
        <v>3493</v>
      </c>
      <c r="D3500" s="3" t="str">
        <f t="shared" si="522"/>
        <v>12Go Link</v>
      </c>
      <c r="E3500" s="2" t="s">
        <v>3407</v>
      </c>
    </row>
    <row r="3501">
      <c r="A3501" s="2" t="s">
        <v>3405</v>
      </c>
      <c r="B3501" s="2" t="s">
        <v>153</v>
      </c>
      <c r="C3501" s="2" t="s">
        <v>3493</v>
      </c>
      <c r="D3501" s="3" t="str">
        <f t="shared" si="522"/>
        <v>12Go Link</v>
      </c>
      <c r="E3501" s="2" t="s">
        <v>3408</v>
      </c>
    </row>
    <row r="3502">
      <c r="A3502" s="2" t="s">
        <v>3405</v>
      </c>
      <c r="B3502" s="2" t="s">
        <v>153</v>
      </c>
      <c r="C3502" s="2" t="s">
        <v>3493</v>
      </c>
      <c r="D3502" s="3" t="str">
        <f t="shared" si="522"/>
        <v>12Go Link</v>
      </c>
      <c r="E3502" s="2" t="s">
        <v>3409</v>
      </c>
    </row>
    <row r="3503">
      <c r="A3503" s="2" t="s">
        <v>3405</v>
      </c>
      <c r="B3503" s="2" t="s">
        <v>153</v>
      </c>
      <c r="C3503" s="2" t="s">
        <v>3494</v>
      </c>
      <c r="D3503" s="3" t="str">
        <f t="shared" ref="D3503:D3506" si="523">HYPERLINK("https://12go.asia/en/travel/I-Gusti-Ngurah-Rai-International-Airport/Kuta-Transfer", "12Go Link")</f>
        <v>12Go Link</v>
      </c>
      <c r="E3503" s="2" t="s">
        <v>286</v>
      </c>
    </row>
    <row r="3504">
      <c r="A3504" s="2" t="s">
        <v>3405</v>
      </c>
      <c r="B3504" s="2" t="s">
        <v>153</v>
      </c>
      <c r="C3504" s="2" t="s">
        <v>3494</v>
      </c>
      <c r="D3504" s="3" t="str">
        <f t="shared" si="523"/>
        <v>12Go Link</v>
      </c>
      <c r="E3504" s="2" t="s">
        <v>3407</v>
      </c>
    </row>
    <row r="3505">
      <c r="A3505" s="2" t="s">
        <v>3405</v>
      </c>
      <c r="B3505" s="2" t="s">
        <v>153</v>
      </c>
      <c r="C3505" s="2" t="s">
        <v>3494</v>
      </c>
      <c r="D3505" s="3" t="str">
        <f t="shared" si="523"/>
        <v>12Go Link</v>
      </c>
      <c r="E3505" s="2" t="s">
        <v>3408</v>
      </c>
    </row>
    <row r="3506">
      <c r="A3506" s="2" t="s">
        <v>3405</v>
      </c>
      <c r="B3506" s="2" t="s">
        <v>153</v>
      </c>
      <c r="C3506" s="2" t="s">
        <v>3494</v>
      </c>
      <c r="D3506" s="3" t="str">
        <f t="shared" si="523"/>
        <v>12Go Link</v>
      </c>
      <c r="E3506" s="2" t="s">
        <v>3409</v>
      </c>
    </row>
    <row r="3507">
      <c r="A3507" s="2" t="s">
        <v>3405</v>
      </c>
      <c r="B3507" s="2" t="s">
        <v>3394</v>
      </c>
      <c r="C3507" s="2" t="s">
        <v>3495</v>
      </c>
      <c r="D3507" s="3" t="str">
        <f>HYPERLINK("https://12go.asia/en/travel/I-Gusti-Ngurah-Rai-International-Airport/Gili-Air", "12Go Link")</f>
        <v>12Go Link</v>
      </c>
      <c r="E3507" s="2" t="s">
        <v>3396</v>
      </c>
    </row>
    <row r="3508">
      <c r="A3508" s="2" t="s">
        <v>3405</v>
      </c>
      <c r="B3508" s="2" t="s">
        <v>3394</v>
      </c>
      <c r="C3508" s="2" t="s">
        <v>3496</v>
      </c>
      <c r="D3508" s="3" t="str">
        <f>HYPERLINK("https://12go.asia/en/travel/I-Gusti-Ngurah-Rai-International-Airport/Gili-Meno", "12Go Link")</f>
        <v>12Go Link</v>
      </c>
      <c r="E3508" s="2" t="s">
        <v>3396</v>
      </c>
    </row>
    <row r="3509">
      <c r="A3509" s="2" t="s">
        <v>3405</v>
      </c>
      <c r="B3509" s="2" t="s">
        <v>3394</v>
      </c>
      <c r="C3509" s="2" t="s">
        <v>3497</v>
      </c>
      <c r="D3509" s="3" t="str">
        <f>HYPERLINK("https://12go.asia/en/travel/I-Gusti-Ngurah-Rai-International-Airport/Gili-Trawangan-Port", "12Go Link")</f>
        <v>12Go Link</v>
      </c>
      <c r="E3509" s="2" t="s">
        <v>3396</v>
      </c>
    </row>
    <row r="3510">
      <c r="A3510" s="2" t="s">
        <v>3405</v>
      </c>
      <c r="B3510" s="2" t="s">
        <v>3498</v>
      </c>
      <c r="C3510" s="2" t="s">
        <v>3499</v>
      </c>
      <c r="D3510" s="3" t="str">
        <f t="shared" ref="D3510:D3513" si="524">HYPERLINK("https://12go.asia/en/travel/I-Gusti-Ngurah-Rai-International-Airport/Seminyak-Transfer", "12Go Link")</f>
        <v>12Go Link</v>
      </c>
      <c r="E3510" s="2" t="s">
        <v>286</v>
      </c>
    </row>
    <row r="3511">
      <c r="A3511" s="2" t="s">
        <v>3405</v>
      </c>
      <c r="B3511" s="2" t="s">
        <v>3498</v>
      </c>
      <c r="C3511" s="2" t="s">
        <v>3499</v>
      </c>
      <c r="D3511" s="3" t="str">
        <f t="shared" si="524"/>
        <v>12Go Link</v>
      </c>
      <c r="E3511" s="2" t="s">
        <v>3407</v>
      </c>
    </row>
    <row r="3512">
      <c r="A3512" s="2" t="s">
        <v>3405</v>
      </c>
      <c r="B3512" s="2" t="s">
        <v>3498</v>
      </c>
      <c r="C3512" s="2" t="s">
        <v>3499</v>
      </c>
      <c r="D3512" s="3" t="str">
        <f t="shared" si="524"/>
        <v>12Go Link</v>
      </c>
      <c r="E3512" s="2" t="s">
        <v>3408</v>
      </c>
    </row>
    <row r="3513">
      <c r="A3513" s="2" t="s">
        <v>3405</v>
      </c>
      <c r="B3513" s="2" t="s">
        <v>3498</v>
      </c>
      <c r="C3513" s="2" t="s">
        <v>3499</v>
      </c>
      <c r="D3513" s="3" t="str">
        <f t="shared" si="524"/>
        <v>12Go Link</v>
      </c>
      <c r="E3513" s="2" t="s">
        <v>3409</v>
      </c>
    </row>
    <row r="3514">
      <c r="A3514" s="2" t="s">
        <v>3405</v>
      </c>
      <c r="B3514" s="2" t="s">
        <v>3500</v>
      </c>
      <c r="C3514" s="2" t="s">
        <v>3501</v>
      </c>
      <c r="D3514" s="3" t="str">
        <f t="shared" ref="D3514:D3517" si="525">HYPERLINK("https://12go.asia/en/travel/I-Gusti-Ngurah-Rai-International-Airport/Central-Ubud-Transfer", "12Go Link")</f>
        <v>12Go Link</v>
      </c>
      <c r="E3514" s="2" t="s">
        <v>286</v>
      </c>
    </row>
    <row r="3515">
      <c r="A3515" s="2" t="s">
        <v>3405</v>
      </c>
      <c r="B3515" s="2" t="s">
        <v>3500</v>
      </c>
      <c r="C3515" s="2" t="s">
        <v>3501</v>
      </c>
      <c r="D3515" s="3" t="str">
        <f t="shared" si="525"/>
        <v>12Go Link</v>
      </c>
      <c r="E3515" s="2" t="s">
        <v>3407</v>
      </c>
    </row>
    <row r="3516">
      <c r="A3516" s="2" t="s">
        <v>3405</v>
      </c>
      <c r="B3516" s="2" t="s">
        <v>3500</v>
      </c>
      <c r="C3516" s="2" t="s">
        <v>3501</v>
      </c>
      <c r="D3516" s="3" t="str">
        <f t="shared" si="525"/>
        <v>12Go Link</v>
      </c>
      <c r="E3516" s="2" t="s">
        <v>3408</v>
      </c>
    </row>
    <row r="3517">
      <c r="A3517" s="2" t="s">
        <v>3405</v>
      </c>
      <c r="B3517" s="2" t="s">
        <v>3500</v>
      </c>
      <c r="C3517" s="2" t="s">
        <v>3501</v>
      </c>
      <c r="D3517" s="3" t="str">
        <f t="shared" si="525"/>
        <v>12Go Link</v>
      </c>
      <c r="E3517" s="2" t="s">
        <v>3409</v>
      </c>
    </row>
    <row r="3518">
      <c r="A3518" s="2" t="s">
        <v>3502</v>
      </c>
      <c r="B3518" s="2" t="s">
        <v>3503</v>
      </c>
      <c r="C3518" s="2" t="s">
        <v>3504</v>
      </c>
      <c r="D3518" s="3" t="str">
        <f>HYPERLINK("https://12go.asia/en/travel/jakarta/west-manggarai", "12Go Link")</f>
        <v>12Go Link</v>
      </c>
      <c r="E3518" s="2" t="s">
        <v>155</v>
      </c>
    </row>
    <row r="3519">
      <c r="A3519" s="2" t="s">
        <v>3502</v>
      </c>
      <c r="B3519" s="2" t="s">
        <v>3505</v>
      </c>
      <c r="C3519" s="2" t="s">
        <v>3506</v>
      </c>
      <c r="D3519" s="3" t="str">
        <f>HYPERLINK("https://12go.asia/en/travel/jakarta/zzpekanbaru", "12Go Link")</f>
        <v>12Go Link</v>
      </c>
      <c r="E3519" s="2" t="s">
        <v>155</v>
      </c>
    </row>
    <row r="3520">
      <c r="A3520" s="2" t="s">
        <v>3507</v>
      </c>
      <c r="B3520" s="2" t="s">
        <v>3454</v>
      </c>
      <c r="C3520" s="2" t="s">
        <v>3508</v>
      </c>
      <c r="D3520" s="3" t="str">
        <f>HYPERLINK("https://12go.asia/en/travel/java/zzbandjarmasin", "12Go Link")</f>
        <v>12Go Link</v>
      </c>
      <c r="E3520" s="2" t="s">
        <v>155</v>
      </c>
    </row>
    <row r="3521">
      <c r="A3521" s="2" t="s">
        <v>3458</v>
      </c>
      <c r="B3521" s="2" t="s">
        <v>158</v>
      </c>
      <c r="C3521" s="2" t="s">
        <v>3509</v>
      </c>
      <c r="D3521" s="3" t="str">
        <f>HYPERLINK("https://12go.asia/en/travel/Terminal-Tawang-Alun/Terminal-Ubung", "12Go Link")</f>
        <v>12Go Link</v>
      </c>
      <c r="E3521" s="2" t="s">
        <v>3414</v>
      </c>
    </row>
    <row r="3522">
      <c r="A3522" s="2" t="s">
        <v>3458</v>
      </c>
      <c r="B3522" s="2" t="s">
        <v>3428</v>
      </c>
      <c r="C3522" s="2" t="s">
        <v>3510</v>
      </c>
      <c r="D3522" s="3" t="str">
        <f>HYPERLINK("https://12go.asia/en/travel/Terminal-Tawang-Alun/Terminal-Mengwi", "12Go Link")</f>
        <v>12Go Link</v>
      </c>
      <c r="E3522" s="2" t="s">
        <v>3414</v>
      </c>
    </row>
    <row r="3523">
      <c r="A3523" s="2" t="s">
        <v>3458</v>
      </c>
      <c r="B3523" s="2" t="s">
        <v>3430</v>
      </c>
      <c r="C3523" s="2" t="s">
        <v>3511</v>
      </c>
      <c r="D3523" s="3" t="str">
        <f>HYPERLINK("https://12go.asia/en/travel/Terminal-Tawang-Alun/Terminal-Persiapan", "12Go Link")</f>
        <v>12Go Link</v>
      </c>
      <c r="E3523" s="2" t="s">
        <v>3414</v>
      </c>
    </row>
    <row r="3524">
      <c r="A3524" s="2" t="s">
        <v>3460</v>
      </c>
      <c r="B3524" s="2" t="s">
        <v>158</v>
      </c>
      <c r="C3524" s="2" t="s">
        <v>3512</v>
      </c>
      <c r="D3524" s="3" t="str">
        <f>HYPERLINK("https://12go.asia/en/travel/Pelabuhan-Gilimanuk/Terminal-Ubung", "12Go Link")</f>
        <v>12Go Link</v>
      </c>
      <c r="E3524" s="2" t="s">
        <v>3414</v>
      </c>
    </row>
    <row r="3525">
      <c r="A3525" s="2" t="s">
        <v>3460</v>
      </c>
      <c r="B3525" s="2" t="s">
        <v>3428</v>
      </c>
      <c r="C3525" s="2" t="s">
        <v>3513</v>
      </c>
      <c r="D3525" s="3" t="str">
        <f>HYPERLINK("https://12go.asia/en/travel/Pelabuhan-Gilimanuk/Terminal-Mengwi", "12Go Link")</f>
        <v>12Go Link</v>
      </c>
      <c r="E3525" s="2" t="s">
        <v>3414</v>
      </c>
    </row>
    <row r="3526">
      <c r="A3526" s="2" t="s">
        <v>3460</v>
      </c>
      <c r="B3526" s="2" t="s">
        <v>3430</v>
      </c>
      <c r="C3526" s="2" t="s">
        <v>3514</v>
      </c>
      <c r="D3526" s="3" t="str">
        <f>HYPERLINK("https://12go.asia/en/travel/Pelabuhan-Gilimanuk/Terminal-Persiapan", "12Go Link")</f>
        <v>12Go Link</v>
      </c>
      <c r="E3526" s="2" t="s">
        <v>3414</v>
      </c>
    </row>
    <row r="3527">
      <c r="A3527" s="2" t="s">
        <v>3515</v>
      </c>
      <c r="B3527" s="2" t="s">
        <v>3454</v>
      </c>
      <c r="C3527" s="2" t="s">
        <v>3516</v>
      </c>
      <c r="D3527" s="3" t="str">
        <f>HYPERLINK("https://12go.asia/en/travel/jimbaran/zzbandjarmasin", "12Go Link")</f>
        <v>12Go Link</v>
      </c>
      <c r="E3527" s="2" t="s">
        <v>155</v>
      </c>
    </row>
    <row r="3528">
      <c r="A3528" s="2" t="s">
        <v>3517</v>
      </c>
      <c r="B3528" s="2" t="s">
        <v>3518</v>
      </c>
      <c r="C3528" s="2" t="s">
        <v>3519</v>
      </c>
      <c r="D3528" s="3" t="str">
        <f>HYPERLINK("https://12go.asia/en/travel/jogja/pasar-baru", "12Go Link")</f>
        <v>12Go Link</v>
      </c>
      <c r="E3528" s="2" t="s">
        <v>155</v>
      </c>
    </row>
    <row r="3529">
      <c r="A3529" s="2" t="s">
        <v>3520</v>
      </c>
      <c r="B3529" s="2" t="s">
        <v>3518</v>
      </c>
      <c r="C3529" s="2" t="s">
        <v>3521</v>
      </c>
      <c r="D3529" s="3" t="str">
        <f>HYPERLINK("https://12go.asia/en/travel/klaten/pasar-baru", "12Go Link")</f>
        <v>12Go Link</v>
      </c>
      <c r="E3529" s="2" t="s">
        <v>155</v>
      </c>
    </row>
    <row r="3530">
      <c r="A3530" s="2" t="s">
        <v>3522</v>
      </c>
      <c r="B3530" s="2" t="s">
        <v>3523</v>
      </c>
      <c r="C3530" s="2" t="s">
        <v>3524</v>
      </c>
      <c r="D3530" s="3" t="str">
        <f>HYPERLINK("https://12go.asia/en/travel/kulon-progo/bekasi", "12Go Link")</f>
        <v>12Go Link</v>
      </c>
      <c r="E3530" s="2" t="s">
        <v>155</v>
      </c>
    </row>
    <row r="3531">
      <c r="A3531" s="2" t="s">
        <v>3522</v>
      </c>
      <c r="B3531" s="2" t="s">
        <v>158</v>
      </c>
      <c r="C3531" s="2" t="s">
        <v>3525</v>
      </c>
      <c r="D3531" s="3" t="str">
        <f>HYPERLINK("https://12go.asia/en/travel/kulon-progo/denpasar", "12Go Link")</f>
        <v>12Go Link</v>
      </c>
      <c r="E3531" s="2" t="s">
        <v>155</v>
      </c>
    </row>
    <row r="3532">
      <c r="A3532" s="2" t="s">
        <v>3446</v>
      </c>
      <c r="B3532" s="2" t="s">
        <v>3469</v>
      </c>
      <c r="C3532" s="2" t="s">
        <v>3526</v>
      </c>
      <c r="D3532" s="3" t="str">
        <f>HYPERLINK("https://12go.asia/en/travel/kupang/zzende-regency", "12Go Link")</f>
        <v>12Go Link</v>
      </c>
      <c r="E3532" s="2" t="s">
        <v>155</v>
      </c>
    </row>
    <row r="3533">
      <c r="A3533" s="2" t="s">
        <v>164</v>
      </c>
      <c r="B3533" s="2" t="s">
        <v>3426</v>
      </c>
      <c r="C3533" s="2" t="s">
        <v>3527</v>
      </c>
      <c r="D3533" s="3" t="str">
        <f>HYPERLINK("https://12go.asia/en/travel/Central-Parkir-Kuta/Pelabuhan-Ketapang", "12Go Link")</f>
        <v>12Go Link</v>
      </c>
      <c r="E3533" s="2" t="s">
        <v>3414</v>
      </c>
    </row>
    <row r="3534">
      <c r="A3534" s="2" t="s">
        <v>164</v>
      </c>
      <c r="B3534" s="2" t="s">
        <v>3458</v>
      </c>
      <c r="C3534" s="2" t="s">
        <v>3528</v>
      </c>
      <c r="D3534" s="3" t="str">
        <f>HYPERLINK("https://12go.asia/en/travel/Central-Parkir-Kuta/Terminal-Tawang-Alun", "12Go Link")</f>
        <v>12Go Link</v>
      </c>
      <c r="E3534" s="2" t="s">
        <v>3414</v>
      </c>
    </row>
    <row r="3535">
      <c r="A3535" s="2" t="s">
        <v>164</v>
      </c>
      <c r="B3535" s="2" t="s">
        <v>3460</v>
      </c>
      <c r="C3535" s="2" t="s">
        <v>3529</v>
      </c>
      <c r="D3535" s="3" t="str">
        <f>HYPERLINK("https://12go.asia/en/travel/Central-Parkir-Kuta/Pelabuhan-Gilimanuk", "12Go Link")</f>
        <v>12Go Link</v>
      </c>
      <c r="E3535" s="2" t="s">
        <v>3414</v>
      </c>
    </row>
    <row r="3536">
      <c r="A3536" s="2" t="s">
        <v>164</v>
      </c>
      <c r="B3536" s="2" t="s">
        <v>3454</v>
      </c>
      <c r="C3536" s="2" t="s">
        <v>3530</v>
      </c>
      <c r="D3536" s="3" t="str">
        <f>HYPERLINK("https://12go.asia/en/travel/kuta/zzbandjarmasin", "12Go Link")</f>
        <v>12Go Link</v>
      </c>
      <c r="E3536" s="2" t="s">
        <v>155</v>
      </c>
    </row>
    <row r="3537">
      <c r="A3537" s="2" t="s">
        <v>3531</v>
      </c>
      <c r="B3537" s="2" t="s">
        <v>3469</v>
      </c>
      <c r="C3537" s="2" t="s">
        <v>3532</v>
      </c>
      <c r="D3537" s="3" t="str">
        <f>HYPERLINK("https://12go.asia/en/travel/labuan-bajo/zzende-regency", "12Go Link")</f>
        <v>12Go Link</v>
      </c>
      <c r="E3537" s="2" t="s">
        <v>155</v>
      </c>
    </row>
    <row r="3538">
      <c r="A3538" s="2" t="s">
        <v>3473</v>
      </c>
      <c r="B3538" s="2" t="s">
        <v>3394</v>
      </c>
      <c r="C3538" s="2" t="s">
        <v>3533</v>
      </c>
      <c r="D3538" s="3" t="str">
        <f>HYPERLINK("https://12go.asia/en/travel/Kuta-Lombok/Gili-Air", "12Go Link")</f>
        <v>12Go Link</v>
      </c>
      <c r="E3538" s="2" t="s">
        <v>3475</v>
      </c>
    </row>
    <row r="3539">
      <c r="A3539" s="2" t="s">
        <v>3473</v>
      </c>
      <c r="B3539" s="2" t="s">
        <v>3394</v>
      </c>
      <c r="C3539" s="2" t="s">
        <v>3534</v>
      </c>
      <c r="D3539" s="3" t="str">
        <f>HYPERLINK("https://12go.asia/en/travel/Kuta-Lombok/Gili-Meno", "12Go Link")</f>
        <v>12Go Link</v>
      </c>
      <c r="E3539" s="2" t="s">
        <v>3475</v>
      </c>
    </row>
    <row r="3540">
      <c r="A3540" s="2" t="s">
        <v>3473</v>
      </c>
      <c r="B3540" s="2" t="s">
        <v>3394</v>
      </c>
      <c r="C3540" s="2" t="s">
        <v>3535</v>
      </c>
      <c r="D3540" s="3" t="str">
        <f>HYPERLINK("https://12go.asia/en/travel/Kuta-Lombok/Gili-Trawangan-Port", "12Go Link")</f>
        <v>12Go Link</v>
      </c>
      <c r="E3540" s="2" t="s">
        <v>3475</v>
      </c>
    </row>
    <row r="3541">
      <c r="A3541" s="2" t="s">
        <v>3473</v>
      </c>
      <c r="B3541" s="2" t="s">
        <v>3394</v>
      </c>
      <c r="C3541" s="2" t="s">
        <v>3536</v>
      </c>
      <c r="D3541" s="3" t="str">
        <f>HYPERLINK("https://12go.asia/en/travel/Lombok-Airport/Gili-Air", "12Go Link")</f>
        <v>12Go Link</v>
      </c>
      <c r="E3541" s="2" t="s">
        <v>3475</v>
      </c>
    </row>
    <row r="3542">
      <c r="A3542" s="2" t="s">
        <v>3473</v>
      </c>
      <c r="B3542" s="2" t="s">
        <v>3394</v>
      </c>
      <c r="C3542" s="2" t="s">
        <v>3537</v>
      </c>
      <c r="D3542" s="3" t="str">
        <f>HYPERLINK("https://12go.asia/en/travel/Lombok-Airport/Gili-Meno", "12Go Link")</f>
        <v>12Go Link</v>
      </c>
      <c r="E3542" s="2" t="s">
        <v>3475</v>
      </c>
    </row>
    <row r="3543">
      <c r="A3543" s="2" t="s">
        <v>3473</v>
      </c>
      <c r="B3543" s="2" t="s">
        <v>3394</v>
      </c>
      <c r="C3543" s="2" t="s">
        <v>3538</v>
      </c>
      <c r="D3543" s="3" t="str">
        <f>HYPERLINK("https://12go.asia/en/travel/Lombok-Airport/Gili-Trawangan-Port", "12Go Link")</f>
        <v>12Go Link</v>
      </c>
      <c r="E3543" s="2" t="s">
        <v>3475</v>
      </c>
    </row>
    <row r="3544">
      <c r="A3544" s="2" t="s">
        <v>3473</v>
      </c>
      <c r="B3544" s="2" t="s">
        <v>3394</v>
      </c>
      <c r="C3544" s="2" t="s">
        <v>3539</v>
      </c>
      <c r="D3544" s="3" t="str">
        <f>HYPERLINK("https://12go.asia/en/travel/Mataram/Gili-Air", "12Go Link")</f>
        <v>12Go Link</v>
      </c>
      <c r="E3544" s="2" t="s">
        <v>3475</v>
      </c>
    </row>
    <row r="3545">
      <c r="A3545" s="2" t="s">
        <v>3473</v>
      </c>
      <c r="B3545" s="2" t="s">
        <v>3394</v>
      </c>
      <c r="C3545" s="2" t="s">
        <v>3540</v>
      </c>
      <c r="D3545" s="3" t="str">
        <f>HYPERLINK("https://12go.asia/en/travel/Mataram/Gili-Meno", "12Go Link")</f>
        <v>12Go Link</v>
      </c>
      <c r="E3545" s="2" t="s">
        <v>3475</v>
      </c>
    </row>
    <row r="3546">
      <c r="A3546" s="2" t="s">
        <v>3473</v>
      </c>
      <c r="B3546" s="2" t="s">
        <v>3394</v>
      </c>
      <c r="C3546" s="2" t="s">
        <v>3541</v>
      </c>
      <c r="D3546" s="3" t="str">
        <f>HYPERLINK("https://12go.asia/en/travel/Mataram/Gili-Trawangan-Port", "12Go Link")</f>
        <v>12Go Link</v>
      </c>
      <c r="E3546" s="2" t="s">
        <v>3475</v>
      </c>
    </row>
    <row r="3547">
      <c r="A3547" s="2" t="s">
        <v>3473</v>
      </c>
      <c r="B3547" s="2" t="s">
        <v>3394</v>
      </c>
      <c r="C3547" s="2" t="s">
        <v>3542</v>
      </c>
      <c r="D3547" s="3" t="str">
        <f>HYPERLINK("https://12go.asia/en/travel/Senggigi-Pier/Gili-Air", "12Go Link")</f>
        <v>12Go Link</v>
      </c>
      <c r="E3547" s="2" t="s">
        <v>3475</v>
      </c>
    </row>
    <row r="3548">
      <c r="A3548" s="2" t="s">
        <v>3473</v>
      </c>
      <c r="B3548" s="2" t="s">
        <v>3394</v>
      </c>
      <c r="C3548" s="2" t="s">
        <v>3543</v>
      </c>
      <c r="D3548" s="3" t="str">
        <f>HYPERLINK("https://12go.asia/en/travel/Senggigi-Pier/Gili-Meno", "12Go Link")</f>
        <v>12Go Link</v>
      </c>
      <c r="E3548" s="2" t="s">
        <v>3475</v>
      </c>
    </row>
    <row r="3549">
      <c r="A3549" s="2" t="s">
        <v>3473</v>
      </c>
      <c r="B3549" s="2" t="s">
        <v>3394</v>
      </c>
      <c r="C3549" s="2" t="s">
        <v>3544</v>
      </c>
      <c r="D3549" s="3" t="str">
        <f>HYPERLINK("https://12go.asia/en/travel/Senggigi-Pier/Gili-Trawangan-Port", "12Go Link")</f>
        <v>12Go Link</v>
      </c>
      <c r="E3549" s="2" t="s">
        <v>3475</v>
      </c>
    </row>
    <row r="3550">
      <c r="A3550" s="2" t="s">
        <v>3473</v>
      </c>
      <c r="B3550" s="2" t="s">
        <v>168</v>
      </c>
      <c r="C3550" s="2" t="s">
        <v>3545</v>
      </c>
      <c r="D3550" s="3" t="str">
        <f>HYPERLINK("https://12go.asia/en/travel/Bangsal-Starfish/Nusa-Penida", "12Go Link")</f>
        <v>12Go Link</v>
      </c>
      <c r="E3550" s="2" t="s">
        <v>3485</v>
      </c>
    </row>
    <row r="3551">
      <c r="A3551" s="2" t="s">
        <v>3473</v>
      </c>
      <c r="B3551" s="2" t="s">
        <v>172</v>
      </c>
      <c r="C3551" s="2" t="s">
        <v>3546</v>
      </c>
      <c r="D3551" s="3" t="str">
        <f>HYPERLINK("https://12go.asia/en/travel/Bangsal-Starfish/Sanur-Port", "12Go Link")</f>
        <v>12Go Link</v>
      </c>
      <c r="E3551" s="2" t="s">
        <v>3485</v>
      </c>
    </row>
    <row r="3552">
      <c r="A3552" s="2" t="s">
        <v>3412</v>
      </c>
      <c r="B3552" s="2" t="s">
        <v>153</v>
      </c>
      <c r="C3552" s="2" t="s">
        <v>3547</v>
      </c>
      <c r="D3552" s="3" t="str">
        <f>HYPERLINK("https://12go.asia/en/travel/Malang-Transfer/Denpasar-Transfer", "12Go Link")</f>
        <v>12Go Link</v>
      </c>
      <c r="E3552" s="2" t="s">
        <v>3414</v>
      </c>
    </row>
    <row r="3553">
      <c r="A3553" s="2" t="s">
        <v>3412</v>
      </c>
      <c r="B3553" s="2" t="s">
        <v>3426</v>
      </c>
      <c r="C3553" s="2" t="s">
        <v>3548</v>
      </c>
      <c r="D3553" s="3" t="str">
        <f>HYPERLINK("https://12go.asia/en/travel/Kantor-Ladju-Transport-Malang/Pelabuhan-Ketapang", "12Go Link")</f>
        <v>12Go Link</v>
      </c>
      <c r="E3553" s="2" t="s">
        <v>3414</v>
      </c>
    </row>
    <row r="3554">
      <c r="A3554" s="2" t="s">
        <v>3412</v>
      </c>
      <c r="B3554" s="2" t="s">
        <v>158</v>
      </c>
      <c r="C3554" s="2" t="s">
        <v>3549</v>
      </c>
      <c r="D3554" s="3" t="str">
        <f>HYPERLINK("https://12go.asia/en/travel/Kantor-Ladju-Transport-Malang/Kantor-Pusat-Ladju-Trans", "12Go Link")</f>
        <v>12Go Link</v>
      </c>
      <c r="E3554" s="2" t="s">
        <v>3414</v>
      </c>
    </row>
    <row r="3555">
      <c r="A3555" s="2" t="s">
        <v>3412</v>
      </c>
      <c r="B3555" s="2" t="s">
        <v>3518</v>
      </c>
      <c r="C3555" s="2" t="s">
        <v>3550</v>
      </c>
      <c r="D3555" s="3" t="str">
        <f>HYPERLINK("https://12go.asia/en/travel/malang/pasar-baru", "12Go Link")</f>
        <v>12Go Link</v>
      </c>
      <c r="E3555" s="2" t="s">
        <v>155</v>
      </c>
    </row>
    <row r="3556">
      <c r="A3556" s="2" t="s">
        <v>3428</v>
      </c>
      <c r="B3556" s="2" t="s">
        <v>3426</v>
      </c>
      <c r="C3556" s="2" t="s">
        <v>3551</v>
      </c>
      <c r="D3556" s="3" t="str">
        <f>HYPERLINK("https://12go.asia/en/travel/Terminal-Mengwi/Pelabuhan-Ketapang", "12Go Link")</f>
        <v>12Go Link</v>
      </c>
      <c r="E3556" s="2" t="s">
        <v>3414</v>
      </c>
    </row>
    <row r="3557">
      <c r="A3557" s="2" t="s">
        <v>3428</v>
      </c>
      <c r="B3557" s="2" t="s">
        <v>3458</v>
      </c>
      <c r="C3557" s="2" t="s">
        <v>3552</v>
      </c>
      <c r="D3557" s="3" t="str">
        <f>HYPERLINK("https://12go.asia/en/travel/Terminal-Mengwi/Terminal-Tawang-Alun", "12Go Link")</f>
        <v>12Go Link</v>
      </c>
      <c r="E3557" s="2" t="s">
        <v>3414</v>
      </c>
    </row>
    <row r="3558">
      <c r="A3558" s="2" t="s">
        <v>3428</v>
      </c>
      <c r="B3558" s="2" t="s">
        <v>3460</v>
      </c>
      <c r="C3558" s="2" t="s">
        <v>3553</v>
      </c>
      <c r="D3558" s="3" t="str">
        <f>HYPERLINK("https://12go.asia/en/travel/Terminal-Mengwi/Pelabuhan-Gilimanuk", "12Go Link")</f>
        <v>12Go Link</v>
      </c>
      <c r="E3558" s="2" t="s">
        <v>3414</v>
      </c>
    </row>
    <row r="3559">
      <c r="A3559" s="2" t="s">
        <v>166</v>
      </c>
      <c r="B3559" s="2" t="s">
        <v>3454</v>
      </c>
      <c r="C3559" s="2" t="s">
        <v>3554</v>
      </c>
      <c r="D3559" s="3" t="str">
        <f>HYPERLINK("https://12go.asia/en/travel/nusa-ceningan/zzbandjarmasin", "12Go Link")</f>
        <v>12Go Link</v>
      </c>
      <c r="E3559" s="2" t="s">
        <v>155</v>
      </c>
    </row>
    <row r="3560">
      <c r="A3560" s="2" t="s">
        <v>3415</v>
      </c>
      <c r="B3560" s="2" t="s">
        <v>3454</v>
      </c>
      <c r="C3560" s="2" t="s">
        <v>3555</v>
      </c>
      <c r="D3560" s="3" t="str">
        <f>HYPERLINK("https://12go.asia/en/travel/nusa-lembongan/zzbandjarmasin", "12Go Link")</f>
        <v>12Go Link</v>
      </c>
      <c r="E3560" s="2" t="s">
        <v>155</v>
      </c>
    </row>
    <row r="3561">
      <c r="A3561" s="2" t="s">
        <v>168</v>
      </c>
      <c r="B3561" s="2" t="s">
        <v>3394</v>
      </c>
      <c r="C3561" s="2" t="s">
        <v>3556</v>
      </c>
      <c r="D3561" s="3" t="str">
        <f>HYPERLINK("https://12go.asia/en/travel/Nusa-Penida/Gili-Air", "12Go Link")</f>
        <v>12Go Link</v>
      </c>
      <c r="E3561" s="2" t="s">
        <v>3485</v>
      </c>
    </row>
    <row r="3562">
      <c r="A3562" s="2" t="s">
        <v>168</v>
      </c>
      <c r="B3562" s="2" t="s">
        <v>3487</v>
      </c>
      <c r="C3562" s="2" t="s">
        <v>3557</v>
      </c>
      <c r="D3562" s="3" t="str">
        <f>HYPERLINK("https://12go.asia/en/travel/Nusa-Penida/Gili-Trawangan-Sama-Sama-Reggae", "12Go Link")</f>
        <v>12Go Link</v>
      </c>
      <c r="E3562" s="2" t="s">
        <v>3485</v>
      </c>
    </row>
    <row r="3563">
      <c r="A3563" s="2" t="s">
        <v>168</v>
      </c>
      <c r="B3563" s="2" t="s">
        <v>3487</v>
      </c>
      <c r="C3563" s="2" t="s">
        <v>3558</v>
      </c>
      <c r="D3563" s="3" t="str">
        <f>HYPERLINK("https://12go.asia/en/travel/Nusa-Penida/Gili-Trawangan-Starfish", "12Go Link")</f>
        <v>12Go Link</v>
      </c>
      <c r="E3563" s="2" t="s">
        <v>3485</v>
      </c>
    </row>
    <row r="3564">
      <c r="A3564" s="2" t="s">
        <v>168</v>
      </c>
      <c r="B3564" s="2" t="s">
        <v>3473</v>
      </c>
      <c r="C3564" s="2" t="s">
        <v>3559</v>
      </c>
      <c r="D3564" s="3" t="str">
        <f>HYPERLINK("https://12go.asia/en/travel/Nusa-Penida/Bangsal-Starfish", "12Go Link")</f>
        <v>12Go Link</v>
      </c>
      <c r="E3564" s="2" t="s">
        <v>3485</v>
      </c>
    </row>
    <row r="3565">
      <c r="A3565" s="2" t="s">
        <v>168</v>
      </c>
      <c r="B3565" s="2" t="s">
        <v>172</v>
      </c>
      <c r="C3565" s="2" t="s">
        <v>3560</v>
      </c>
      <c r="D3565" s="3" t="str">
        <f>HYPERLINK("https://12go.asia/en/travel/Axe-Stone-Fast-Cruise/Sanur-Axe-Stone", "12Go Link")</f>
        <v>12Go Link</v>
      </c>
      <c r="E3565" s="2" t="s">
        <v>3485</v>
      </c>
    </row>
    <row r="3566">
      <c r="A3566" s="2" t="s">
        <v>168</v>
      </c>
      <c r="B3566" s="2" t="s">
        <v>172</v>
      </c>
      <c r="C3566" s="2" t="s">
        <v>3561</v>
      </c>
      <c r="D3566" s="3" t="str">
        <f>HYPERLINK("https://12go.asia/en/travel/Nusa-Penida/Sanur-Port", "12Go Link")</f>
        <v>12Go Link</v>
      </c>
      <c r="E3566" s="2" t="s">
        <v>3485</v>
      </c>
    </row>
    <row r="3567">
      <c r="A3567" s="2" t="s">
        <v>168</v>
      </c>
      <c r="B3567" s="2" t="s">
        <v>172</v>
      </c>
      <c r="C3567" s="2" t="s">
        <v>3562</v>
      </c>
      <c r="D3567" s="3" t="str">
        <f>HYPERLINK("https://12go.asia/en/travel/Nusa-Penida-Arjuna/Sanur-Arjuna", "12Go Link")</f>
        <v>12Go Link</v>
      </c>
      <c r="E3567" s="2" t="s">
        <v>3485</v>
      </c>
    </row>
    <row r="3568">
      <c r="A3568" s="2" t="s">
        <v>168</v>
      </c>
      <c r="B3568" s="2" t="s">
        <v>3454</v>
      </c>
      <c r="C3568" s="2" t="s">
        <v>3563</v>
      </c>
      <c r="D3568" s="3" t="str">
        <f>HYPERLINK("https://12go.asia/en/travel/nusa-penida/zzbandjarmasin", "12Go Link")</f>
        <v>12Go Link</v>
      </c>
      <c r="E3568" s="2" t="s">
        <v>155</v>
      </c>
    </row>
    <row r="3569">
      <c r="A3569" s="2" t="s">
        <v>3518</v>
      </c>
      <c r="B3569" s="2" t="s">
        <v>3466</v>
      </c>
      <c r="C3569" s="2" t="s">
        <v>3564</v>
      </c>
      <c r="D3569" s="3" t="str">
        <f>HYPERLINK("https://12go.asia/en/travel/pasar-baru/east-java", "12Go Link")</f>
        <v>12Go Link</v>
      </c>
      <c r="E3569" s="2" t="s">
        <v>155</v>
      </c>
    </row>
    <row r="3570">
      <c r="A3570" s="2" t="s">
        <v>3518</v>
      </c>
      <c r="B3570" s="2" t="s">
        <v>3520</v>
      </c>
      <c r="C3570" s="2" t="s">
        <v>3565</v>
      </c>
      <c r="D3570" s="3" t="str">
        <f>HYPERLINK("https://12go.asia/en/travel/pasar-baru/klaten", "12Go Link")</f>
        <v>12Go Link</v>
      </c>
      <c r="E3570" s="2" t="s">
        <v>155</v>
      </c>
    </row>
    <row r="3571">
      <c r="A3571" s="2" t="s">
        <v>3518</v>
      </c>
      <c r="B3571" s="2" t="s">
        <v>3412</v>
      </c>
      <c r="C3571" s="2" t="s">
        <v>3566</v>
      </c>
      <c r="D3571" s="3" t="str">
        <f>HYPERLINK("https://12go.asia/en/travel/pasar-baru/malang", "12Go Link")</f>
        <v>12Go Link</v>
      </c>
      <c r="E3571" s="2" t="s">
        <v>155</v>
      </c>
    </row>
    <row r="3572">
      <c r="A3572" s="2" t="s">
        <v>3518</v>
      </c>
      <c r="B3572" s="2" t="s">
        <v>3567</v>
      </c>
      <c r="C3572" s="2" t="s">
        <v>3568</v>
      </c>
      <c r="D3572" s="3" t="str">
        <f>HYPERLINK("https://12go.asia/en/travel/pasar-baru/semarang", "12Go Link")</f>
        <v>12Go Link</v>
      </c>
      <c r="E3572" s="2" t="s">
        <v>155</v>
      </c>
    </row>
    <row r="3573">
      <c r="A3573" s="2" t="s">
        <v>3433</v>
      </c>
      <c r="B3573" s="2" t="s">
        <v>3454</v>
      </c>
      <c r="C3573" s="2" t="s">
        <v>3569</v>
      </c>
      <c r="D3573" s="3" t="str">
        <f>HYPERLINK("https://12go.asia/en/travel/pasuruan/zzbandjarmasin", "12Go Link")</f>
        <v>12Go Link</v>
      </c>
      <c r="E3573" s="2" t="s">
        <v>155</v>
      </c>
    </row>
    <row r="3574">
      <c r="A3574" s="2" t="s">
        <v>3570</v>
      </c>
      <c r="B3574" s="2" t="s">
        <v>3469</v>
      </c>
      <c r="C3574" s="2" t="s">
        <v>3571</v>
      </c>
      <c r="D3574" s="3" t="str">
        <f>HYPERLINK("https://12go.asia/en/travel/rinca/zzende-regency", "12Go Link")</f>
        <v>12Go Link</v>
      </c>
      <c r="E3574" s="2" t="s">
        <v>155</v>
      </c>
    </row>
    <row r="3575">
      <c r="A3575" s="2" t="s">
        <v>3572</v>
      </c>
      <c r="B3575" s="2" t="s">
        <v>3469</v>
      </c>
      <c r="C3575" s="2" t="s">
        <v>3573</v>
      </c>
      <c r="D3575" s="3" t="str">
        <f>HYPERLINK("https://12go.asia/en/travel/ruteng/zzende-regency", "12Go Link")</f>
        <v>12Go Link</v>
      </c>
      <c r="E3575" s="2" t="s">
        <v>155</v>
      </c>
    </row>
    <row r="3576">
      <c r="A3576" s="2" t="s">
        <v>172</v>
      </c>
      <c r="B3576" s="2" t="s">
        <v>3394</v>
      </c>
      <c r="C3576" s="2" t="s">
        <v>3574</v>
      </c>
      <c r="D3576" s="3" t="str">
        <f>HYPERLINK("https://12go.asia/en/travel/Sanur-Port/Gili-Air", "12Go Link")</f>
        <v>12Go Link</v>
      </c>
      <c r="E3576" s="2" t="s">
        <v>3485</v>
      </c>
    </row>
    <row r="3577">
      <c r="A3577" s="2" t="s">
        <v>172</v>
      </c>
      <c r="B3577" s="2" t="s">
        <v>3487</v>
      </c>
      <c r="C3577" s="2" t="s">
        <v>3575</v>
      </c>
      <c r="D3577" s="3" t="str">
        <f>HYPERLINK("https://12go.asia/en/travel/Sanur-Port/Gili-Trawangan-Sama-Sama-Reggae", "12Go Link")</f>
        <v>12Go Link</v>
      </c>
      <c r="E3577" s="2" t="s">
        <v>3485</v>
      </c>
    </row>
    <row r="3578">
      <c r="A3578" s="2" t="s">
        <v>172</v>
      </c>
      <c r="B3578" s="2" t="s">
        <v>3487</v>
      </c>
      <c r="C3578" s="2" t="s">
        <v>3576</v>
      </c>
      <c r="D3578" s="3" t="str">
        <f>HYPERLINK("https://12go.asia/en/travel/Sanur-Port/Gili-Trawangan-Starfish", "12Go Link")</f>
        <v>12Go Link</v>
      </c>
      <c r="E3578" s="2" t="s">
        <v>3485</v>
      </c>
    </row>
    <row r="3579">
      <c r="A3579" s="2" t="s">
        <v>172</v>
      </c>
      <c r="B3579" s="2" t="s">
        <v>3473</v>
      </c>
      <c r="C3579" s="2" t="s">
        <v>3577</v>
      </c>
      <c r="D3579" s="3" t="str">
        <f>HYPERLINK("https://12go.asia/en/travel/Sanur-Port/Bangsal-Starfish", "12Go Link")</f>
        <v>12Go Link</v>
      </c>
      <c r="E3579" s="2" t="s">
        <v>3485</v>
      </c>
    </row>
    <row r="3580">
      <c r="A3580" s="2" t="s">
        <v>172</v>
      </c>
      <c r="B3580" s="2" t="s">
        <v>3415</v>
      </c>
      <c r="C3580" s="2" t="s">
        <v>3578</v>
      </c>
      <c r="D3580" s="3" t="str">
        <f>HYPERLINK("https://12go.asia/en/travel/Sanur-Beach-Port-Arthamas/Lembongan-Arthamas", "12Go Link")</f>
        <v>12Go Link</v>
      </c>
      <c r="E3580" s="2" t="s">
        <v>309</v>
      </c>
    </row>
    <row r="3581">
      <c r="A3581" s="2" t="s">
        <v>172</v>
      </c>
      <c r="B3581" s="2" t="s">
        <v>3415</v>
      </c>
      <c r="C3581" s="2" t="s">
        <v>3579</v>
      </c>
      <c r="D3581" s="3" t="str">
        <f>HYPERLINK("https://12go.asia/en/travel/Sanur-Transfer/Jungut-Batu-Harbour", "12Go Link")</f>
        <v>12Go Link</v>
      </c>
      <c r="E3581" s="2" t="s">
        <v>3417</v>
      </c>
    </row>
    <row r="3582">
      <c r="A3582" s="2" t="s">
        <v>172</v>
      </c>
      <c r="B3582" s="2" t="s">
        <v>168</v>
      </c>
      <c r="C3582" s="2" t="s">
        <v>3580</v>
      </c>
      <c r="D3582" s="3" t="str">
        <f>HYPERLINK("https://12go.asia/en/travel/Sanur-Arjuna/Nusa-Penida-Arjuna", "12Go Link")</f>
        <v>12Go Link</v>
      </c>
      <c r="E3582" s="2" t="s">
        <v>3485</v>
      </c>
    </row>
    <row r="3583">
      <c r="A3583" s="2" t="s">
        <v>172</v>
      </c>
      <c r="B3583" s="2" t="s">
        <v>168</v>
      </c>
      <c r="C3583" s="2" t="s">
        <v>3581</v>
      </c>
      <c r="D3583" s="3" t="str">
        <f>HYPERLINK("https://12go.asia/en/travel/Sanur-Axe-Stone/Axe-Stone-Fast-Cruise", "12Go Link")</f>
        <v>12Go Link</v>
      </c>
      <c r="E3583" s="2" t="s">
        <v>3485</v>
      </c>
    </row>
    <row r="3584">
      <c r="A3584" s="2" t="s">
        <v>172</v>
      </c>
      <c r="B3584" s="2" t="s">
        <v>168</v>
      </c>
      <c r="C3584" s="2" t="s">
        <v>3582</v>
      </c>
      <c r="D3584" s="3" t="str">
        <f>HYPERLINK("https://12go.asia/en/travel/Sanur-Port/Nusa-Penida", "12Go Link")</f>
        <v>12Go Link</v>
      </c>
      <c r="E3584" s="2" t="s">
        <v>3485</v>
      </c>
    </row>
    <row r="3585">
      <c r="A3585" s="2" t="s">
        <v>3567</v>
      </c>
      <c r="B3585" s="2" t="s">
        <v>3518</v>
      </c>
      <c r="C3585" s="2" t="s">
        <v>3583</v>
      </c>
      <c r="D3585" s="3" t="str">
        <f>HYPERLINK("https://12go.asia/en/travel/semarang/pasar-baru", "12Go Link")</f>
        <v>12Go Link</v>
      </c>
      <c r="E3585" s="2" t="s">
        <v>155</v>
      </c>
    </row>
    <row r="3586">
      <c r="A3586" s="2" t="s">
        <v>3498</v>
      </c>
      <c r="B3586" s="2" t="s">
        <v>3394</v>
      </c>
      <c r="C3586" s="2" t="s">
        <v>3584</v>
      </c>
      <c r="D3586" s="3" t="str">
        <f>HYPERLINK("https://12go.asia/en/travel/Seminyak-Transfer/Gili-Air", "12Go Link")</f>
        <v>12Go Link</v>
      </c>
      <c r="E3586" s="2" t="s">
        <v>3396</v>
      </c>
    </row>
    <row r="3587">
      <c r="A3587" s="2" t="s">
        <v>3498</v>
      </c>
      <c r="B3587" s="2" t="s">
        <v>3394</v>
      </c>
      <c r="C3587" s="2" t="s">
        <v>3585</v>
      </c>
      <c r="D3587" s="3" t="str">
        <f>HYPERLINK("https://12go.asia/en/travel/Seminyak-Transfer/Gili-Meno", "12Go Link")</f>
        <v>12Go Link</v>
      </c>
      <c r="E3587" s="2" t="s">
        <v>3396</v>
      </c>
    </row>
    <row r="3588">
      <c r="A3588" s="2" t="s">
        <v>3498</v>
      </c>
      <c r="B3588" s="2" t="s">
        <v>3394</v>
      </c>
      <c r="C3588" s="2" t="s">
        <v>3586</v>
      </c>
      <c r="D3588" s="3" t="str">
        <f>HYPERLINK("https://12go.asia/en/travel/Seminyak-Transfer/Gili-Trawangan-Port", "12Go Link")</f>
        <v>12Go Link</v>
      </c>
      <c r="E3588" s="2" t="s">
        <v>3396</v>
      </c>
    </row>
    <row r="3589">
      <c r="A3589" s="2" t="s">
        <v>3498</v>
      </c>
      <c r="B3589" s="2" t="s">
        <v>3405</v>
      </c>
      <c r="C3589" s="2" t="s">
        <v>3587</v>
      </c>
      <c r="D3589" s="3" t="str">
        <f t="shared" ref="D3589:D3592" si="526">HYPERLINK("https://12go.asia/en/travel/Seminyak-Transfer/I-Gusti-Ngurah-Rai-International-Airport", "12Go Link")</f>
        <v>12Go Link</v>
      </c>
      <c r="E3589" s="2" t="s">
        <v>286</v>
      </c>
    </row>
    <row r="3590">
      <c r="A3590" s="2" t="s">
        <v>3498</v>
      </c>
      <c r="B3590" s="2" t="s">
        <v>3405</v>
      </c>
      <c r="C3590" s="2" t="s">
        <v>3587</v>
      </c>
      <c r="D3590" s="3" t="str">
        <f t="shared" si="526"/>
        <v>12Go Link</v>
      </c>
      <c r="E3590" s="2" t="s">
        <v>3407</v>
      </c>
    </row>
    <row r="3591">
      <c r="A3591" s="2" t="s">
        <v>3498</v>
      </c>
      <c r="B3591" s="2" t="s">
        <v>3405</v>
      </c>
      <c r="C3591" s="2" t="s">
        <v>3587</v>
      </c>
      <c r="D3591" s="3" t="str">
        <f t="shared" si="526"/>
        <v>12Go Link</v>
      </c>
      <c r="E3591" s="2" t="s">
        <v>3408</v>
      </c>
    </row>
    <row r="3592">
      <c r="A3592" s="2" t="s">
        <v>3498</v>
      </c>
      <c r="B3592" s="2" t="s">
        <v>3405</v>
      </c>
      <c r="C3592" s="2" t="s">
        <v>3587</v>
      </c>
      <c r="D3592" s="3" t="str">
        <f t="shared" si="526"/>
        <v>12Go Link</v>
      </c>
      <c r="E3592" s="2" t="s">
        <v>3409</v>
      </c>
    </row>
    <row r="3593">
      <c r="A3593" s="2" t="s">
        <v>3498</v>
      </c>
      <c r="B3593" s="2" t="s">
        <v>3415</v>
      </c>
      <c r="C3593" s="2" t="s">
        <v>3588</v>
      </c>
      <c r="D3593" s="3" t="str">
        <f>HYPERLINK("https://12go.asia/en/travel/Seminyak-Transfer/Jungut-Batu-Harbour", "12Go Link")</f>
        <v>12Go Link</v>
      </c>
      <c r="E3593" s="2" t="s">
        <v>3417</v>
      </c>
    </row>
    <row r="3594">
      <c r="A3594" s="2" t="s">
        <v>3424</v>
      </c>
      <c r="B3594" s="2" t="s">
        <v>153</v>
      </c>
      <c r="C3594" s="2" t="s">
        <v>3589</v>
      </c>
      <c r="D3594" s="3" t="str">
        <f>HYPERLINK("https://12go.asia/en/travel/Surabaya-Transfer/Denpasar-Transfer", "12Go Link")</f>
        <v>12Go Link</v>
      </c>
      <c r="E3594" s="2" t="s">
        <v>3414</v>
      </c>
    </row>
    <row r="3595">
      <c r="A3595" s="2" t="s">
        <v>3424</v>
      </c>
      <c r="B3595" s="2" t="s">
        <v>3426</v>
      </c>
      <c r="C3595" s="2" t="s">
        <v>3590</v>
      </c>
      <c r="D3595" s="3" t="str">
        <f>HYPERLINK("https://12go.asia/en/travel/Kantor-Ladju-Transport-Surabaya/Pelabuhan-Ketapang", "12Go Link")</f>
        <v>12Go Link</v>
      </c>
      <c r="E3595" s="2" t="s">
        <v>3414</v>
      </c>
    </row>
    <row r="3596">
      <c r="A3596" s="2" t="s">
        <v>3424</v>
      </c>
      <c r="B3596" s="2" t="s">
        <v>158</v>
      </c>
      <c r="C3596" s="2" t="s">
        <v>3591</v>
      </c>
      <c r="D3596" s="3" t="str">
        <f>HYPERLINK("https://12go.asia/en/travel/Kantor-Ladju-Transport-Surabaya/Kantor-Pusat-Ladju-Trans", "12Go Link")</f>
        <v>12Go Link</v>
      </c>
      <c r="E3596" s="2" t="s">
        <v>3414</v>
      </c>
    </row>
    <row r="3597">
      <c r="A3597" s="2" t="s">
        <v>3424</v>
      </c>
      <c r="B3597" s="2" t="s">
        <v>3454</v>
      </c>
      <c r="C3597" s="2" t="s">
        <v>3592</v>
      </c>
      <c r="D3597" s="3" t="str">
        <f>HYPERLINK("https://12go.asia/en/travel/surabaya/zzbandjarmasin", "12Go Link")</f>
        <v>12Go Link</v>
      </c>
      <c r="E3597" s="2" t="s">
        <v>155</v>
      </c>
    </row>
    <row r="3598">
      <c r="A3598" s="2" t="s">
        <v>3424</v>
      </c>
      <c r="B3598" s="2" t="s">
        <v>3505</v>
      </c>
      <c r="C3598" s="2" t="s">
        <v>3593</v>
      </c>
      <c r="D3598" s="3" t="str">
        <f>HYPERLINK("https://12go.asia/en/travel/surabaya/zzpekanbaru", "12Go Link")</f>
        <v>12Go Link</v>
      </c>
      <c r="E3598" s="2" t="s">
        <v>155</v>
      </c>
    </row>
    <row r="3599">
      <c r="A3599" s="2" t="s">
        <v>3424</v>
      </c>
      <c r="B3599" s="2" t="s">
        <v>3594</v>
      </c>
      <c r="C3599" s="2" t="s">
        <v>3595</v>
      </c>
      <c r="D3599" s="3" t="str">
        <f>HYPERLINK("https://12go.asia/en/travel/surabaya/klang", "12Go Link")</f>
        <v>12Go Link</v>
      </c>
      <c r="E3599" s="2" t="s">
        <v>155</v>
      </c>
    </row>
    <row r="3600">
      <c r="A3600" s="2" t="s">
        <v>3424</v>
      </c>
      <c r="B3600" s="2" t="s">
        <v>3441</v>
      </c>
      <c r="C3600" s="2" t="s">
        <v>3596</v>
      </c>
      <c r="D3600" s="3" t="str">
        <f>HYPERLINK("https://12go.asia/en/travel/surabaya/seremban", "12Go Link")</f>
        <v>12Go Link</v>
      </c>
      <c r="E3600" s="2" t="s">
        <v>155</v>
      </c>
    </row>
    <row r="3601">
      <c r="A3601" s="2" t="s">
        <v>3597</v>
      </c>
      <c r="B3601" s="2" t="s">
        <v>168</v>
      </c>
      <c r="C3601" s="2" t="s">
        <v>3598</v>
      </c>
      <c r="D3601" s="3" t="str">
        <f>HYPERLINK("https://12go.asia/en/travel/surakarta/nusa-penida", "12Go Link")</f>
        <v>12Go Link</v>
      </c>
      <c r="E3601" s="2" t="s">
        <v>155</v>
      </c>
    </row>
    <row r="3602">
      <c r="A3602" s="2" t="s">
        <v>3430</v>
      </c>
      <c r="B3602" s="2" t="s">
        <v>3426</v>
      </c>
      <c r="C3602" s="2" t="s">
        <v>3599</v>
      </c>
      <c r="D3602" s="3" t="str">
        <f>HYPERLINK("https://12go.asia/en/travel/Terminal-Persiapan/Pelabuhan-Ketapang", "12Go Link")</f>
        <v>12Go Link</v>
      </c>
      <c r="E3602" s="2" t="s">
        <v>3414</v>
      </c>
    </row>
    <row r="3603">
      <c r="A3603" s="2" t="s">
        <v>3430</v>
      </c>
      <c r="B3603" s="2" t="s">
        <v>3458</v>
      </c>
      <c r="C3603" s="2" t="s">
        <v>3600</v>
      </c>
      <c r="D3603" s="3" t="str">
        <f>HYPERLINK("https://12go.asia/en/travel/Terminal-Persiapan/Terminal-Tawang-Alun", "12Go Link")</f>
        <v>12Go Link</v>
      </c>
      <c r="E3603" s="2" t="s">
        <v>3414</v>
      </c>
    </row>
    <row r="3604">
      <c r="A3604" s="2" t="s">
        <v>3430</v>
      </c>
      <c r="B3604" s="2" t="s">
        <v>3460</v>
      </c>
      <c r="C3604" s="2" t="s">
        <v>3601</v>
      </c>
      <c r="D3604" s="3" t="str">
        <f>HYPERLINK("https://12go.asia/en/travel/Terminal-Persiapan/Pelabuhan-Gilimanuk", "12Go Link")</f>
        <v>12Go Link</v>
      </c>
      <c r="E3604" s="2" t="s">
        <v>3414</v>
      </c>
    </row>
    <row r="3605">
      <c r="A3605" s="2" t="s">
        <v>3500</v>
      </c>
      <c r="B3605" s="2" t="s">
        <v>3394</v>
      </c>
      <c r="C3605" s="2" t="s">
        <v>3602</v>
      </c>
      <c r="D3605" s="3" t="str">
        <f>HYPERLINK("https://12go.asia/en/travel/Ubud-Transfer/Gili-Air", "12Go Link")</f>
        <v>12Go Link</v>
      </c>
      <c r="E3605" s="2" t="s">
        <v>3396</v>
      </c>
    </row>
    <row r="3606">
      <c r="A3606" s="2" t="s">
        <v>3500</v>
      </c>
      <c r="B3606" s="2" t="s">
        <v>3394</v>
      </c>
      <c r="C3606" s="2" t="s">
        <v>3603</v>
      </c>
      <c r="D3606" s="3" t="str">
        <f>HYPERLINK("https://12go.asia/en/travel/Ubud-Transfer/Gili-Meno", "12Go Link")</f>
        <v>12Go Link</v>
      </c>
      <c r="E3606" s="2" t="s">
        <v>3396</v>
      </c>
    </row>
    <row r="3607">
      <c r="A3607" s="2" t="s">
        <v>3500</v>
      </c>
      <c r="B3607" s="2" t="s">
        <v>3394</v>
      </c>
      <c r="C3607" s="2" t="s">
        <v>3604</v>
      </c>
      <c r="D3607" s="3" t="str">
        <f>HYPERLINK("https://12go.asia/en/travel/Ubud-Transfer/Gili-Trawangan-Port", "12Go Link")</f>
        <v>12Go Link</v>
      </c>
      <c r="E3607" s="2" t="s">
        <v>3396</v>
      </c>
    </row>
    <row r="3608">
      <c r="A3608" s="2" t="s">
        <v>3500</v>
      </c>
      <c r="B3608" s="2" t="s">
        <v>3405</v>
      </c>
      <c r="C3608" s="2" t="s">
        <v>3605</v>
      </c>
      <c r="D3608" s="3" t="str">
        <f t="shared" ref="D3608:D3611" si="527">HYPERLINK("https://12go.asia/en/travel/Central-Ubud-Transfer/I-Gusti-Ngurah-Rai-International-Airport", "12Go Link")</f>
        <v>12Go Link</v>
      </c>
      <c r="E3608" s="2" t="s">
        <v>286</v>
      </c>
    </row>
    <row r="3609">
      <c r="A3609" s="2" t="s">
        <v>3500</v>
      </c>
      <c r="B3609" s="2" t="s">
        <v>3405</v>
      </c>
      <c r="C3609" s="2" t="s">
        <v>3605</v>
      </c>
      <c r="D3609" s="3" t="str">
        <f t="shared" si="527"/>
        <v>12Go Link</v>
      </c>
      <c r="E3609" s="2" t="s">
        <v>3407</v>
      </c>
    </row>
    <row r="3610">
      <c r="A3610" s="2" t="s">
        <v>3500</v>
      </c>
      <c r="B3610" s="2" t="s">
        <v>3405</v>
      </c>
      <c r="C3610" s="2" t="s">
        <v>3605</v>
      </c>
      <c r="D3610" s="3" t="str">
        <f t="shared" si="527"/>
        <v>12Go Link</v>
      </c>
      <c r="E3610" s="2" t="s">
        <v>3408</v>
      </c>
    </row>
    <row r="3611">
      <c r="A3611" s="2" t="s">
        <v>3500</v>
      </c>
      <c r="B3611" s="2" t="s">
        <v>3405</v>
      </c>
      <c r="C3611" s="2" t="s">
        <v>3605</v>
      </c>
      <c r="D3611" s="3" t="str">
        <f t="shared" si="527"/>
        <v>12Go Link</v>
      </c>
      <c r="E3611" s="2" t="s">
        <v>3409</v>
      </c>
    </row>
    <row r="3612">
      <c r="A3612" s="2" t="s">
        <v>3500</v>
      </c>
      <c r="B3612" s="2" t="s">
        <v>3415</v>
      </c>
      <c r="C3612" s="2" t="s">
        <v>3606</v>
      </c>
      <c r="D3612" s="3" t="str">
        <f>HYPERLINK("https://12go.asia/en/travel/Coco-Supermarket-Ubud/Jungut-Batu-Harbour", "12Go Link")</f>
        <v>12Go Link</v>
      </c>
      <c r="E3612" s="2" t="s">
        <v>3417</v>
      </c>
    </row>
    <row r="3613">
      <c r="A3613" s="2" t="s">
        <v>3607</v>
      </c>
      <c r="B3613" s="2" t="s">
        <v>3567</v>
      </c>
      <c r="C3613" s="2" t="s">
        <v>3608</v>
      </c>
      <c r="D3613" s="3" t="str">
        <f>HYPERLINK("https://12go.asia/en/travel/west-kotawaringin/semarang", "12Go Link")</f>
        <v>12Go Link</v>
      </c>
      <c r="E3613" s="2" t="s">
        <v>155</v>
      </c>
    </row>
    <row r="3614">
      <c r="A3614" s="2" t="s">
        <v>3609</v>
      </c>
      <c r="B3614" s="2" t="s">
        <v>3518</v>
      </c>
      <c r="C3614" s="2" t="s">
        <v>3610</v>
      </c>
      <c r="D3614" s="3" t="str">
        <f>HYPERLINK("https://12go.asia/en/travel/yogyakarta/pasar-baru", "12Go Link")</f>
        <v>12Go Link</v>
      </c>
      <c r="E3614" s="2" t="s">
        <v>155</v>
      </c>
    </row>
    <row r="3615">
      <c r="A3615" s="2" t="s">
        <v>3611</v>
      </c>
      <c r="B3615" s="2" t="s">
        <v>1565</v>
      </c>
      <c r="C3615" s="2" t="s">
        <v>3612</v>
      </c>
      <c r="D3615" s="3" t="str">
        <f t="shared" ref="D3615:D3616" si="528">HYPERLINK("https://12go.asia/en/travel/Aosta-Hotel-Transfer/Turin-Hotel-Transfer", "12Go Link")</f>
        <v>12Go Link</v>
      </c>
      <c r="E3615" s="2" t="s">
        <v>1567</v>
      </c>
    </row>
    <row r="3616">
      <c r="A3616" s="2" t="s">
        <v>3611</v>
      </c>
      <c r="B3616" s="2" t="s">
        <v>1565</v>
      </c>
      <c r="C3616" s="2" t="s">
        <v>3612</v>
      </c>
      <c r="D3616" s="3" t="str">
        <f t="shared" si="528"/>
        <v>12Go Link</v>
      </c>
      <c r="E3616" s="2" t="s">
        <v>1568</v>
      </c>
    </row>
    <row r="3617">
      <c r="A3617" s="2" t="s">
        <v>3611</v>
      </c>
      <c r="B3617" s="2" t="s">
        <v>1565</v>
      </c>
      <c r="C3617" s="2" t="s">
        <v>3613</v>
      </c>
      <c r="D3617" s="3" t="str">
        <f t="shared" ref="D3617:D3618" si="529">HYPERLINK("https://12go.asia/en/travel/Gressoney-La-Trinite-Hotel-Transfer/Turin-Hotel-Transfer", "12Go Link")</f>
        <v>12Go Link</v>
      </c>
      <c r="E3617" s="2" t="s">
        <v>1567</v>
      </c>
    </row>
    <row r="3618">
      <c r="A3618" s="2" t="s">
        <v>3611</v>
      </c>
      <c r="B3618" s="2" t="s">
        <v>1565</v>
      </c>
      <c r="C3618" s="2" t="s">
        <v>3613</v>
      </c>
      <c r="D3618" s="3" t="str">
        <f t="shared" si="529"/>
        <v>12Go Link</v>
      </c>
      <c r="E3618" s="2" t="s">
        <v>1568</v>
      </c>
    </row>
    <row r="3619">
      <c r="A3619" s="2" t="s">
        <v>3611</v>
      </c>
      <c r="B3619" s="2" t="s">
        <v>1565</v>
      </c>
      <c r="C3619" s="2" t="s">
        <v>3614</v>
      </c>
      <c r="D3619" s="3" t="str">
        <f t="shared" ref="D3619:D3620" si="530">HYPERLINK("https://12go.asia/en/travel/Valtournenche-Ski-Resort/Turin-Hotel-Transfer", "12Go Link")</f>
        <v>12Go Link</v>
      </c>
      <c r="E3619" s="2" t="s">
        <v>1567</v>
      </c>
    </row>
    <row r="3620">
      <c r="A3620" s="2" t="s">
        <v>3611</v>
      </c>
      <c r="B3620" s="2" t="s">
        <v>1565</v>
      </c>
      <c r="C3620" s="2" t="s">
        <v>3614</v>
      </c>
      <c r="D3620" s="3" t="str">
        <f t="shared" si="530"/>
        <v>12Go Link</v>
      </c>
      <c r="E3620" s="2" t="s">
        <v>1568</v>
      </c>
    </row>
    <row r="3621">
      <c r="A3621" s="2" t="s">
        <v>3615</v>
      </c>
      <c r="B3621" s="2" t="s">
        <v>1565</v>
      </c>
      <c r="C3621" s="2" t="s">
        <v>3616</v>
      </c>
      <c r="D3621" s="3" t="str">
        <f t="shared" ref="D3621:D3622" si="531">HYPERLINK("https://12go.asia/en/travel/Bardonecchia-Hotel-Transfer/Turin-Hotel-Transfer", "12Go Link")</f>
        <v>12Go Link</v>
      </c>
      <c r="E3621" s="2" t="s">
        <v>1567</v>
      </c>
    </row>
    <row r="3622">
      <c r="A3622" s="2" t="s">
        <v>3615</v>
      </c>
      <c r="B3622" s="2" t="s">
        <v>1565</v>
      </c>
      <c r="C3622" s="2" t="s">
        <v>3616</v>
      </c>
      <c r="D3622" s="3" t="str">
        <f t="shared" si="531"/>
        <v>12Go Link</v>
      </c>
      <c r="E3622" s="2" t="s">
        <v>1568</v>
      </c>
    </row>
    <row r="3623">
      <c r="A3623" s="2" t="s">
        <v>3617</v>
      </c>
      <c r="B3623" s="2" t="s">
        <v>1565</v>
      </c>
      <c r="C3623" s="2" t="s">
        <v>3618</v>
      </c>
      <c r="D3623" s="3" t="str">
        <f t="shared" ref="D3623:D3624" si="532">HYPERLINK("https://12go.asia/en/travel/Cervinia-Hotel-Transfer/Turin-Hotel-Transfer", "12Go Link")</f>
        <v>12Go Link</v>
      </c>
      <c r="E3623" s="2" t="s">
        <v>1567</v>
      </c>
    </row>
    <row r="3624">
      <c r="A3624" s="2" t="s">
        <v>3617</v>
      </c>
      <c r="B3624" s="2" t="s">
        <v>1565</v>
      </c>
      <c r="C3624" s="2" t="s">
        <v>3618</v>
      </c>
      <c r="D3624" s="3" t="str">
        <f t="shared" si="532"/>
        <v>12Go Link</v>
      </c>
      <c r="E3624" s="2" t="s">
        <v>1568</v>
      </c>
    </row>
    <row r="3625">
      <c r="A3625" s="2" t="s">
        <v>3619</v>
      </c>
      <c r="B3625" s="2" t="s">
        <v>1565</v>
      </c>
      <c r="C3625" s="2" t="s">
        <v>3620</v>
      </c>
      <c r="D3625" s="3" t="str">
        <f t="shared" ref="D3625:D3626" si="533">HYPERLINK("https://12go.asia/en/travel/Cesana-Torinese-Hotel-Transfer/Turin-Hotel-Transfer", "12Go Link")</f>
        <v>12Go Link</v>
      </c>
      <c r="E3625" s="2" t="s">
        <v>1567</v>
      </c>
    </row>
    <row r="3626">
      <c r="A3626" s="2" t="s">
        <v>3619</v>
      </c>
      <c r="B3626" s="2" t="s">
        <v>1565</v>
      </c>
      <c r="C3626" s="2" t="s">
        <v>3620</v>
      </c>
      <c r="D3626" s="3" t="str">
        <f t="shared" si="533"/>
        <v>12Go Link</v>
      </c>
      <c r="E3626" s="2" t="s">
        <v>1568</v>
      </c>
    </row>
    <row r="3627">
      <c r="A3627" s="2" t="s">
        <v>3621</v>
      </c>
      <c r="B3627" s="2" t="s">
        <v>1565</v>
      </c>
      <c r="C3627" s="2" t="s">
        <v>3622</v>
      </c>
      <c r="D3627" s="3" t="str">
        <f t="shared" ref="D3627:D3628" si="534">HYPERLINK("https://12go.asia/en/travel/Champoluc-Hotel-Transfer/Turin-Hotel-Transfer", "12Go Link")</f>
        <v>12Go Link</v>
      </c>
      <c r="E3627" s="2" t="s">
        <v>1567</v>
      </c>
    </row>
    <row r="3628">
      <c r="A3628" s="2" t="s">
        <v>3621</v>
      </c>
      <c r="B3628" s="2" t="s">
        <v>1565</v>
      </c>
      <c r="C3628" s="2" t="s">
        <v>3622</v>
      </c>
      <c r="D3628" s="3" t="str">
        <f t="shared" si="534"/>
        <v>12Go Link</v>
      </c>
      <c r="E3628" s="2" t="s">
        <v>1568</v>
      </c>
    </row>
    <row r="3629">
      <c r="A3629" s="2" t="s">
        <v>3623</v>
      </c>
      <c r="B3629" s="2" t="s">
        <v>1565</v>
      </c>
      <c r="C3629" s="2" t="s">
        <v>3624</v>
      </c>
      <c r="D3629" s="3" t="str">
        <f t="shared" ref="D3629:D3630" si="535">HYPERLINK("https://12go.asia/en/travel/Claviere-Hotel-Transfer/Turin-Hotel-Transfer", "12Go Link")</f>
        <v>12Go Link</v>
      </c>
      <c r="E3629" s="2" t="s">
        <v>1567</v>
      </c>
    </row>
    <row r="3630">
      <c r="A3630" s="2" t="s">
        <v>3623</v>
      </c>
      <c r="B3630" s="2" t="s">
        <v>1565</v>
      </c>
      <c r="C3630" s="2" t="s">
        <v>3624</v>
      </c>
      <c r="D3630" s="3" t="str">
        <f t="shared" si="535"/>
        <v>12Go Link</v>
      </c>
      <c r="E3630" s="2" t="s">
        <v>1568</v>
      </c>
    </row>
    <row r="3631">
      <c r="A3631" s="2" t="s">
        <v>3625</v>
      </c>
      <c r="B3631" s="2" t="s">
        <v>1565</v>
      </c>
      <c r="C3631" s="2" t="s">
        <v>3626</v>
      </c>
      <c r="D3631" s="3" t="str">
        <f t="shared" ref="D3631:D3632" si="536">HYPERLINK("https://12go.asia/en/travel/Courmayeur-Hotel-Transfer/Turin-Hotel-Transfer", "12Go Link")</f>
        <v>12Go Link</v>
      </c>
      <c r="E3631" s="2" t="s">
        <v>1567</v>
      </c>
    </row>
    <row r="3632">
      <c r="A3632" s="2" t="s">
        <v>3625</v>
      </c>
      <c r="B3632" s="2" t="s">
        <v>1565</v>
      </c>
      <c r="C3632" s="2" t="s">
        <v>3626</v>
      </c>
      <c r="D3632" s="3" t="str">
        <f t="shared" si="536"/>
        <v>12Go Link</v>
      </c>
      <c r="E3632" s="2" t="s">
        <v>1568</v>
      </c>
    </row>
    <row r="3633">
      <c r="A3633" s="2" t="s">
        <v>3627</v>
      </c>
      <c r="B3633" s="2" t="s">
        <v>1565</v>
      </c>
      <c r="C3633" s="2" t="s">
        <v>3628</v>
      </c>
      <c r="D3633" s="3" t="str">
        <f t="shared" ref="D3633:D3634" si="537">HYPERLINK("https://12go.asia/en/travel/Gressoney-Saint-Jean-Hotel-Transfer/Turin-Hotel-Transfer", "12Go Link")</f>
        <v>12Go Link</v>
      </c>
      <c r="E3633" s="2" t="s">
        <v>1567</v>
      </c>
    </row>
    <row r="3634">
      <c r="A3634" s="2" t="s">
        <v>3627</v>
      </c>
      <c r="B3634" s="2" t="s">
        <v>1565</v>
      </c>
      <c r="C3634" s="2" t="s">
        <v>3628</v>
      </c>
      <c r="D3634" s="3" t="str">
        <f t="shared" si="537"/>
        <v>12Go Link</v>
      </c>
      <c r="E3634" s="2" t="s">
        <v>1568</v>
      </c>
    </row>
    <row r="3635">
      <c r="A3635" s="2" t="s">
        <v>3629</v>
      </c>
      <c r="B3635" s="2" t="s">
        <v>1565</v>
      </c>
      <c r="C3635" s="2" t="s">
        <v>3630</v>
      </c>
      <c r="D3635" s="3" t="str">
        <f t="shared" ref="D3635:D3636" si="538">HYPERLINK("https://12go.asia/en/travel/La-Thuile-Hotel-Transfer/Turin-Hotel-Transfer", "12Go Link")</f>
        <v>12Go Link</v>
      </c>
      <c r="E3635" s="2" t="s">
        <v>1567</v>
      </c>
    </row>
    <row r="3636">
      <c r="A3636" s="2" t="s">
        <v>3629</v>
      </c>
      <c r="B3636" s="2" t="s">
        <v>1565</v>
      </c>
      <c r="C3636" s="2" t="s">
        <v>3630</v>
      </c>
      <c r="D3636" s="3" t="str">
        <f t="shared" si="538"/>
        <v>12Go Link</v>
      </c>
      <c r="E3636" s="2" t="s">
        <v>1568</v>
      </c>
    </row>
    <row r="3637">
      <c r="A3637" s="2" t="s">
        <v>3631</v>
      </c>
      <c r="B3637" s="2" t="s">
        <v>1565</v>
      </c>
      <c r="C3637" s="2" t="s">
        <v>3632</v>
      </c>
      <c r="D3637" s="3" t="str">
        <f t="shared" ref="D3637:D3638" si="539">HYPERLINK("https://12go.asia/en/travel/Pila-Hotel-Transfer/Turin-Hotel-Transfer", "12Go Link")</f>
        <v>12Go Link</v>
      </c>
      <c r="E3637" s="2" t="s">
        <v>1567</v>
      </c>
    </row>
    <row r="3638">
      <c r="A3638" s="2" t="s">
        <v>3631</v>
      </c>
      <c r="B3638" s="2" t="s">
        <v>1565</v>
      </c>
      <c r="C3638" s="2" t="s">
        <v>3632</v>
      </c>
      <c r="D3638" s="3" t="str">
        <f t="shared" si="539"/>
        <v>12Go Link</v>
      </c>
      <c r="E3638" s="2" t="s">
        <v>1568</v>
      </c>
    </row>
    <row r="3639">
      <c r="A3639" s="2" t="s">
        <v>3633</v>
      </c>
      <c r="B3639" s="2" t="s">
        <v>1565</v>
      </c>
      <c r="C3639" s="2" t="s">
        <v>3634</v>
      </c>
      <c r="D3639" s="3" t="str">
        <f t="shared" ref="D3639:D3640" si="540">HYPERLINK("https://12go.asia/en/travel/Pragelato-Rua-Hotel-Transfer/Turin-Hotel-Transfer", "12Go Link")</f>
        <v>12Go Link</v>
      </c>
      <c r="E3639" s="2" t="s">
        <v>1567</v>
      </c>
    </row>
    <row r="3640">
      <c r="A3640" s="2" t="s">
        <v>3633</v>
      </c>
      <c r="B3640" s="2" t="s">
        <v>1565</v>
      </c>
      <c r="C3640" s="2" t="s">
        <v>3634</v>
      </c>
      <c r="D3640" s="3" t="str">
        <f t="shared" si="540"/>
        <v>12Go Link</v>
      </c>
      <c r="E3640" s="2" t="s">
        <v>1568</v>
      </c>
    </row>
    <row r="3641">
      <c r="A3641" s="2" t="s">
        <v>3635</v>
      </c>
      <c r="B3641" s="2" t="s">
        <v>1565</v>
      </c>
      <c r="C3641" s="2" t="s">
        <v>3636</v>
      </c>
      <c r="D3641" s="3" t="str">
        <f t="shared" ref="D3641:D3642" si="541">HYPERLINK("https://12go.asia/en/travel/Sauze-d-Oulx-Hotel-Transfer/Turin-Hotel-Transfer", "12Go Link")</f>
        <v>12Go Link</v>
      </c>
      <c r="E3641" s="2" t="s">
        <v>1567</v>
      </c>
    </row>
    <row r="3642">
      <c r="A3642" s="2" t="s">
        <v>3635</v>
      </c>
      <c r="B3642" s="2" t="s">
        <v>1565</v>
      </c>
      <c r="C3642" s="2" t="s">
        <v>3636</v>
      </c>
      <c r="D3642" s="3" t="str">
        <f t="shared" si="541"/>
        <v>12Go Link</v>
      </c>
      <c r="E3642" s="2" t="s">
        <v>1568</v>
      </c>
    </row>
    <row r="3643">
      <c r="A3643" s="2" t="s">
        <v>3637</v>
      </c>
      <c r="B3643" s="2" t="s">
        <v>1565</v>
      </c>
      <c r="C3643" s="2" t="s">
        <v>3638</v>
      </c>
      <c r="D3643" s="3" t="str">
        <f t="shared" ref="D3643:D3644" si="542">HYPERLINK("https://12go.asia/en/travel/Sestriere-Hotel-Transfer/Turin-Hotel-Transfer", "12Go Link")</f>
        <v>12Go Link</v>
      </c>
      <c r="E3643" s="2" t="s">
        <v>1567</v>
      </c>
    </row>
    <row r="3644">
      <c r="A3644" s="2" t="s">
        <v>3637</v>
      </c>
      <c r="B3644" s="2" t="s">
        <v>1565</v>
      </c>
      <c r="C3644" s="2" t="s">
        <v>3638</v>
      </c>
      <c r="D3644" s="3" t="str">
        <f t="shared" si="542"/>
        <v>12Go Link</v>
      </c>
      <c r="E3644" s="2" t="s">
        <v>1568</v>
      </c>
    </row>
    <row r="3645">
      <c r="A3645" s="2" t="s">
        <v>1565</v>
      </c>
      <c r="B3645" s="2" t="s">
        <v>1564</v>
      </c>
      <c r="C3645" s="2" t="s">
        <v>3639</v>
      </c>
      <c r="D3645" s="3" t="str">
        <f t="shared" ref="D3645:D3646" si="543">HYPERLINK("https://12go.asia/en/travel/Turin-Hotel-Transfer/Briancon-Transfer", "12Go Link")</f>
        <v>12Go Link</v>
      </c>
      <c r="E3645" s="2" t="s">
        <v>1567</v>
      </c>
    </row>
    <row r="3646">
      <c r="A3646" s="2" t="s">
        <v>1565</v>
      </c>
      <c r="B3646" s="2" t="s">
        <v>1564</v>
      </c>
      <c r="C3646" s="2" t="s">
        <v>3639</v>
      </c>
      <c r="D3646" s="3" t="str">
        <f t="shared" si="543"/>
        <v>12Go Link</v>
      </c>
      <c r="E3646" s="2" t="s">
        <v>1568</v>
      </c>
    </row>
    <row r="3647">
      <c r="A3647" s="2" t="s">
        <v>1565</v>
      </c>
      <c r="B3647" s="2" t="s">
        <v>1569</v>
      </c>
      <c r="C3647" s="2" t="s">
        <v>3640</v>
      </c>
      <c r="D3647" s="3" t="str">
        <f t="shared" ref="D3647:D3648" si="544">HYPERLINK("https://12go.asia/en/travel/Turin-Hotel-Transfer/Courchevel-Transfer", "12Go Link")</f>
        <v>12Go Link</v>
      </c>
      <c r="E3647" s="2" t="s">
        <v>1567</v>
      </c>
    </row>
    <row r="3648">
      <c r="A3648" s="2" t="s">
        <v>1565</v>
      </c>
      <c r="B3648" s="2" t="s">
        <v>1569</v>
      </c>
      <c r="C3648" s="2" t="s">
        <v>3640</v>
      </c>
      <c r="D3648" s="3" t="str">
        <f t="shared" si="544"/>
        <v>12Go Link</v>
      </c>
      <c r="E3648" s="2" t="s">
        <v>1568</v>
      </c>
    </row>
    <row r="3649">
      <c r="A3649" s="2" t="s">
        <v>1565</v>
      </c>
      <c r="B3649" s="2" t="s">
        <v>1571</v>
      </c>
      <c r="C3649" s="2" t="s">
        <v>3641</v>
      </c>
      <c r="D3649" s="3" t="str">
        <f t="shared" ref="D3649:D3650" si="545">HYPERLINK("https://12go.asia/en/travel/Turin-Hotel-Transfer/Le-Bez-Hotel-Transfer", "12Go Link")</f>
        <v>12Go Link</v>
      </c>
      <c r="E3649" s="2" t="s">
        <v>1567</v>
      </c>
    </row>
    <row r="3650">
      <c r="A3650" s="2" t="s">
        <v>1565</v>
      </c>
      <c r="B3650" s="2" t="s">
        <v>1571</v>
      </c>
      <c r="C3650" s="2" t="s">
        <v>3641</v>
      </c>
      <c r="D3650" s="3" t="str">
        <f t="shared" si="545"/>
        <v>12Go Link</v>
      </c>
      <c r="E3650" s="2" t="s">
        <v>1568</v>
      </c>
    </row>
    <row r="3651">
      <c r="A3651" s="2" t="s">
        <v>1565</v>
      </c>
      <c r="B3651" s="2" t="s">
        <v>1571</v>
      </c>
      <c r="C3651" s="2" t="s">
        <v>3642</v>
      </c>
      <c r="D3651" s="3" t="str">
        <f t="shared" ref="D3651:D3652" si="546">HYPERLINK("https://12go.asia/en/travel/Turin-Hotel-Transfer/Serre-Chevalier-Hotel-Transfer", "12Go Link")</f>
        <v>12Go Link</v>
      </c>
      <c r="E3651" s="2" t="s">
        <v>1567</v>
      </c>
    </row>
    <row r="3652">
      <c r="A3652" s="2" t="s">
        <v>1565</v>
      </c>
      <c r="B3652" s="2" t="s">
        <v>1571</v>
      </c>
      <c r="C3652" s="2" t="s">
        <v>3642</v>
      </c>
      <c r="D3652" s="3" t="str">
        <f t="shared" si="546"/>
        <v>12Go Link</v>
      </c>
      <c r="E3652" s="2" t="s">
        <v>1568</v>
      </c>
    </row>
    <row r="3653">
      <c r="A3653" s="2" t="s">
        <v>1565</v>
      </c>
      <c r="B3653" s="2" t="s">
        <v>1574</v>
      </c>
      <c r="C3653" s="2" t="s">
        <v>3643</v>
      </c>
      <c r="D3653" s="3" t="str">
        <f t="shared" ref="D3653:D3654" si="547">HYPERLINK("https://12go.asia/en/travel/Turin-Hotel-Transfer/Meribel-Hotel-Transfer", "12Go Link")</f>
        <v>12Go Link</v>
      </c>
      <c r="E3653" s="2" t="s">
        <v>1567</v>
      </c>
    </row>
    <row r="3654">
      <c r="A3654" s="2" t="s">
        <v>1565</v>
      </c>
      <c r="B3654" s="2" t="s">
        <v>1574</v>
      </c>
      <c r="C3654" s="2" t="s">
        <v>3643</v>
      </c>
      <c r="D3654" s="3" t="str">
        <f t="shared" si="547"/>
        <v>12Go Link</v>
      </c>
      <c r="E3654" s="2" t="s">
        <v>1568</v>
      </c>
    </row>
    <row r="3655">
      <c r="A3655" s="2" t="s">
        <v>1565</v>
      </c>
      <c r="B3655" s="2" t="s">
        <v>1576</v>
      </c>
      <c r="C3655" s="2" t="s">
        <v>3644</v>
      </c>
      <c r="D3655" s="3" t="str">
        <f t="shared" ref="D3655:D3656" si="548">HYPERLINK("https://12go.asia/en/travel/Turin-Hotel-Transfer/Valfrejus-Transfer", "12Go Link")</f>
        <v>12Go Link</v>
      </c>
      <c r="E3655" s="2" t="s">
        <v>1567</v>
      </c>
    </row>
    <row r="3656">
      <c r="A3656" s="2" t="s">
        <v>1565</v>
      </c>
      <c r="B3656" s="2" t="s">
        <v>1576</v>
      </c>
      <c r="C3656" s="2" t="s">
        <v>3644</v>
      </c>
      <c r="D3656" s="3" t="str">
        <f t="shared" si="548"/>
        <v>12Go Link</v>
      </c>
      <c r="E3656" s="2" t="s">
        <v>1568</v>
      </c>
    </row>
    <row r="3657">
      <c r="A3657" s="2" t="s">
        <v>1565</v>
      </c>
      <c r="B3657" s="2" t="s">
        <v>1578</v>
      </c>
      <c r="C3657" s="2" t="s">
        <v>3645</v>
      </c>
      <c r="D3657" s="3" t="str">
        <f t="shared" ref="D3657:D3658" si="549">HYPERLINK("https://12go.asia/en/travel/Turin-Hotel-Transfer/Montgenevre-Hotel-Transfer", "12Go Link")</f>
        <v>12Go Link</v>
      </c>
      <c r="E3657" s="2" t="s">
        <v>1567</v>
      </c>
    </row>
    <row r="3658">
      <c r="A3658" s="2" t="s">
        <v>1565</v>
      </c>
      <c r="B3658" s="2" t="s">
        <v>1578</v>
      </c>
      <c r="C3658" s="2" t="s">
        <v>3645</v>
      </c>
      <c r="D3658" s="3" t="str">
        <f t="shared" si="549"/>
        <v>12Go Link</v>
      </c>
      <c r="E3658" s="2" t="s">
        <v>1568</v>
      </c>
    </row>
    <row r="3659">
      <c r="A3659" s="2" t="s">
        <v>1565</v>
      </c>
      <c r="B3659" s="2" t="s">
        <v>1580</v>
      </c>
      <c r="C3659" s="2" t="s">
        <v>3646</v>
      </c>
      <c r="D3659" s="3" t="str">
        <f t="shared" ref="D3659:D3660" si="550">HYPERLINK("https://12go.asia/en/travel/Turin-Hotel-Transfer/Val-Cenis-Transfer", "12Go Link")</f>
        <v>12Go Link</v>
      </c>
      <c r="E3659" s="2" t="s">
        <v>1567</v>
      </c>
    </row>
    <row r="3660">
      <c r="A3660" s="2" t="s">
        <v>1565</v>
      </c>
      <c r="B3660" s="2" t="s">
        <v>1580</v>
      </c>
      <c r="C3660" s="2" t="s">
        <v>3646</v>
      </c>
      <c r="D3660" s="3" t="str">
        <f t="shared" si="550"/>
        <v>12Go Link</v>
      </c>
      <c r="E3660" s="2" t="s">
        <v>1568</v>
      </c>
    </row>
    <row r="3661">
      <c r="A3661" s="2" t="s">
        <v>1565</v>
      </c>
      <c r="B3661" s="2" t="s">
        <v>1582</v>
      </c>
      <c r="C3661" s="2" t="s">
        <v>3647</v>
      </c>
      <c r="D3661" s="3" t="str">
        <f t="shared" ref="D3661:D3662" si="551">HYPERLINK("https://12go.asia/en/travel/Turin-Hotel-Transfer/Val-d-Isere-Transfer", "12Go Link")</f>
        <v>12Go Link</v>
      </c>
      <c r="E3661" s="2" t="s">
        <v>1567</v>
      </c>
    </row>
    <row r="3662">
      <c r="A3662" s="2" t="s">
        <v>1565</v>
      </c>
      <c r="B3662" s="2" t="s">
        <v>1582</v>
      </c>
      <c r="C3662" s="2" t="s">
        <v>3647</v>
      </c>
      <c r="D3662" s="3" t="str">
        <f t="shared" si="551"/>
        <v>12Go Link</v>
      </c>
      <c r="E3662" s="2" t="s">
        <v>1568</v>
      </c>
    </row>
    <row r="3663">
      <c r="A3663" s="2" t="s">
        <v>1565</v>
      </c>
      <c r="B3663" s="2" t="s">
        <v>3611</v>
      </c>
      <c r="C3663" s="2" t="s">
        <v>3648</v>
      </c>
      <c r="D3663" s="3" t="str">
        <f t="shared" ref="D3663:D3664" si="552">HYPERLINK("https://12go.asia/en/travel/Turin-Hotel-Transfer/Aosta-Hotel-Transfer", "12Go Link")</f>
        <v>12Go Link</v>
      </c>
      <c r="E3663" s="2" t="s">
        <v>1567</v>
      </c>
    </row>
    <row r="3664">
      <c r="A3664" s="2" t="s">
        <v>1565</v>
      </c>
      <c r="B3664" s="2" t="s">
        <v>3611</v>
      </c>
      <c r="C3664" s="2" t="s">
        <v>3648</v>
      </c>
      <c r="D3664" s="3" t="str">
        <f t="shared" si="552"/>
        <v>12Go Link</v>
      </c>
      <c r="E3664" s="2" t="s">
        <v>1568</v>
      </c>
    </row>
    <row r="3665">
      <c r="A3665" s="2" t="s">
        <v>1565</v>
      </c>
      <c r="B3665" s="2" t="s">
        <v>3611</v>
      </c>
      <c r="C3665" s="2" t="s">
        <v>3649</v>
      </c>
      <c r="D3665" s="3" t="str">
        <f t="shared" ref="D3665:D3666" si="553">HYPERLINK("https://12go.asia/en/travel/Turin-Hotel-Transfer/Gressoney-La-Trinite-Hotel-Transfer", "12Go Link")</f>
        <v>12Go Link</v>
      </c>
      <c r="E3665" s="2" t="s">
        <v>1567</v>
      </c>
    </row>
    <row r="3666">
      <c r="A3666" s="2" t="s">
        <v>1565</v>
      </c>
      <c r="B3666" s="2" t="s">
        <v>3611</v>
      </c>
      <c r="C3666" s="2" t="s">
        <v>3649</v>
      </c>
      <c r="D3666" s="3" t="str">
        <f t="shared" si="553"/>
        <v>12Go Link</v>
      </c>
      <c r="E3666" s="2" t="s">
        <v>1568</v>
      </c>
    </row>
    <row r="3667">
      <c r="A3667" s="2" t="s">
        <v>1565</v>
      </c>
      <c r="B3667" s="2" t="s">
        <v>3611</v>
      </c>
      <c r="C3667" s="2" t="s">
        <v>3650</v>
      </c>
      <c r="D3667" s="3" t="str">
        <f t="shared" ref="D3667:D3668" si="554">HYPERLINK("https://12go.asia/en/travel/Turin-Hotel-Transfer/Valtournenche-Ski-Resort", "12Go Link")</f>
        <v>12Go Link</v>
      </c>
      <c r="E3667" s="2" t="s">
        <v>1567</v>
      </c>
    </row>
    <row r="3668">
      <c r="A3668" s="2" t="s">
        <v>1565</v>
      </c>
      <c r="B3668" s="2" t="s">
        <v>3611</v>
      </c>
      <c r="C3668" s="2" t="s">
        <v>3650</v>
      </c>
      <c r="D3668" s="3" t="str">
        <f t="shared" si="554"/>
        <v>12Go Link</v>
      </c>
      <c r="E3668" s="2" t="s">
        <v>1568</v>
      </c>
    </row>
    <row r="3669">
      <c r="A3669" s="2" t="s">
        <v>1565</v>
      </c>
      <c r="B3669" s="2" t="s">
        <v>3615</v>
      </c>
      <c r="C3669" s="2" t="s">
        <v>3651</v>
      </c>
      <c r="D3669" s="3" t="str">
        <f t="shared" ref="D3669:D3670" si="555">HYPERLINK("https://12go.asia/en/travel/Turin-Hotel-Transfer/Bardonecchia-Hotel-Transfer", "12Go Link")</f>
        <v>12Go Link</v>
      </c>
      <c r="E3669" s="2" t="s">
        <v>1567</v>
      </c>
    </row>
    <row r="3670">
      <c r="A3670" s="2" t="s">
        <v>1565</v>
      </c>
      <c r="B3670" s="2" t="s">
        <v>3615</v>
      </c>
      <c r="C3670" s="2" t="s">
        <v>3651</v>
      </c>
      <c r="D3670" s="3" t="str">
        <f t="shared" si="555"/>
        <v>12Go Link</v>
      </c>
      <c r="E3670" s="2" t="s">
        <v>1568</v>
      </c>
    </row>
    <row r="3671">
      <c r="A3671" s="2" t="s">
        <v>1565</v>
      </c>
      <c r="B3671" s="2" t="s">
        <v>3617</v>
      </c>
      <c r="C3671" s="2" t="s">
        <v>3652</v>
      </c>
      <c r="D3671" s="3" t="str">
        <f t="shared" ref="D3671:D3672" si="556">HYPERLINK("https://12go.asia/en/travel/Turin-Hotel-Transfer/Cervinia-Hotel-Transfer", "12Go Link")</f>
        <v>12Go Link</v>
      </c>
      <c r="E3671" s="2" t="s">
        <v>1567</v>
      </c>
    </row>
    <row r="3672">
      <c r="A3672" s="2" t="s">
        <v>1565</v>
      </c>
      <c r="B3672" s="2" t="s">
        <v>3617</v>
      </c>
      <c r="C3672" s="2" t="s">
        <v>3652</v>
      </c>
      <c r="D3672" s="3" t="str">
        <f t="shared" si="556"/>
        <v>12Go Link</v>
      </c>
      <c r="E3672" s="2" t="s">
        <v>1568</v>
      </c>
    </row>
    <row r="3673">
      <c r="A3673" s="2" t="s">
        <v>1565</v>
      </c>
      <c r="B3673" s="2" t="s">
        <v>3619</v>
      </c>
      <c r="C3673" s="2" t="s">
        <v>3653</v>
      </c>
      <c r="D3673" s="3" t="str">
        <f t="shared" ref="D3673:D3674" si="557">HYPERLINK("https://12go.asia/en/travel/Turin-Hotel-Transfer/Cesana-Torinese-Hotel-Transfer", "12Go Link")</f>
        <v>12Go Link</v>
      </c>
      <c r="E3673" s="2" t="s">
        <v>1567</v>
      </c>
    </row>
    <row r="3674">
      <c r="A3674" s="2" t="s">
        <v>1565</v>
      </c>
      <c r="B3674" s="2" t="s">
        <v>3619</v>
      </c>
      <c r="C3674" s="2" t="s">
        <v>3653</v>
      </c>
      <c r="D3674" s="3" t="str">
        <f t="shared" si="557"/>
        <v>12Go Link</v>
      </c>
      <c r="E3674" s="2" t="s">
        <v>1568</v>
      </c>
    </row>
    <row r="3675">
      <c r="A3675" s="2" t="s">
        <v>1565</v>
      </c>
      <c r="B3675" s="2" t="s">
        <v>3621</v>
      </c>
      <c r="C3675" s="2" t="s">
        <v>3654</v>
      </c>
      <c r="D3675" s="3" t="str">
        <f t="shared" ref="D3675:D3676" si="558">HYPERLINK("https://12go.asia/en/travel/Turin-Hotel-Transfer/Champoluc-Hotel-Transfer", "12Go Link")</f>
        <v>12Go Link</v>
      </c>
      <c r="E3675" s="2" t="s">
        <v>1567</v>
      </c>
    </row>
    <row r="3676">
      <c r="A3676" s="2" t="s">
        <v>1565</v>
      </c>
      <c r="B3676" s="2" t="s">
        <v>3621</v>
      </c>
      <c r="C3676" s="2" t="s">
        <v>3654</v>
      </c>
      <c r="D3676" s="3" t="str">
        <f t="shared" si="558"/>
        <v>12Go Link</v>
      </c>
      <c r="E3676" s="2" t="s">
        <v>1568</v>
      </c>
    </row>
    <row r="3677">
      <c r="A3677" s="2" t="s">
        <v>1565</v>
      </c>
      <c r="B3677" s="2" t="s">
        <v>3623</v>
      </c>
      <c r="C3677" s="2" t="s">
        <v>3655</v>
      </c>
      <c r="D3677" s="3" t="str">
        <f t="shared" ref="D3677:D3678" si="559">HYPERLINK("https://12go.asia/en/travel/Turin-Hotel-Transfer/Claviere-Hotel-Transfer", "12Go Link")</f>
        <v>12Go Link</v>
      </c>
      <c r="E3677" s="2" t="s">
        <v>1567</v>
      </c>
    </row>
    <row r="3678">
      <c r="A3678" s="2" t="s">
        <v>1565</v>
      </c>
      <c r="B3678" s="2" t="s">
        <v>3623</v>
      </c>
      <c r="C3678" s="2" t="s">
        <v>3655</v>
      </c>
      <c r="D3678" s="3" t="str">
        <f t="shared" si="559"/>
        <v>12Go Link</v>
      </c>
      <c r="E3678" s="2" t="s">
        <v>1568</v>
      </c>
    </row>
    <row r="3679">
      <c r="A3679" s="2" t="s">
        <v>1565</v>
      </c>
      <c r="B3679" s="2" t="s">
        <v>3625</v>
      </c>
      <c r="C3679" s="2" t="s">
        <v>3656</v>
      </c>
      <c r="D3679" s="3" t="str">
        <f t="shared" ref="D3679:D3680" si="560">HYPERLINK("https://12go.asia/en/travel/Turin-Hotel-Transfer/Courmayeur-Hotel-Transfer", "12Go Link")</f>
        <v>12Go Link</v>
      </c>
      <c r="E3679" s="2" t="s">
        <v>1567</v>
      </c>
    </row>
    <row r="3680">
      <c r="A3680" s="2" t="s">
        <v>1565</v>
      </c>
      <c r="B3680" s="2" t="s">
        <v>3625</v>
      </c>
      <c r="C3680" s="2" t="s">
        <v>3656</v>
      </c>
      <c r="D3680" s="3" t="str">
        <f t="shared" si="560"/>
        <v>12Go Link</v>
      </c>
      <c r="E3680" s="2" t="s">
        <v>1568</v>
      </c>
    </row>
    <row r="3681">
      <c r="A3681" s="2" t="s">
        <v>1565</v>
      </c>
      <c r="B3681" s="2" t="s">
        <v>3627</v>
      </c>
      <c r="C3681" s="2" t="s">
        <v>3657</v>
      </c>
      <c r="D3681" s="3" t="str">
        <f t="shared" ref="D3681:D3682" si="561">HYPERLINK("https://12go.asia/en/travel/Turin-Hotel-Transfer/Gressoney-Saint-Jean-Hotel-Transfer", "12Go Link")</f>
        <v>12Go Link</v>
      </c>
      <c r="E3681" s="2" t="s">
        <v>1567</v>
      </c>
    </row>
    <row r="3682">
      <c r="A3682" s="2" t="s">
        <v>1565</v>
      </c>
      <c r="B3682" s="2" t="s">
        <v>3627</v>
      </c>
      <c r="C3682" s="2" t="s">
        <v>3657</v>
      </c>
      <c r="D3682" s="3" t="str">
        <f t="shared" si="561"/>
        <v>12Go Link</v>
      </c>
      <c r="E3682" s="2" t="s">
        <v>1568</v>
      </c>
    </row>
    <row r="3683">
      <c r="A3683" s="2" t="s">
        <v>1565</v>
      </c>
      <c r="B3683" s="2" t="s">
        <v>3629</v>
      </c>
      <c r="C3683" s="2" t="s">
        <v>3658</v>
      </c>
      <c r="D3683" s="3" t="str">
        <f t="shared" ref="D3683:D3684" si="562">HYPERLINK("https://12go.asia/en/travel/Turin-Hotel-Transfer/La-Thuile-Hotel-Transfer", "12Go Link")</f>
        <v>12Go Link</v>
      </c>
      <c r="E3683" s="2" t="s">
        <v>1567</v>
      </c>
    </row>
    <row r="3684">
      <c r="A3684" s="2" t="s">
        <v>1565</v>
      </c>
      <c r="B3684" s="2" t="s">
        <v>3629</v>
      </c>
      <c r="C3684" s="2" t="s">
        <v>3658</v>
      </c>
      <c r="D3684" s="3" t="str">
        <f t="shared" si="562"/>
        <v>12Go Link</v>
      </c>
      <c r="E3684" s="2" t="s">
        <v>1568</v>
      </c>
    </row>
    <row r="3685">
      <c r="A3685" s="2" t="s">
        <v>1565</v>
      </c>
      <c r="B3685" s="2" t="s">
        <v>3631</v>
      </c>
      <c r="C3685" s="2" t="s">
        <v>3659</v>
      </c>
      <c r="D3685" s="3" t="str">
        <f t="shared" ref="D3685:D3686" si="563">HYPERLINK("https://12go.asia/en/travel/Turin-Hotel-Transfer/Pila-Hotel-Transfer", "12Go Link")</f>
        <v>12Go Link</v>
      </c>
      <c r="E3685" s="2" t="s">
        <v>1567</v>
      </c>
    </row>
    <row r="3686">
      <c r="A3686" s="2" t="s">
        <v>1565</v>
      </c>
      <c r="B3686" s="2" t="s">
        <v>3631</v>
      </c>
      <c r="C3686" s="2" t="s">
        <v>3659</v>
      </c>
      <c r="D3686" s="3" t="str">
        <f t="shared" si="563"/>
        <v>12Go Link</v>
      </c>
      <c r="E3686" s="2" t="s">
        <v>1568</v>
      </c>
    </row>
    <row r="3687">
      <c r="A3687" s="2" t="s">
        <v>1565</v>
      </c>
      <c r="B3687" s="2" t="s">
        <v>3633</v>
      </c>
      <c r="C3687" s="2" t="s">
        <v>3660</v>
      </c>
      <c r="D3687" s="3" t="str">
        <f t="shared" ref="D3687:D3688" si="564">HYPERLINK("https://12go.asia/en/travel/Turin-Hotel-Transfer/Pragelato-Rua-Hotel-Transfer", "12Go Link")</f>
        <v>12Go Link</v>
      </c>
      <c r="E3687" s="2" t="s">
        <v>1567</v>
      </c>
    </row>
    <row r="3688">
      <c r="A3688" s="2" t="s">
        <v>1565</v>
      </c>
      <c r="B3688" s="2" t="s">
        <v>3633</v>
      </c>
      <c r="C3688" s="2" t="s">
        <v>3660</v>
      </c>
      <c r="D3688" s="3" t="str">
        <f t="shared" si="564"/>
        <v>12Go Link</v>
      </c>
      <c r="E3688" s="2" t="s">
        <v>1568</v>
      </c>
    </row>
    <row r="3689">
      <c r="A3689" s="2" t="s">
        <v>1565</v>
      </c>
      <c r="B3689" s="2" t="s">
        <v>3635</v>
      </c>
      <c r="C3689" s="2" t="s">
        <v>3661</v>
      </c>
      <c r="D3689" s="3" t="str">
        <f t="shared" ref="D3689:D3690" si="565">HYPERLINK("https://12go.asia/en/travel/Turin-Hotel-Transfer/Sauze-d-Oulx-Hotel-Transfer", "12Go Link")</f>
        <v>12Go Link</v>
      </c>
      <c r="E3689" s="2" t="s">
        <v>1567</v>
      </c>
    </row>
    <row r="3690">
      <c r="A3690" s="2" t="s">
        <v>1565</v>
      </c>
      <c r="B3690" s="2" t="s">
        <v>3635</v>
      </c>
      <c r="C3690" s="2" t="s">
        <v>3661</v>
      </c>
      <c r="D3690" s="3" t="str">
        <f t="shared" si="565"/>
        <v>12Go Link</v>
      </c>
      <c r="E3690" s="2" t="s">
        <v>1568</v>
      </c>
    </row>
    <row r="3691">
      <c r="A3691" s="2" t="s">
        <v>1565</v>
      </c>
      <c r="B3691" s="2" t="s">
        <v>3637</v>
      </c>
      <c r="C3691" s="2" t="s">
        <v>3662</v>
      </c>
      <c r="D3691" s="3" t="str">
        <f t="shared" ref="D3691:D3692" si="566">HYPERLINK("https://12go.asia/en/travel/Turin-Hotel-Transfer/Sestriere-Hotel-Transfer", "12Go Link")</f>
        <v>12Go Link</v>
      </c>
      <c r="E3691" s="2" t="s">
        <v>1567</v>
      </c>
    </row>
    <row r="3692">
      <c r="A3692" s="2" t="s">
        <v>1565</v>
      </c>
      <c r="B3692" s="2" t="s">
        <v>3637</v>
      </c>
      <c r="C3692" s="2" t="s">
        <v>3662</v>
      </c>
      <c r="D3692" s="3" t="str">
        <f t="shared" si="566"/>
        <v>12Go Link</v>
      </c>
      <c r="E3692" s="2" t="s">
        <v>1568</v>
      </c>
    </row>
    <row r="3693">
      <c r="A3693" s="2" t="s">
        <v>3663</v>
      </c>
      <c r="B3693" s="2" t="s">
        <v>3664</v>
      </c>
      <c r="C3693" s="2" t="s">
        <v>3665</v>
      </c>
      <c r="D3693" s="3" t="str">
        <f t="shared" ref="D3693:D3695" si="567">HYPERLINK("https://12go.asia/en/travel/Hakata-Fukuoka/Kagoshima-Chuo", "12Go Link")</f>
        <v>12Go Link</v>
      </c>
      <c r="E3693" s="2" t="s">
        <v>3666</v>
      </c>
    </row>
    <row r="3694">
      <c r="A3694" s="2" t="s">
        <v>3663</v>
      </c>
      <c r="B3694" s="2" t="s">
        <v>3664</v>
      </c>
      <c r="C3694" s="2" t="s">
        <v>3665</v>
      </c>
      <c r="D3694" s="3" t="str">
        <f t="shared" si="567"/>
        <v>12Go Link</v>
      </c>
      <c r="E3694" s="2" t="s">
        <v>3667</v>
      </c>
    </row>
    <row r="3695">
      <c r="A3695" s="2" t="s">
        <v>3663</v>
      </c>
      <c r="B3695" s="2" t="s">
        <v>3664</v>
      </c>
      <c r="C3695" s="2" t="s">
        <v>3665</v>
      </c>
      <c r="D3695" s="3" t="str">
        <f t="shared" si="567"/>
        <v>12Go Link</v>
      </c>
      <c r="E3695" s="2" t="s">
        <v>3668</v>
      </c>
    </row>
    <row r="3696">
      <c r="A3696" s="2" t="s">
        <v>3663</v>
      </c>
      <c r="B3696" s="2" t="s">
        <v>3669</v>
      </c>
      <c r="C3696" s="2" t="s">
        <v>3670</v>
      </c>
      <c r="D3696" s="3" t="str">
        <f t="shared" ref="D3696:D3698" si="568">HYPERLINK("https://12go.asia/en/travel/Hakata-Fukuoka/Kumamoto", "12Go Link")</f>
        <v>12Go Link</v>
      </c>
      <c r="E3696" s="2" t="s">
        <v>3666</v>
      </c>
    </row>
    <row r="3697">
      <c r="A3697" s="2" t="s">
        <v>3663</v>
      </c>
      <c r="B3697" s="2" t="s">
        <v>3669</v>
      </c>
      <c r="C3697" s="2" t="s">
        <v>3670</v>
      </c>
      <c r="D3697" s="3" t="str">
        <f t="shared" si="568"/>
        <v>12Go Link</v>
      </c>
      <c r="E3697" s="2" t="s">
        <v>3667</v>
      </c>
    </row>
    <row r="3698">
      <c r="A3698" s="2" t="s">
        <v>3663</v>
      </c>
      <c r="B3698" s="2" t="s">
        <v>3669</v>
      </c>
      <c r="C3698" s="2" t="s">
        <v>3670</v>
      </c>
      <c r="D3698" s="3" t="str">
        <f t="shared" si="568"/>
        <v>12Go Link</v>
      </c>
      <c r="E3698" s="2" t="s">
        <v>3668</v>
      </c>
    </row>
    <row r="3699">
      <c r="A3699" s="2" t="s">
        <v>3663</v>
      </c>
      <c r="B3699" s="2" t="s">
        <v>3671</v>
      </c>
      <c r="C3699" s="2" t="s">
        <v>3672</v>
      </c>
      <c r="D3699" s="3" t="str">
        <f t="shared" ref="D3699:D3701" si="569">HYPERLINK("https://12go.asia/en/travel/Hakata-Fukuoka/Kurume", "12Go Link")</f>
        <v>12Go Link</v>
      </c>
      <c r="E3699" s="2" t="s">
        <v>3666</v>
      </c>
    </row>
    <row r="3700">
      <c r="A3700" s="2" t="s">
        <v>3663</v>
      </c>
      <c r="B3700" s="2" t="s">
        <v>3671</v>
      </c>
      <c r="C3700" s="2" t="s">
        <v>3672</v>
      </c>
      <c r="D3700" s="3" t="str">
        <f t="shared" si="569"/>
        <v>12Go Link</v>
      </c>
      <c r="E3700" s="2" t="s">
        <v>3667</v>
      </c>
    </row>
    <row r="3701">
      <c r="A3701" s="2" t="s">
        <v>3663</v>
      </c>
      <c r="B3701" s="2" t="s">
        <v>3671</v>
      </c>
      <c r="C3701" s="2" t="s">
        <v>3672</v>
      </c>
      <c r="D3701" s="3" t="str">
        <f t="shared" si="569"/>
        <v>12Go Link</v>
      </c>
      <c r="E3701" s="2" t="s">
        <v>3668</v>
      </c>
    </row>
    <row r="3702">
      <c r="A3702" s="2" t="s">
        <v>3663</v>
      </c>
      <c r="B3702" s="2" t="s">
        <v>3673</v>
      </c>
      <c r="C3702" s="2" t="s">
        <v>3674</v>
      </c>
      <c r="D3702" s="3" t="str">
        <f>HYPERLINK("https://12go.asia/en/travel/Hakata/Busan", "12Go Link")</f>
        <v>12Go Link</v>
      </c>
      <c r="E3702" s="2" t="s">
        <v>3675</v>
      </c>
    </row>
    <row r="3703">
      <c r="A3703" s="2" t="s">
        <v>3676</v>
      </c>
      <c r="B3703" s="2" t="s">
        <v>3677</v>
      </c>
      <c r="C3703" s="2" t="s">
        <v>3678</v>
      </c>
      <c r="D3703" s="3" t="str">
        <f t="shared" ref="D3703:D3706" si="570">HYPERLINK("https://12go.asia/en/travel/Haneda-Airport/Tokyo-Downtown", "12Go Link")</f>
        <v>12Go Link</v>
      </c>
      <c r="E3703" s="2" t="s">
        <v>286</v>
      </c>
    </row>
    <row r="3704">
      <c r="A3704" s="2" t="s">
        <v>3676</v>
      </c>
      <c r="B3704" s="2" t="s">
        <v>3677</v>
      </c>
      <c r="C3704" s="2" t="s">
        <v>3678</v>
      </c>
      <c r="D3704" s="3" t="str">
        <f t="shared" si="570"/>
        <v>12Go Link</v>
      </c>
      <c r="E3704" s="2" t="s">
        <v>3407</v>
      </c>
    </row>
    <row r="3705">
      <c r="A3705" s="2" t="s">
        <v>3676</v>
      </c>
      <c r="B3705" s="2" t="s">
        <v>3677</v>
      </c>
      <c r="C3705" s="2" t="s">
        <v>3678</v>
      </c>
      <c r="D3705" s="3" t="str">
        <f t="shared" si="570"/>
        <v>12Go Link</v>
      </c>
      <c r="E3705" s="2" t="s">
        <v>3408</v>
      </c>
    </row>
    <row r="3706">
      <c r="A3706" s="2" t="s">
        <v>3676</v>
      </c>
      <c r="B3706" s="2" t="s">
        <v>3677</v>
      </c>
      <c r="C3706" s="2" t="s">
        <v>3678</v>
      </c>
      <c r="D3706" s="3" t="str">
        <f t="shared" si="570"/>
        <v>12Go Link</v>
      </c>
      <c r="E3706" s="2" t="s">
        <v>3409</v>
      </c>
    </row>
    <row r="3707">
      <c r="A3707" s="2" t="s">
        <v>3679</v>
      </c>
      <c r="B3707" s="2" t="s">
        <v>3680</v>
      </c>
      <c r="C3707" s="2" t="s">
        <v>3681</v>
      </c>
      <c r="D3707" s="3" t="str">
        <f>HYPERLINK("https://12go.asia/en/travel/Hiroshima-Port/Setoda-Port", "12Go Link")</f>
        <v>12Go Link</v>
      </c>
      <c r="E3707" s="2" t="s">
        <v>3682</v>
      </c>
    </row>
    <row r="3708">
      <c r="A3708" s="2" t="s">
        <v>3679</v>
      </c>
      <c r="B3708" s="2" t="s">
        <v>3664</v>
      </c>
      <c r="C3708" s="2" t="s">
        <v>3683</v>
      </c>
      <c r="D3708" s="3" t="str">
        <f t="shared" ref="D3708:D3710" si="571">HYPERLINK("https://12go.asia/en/travel/Hiroshima/Kagoshima-Chuo", "12Go Link")</f>
        <v>12Go Link</v>
      </c>
      <c r="E3708" s="2" t="s">
        <v>3666</v>
      </c>
    </row>
    <row r="3709">
      <c r="A3709" s="2" t="s">
        <v>3679</v>
      </c>
      <c r="B3709" s="2" t="s">
        <v>3664</v>
      </c>
      <c r="C3709" s="2" t="s">
        <v>3683</v>
      </c>
      <c r="D3709" s="3" t="str">
        <f t="shared" si="571"/>
        <v>12Go Link</v>
      </c>
      <c r="E3709" s="2" t="s">
        <v>3667</v>
      </c>
    </row>
    <row r="3710">
      <c r="A3710" s="2" t="s">
        <v>3679</v>
      </c>
      <c r="B3710" s="2" t="s">
        <v>3664</v>
      </c>
      <c r="C3710" s="2" t="s">
        <v>3683</v>
      </c>
      <c r="D3710" s="3" t="str">
        <f t="shared" si="571"/>
        <v>12Go Link</v>
      </c>
      <c r="E3710" s="2" t="s">
        <v>3668</v>
      </c>
    </row>
    <row r="3711">
      <c r="A3711" s="2" t="s">
        <v>3679</v>
      </c>
      <c r="B3711" s="2" t="s">
        <v>3669</v>
      </c>
      <c r="C3711" s="2" t="s">
        <v>3684</v>
      </c>
      <c r="D3711" s="3" t="str">
        <f t="shared" ref="D3711:D3713" si="572">HYPERLINK("https://12go.asia/en/travel/Hiroshima/Kumamoto", "12Go Link")</f>
        <v>12Go Link</v>
      </c>
      <c r="E3711" s="2" t="s">
        <v>3666</v>
      </c>
    </row>
    <row r="3712">
      <c r="A3712" s="2" t="s">
        <v>3679</v>
      </c>
      <c r="B3712" s="2" t="s">
        <v>3669</v>
      </c>
      <c r="C3712" s="2" t="s">
        <v>3684</v>
      </c>
      <c r="D3712" s="3" t="str">
        <f t="shared" si="572"/>
        <v>12Go Link</v>
      </c>
      <c r="E3712" s="2" t="s">
        <v>3667</v>
      </c>
    </row>
    <row r="3713">
      <c r="A3713" s="2" t="s">
        <v>3679</v>
      </c>
      <c r="B3713" s="2" t="s">
        <v>3669</v>
      </c>
      <c r="C3713" s="2" t="s">
        <v>3684</v>
      </c>
      <c r="D3713" s="3" t="str">
        <f t="shared" si="572"/>
        <v>12Go Link</v>
      </c>
      <c r="E3713" s="2" t="s">
        <v>3668</v>
      </c>
    </row>
    <row r="3714">
      <c r="A3714" s="2" t="s">
        <v>3679</v>
      </c>
      <c r="B3714" s="2" t="s">
        <v>3685</v>
      </c>
      <c r="C3714" s="2" t="s">
        <v>3686</v>
      </c>
      <c r="D3714" s="3" t="str">
        <f>HYPERLINK("https://12go.asia/en/travel/Hiroshima-Port/Onomichi-Port", "12Go Link")</f>
        <v>12Go Link</v>
      </c>
      <c r="E3714" s="2" t="s">
        <v>3682</v>
      </c>
    </row>
    <row r="3715">
      <c r="A3715" s="2" t="s">
        <v>3680</v>
      </c>
      <c r="B3715" s="2" t="s">
        <v>3685</v>
      </c>
      <c r="C3715" s="2" t="s">
        <v>3687</v>
      </c>
      <c r="D3715" s="3" t="str">
        <f>HYPERLINK("https://12go.asia/en/travel/Setoda-Port/Onomichi-Port", "12Go Link")</f>
        <v>12Go Link</v>
      </c>
      <c r="E3715" s="2" t="s">
        <v>3682</v>
      </c>
    </row>
    <row r="3716">
      <c r="A3716" s="2" t="s">
        <v>3688</v>
      </c>
      <c r="B3716" s="2" t="s">
        <v>3689</v>
      </c>
      <c r="C3716" s="2" t="s">
        <v>3690</v>
      </c>
      <c r="D3716" s="3" t="str">
        <f>HYPERLINK("https://12go.asia/en/travel/Shodoshima-Port/Kobe-Sannomiya-Ferry-Terminal", "12Go Link")</f>
        <v>12Go Link</v>
      </c>
      <c r="E3716" s="2" t="s">
        <v>3485</v>
      </c>
    </row>
    <row r="3717">
      <c r="A3717" s="2" t="s">
        <v>3688</v>
      </c>
      <c r="B3717" s="2" t="s">
        <v>3691</v>
      </c>
      <c r="C3717" s="2" t="s">
        <v>3692</v>
      </c>
      <c r="D3717" s="3" t="str">
        <f>HYPERLINK("https://12go.asia/en/travel/Shodoshima-Port/Takamatsu-Port", "12Go Link")</f>
        <v>12Go Link</v>
      </c>
      <c r="E3717" s="2" t="s">
        <v>3485</v>
      </c>
    </row>
    <row r="3718">
      <c r="A3718" s="2" t="s">
        <v>3693</v>
      </c>
      <c r="B3718" s="2" t="s">
        <v>3694</v>
      </c>
      <c r="C3718" s="2" t="s">
        <v>3695</v>
      </c>
      <c r="D3718" s="3" t="str">
        <f t="shared" ref="D3718:D3721" si="573">HYPERLINK("https://12go.asia/en/travel/Kansai-Airport/Osaka-Downtown", "12Go Link")</f>
        <v>12Go Link</v>
      </c>
      <c r="E3718" s="2" t="s">
        <v>286</v>
      </c>
    </row>
    <row r="3719">
      <c r="A3719" s="2" t="s">
        <v>3693</v>
      </c>
      <c r="B3719" s="2" t="s">
        <v>3694</v>
      </c>
      <c r="C3719" s="2" t="s">
        <v>3695</v>
      </c>
      <c r="D3719" s="3" t="str">
        <f t="shared" si="573"/>
        <v>12Go Link</v>
      </c>
      <c r="E3719" s="2" t="s">
        <v>3407</v>
      </c>
    </row>
    <row r="3720">
      <c r="A3720" s="2" t="s">
        <v>3693</v>
      </c>
      <c r="B3720" s="2" t="s">
        <v>3694</v>
      </c>
      <c r="C3720" s="2" t="s">
        <v>3695</v>
      </c>
      <c r="D3720" s="3" t="str">
        <f t="shared" si="573"/>
        <v>12Go Link</v>
      </c>
      <c r="E3720" s="2" t="s">
        <v>3408</v>
      </c>
    </row>
    <row r="3721">
      <c r="A3721" s="2" t="s">
        <v>3693</v>
      </c>
      <c r="B3721" s="2" t="s">
        <v>3694</v>
      </c>
      <c r="C3721" s="2" t="s">
        <v>3695</v>
      </c>
      <c r="D3721" s="3" t="str">
        <f t="shared" si="573"/>
        <v>12Go Link</v>
      </c>
      <c r="E3721" s="2" t="s">
        <v>3409</v>
      </c>
    </row>
    <row r="3722">
      <c r="A3722" s="2" t="s">
        <v>3696</v>
      </c>
      <c r="B3722" s="2" t="s">
        <v>3664</v>
      </c>
      <c r="C3722" s="2" t="s">
        <v>3697</v>
      </c>
      <c r="D3722" s="3" t="str">
        <f t="shared" ref="D3722:D3724" si="574">HYPERLINK("https://12go.asia/en/travel/Kokura/Kagoshima-Chuo", "12Go Link")</f>
        <v>12Go Link</v>
      </c>
      <c r="E3722" s="2" t="s">
        <v>3666</v>
      </c>
    </row>
    <row r="3723">
      <c r="A3723" s="2" t="s">
        <v>3696</v>
      </c>
      <c r="B3723" s="2" t="s">
        <v>3664</v>
      </c>
      <c r="C3723" s="2" t="s">
        <v>3697</v>
      </c>
      <c r="D3723" s="3" t="str">
        <f t="shared" si="574"/>
        <v>12Go Link</v>
      </c>
      <c r="E3723" s="2" t="s">
        <v>3667</v>
      </c>
    </row>
    <row r="3724">
      <c r="A3724" s="2" t="s">
        <v>3696</v>
      </c>
      <c r="B3724" s="2" t="s">
        <v>3664</v>
      </c>
      <c r="C3724" s="2" t="s">
        <v>3697</v>
      </c>
      <c r="D3724" s="3" t="str">
        <f t="shared" si="574"/>
        <v>12Go Link</v>
      </c>
      <c r="E3724" s="2" t="s">
        <v>3668</v>
      </c>
    </row>
    <row r="3725">
      <c r="A3725" s="2" t="s">
        <v>3696</v>
      </c>
      <c r="B3725" s="2" t="s">
        <v>3669</v>
      </c>
      <c r="C3725" s="2" t="s">
        <v>3698</v>
      </c>
      <c r="D3725" s="3" t="str">
        <f t="shared" ref="D3725:D3727" si="575">HYPERLINK("https://12go.asia/en/travel/Kokura/Kumamoto", "12Go Link")</f>
        <v>12Go Link</v>
      </c>
      <c r="E3725" s="2" t="s">
        <v>3666</v>
      </c>
    </row>
    <row r="3726">
      <c r="A3726" s="2" t="s">
        <v>3696</v>
      </c>
      <c r="B3726" s="2" t="s">
        <v>3669</v>
      </c>
      <c r="C3726" s="2" t="s">
        <v>3698</v>
      </c>
      <c r="D3726" s="3" t="str">
        <f t="shared" si="575"/>
        <v>12Go Link</v>
      </c>
      <c r="E3726" s="2" t="s">
        <v>3667</v>
      </c>
    </row>
    <row r="3727">
      <c r="A3727" s="2" t="s">
        <v>3696</v>
      </c>
      <c r="B3727" s="2" t="s">
        <v>3669</v>
      </c>
      <c r="C3727" s="2" t="s">
        <v>3698</v>
      </c>
      <c r="D3727" s="3" t="str">
        <f t="shared" si="575"/>
        <v>12Go Link</v>
      </c>
      <c r="E3727" s="2" t="s">
        <v>3668</v>
      </c>
    </row>
    <row r="3728">
      <c r="A3728" s="2" t="s">
        <v>3689</v>
      </c>
      <c r="B3728" s="2" t="s">
        <v>3688</v>
      </c>
      <c r="C3728" s="2" t="s">
        <v>3699</v>
      </c>
      <c r="D3728" s="3" t="str">
        <f>HYPERLINK("https://12go.asia/en/travel/Kobe-Sannomiya-Ferry-Terminal/Shodoshima-Port", "12Go Link")</f>
        <v>12Go Link</v>
      </c>
      <c r="E3728" s="2" t="s">
        <v>3485</v>
      </c>
    </row>
    <row r="3729">
      <c r="A3729" s="2" t="s">
        <v>3689</v>
      </c>
      <c r="B3729" s="2" t="s">
        <v>3664</v>
      </c>
      <c r="C3729" s="2" t="s">
        <v>3700</v>
      </c>
      <c r="D3729" s="3" t="str">
        <f t="shared" ref="D3729:D3731" si="576">HYPERLINK("https://12go.asia/en/travel/Shin-Kobe/Kagoshima-Chuo", "12Go Link")</f>
        <v>12Go Link</v>
      </c>
      <c r="E3729" s="2" t="s">
        <v>3666</v>
      </c>
    </row>
    <row r="3730">
      <c r="A3730" s="2" t="s">
        <v>3689</v>
      </c>
      <c r="B3730" s="2" t="s">
        <v>3664</v>
      </c>
      <c r="C3730" s="2" t="s">
        <v>3700</v>
      </c>
      <c r="D3730" s="3" t="str">
        <f t="shared" si="576"/>
        <v>12Go Link</v>
      </c>
      <c r="E3730" s="2" t="s">
        <v>3667</v>
      </c>
    </row>
    <row r="3731">
      <c r="A3731" s="2" t="s">
        <v>3689</v>
      </c>
      <c r="B3731" s="2" t="s">
        <v>3664</v>
      </c>
      <c r="C3731" s="2" t="s">
        <v>3700</v>
      </c>
      <c r="D3731" s="3" t="str">
        <f t="shared" si="576"/>
        <v>12Go Link</v>
      </c>
      <c r="E3731" s="2" t="s">
        <v>3668</v>
      </c>
    </row>
    <row r="3732">
      <c r="A3732" s="2" t="s">
        <v>3689</v>
      </c>
      <c r="B3732" s="2" t="s">
        <v>3669</v>
      </c>
      <c r="C3732" s="2" t="s">
        <v>3701</v>
      </c>
      <c r="D3732" s="3" t="str">
        <f t="shared" ref="D3732:D3734" si="577">HYPERLINK("https://12go.asia/en/travel/Shin-Kobe/Kumamoto", "12Go Link")</f>
        <v>12Go Link</v>
      </c>
      <c r="E3732" s="2" t="s">
        <v>3666</v>
      </c>
    </row>
    <row r="3733">
      <c r="A3733" s="2" t="s">
        <v>3689</v>
      </c>
      <c r="B3733" s="2" t="s">
        <v>3669</v>
      </c>
      <c r="C3733" s="2" t="s">
        <v>3701</v>
      </c>
      <c r="D3733" s="3" t="str">
        <f t="shared" si="577"/>
        <v>12Go Link</v>
      </c>
      <c r="E3733" s="2" t="s">
        <v>3667</v>
      </c>
    </row>
    <row r="3734">
      <c r="A3734" s="2" t="s">
        <v>3689</v>
      </c>
      <c r="B3734" s="2" t="s">
        <v>3669</v>
      </c>
      <c r="C3734" s="2" t="s">
        <v>3701</v>
      </c>
      <c r="D3734" s="3" t="str">
        <f t="shared" si="577"/>
        <v>12Go Link</v>
      </c>
      <c r="E3734" s="2" t="s">
        <v>3668</v>
      </c>
    </row>
    <row r="3735">
      <c r="A3735" s="2" t="s">
        <v>3689</v>
      </c>
      <c r="B3735" s="2" t="s">
        <v>3694</v>
      </c>
      <c r="C3735" s="2" t="s">
        <v>3702</v>
      </c>
      <c r="D3735" s="3" t="str">
        <f t="shared" ref="D3735:D3738" si="578">HYPERLINK("https://12go.asia/en/travel/Kobe-Airport/Osaka-Downtown", "12Go Link")</f>
        <v>12Go Link</v>
      </c>
      <c r="E3735" s="2" t="s">
        <v>286</v>
      </c>
    </row>
    <row r="3736">
      <c r="A3736" s="2" t="s">
        <v>3689</v>
      </c>
      <c r="B3736" s="2" t="s">
        <v>3694</v>
      </c>
      <c r="C3736" s="2" t="s">
        <v>3702</v>
      </c>
      <c r="D3736" s="3" t="str">
        <f t="shared" si="578"/>
        <v>12Go Link</v>
      </c>
      <c r="E3736" s="2" t="s">
        <v>3407</v>
      </c>
    </row>
    <row r="3737">
      <c r="A3737" s="2" t="s">
        <v>3689</v>
      </c>
      <c r="B3737" s="2" t="s">
        <v>3694</v>
      </c>
      <c r="C3737" s="2" t="s">
        <v>3702</v>
      </c>
      <c r="D3737" s="3" t="str">
        <f t="shared" si="578"/>
        <v>12Go Link</v>
      </c>
      <c r="E3737" s="2" t="s">
        <v>3408</v>
      </c>
    </row>
    <row r="3738">
      <c r="A3738" s="2" t="s">
        <v>3689</v>
      </c>
      <c r="B3738" s="2" t="s">
        <v>3694</v>
      </c>
      <c r="C3738" s="2" t="s">
        <v>3702</v>
      </c>
      <c r="D3738" s="3" t="str">
        <f t="shared" si="578"/>
        <v>12Go Link</v>
      </c>
      <c r="E3738" s="2" t="s">
        <v>3409</v>
      </c>
    </row>
    <row r="3739">
      <c r="A3739" s="2" t="s">
        <v>3689</v>
      </c>
      <c r="B3739" s="2" t="s">
        <v>3691</v>
      </c>
      <c r="C3739" s="2" t="s">
        <v>3703</v>
      </c>
      <c r="D3739" s="3" t="str">
        <f>HYPERLINK("https://12go.asia/en/travel/Kobe-Sannomiya-Ferry-Terminal/Takamatsu-Port", "12Go Link")</f>
        <v>12Go Link</v>
      </c>
      <c r="E3739" s="2" t="s">
        <v>3485</v>
      </c>
    </row>
    <row r="3740">
      <c r="A3740" s="2" t="s">
        <v>3704</v>
      </c>
      <c r="B3740" s="2" t="s">
        <v>3677</v>
      </c>
      <c r="C3740" s="2" t="s">
        <v>3705</v>
      </c>
      <c r="D3740" s="3" t="str">
        <f t="shared" ref="D3740:D3741" si="579">HYPERLINK("https://12go.asia/en/travel/Kozushima-Port/Takeshiba-Ship-Terminal", "12Go Link")</f>
        <v>12Go Link</v>
      </c>
      <c r="E3740" s="2" t="s">
        <v>3706</v>
      </c>
    </row>
    <row r="3741">
      <c r="A3741" s="2" t="s">
        <v>3704</v>
      </c>
      <c r="B3741" s="2" t="s">
        <v>3677</v>
      </c>
      <c r="C3741" s="2" t="s">
        <v>3705</v>
      </c>
      <c r="D3741" s="3" t="str">
        <f t="shared" si="579"/>
        <v>12Go Link</v>
      </c>
      <c r="E3741" s="2" t="s">
        <v>3707</v>
      </c>
    </row>
    <row r="3742">
      <c r="A3742" s="2" t="s">
        <v>3669</v>
      </c>
      <c r="B3742" s="2" t="s">
        <v>3664</v>
      </c>
      <c r="C3742" s="2" t="s">
        <v>3708</v>
      </c>
      <c r="D3742" s="3" t="str">
        <f t="shared" ref="D3742:D3744" si="580">HYPERLINK("https://12go.asia/en/travel/Kumamoto/Kagoshima-Chuo", "12Go Link")</f>
        <v>12Go Link</v>
      </c>
      <c r="E3742" s="2" t="s">
        <v>3666</v>
      </c>
    </row>
    <row r="3743">
      <c r="A3743" s="2" t="s">
        <v>3669</v>
      </c>
      <c r="B3743" s="2" t="s">
        <v>3664</v>
      </c>
      <c r="C3743" s="2" t="s">
        <v>3708</v>
      </c>
      <c r="D3743" s="3" t="str">
        <f t="shared" si="580"/>
        <v>12Go Link</v>
      </c>
      <c r="E3743" s="2" t="s">
        <v>3667</v>
      </c>
    </row>
    <row r="3744">
      <c r="A3744" s="2" t="s">
        <v>3669</v>
      </c>
      <c r="B3744" s="2" t="s">
        <v>3664</v>
      </c>
      <c r="C3744" s="2" t="s">
        <v>3708</v>
      </c>
      <c r="D3744" s="3" t="str">
        <f t="shared" si="580"/>
        <v>12Go Link</v>
      </c>
      <c r="E3744" s="2" t="s">
        <v>3668</v>
      </c>
    </row>
    <row r="3745">
      <c r="A3745" s="2" t="s">
        <v>3709</v>
      </c>
      <c r="B3745" s="2" t="s">
        <v>3679</v>
      </c>
      <c r="C3745" s="2" t="s">
        <v>3710</v>
      </c>
      <c r="D3745" s="3" t="str">
        <f>HYPERLINK("https://12go.asia/en/travel/Kure-Central-Pier-Terminal/Hiroshima-Port", "12Go Link")</f>
        <v>12Go Link</v>
      </c>
      <c r="E3745" s="2" t="s">
        <v>3682</v>
      </c>
    </row>
    <row r="3746">
      <c r="A3746" s="2" t="s">
        <v>3671</v>
      </c>
      <c r="B3746" s="2" t="s">
        <v>3664</v>
      </c>
      <c r="C3746" s="2" t="s">
        <v>3711</v>
      </c>
      <c r="D3746" s="3" t="str">
        <f t="shared" ref="D3746:D3748" si="581">HYPERLINK("https://12go.asia/en/travel/Kurume/Kagoshima-Chuo", "12Go Link")</f>
        <v>12Go Link</v>
      </c>
      <c r="E3746" s="2" t="s">
        <v>3666</v>
      </c>
    </row>
    <row r="3747">
      <c r="A3747" s="2" t="s">
        <v>3671</v>
      </c>
      <c r="B3747" s="2" t="s">
        <v>3664</v>
      </c>
      <c r="C3747" s="2" t="s">
        <v>3711</v>
      </c>
      <c r="D3747" s="3" t="str">
        <f t="shared" si="581"/>
        <v>12Go Link</v>
      </c>
      <c r="E3747" s="2" t="s">
        <v>3667</v>
      </c>
    </row>
    <row r="3748">
      <c r="A3748" s="2" t="s">
        <v>3671</v>
      </c>
      <c r="B3748" s="2" t="s">
        <v>3664</v>
      </c>
      <c r="C3748" s="2" t="s">
        <v>3711</v>
      </c>
      <c r="D3748" s="3" t="str">
        <f t="shared" si="581"/>
        <v>12Go Link</v>
      </c>
      <c r="E3748" s="2" t="s">
        <v>3668</v>
      </c>
    </row>
    <row r="3749">
      <c r="A3749" s="2" t="s">
        <v>3671</v>
      </c>
      <c r="B3749" s="2" t="s">
        <v>3669</v>
      </c>
      <c r="C3749" s="2" t="s">
        <v>3712</v>
      </c>
      <c r="D3749" s="3" t="str">
        <f t="shared" ref="D3749:D3751" si="582">HYPERLINK("https://12go.asia/en/travel/Kurume/Kumamoto", "12Go Link")</f>
        <v>12Go Link</v>
      </c>
      <c r="E3749" s="2" t="s">
        <v>3666</v>
      </c>
    </row>
    <row r="3750">
      <c r="A3750" s="2" t="s">
        <v>3671</v>
      </c>
      <c r="B3750" s="2" t="s">
        <v>3669</v>
      </c>
      <c r="C3750" s="2" t="s">
        <v>3712</v>
      </c>
      <c r="D3750" s="3" t="str">
        <f t="shared" si="582"/>
        <v>12Go Link</v>
      </c>
      <c r="E3750" s="2" t="s">
        <v>3667</v>
      </c>
    </row>
    <row r="3751">
      <c r="A3751" s="2" t="s">
        <v>3671</v>
      </c>
      <c r="B3751" s="2" t="s">
        <v>3669</v>
      </c>
      <c r="C3751" s="2" t="s">
        <v>3712</v>
      </c>
      <c r="D3751" s="3" t="str">
        <f t="shared" si="582"/>
        <v>12Go Link</v>
      </c>
      <c r="E3751" s="2" t="s">
        <v>3668</v>
      </c>
    </row>
    <row r="3752">
      <c r="A3752" s="2" t="s">
        <v>3713</v>
      </c>
      <c r="B3752" s="2" t="s">
        <v>3679</v>
      </c>
      <c r="C3752" s="2" t="s">
        <v>3714</v>
      </c>
      <c r="D3752" s="3" t="str">
        <f>HYPERLINK("https://12go.asia/en/travel/Mihara-Port/Hiroshima-Port", "12Go Link")</f>
        <v>12Go Link</v>
      </c>
      <c r="E3752" s="2" t="s">
        <v>3682</v>
      </c>
    </row>
    <row r="3753">
      <c r="A3753" s="2" t="s">
        <v>3713</v>
      </c>
      <c r="B3753" s="2" t="s">
        <v>3709</v>
      </c>
      <c r="C3753" s="2" t="s">
        <v>3715</v>
      </c>
      <c r="D3753" s="3" t="str">
        <f>HYPERLINK("https://12go.asia/en/travel/Mihara-Port/Kure-Central-Pier-Terminal", "12Go Link")</f>
        <v>12Go Link</v>
      </c>
      <c r="E3753" s="2" t="s">
        <v>3682</v>
      </c>
    </row>
    <row r="3754">
      <c r="A3754" s="2" t="s">
        <v>3716</v>
      </c>
      <c r="B3754" s="2" t="s">
        <v>3437</v>
      </c>
      <c r="C3754" s="2" t="s">
        <v>3717</v>
      </c>
      <c r="D3754" s="3" t="str">
        <f>HYPERLINK("https://12go.asia/en/travel/mito/bandar-sunway", "12Go Link")</f>
        <v>12Go Link</v>
      </c>
      <c r="E3754" s="2" t="s">
        <v>155</v>
      </c>
    </row>
    <row r="3755">
      <c r="A3755" s="2" t="s">
        <v>3718</v>
      </c>
      <c r="B3755" s="2" t="s">
        <v>3677</v>
      </c>
      <c r="C3755" s="2" t="s">
        <v>3719</v>
      </c>
      <c r="D3755" s="3" t="str">
        <f t="shared" ref="D3755:D3758" si="583">HYPERLINK("https://12go.asia/en/travel/Narita-Airport/Tokyo-Downtown", "12Go Link")</f>
        <v>12Go Link</v>
      </c>
      <c r="E3755" s="2" t="s">
        <v>286</v>
      </c>
    </row>
    <row r="3756">
      <c r="A3756" s="2" t="s">
        <v>3718</v>
      </c>
      <c r="B3756" s="2" t="s">
        <v>3677</v>
      </c>
      <c r="C3756" s="2" t="s">
        <v>3719</v>
      </c>
      <c r="D3756" s="3" t="str">
        <f t="shared" si="583"/>
        <v>12Go Link</v>
      </c>
      <c r="E3756" s="2" t="s">
        <v>3407</v>
      </c>
    </row>
    <row r="3757">
      <c r="A3757" s="2" t="s">
        <v>3718</v>
      </c>
      <c r="B3757" s="2" t="s">
        <v>3677</v>
      </c>
      <c r="C3757" s="2" t="s">
        <v>3719</v>
      </c>
      <c r="D3757" s="3" t="str">
        <f t="shared" si="583"/>
        <v>12Go Link</v>
      </c>
      <c r="E3757" s="2" t="s">
        <v>3408</v>
      </c>
    </row>
    <row r="3758">
      <c r="A3758" s="2" t="s">
        <v>3718</v>
      </c>
      <c r="B3758" s="2" t="s">
        <v>3677</v>
      </c>
      <c r="C3758" s="2" t="s">
        <v>3719</v>
      </c>
      <c r="D3758" s="3" t="str">
        <f t="shared" si="583"/>
        <v>12Go Link</v>
      </c>
      <c r="E3758" s="2" t="s">
        <v>3409</v>
      </c>
    </row>
    <row r="3759">
      <c r="A3759" s="2" t="s">
        <v>3720</v>
      </c>
      <c r="B3759" s="2" t="s">
        <v>3664</v>
      </c>
      <c r="C3759" s="2" t="s">
        <v>3721</v>
      </c>
      <c r="D3759" s="3" t="str">
        <f t="shared" ref="D3759:D3761" si="584">HYPERLINK("https://12go.asia/en/travel/Okayama/Kagoshima-Chuo", "12Go Link")</f>
        <v>12Go Link</v>
      </c>
      <c r="E3759" s="2" t="s">
        <v>3666</v>
      </c>
    </row>
    <row r="3760">
      <c r="A3760" s="2" t="s">
        <v>3720</v>
      </c>
      <c r="B3760" s="2" t="s">
        <v>3664</v>
      </c>
      <c r="C3760" s="2" t="s">
        <v>3721</v>
      </c>
      <c r="D3760" s="3" t="str">
        <f t="shared" si="584"/>
        <v>12Go Link</v>
      </c>
      <c r="E3760" s="2" t="s">
        <v>3667</v>
      </c>
    </row>
    <row r="3761">
      <c r="A3761" s="2" t="s">
        <v>3720</v>
      </c>
      <c r="B3761" s="2" t="s">
        <v>3664</v>
      </c>
      <c r="C3761" s="2" t="s">
        <v>3721</v>
      </c>
      <c r="D3761" s="3" t="str">
        <f t="shared" si="584"/>
        <v>12Go Link</v>
      </c>
      <c r="E3761" s="2" t="s">
        <v>3668</v>
      </c>
    </row>
    <row r="3762">
      <c r="A3762" s="2" t="s">
        <v>3720</v>
      </c>
      <c r="B3762" s="2" t="s">
        <v>3669</v>
      </c>
      <c r="C3762" s="2" t="s">
        <v>3722</v>
      </c>
      <c r="D3762" s="3" t="str">
        <f t="shared" ref="D3762:D3764" si="585">HYPERLINK("https://12go.asia/en/travel/Okayama/Kumamoto", "12Go Link")</f>
        <v>12Go Link</v>
      </c>
      <c r="E3762" s="2" t="s">
        <v>3666</v>
      </c>
    </row>
    <row r="3763">
      <c r="A3763" s="2" t="s">
        <v>3720</v>
      </c>
      <c r="B3763" s="2" t="s">
        <v>3669</v>
      </c>
      <c r="C3763" s="2" t="s">
        <v>3722</v>
      </c>
      <c r="D3763" s="3" t="str">
        <f t="shared" si="585"/>
        <v>12Go Link</v>
      </c>
      <c r="E3763" s="2" t="s">
        <v>3667</v>
      </c>
    </row>
    <row r="3764">
      <c r="A3764" s="2" t="s">
        <v>3720</v>
      </c>
      <c r="B3764" s="2" t="s">
        <v>3669</v>
      </c>
      <c r="C3764" s="2" t="s">
        <v>3722</v>
      </c>
      <c r="D3764" s="3" t="str">
        <f t="shared" si="585"/>
        <v>12Go Link</v>
      </c>
      <c r="E3764" s="2" t="s">
        <v>3668</v>
      </c>
    </row>
    <row r="3765">
      <c r="A3765" s="2" t="s">
        <v>3685</v>
      </c>
      <c r="B3765" s="2" t="s">
        <v>3679</v>
      </c>
      <c r="C3765" s="2" t="s">
        <v>3723</v>
      </c>
      <c r="D3765" s="3" t="str">
        <f>HYPERLINK("https://12go.asia/en/travel/Onomichi-Port/Hiroshima-Port", "12Go Link")</f>
        <v>12Go Link</v>
      </c>
      <c r="E3765" s="2" t="s">
        <v>3682</v>
      </c>
    </row>
    <row r="3766">
      <c r="A3766" s="2" t="s">
        <v>3685</v>
      </c>
      <c r="B3766" s="2" t="s">
        <v>3709</v>
      </c>
      <c r="C3766" s="2" t="s">
        <v>3724</v>
      </c>
      <c r="D3766" s="3" t="str">
        <f>HYPERLINK("https://12go.asia/en/travel/Onomichi-Port/Kure-Central-Pier-Terminal", "12Go Link")</f>
        <v>12Go Link</v>
      </c>
      <c r="E3766" s="2" t="s">
        <v>3682</v>
      </c>
    </row>
    <row r="3767">
      <c r="A3767" s="2" t="s">
        <v>3685</v>
      </c>
      <c r="B3767" s="2" t="s">
        <v>3713</v>
      </c>
      <c r="C3767" s="2" t="s">
        <v>3725</v>
      </c>
      <c r="D3767" s="3" t="str">
        <f>HYPERLINK("https://12go.asia/en/travel/Onomichi-Port/Mihara-Port", "12Go Link")</f>
        <v>12Go Link</v>
      </c>
      <c r="E3767" s="2" t="s">
        <v>3682</v>
      </c>
    </row>
    <row r="3768">
      <c r="A3768" s="2" t="s">
        <v>3694</v>
      </c>
      <c r="B3768" s="2" t="s">
        <v>3664</v>
      </c>
      <c r="C3768" s="2" t="s">
        <v>3726</v>
      </c>
      <c r="D3768" s="3" t="str">
        <f t="shared" ref="D3768:D3770" si="586">HYPERLINK("https://12go.asia/en/travel/Shin-Osaka/Kagoshima-Chuo", "12Go Link")</f>
        <v>12Go Link</v>
      </c>
      <c r="E3768" s="2" t="s">
        <v>3666</v>
      </c>
    </row>
    <row r="3769">
      <c r="A3769" s="2" t="s">
        <v>3694</v>
      </c>
      <c r="B3769" s="2" t="s">
        <v>3664</v>
      </c>
      <c r="C3769" s="2" t="s">
        <v>3726</v>
      </c>
      <c r="D3769" s="3" t="str">
        <f t="shared" si="586"/>
        <v>12Go Link</v>
      </c>
      <c r="E3769" s="2" t="s">
        <v>3667</v>
      </c>
    </row>
    <row r="3770">
      <c r="A3770" s="2" t="s">
        <v>3694</v>
      </c>
      <c r="B3770" s="2" t="s">
        <v>3664</v>
      </c>
      <c r="C3770" s="2" t="s">
        <v>3726</v>
      </c>
      <c r="D3770" s="3" t="str">
        <f t="shared" si="586"/>
        <v>12Go Link</v>
      </c>
      <c r="E3770" s="2" t="s">
        <v>3668</v>
      </c>
    </row>
    <row r="3771">
      <c r="A3771" s="2" t="s">
        <v>3694</v>
      </c>
      <c r="B3771" s="2" t="s">
        <v>3693</v>
      </c>
      <c r="C3771" s="2" t="s">
        <v>3727</v>
      </c>
      <c r="D3771" s="3" t="str">
        <f t="shared" ref="D3771:D3774" si="587">HYPERLINK("https://12go.asia/en/travel/Osaka-Downtown/Kansai-Airport", "12Go Link")</f>
        <v>12Go Link</v>
      </c>
      <c r="E3771" s="2" t="s">
        <v>286</v>
      </c>
    </row>
    <row r="3772">
      <c r="A3772" s="2" t="s">
        <v>3694</v>
      </c>
      <c r="B3772" s="2" t="s">
        <v>3693</v>
      </c>
      <c r="C3772" s="2" t="s">
        <v>3727</v>
      </c>
      <c r="D3772" s="3" t="str">
        <f t="shared" si="587"/>
        <v>12Go Link</v>
      </c>
      <c r="E3772" s="2" t="s">
        <v>3407</v>
      </c>
    </row>
    <row r="3773">
      <c r="A3773" s="2" t="s">
        <v>3694</v>
      </c>
      <c r="B3773" s="2" t="s">
        <v>3693</v>
      </c>
      <c r="C3773" s="2" t="s">
        <v>3727</v>
      </c>
      <c r="D3773" s="3" t="str">
        <f t="shared" si="587"/>
        <v>12Go Link</v>
      </c>
      <c r="E3773" s="2" t="s">
        <v>3408</v>
      </c>
    </row>
    <row r="3774">
      <c r="A3774" s="2" t="s">
        <v>3694</v>
      </c>
      <c r="B3774" s="2" t="s">
        <v>3693</v>
      </c>
      <c r="C3774" s="2" t="s">
        <v>3727</v>
      </c>
      <c r="D3774" s="3" t="str">
        <f t="shared" si="587"/>
        <v>12Go Link</v>
      </c>
      <c r="E3774" s="2" t="s">
        <v>3409</v>
      </c>
    </row>
    <row r="3775">
      <c r="A3775" s="2" t="s">
        <v>3694</v>
      </c>
      <c r="B3775" s="2" t="s">
        <v>3689</v>
      </c>
      <c r="C3775" s="2" t="s">
        <v>3728</v>
      </c>
      <c r="D3775" s="3" t="str">
        <f t="shared" ref="D3775:D3778" si="588">HYPERLINK("https://12go.asia/en/travel/Osaka-Downtown/Kobe-Airport", "12Go Link")</f>
        <v>12Go Link</v>
      </c>
      <c r="E3775" s="2" t="s">
        <v>286</v>
      </c>
    </row>
    <row r="3776">
      <c r="A3776" s="2" t="s">
        <v>3694</v>
      </c>
      <c r="B3776" s="2" t="s">
        <v>3689</v>
      </c>
      <c r="C3776" s="2" t="s">
        <v>3728</v>
      </c>
      <c r="D3776" s="3" t="str">
        <f t="shared" si="588"/>
        <v>12Go Link</v>
      </c>
      <c r="E3776" s="2" t="s">
        <v>3407</v>
      </c>
    </row>
    <row r="3777">
      <c r="A3777" s="2" t="s">
        <v>3694</v>
      </c>
      <c r="B3777" s="2" t="s">
        <v>3689</v>
      </c>
      <c r="C3777" s="2" t="s">
        <v>3728</v>
      </c>
      <c r="D3777" s="3" t="str">
        <f t="shared" si="588"/>
        <v>12Go Link</v>
      </c>
      <c r="E3777" s="2" t="s">
        <v>3408</v>
      </c>
    </row>
    <row r="3778">
      <c r="A3778" s="2" t="s">
        <v>3694</v>
      </c>
      <c r="B3778" s="2" t="s">
        <v>3689</v>
      </c>
      <c r="C3778" s="2" t="s">
        <v>3728</v>
      </c>
      <c r="D3778" s="3" t="str">
        <f t="shared" si="588"/>
        <v>12Go Link</v>
      </c>
      <c r="E3778" s="2" t="s">
        <v>3409</v>
      </c>
    </row>
    <row r="3779">
      <c r="A3779" s="2" t="s">
        <v>3694</v>
      </c>
      <c r="B3779" s="2" t="s">
        <v>3669</v>
      </c>
      <c r="C3779" s="2" t="s">
        <v>3729</v>
      </c>
      <c r="D3779" s="3" t="str">
        <f t="shared" ref="D3779:D3781" si="589">HYPERLINK("https://12go.asia/en/travel/Shin-Osaka/Kumamoto", "12Go Link")</f>
        <v>12Go Link</v>
      </c>
      <c r="E3779" s="2" t="s">
        <v>3666</v>
      </c>
    </row>
    <row r="3780">
      <c r="A3780" s="2" t="s">
        <v>3694</v>
      </c>
      <c r="B3780" s="2" t="s">
        <v>3669</v>
      </c>
      <c r="C3780" s="2" t="s">
        <v>3729</v>
      </c>
      <c r="D3780" s="3" t="str">
        <f t="shared" si="589"/>
        <v>12Go Link</v>
      </c>
      <c r="E3780" s="2" t="s">
        <v>3667</v>
      </c>
    </row>
    <row r="3781">
      <c r="A3781" s="2" t="s">
        <v>3694</v>
      </c>
      <c r="B3781" s="2" t="s">
        <v>3669</v>
      </c>
      <c r="C3781" s="2" t="s">
        <v>3729</v>
      </c>
      <c r="D3781" s="3" t="str">
        <f t="shared" si="589"/>
        <v>12Go Link</v>
      </c>
      <c r="E3781" s="2" t="s">
        <v>3668</v>
      </c>
    </row>
    <row r="3782">
      <c r="A3782" s="2" t="s">
        <v>3694</v>
      </c>
      <c r="B3782" s="2" t="s">
        <v>3694</v>
      </c>
      <c r="C3782" s="2" t="s">
        <v>3730</v>
      </c>
      <c r="D3782" s="3" t="str">
        <f t="shared" ref="D3782:D3785" si="590">HYPERLINK("https://12go.asia/en/travel/Osaka-Airport/Osaka-Downtown", "12Go Link")</f>
        <v>12Go Link</v>
      </c>
      <c r="E3782" s="2" t="s">
        <v>286</v>
      </c>
    </row>
    <row r="3783">
      <c r="A3783" s="2" t="s">
        <v>3694</v>
      </c>
      <c r="B3783" s="2" t="s">
        <v>3694</v>
      </c>
      <c r="C3783" s="2" t="s">
        <v>3730</v>
      </c>
      <c r="D3783" s="3" t="str">
        <f t="shared" si="590"/>
        <v>12Go Link</v>
      </c>
      <c r="E3783" s="2" t="s">
        <v>3407</v>
      </c>
    </row>
    <row r="3784">
      <c r="A3784" s="2" t="s">
        <v>3694</v>
      </c>
      <c r="B3784" s="2" t="s">
        <v>3694</v>
      </c>
      <c r="C3784" s="2" t="s">
        <v>3730</v>
      </c>
      <c r="D3784" s="3" t="str">
        <f t="shared" si="590"/>
        <v>12Go Link</v>
      </c>
      <c r="E3784" s="2" t="s">
        <v>3408</v>
      </c>
    </row>
    <row r="3785">
      <c r="A3785" s="2" t="s">
        <v>3694</v>
      </c>
      <c r="B3785" s="2" t="s">
        <v>3694</v>
      </c>
      <c r="C3785" s="2" t="s">
        <v>3730</v>
      </c>
      <c r="D3785" s="3" t="str">
        <f t="shared" si="590"/>
        <v>12Go Link</v>
      </c>
      <c r="E3785" s="2" t="s">
        <v>3409</v>
      </c>
    </row>
    <row r="3786">
      <c r="A3786" s="2" t="s">
        <v>3694</v>
      </c>
      <c r="B3786" s="2" t="s">
        <v>3694</v>
      </c>
      <c r="C3786" s="2" t="s">
        <v>3731</v>
      </c>
      <c r="D3786" s="3" t="str">
        <f t="shared" ref="D3786:D3789" si="591">HYPERLINK("https://12go.asia/en/travel/Osaka-Downtown/Osaka-Airport", "12Go Link")</f>
        <v>12Go Link</v>
      </c>
      <c r="E3786" s="2" t="s">
        <v>286</v>
      </c>
    </row>
    <row r="3787">
      <c r="A3787" s="2" t="s">
        <v>3694</v>
      </c>
      <c r="B3787" s="2" t="s">
        <v>3694</v>
      </c>
      <c r="C3787" s="2" t="s">
        <v>3731</v>
      </c>
      <c r="D3787" s="3" t="str">
        <f t="shared" si="591"/>
        <v>12Go Link</v>
      </c>
      <c r="E3787" s="2" t="s">
        <v>3407</v>
      </c>
    </row>
    <row r="3788">
      <c r="A3788" s="2" t="s">
        <v>3694</v>
      </c>
      <c r="B3788" s="2" t="s">
        <v>3694</v>
      </c>
      <c r="C3788" s="2" t="s">
        <v>3731</v>
      </c>
      <c r="D3788" s="3" t="str">
        <f t="shared" si="591"/>
        <v>12Go Link</v>
      </c>
      <c r="E3788" s="2" t="s">
        <v>3408</v>
      </c>
    </row>
    <row r="3789">
      <c r="A3789" s="2" t="s">
        <v>3694</v>
      </c>
      <c r="B3789" s="2" t="s">
        <v>3694</v>
      </c>
      <c r="C3789" s="2" t="s">
        <v>3731</v>
      </c>
      <c r="D3789" s="3" t="str">
        <f t="shared" si="591"/>
        <v>12Go Link</v>
      </c>
      <c r="E3789" s="2" t="s">
        <v>3409</v>
      </c>
    </row>
    <row r="3790">
      <c r="A3790" s="2" t="s">
        <v>3732</v>
      </c>
      <c r="B3790" s="2" t="s">
        <v>3733</v>
      </c>
      <c r="C3790" s="2" t="s">
        <v>3734</v>
      </c>
      <c r="D3790" s="3" t="str">
        <f>HYPERLINK("https://12go.asia/en/travel/Okata-Port/Atami", "12Go Link")</f>
        <v>12Go Link</v>
      </c>
      <c r="E3790" s="2" t="s">
        <v>3706</v>
      </c>
    </row>
    <row r="3791">
      <c r="A3791" s="2" t="s">
        <v>3732</v>
      </c>
      <c r="B3791" s="2" t="s">
        <v>3733</v>
      </c>
      <c r="C3791" s="2" t="s">
        <v>3735</v>
      </c>
      <c r="D3791" s="3" t="str">
        <f>HYPERLINK("https://12go.asia/en/travel/Okata-Port/Inatori-Port", "12Go Link")</f>
        <v>12Go Link</v>
      </c>
      <c r="E3791" s="2" t="s">
        <v>3706</v>
      </c>
    </row>
    <row r="3792">
      <c r="A3792" s="2" t="s">
        <v>3732</v>
      </c>
      <c r="B3792" s="2" t="s">
        <v>3733</v>
      </c>
      <c r="C3792" s="2" t="s">
        <v>3736</v>
      </c>
      <c r="D3792" s="3" t="str">
        <f>HYPERLINK("https://12go.asia/en/travel/Okata-Port/Ito-Port", "12Go Link")</f>
        <v>12Go Link</v>
      </c>
      <c r="E3792" s="2" t="s">
        <v>3485</v>
      </c>
    </row>
    <row r="3793">
      <c r="A3793" s="2" t="s">
        <v>3732</v>
      </c>
      <c r="B3793" s="2" t="s">
        <v>3677</v>
      </c>
      <c r="C3793" s="2" t="s">
        <v>3737</v>
      </c>
      <c r="D3793" s="3" t="str">
        <f>HYPERLINK("https://12go.asia/en/travel/Okata-Port/Takeshiba-Ship-Terminal", "12Go Link")</f>
        <v>12Go Link</v>
      </c>
      <c r="E3793" s="2" t="s">
        <v>3706</v>
      </c>
    </row>
    <row r="3794">
      <c r="A3794" s="2" t="s">
        <v>3732</v>
      </c>
      <c r="B3794" s="2" t="s">
        <v>3677</v>
      </c>
      <c r="C3794" s="2" t="s">
        <v>3738</v>
      </c>
      <c r="D3794" s="3" t="str">
        <f>HYPERLINK("https://12go.asia/en/travel/Okata-Port/Tateyama-Port", "12Go Link")</f>
        <v>12Go Link</v>
      </c>
      <c r="E3794" s="2" t="s">
        <v>3485</v>
      </c>
    </row>
    <row r="3795">
      <c r="A3795" s="2" t="s">
        <v>3732</v>
      </c>
      <c r="B3795" s="2" t="s">
        <v>3739</v>
      </c>
      <c r="C3795" s="2" t="s">
        <v>3740</v>
      </c>
      <c r="D3795" s="3" t="str">
        <f>HYPERLINK("https://12go.asia/en/travel/Okata-Port/Kurihama", "12Go Link")</f>
        <v>12Go Link</v>
      </c>
      <c r="E3795" s="2" t="s">
        <v>3485</v>
      </c>
    </row>
    <row r="3796">
      <c r="A3796" s="2" t="s">
        <v>3741</v>
      </c>
      <c r="B3796" s="2" t="s">
        <v>3677</v>
      </c>
      <c r="C3796" s="2" t="s">
        <v>3742</v>
      </c>
      <c r="D3796" s="3" t="str">
        <f>HYPERLINK("https://12go.asia/en/travel/Shikinejima/Takeshiba-Ship-Terminal", "12Go Link")</f>
        <v>12Go Link</v>
      </c>
      <c r="E3796" s="2" t="s">
        <v>3707</v>
      </c>
    </row>
    <row r="3797">
      <c r="A3797" s="2" t="s">
        <v>3733</v>
      </c>
      <c r="B3797" s="2" t="s">
        <v>3732</v>
      </c>
      <c r="C3797" s="2" t="s">
        <v>3743</v>
      </c>
      <c r="D3797" s="3" t="str">
        <f>HYPERLINK("https://12go.asia/en/travel/Atami/Okata-Port", "12Go Link")</f>
        <v>12Go Link</v>
      </c>
      <c r="E3797" s="2" t="s">
        <v>3706</v>
      </c>
    </row>
    <row r="3798">
      <c r="A3798" s="2" t="s">
        <v>3733</v>
      </c>
      <c r="B3798" s="2" t="s">
        <v>3732</v>
      </c>
      <c r="C3798" s="2" t="s">
        <v>3744</v>
      </c>
      <c r="D3798" s="3" t="str">
        <f>HYPERLINK("https://12go.asia/en/travel/Inatori-Port/Okata-Port", "12Go Link")</f>
        <v>12Go Link</v>
      </c>
      <c r="E3798" s="2" t="s">
        <v>3706</v>
      </c>
    </row>
    <row r="3799">
      <c r="A3799" s="2" t="s">
        <v>3733</v>
      </c>
      <c r="B3799" s="2" t="s">
        <v>3732</v>
      </c>
      <c r="C3799" s="2" t="s">
        <v>3745</v>
      </c>
      <c r="D3799" s="3" t="str">
        <f>HYPERLINK("https://12go.asia/en/travel/Ito-Port/Okata-Port", "12Go Link")</f>
        <v>12Go Link</v>
      </c>
      <c r="E3799" s="2" t="s">
        <v>3485</v>
      </c>
    </row>
    <row r="3800">
      <c r="A3800" s="2" t="s">
        <v>3733</v>
      </c>
      <c r="B3800" s="2" t="s">
        <v>3733</v>
      </c>
      <c r="C3800" s="2" t="s">
        <v>3746</v>
      </c>
      <c r="D3800" s="3" t="str">
        <f>HYPERLINK("https://12go.asia/en/travel/Atami/Ito-Port", "12Go Link")</f>
        <v>12Go Link</v>
      </c>
      <c r="E3800" s="2" t="s">
        <v>3485</v>
      </c>
    </row>
    <row r="3801">
      <c r="A3801" s="2" t="s">
        <v>3733</v>
      </c>
      <c r="B3801" s="2" t="s">
        <v>3733</v>
      </c>
      <c r="C3801" s="2" t="s">
        <v>3747</v>
      </c>
      <c r="D3801" s="3" t="str">
        <f>HYPERLINK("https://12go.asia/en/travel/Ito-Port/Atami", "12Go Link")</f>
        <v>12Go Link</v>
      </c>
      <c r="E3801" s="2" t="s">
        <v>3485</v>
      </c>
    </row>
    <row r="3802">
      <c r="A3802" s="2" t="s">
        <v>3691</v>
      </c>
      <c r="B3802" s="2" t="s">
        <v>3688</v>
      </c>
      <c r="C3802" s="2" t="s">
        <v>3748</v>
      </c>
      <c r="D3802" s="3" t="str">
        <f>HYPERLINK("https://12go.asia/en/travel/Takamatsu-Port/Shodoshima-Port", "12Go Link")</f>
        <v>12Go Link</v>
      </c>
      <c r="E3802" s="2" t="s">
        <v>3485</v>
      </c>
    </row>
    <row r="3803">
      <c r="A3803" s="2" t="s">
        <v>3691</v>
      </c>
      <c r="B3803" s="2" t="s">
        <v>3689</v>
      </c>
      <c r="C3803" s="2" t="s">
        <v>3749</v>
      </c>
      <c r="D3803" s="3" t="str">
        <f>HYPERLINK("https://12go.asia/en/travel/Takamatsu-Port/Kobe-Sannomiya-Ferry-Terminal", "12Go Link")</f>
        <v>12Go Link</v>
      </c>
      <c r="E3803" s="2" t="s">
        <v>3485</v>
      </c>
    </row>
    <row r="3804">
      <c r="A3804" s="2" t="s">
        <v>3677</v>
      </c>
      <c r="B3804" s="2" t="s">
        <v>3676</v>
      </c>
      <c r="C3804" s="2" t="s">
        <v>3750</v>
      </c>
      <c r="D3804" s="3" t="str">
        <f t="shared" ref="D3804:D3807" si="592">HYPERLINK("https://12go.asia/en/travel/Tokyo-Downtown/Haneda-Airport", "12Go Link")</f>
        <v>12Go Link</v>
      </c>
      <c r="E3804" s="2" t="s">
        <v>286</v>
      </c>
    </row>
    <row r="3805">
      <c r="A3805" s="2" t="s">
        <v>3677</v>
      </c>
      <c r="B3805" s="2" t="s">
        <v>3676</v>
      </c>
      <c r="C3805" s="2" t="s">
        <v>3750</v>
      </c>
      <c r="D3805" s="3" t="str">
        <f t="shared" si="592"/>
        <v>12Go Link</v>
      </c>
      <c r="E3805" s="2" t="s">
        <v>3407</v>
      </c>
    </row>
    <row r="3806">
      <c r="A3806" s="2" t="s">
        <v>3677</v>
      </c>
      <c r="B3806" s="2" t="s">
        <v>3676</v>
      </c>
      <c r="C3806" s="2" t="s">
        <v>3750</v>
      </c>
      <c r="D3806" s="3" t="str">
        <f t="shared" si="592"/>
        <v>12Go Link</v>
      </c>
      <c r="E3806" s="2" t="s">
        <v>3408</v>
      </c>
    </row>
    <row r="3807">
      <c r="A3807" s="2" t="s">
        <v>3677</v>
      </c>
      <c r="B3807" s="2" t="s">
        <v>3676</v>
      </c>
      <c r="C3807" s="2" t="s">
        <v>3750</v>
      </c>
      <c r="D3807" s="3" t="str">
        <f t="shared" si="592"/>
        <v>12Go Link</v>
      </c>
      <c r="E3807" s="2" t="s">
        <v>3409</v>
      </c>
    </row>
    <row r="3808">
      <c r="A3808" s="2" t="s">
        <v>3677</v>
      </c>
      <c r="B3808" s="2" t="s">
        <v>3704</v>
      </c>
      <c r="C3808" s="2" t="s">
        <v>3751</v>
      </c>
      <c r="D3808" s="3" t="str">
        <f t="shared" ref="D3808:D3809" si="593">HYPERLINK("https://12go.asia/en/travel/Takeshiba-Ship-Terminal/Kozushima-Port", "12Go Link")</f>
        <v>12Go Link</v>
      </c>
      <c r="E3808" s="2" t="s">
        <v>3706</v>
      </c>
    </row>
    <row r="3809">
      <c r="A3809" s="2" t="s">
        <v>3677</v>
      </c>
      <c r="B3809" s="2" t="s">
        <v>3704</v>
      </c>
      <c r="C3809" s="2" t="s">
        <v>3751</v>
      </c>
      <c r="D3809" s="3" t="str">
        <f t="shared" si="593"/>
        <v>12Go Link</v>
      </c>
      <c r="E3809" s="2" t="s">
        <v>3707</v>
      </c>
    </row>
    <row r="3810">
      <c r="A3810" s="2" t="s">
        <v>3677</v>
      </c>
      <c r="B3810" s="2" t="s">
        <v>3718</v>
      </c>
      <c r="C3810" s="2" t="s">
        <v>3752</v>
      </c>
      <c r="D3810" s="3" t="str">
        <f t="shared" ref="D3810:D3813" si="594">HYPERLINK("https://12go.asia/en/travel/Tokyo-Downtown/Narita-Airport", "12Go Link")</f>
        <v>12Go Link</v>
      </c>
      <c r="E3810" s="2" t="s">
        <v>286</v>
      </c>
    </row>
    <row r="3811">
      <c r="A3811" s="2" t="s">
        <v>3677</v>
      </c>
      <c r="B3811" s="2" t="s">
        <v>3718</v>
      </c>
      <c r="C3811" s="2" t="s">
        <v>3752</v>
      </c>
      <c r="D3811" s="3" t="str">
        <f t="shared" si="594"/>
        <v>12Go Link</v>
      </c>
      <c r="E3811" s="2" t="s">
        <v>3407</v>
      </c>
    </row>
    <row r="3812">
      <c r="A3812" s="2" t="s">
        <v>3677</v>
      </c>
      <c r="B3812" s="2" t="s">
        <v>3718</v>
      </c>
      <c r="C3812" s="2" t="s">
        <v>3752</v>
      </c>
      <c r="D3812" s="3" t="str">
        <f t="shared" si="594"/>
        <v>12Go Link</v>
      </c>
      <c r="E3812" s="2" t="s">
        <v>3408</v>
      </c>
    </row>
    <row r="3813">
      <c r="A3813" s="2" t="s">
        <v>3677</v>
      </c>
      <c r="B3813" s="2" t="s">
        <v>3718</v>
      </c>
      <c r="C3813" s="2" t="s">
        <v>3752</v>
      </c>
      <c r="D3813" s="3" t="str">
        <f t="shared" si="594"/>
        <v>12Go Link</v>
      </c>
      <c r="E3813" s="2" t="s">
        <v>3409</v>
      </c>
    </row>
    <row r="3814">
      <c r="A3814" s="2" t="s">
        <v>3677</v>
      </c>
      <c r="B3814" s="2" t="s">
        <v>3732</v>
      </c>
      <c r="C3814" s="2" t="s">
        <v>3753</v>
      </c>
      <c r="D3814" s="3" t="str">
        <f>HYPERLINK("https://12go.asia/en/travel/Takeshiba-Ship-Terminal/Okata-Port", "12Go Link")</f>
        <v>12Go Link</v>
      </c>
      <c r="E3814" s="2" t="s">
        <v>3706</v>
      </c>
    </row>
    <row r="3815">
      <c r="A3815" s="2" t="s">
        <v>3677</v>
      </c>
      <c r="B3815" s="2" t="s">
        <v>3732</v>
      </c>
      <c r="C3815" s="2" t="s">
        <v>3754</v>
      </c>
      <c r="D3815" s="3" t="str">
        <f>HYPERLINK("https://12go.asia/en/travel/Tateyama-Port/Okata-Port", "12Go Link")</f>
        <v>12Go Link</v>
      </c>
      <c r="E3815" s="2" t="s">
        <v>3485</v>
      </c>
    </row>
    <row r="3816">
      <c r="A3816" s="2" t="s">
        <v>3677</v>
      </c>
      <c r="B3816" s="2" t="s">
        <v>3741</v>
      </c>
      <c r="C3816" s="2" t="s">
        <v>3755</v>
      </c>
      <c r="D3816" s="3" t="str">
        <f>HYPERLINK("https://12go.asia/en/travel/Takeshiba-Ship-Terminal/Shikinejima", "12Go Link")</f>
        <v>12Go Link</v>
      </c>
      <c r="E3816" s="2" t="s">
        <v>3707</v>
      </c>
    </row>
    <row r="3817">
      <c r="A3817" s="2" t="s">
        <v>3677</v>
      </c>
      <c r="B3817" s="2" t="s">
        <v>3677</v>
      </c>
      <c r="C3817" s="2" t="s">
        <v>3756</v>
      </c>
      <c r="D3817" s="3" t="str">
        <f>HYPERLINK("https://12go.asia/en/travel/Hachijojima-Port/Mikurajima-Port", "12Go Link")</f>
        <v>12Go Link</v>
      </c>
      <c r="E3817" s="2" t="s">
        <v>3707</v>
      </c>
    </row>
    <row r="3818">
      <c r="A3818" s="2" t="s">
        <v>3677</v>
      </c>
      <c r="B3818" s="2" t="s">
        <v>3677</v>
      </c>
      <c r="C3818" s="2" t="s">
        <v>3757</v>
      </c>
      <c r="D3818" s="3" t="str">
        <f>HYPERLINK("https://12go.asia/en/travel/Hachijojima-Port/Miyakejima-Port", "12Go Link")</f>
        <v>12Go Link</v>
      </c>
      <c r="E3818" s="2" t="s">
        <v>3707</v>
      </c>
    </row>
    <row r="3819">
      <c r="A3819" s="2" t="s">
        <v>3677</v>
      </c>
      <c r="B3819" s="2" t="s">
        <v>3677</v>
      </c>
      <c r="C3819" s="2" t="s">
        <v>3758</v>
      </c>
      <c r="D3819" s="3" t="str">
        <f>HYPERLINK("https://12go.asia/en/travel/Hachijojima-Port/Takeshiba-Ship-Terminal", "12Go Link")</f>
        <v>12Go Link</v>
      </c>
      <c r="E3819" s="2" t="s">
        <v>3707</v>
      </c>
    </row>
    <row r="3820">
      <c r="A3820" s="2" t="s">
        <v>3677</v>
      </c>
      <c r="B3820" s="2" t="s">
        <v>3677</v>
      </c>
      <c r="C3820" s="2" t="s">
        <v>3759</v>
      </c>
      <c r="D3820" s="3" t="str">
        <f>HYPERLINK("https://12go.asia/en/travel/Mikurajima-Port/Hachijojima-Port", "12Go Link")</f>
        <v>12Go Link</v>
      </c>
      <c r="E3820" s="2" t="s">
        <v>3707</v>
      </c>
    </row>
    <row r="3821">
      <c r="A3821" s="2" t="s">
        <v>3677</v>
      </c>
      <c r="B3821" s="2" t="s">
        <v>3677</v>
      </c>
      <c r="C3821" s="2" t="s">
        <v>3760</v>
      </c>
      <c r="D3821" s="3" t="str">
        <f>HYPERLINK("https://12go.asia/en/travel/Mikurajima-Port/Miyakejima-Port", "12Go Link")</f>
        <v>12Go Link</v>
      </c>
      <c r="E3821" s="2" t="s">
        <v>3707</v>
      </c>
    </row>
    <row r="3822">
      <c r="A3822" s="2" t="s">
        <v>3677</v>
      </c>
      <c r="B3822" s="2" t="s">
        <v>3677</v>
      </c>
      <c r="C3822" s="2" t="s">
        <v>3761</v>
      </c>
      <c r="D3822" s="3" t="str">
        <f>HYPERLINK("https://12go.asia/en/travel/Mikurajima-Port/Takeshiba-Ship-Terminal", "12Go Link")</f>
        <v>12Go Link</v>
      </c>
      <c r="E3822" s="2" t="s">
        <v>3707</v>
      </c>
    </row>
    <row r="3823">
      <c r="A3823" s="2" t="s">
        <v>3677</v>
      </c>
      <c r="B3823" s="2" t="s">
        <v>3677</v>
      </c>
      <c r="C3823" s="2" t="s">
        <v>3762</v>
      </c>
      <c r="D3823" s="3" t="str">
        <f>HYPERLINK("https://12go.asia/en/travel/Miyakejima-Port/Hachijojima-Port", "12Go Link")</f>
        <v>12Go Link</v>
      </c>
      <c r="E3823" s="2" t="s">
        <v>3707</v>
      </c>
    </row>
    <row r="3824">
      <c r="A3824" s="2" t="s">
        <v>3677</v>
      </c>
      <c r="B3824" s="2" t="s">
        <v>3677</v>
      </c>
      <c r="C3824" s="2" t="s">
        <v>3763</v>
      </c>
      <c r="D3824" s="3" t="str">
        <f>HYPERLINK("https://12go.asia/en/travel/Miyakejima-Port/Mikurajima-Port", "12Go Link")</f>
        <v>12Go Link</v>
      </c>
      <c r="E3824" s="2" t="s">
        <v>3707</v>
      </c>
    </row>
    <row r="3825">
      <c r="A3825" s="2" t="s">
        <v>3677</v>
      </c>
      <c r="B3825" s="2" t="s">
        <v>3677</v>
      </c>
      <c r="C3825" s="2" t="s">
        <v>3764</v>
      </c>
      <c r="D3825" s="3" t="str">
        <f>HYPERLINK("https://12go.asia/en/travel/Miyakejima-Port/Takeshiba-Ship-Terminal", "12Go Link")</f>
        <v>12Go Link</v>
      </c>
      <c r="E3825" s="2" t="s">
        <v>3707</v>
      </c>
    </row>
    <row r="3826">
      <c r="A3826" s="2" t="s">
        <v>3677</v>
      </c>
      <c r="B3826" s="2" t="s">
        <v>3677</v>
      </c>
      <c r="C3826" s="2" t="s">
        <v>3765</v>
      </c>
      <c r="D3826" s="3" t="str">
        <f>HYPERLINK("https://12go.asia/en/travel/Niijima-Port/Takeshiba-Ship-Terminal", "12Go Link")</f>
        <v>12Go Link</v>
      </c>
      <c r="E3826" s="2" t="s">
        <v>3707</v>
      </c>
    </row>
    <row r="3827">
      <c r="A3827" s="2" t="s">
        <v>3677</v>
      </c>
      <c r="B3827" s="2" t="s">
        <v>3677</v>
      </c>
      <c r="C3827" s="2" t="s">
        <v>3766</v>
      </c>
      <c r="D3827" s="3" t="str">
        <f>HYPERLINK("https://12go.asia/en/travel/Takeshiba-Ship-Terminal/Hachijojima-Port", "12Go Link")</f>
        <v>12Go Link</v>
      </c>
      <c r="E3827" s="2" t="s">
        <v>3707</v>
      </c>
    </row>
    <row r="3828">
      <c r="A3828" s="2" t="s">
        <v>3677</v>
      </c>
      <c r="B3828" s="2" t="s">
        <v>3677</v>
      </c>
      <c r="C3828" s="2" t="s">
        <v>3767</v>
      </c>
      <c r="D3828" s="3" t="str">
        <f>HYPERLINK("https://12go.asia/en/travel/Takeshiba-Ship-Terminal/Mikurajima-Port", "12Go Link")</f>
        <v>12Go Link</v>
      </c>
      <c r="E3828" s="2" t="s">
        <v>3707</v>
      </c>
    </row>
    <row r="3829">
      <c r="A3829" s="2" t="s">
        <v>3677</v>
      </c>
      <c r="B3829" s="2" t="s">
        <v>3677</v>
      </c>
      <c r="C3829" s="2" t="s">
        <v>3768</v>
      </c>
      <c r="D3829" s="3" t="str">
        <f>HYPERLINK("https://12go.asia/en/travel/Takeshiba-Ship-Terminal/Miyakejima-Port", "12Go Link")</f>
        <v>12Go Link</v>
      </c>
      <c r="E3829" s="2" t="s">
        <v>3707</v>
      </c>
    </row>
    <row r="3830">
      <c r="A3830" s="2" t="s">
        <v>3677</v>
      </c>
      <c r="B3830" s="2" t="s">
        <v>3677</v>
      </c>
      <c r="C3830" s="2" t="s">
        <v>3769</v>
      </c>
      <c r="D3830" s="3" t="str">
        <f>HYPERLINK("https://12go.asia/en/travel/Takeshiba-Ship-Terminal/Niijima-Port", "12Go Link")</f>
        <v>12Go Link</v>
      </c>
      <c r="E3830" s="2" t="s">
        <v>3707</v>
      </c>
    </row>
    <row r="3831">
      <c r="A3831" s="2" t="s">
        <v>3677</v>
      </c>
      <c r="B3831" s="2" t="s">
        <v>3677</v>
      </c>
      <c r="C3831" s="2" t="s">
        <v>3770</v>
      </c>
      <c r="D3831" s="3" t="str">
        <f>HYPERLINK("https://12go.asia/en/travel/Takeshiba-Ship-Terminal/Tateyama-Port", "12Go Link")</f>
        <v>12Go Link</v>
      </c>
      <c r="E3831" s="2" t="s">
        <v>3485</v>
      </c>
    </row>
    <row r="3832">
      <c r="A3832" s="2" t="s">
        <v>3677</v>
      </c>
      <c r="B3832" s="2" t="s">
        <v>3677</v>
      </c>
      <c r="C3832" s="2" t="s">
        <v>3771</v>
      </c>
      <c r="D3832" s="3" t="str">
        <f>HYPERLINK("https://12go.asia/en/travel/Tateyama-Port/Takeshiba-Ship-Terminal", "12Go Link")</f>
        <v>12Go Link</v>
      </c>
      <c r="E3832" s="2" t="s">
        <v>3485</v>
      </c>
    </row>
    <row r="3833">
      <c r="A3833" s="2" t="s">
        <v>3677</v>
      </c>
      <c r="B3833" s="2" t="s">
        <v>3739</v>
      </c>
      <c r="C3833" s="2" t="s">
        <v>3772</v>
      </c>
      <c r="D3833" s="3" t="str">
        <f>HYPERLINK("https://12go.asia/en/travel/Takeshiba-Ship-Terminal/Kurihama", "12Go Link")</f>
        <v>12Go Link</v>
      </c>
      <c r="E3833" s="2" t="s">
        <v>3485</v>
      </c>
    </row>
    <row r="3834">
      <c r="A3834" s="2" t="s">
        <v>3773</v>
      </c>
      <c r="B3834" s="2" t="s">
        <v>3664</v>
      </c>
      <c r="C3834" s="2" t="s">
        <v>3774</v>
      </c>
      <c r="D3834" s="3" t="str">
        <f>HYPERLINK("https://12go.asia/en/travel/Miyanoura/Kagoshima", "12Go Link")</f>
        <v>12Go Link</v>
      </c>
      <c r="E3834" s="2" t="s">
        <v>3706</v>
      </c>
    </row>
    <row r="3835">
      <c r="A3835" s="2" t="s">
        <v>3739</v>
      </c>
      <c r="B3835" s="2" t="s">
        <v>3732</v>
      </c>
      <c r="C3835" s="2" t="s">
        <v>3775</v>
      </c>
      <c r="D3835" s="3" t="str">
        <f>HYPERLINK("https://12go.asia/en/travel/Kurihama/Okata-Port", "12Go Link")</f>
        <v>12Go Link</v>
      </c>
      <c r="E3835" s="2" t="s">
        <v>3485</v>
      </c>
    </row>
    <row r="3836">
      <c r="A3836" s="2" t="s">
        <v>3739</v>
      </c>
      <c r="B3836" s="2" t="s">
        <v>3677</v>
      </c>
      <c r="C3836" s="2" t="s">
        <v>3776</v>
      </c>
      <c r="D3836" s="3" t="str">
        <f>HYPERLINK("https://12go.asia/en/travel/Kurihama/Takeshiba-Ship-Terminal", "12Go Link")</f>
        <v>12Go Link</v>
      </c>
      <c r="E3836" s="2" t="s">
        <v>3485</v>
      </c>
    </row>
    <row r="3837">
      <c r="A3837" s="2" t="s">
        <v>3777</v>
      </c>
      <c r="B3837" s="2" t="s">
        <v>3778</v>
      </c>
      <c r="C3837" s="2" t="s">
        <v>3779</v>
      </c>
      <c r="D3837" s="3" t="str">
        <f t="shared" ref="D3837:D3838" si="595">HYPERLINK("https://12go.asia/en/travel/Ajloun-Hotel-Transfer/Amman-Airport", "12Go Link")</f>
        <v>12Go Link</v>
      </c>
      <c r="E3837" s="2" t="s">
        <v>3780</v>
      </c>
    </row>
    <row r="3838">
      <c r="A3838" s="2" t="s">
        <v>3777</v>
      </c>
      <c r="B3838" s="2" t="s">
        <v>3778</v>
      </c>
      <c r="C3838" s="2" t="s">
        <v>3779</v>
      </c>
      <c r="D3838" s="3" t="str">
        <f t="shared" si="595"/>
        <v>12Go Link</v>
      </c>
      <c r="E3838" s="2" t="s">
        <v>1567</v>
      </c>
    </row>
    <row r="3839">
      <c r="A3839" s="2" t="s">
        <v>3777</v>
      </c>
      <c r="B3839" s="2" t="s">
        <v>3778</v>
      </c>
      <c r="C3839" s="2" t="s">
        <v>3781</v>
      </c>
      <c r="D3839" s="3" t="str">
        <f t="shared" ref="D3839:D3840" si="596">HYPERLINK("https://12go.asia/en/travel/Ajloun-Hotel-Transfer/Amman-Hotel-Transfer", "12Go Link")</f>
        <v>12Go Link</v>
      </c>
      <c r="E3839" s="2" t="s">
        <v>3780</v>
      </c>
    </row>
    <row r="3840">
      <c r="A3840" s="2" t="s">
        <v>3777</v>
      </c>
      <c r="B3840" s="2" t="s">
        <v>3778</v>
      </c>
      <c r="C3840" s="2" t="s">
        <v>3781</v>
      </c>
      <c r="D3840" s="3" t="str">
        <f t="shared" si="596"/>
        <v>12Go Link</v>
      </c>
      <c r="E3840" s="2" t="s">
        <v>1567</v>
      </c>
    </row>
    <row r="3841">
      <c r="A3841" s="2" t="s">
        <v>3777</v>
      </c>
      <c r="B3841" s="2" t="s">
        <v>3778</v>
      </c>
      <c r="C3841" s="2" t="s">
        <v>3782</v>
      </c>
      <c r="D3841" s="3" t="str">
        <f t="shared" ref="D3841:D3842" si="597">HYPERLINK("https://12go.asia/en/travel/Ajloun-Hotel-Transfer/King-Hussein-Bridge-Border-Crossing-Amman", "12Go Link")</f>
        <v>12Go Link</v>
      </c>
      <c r="E3841" s="2" t="s">
        <v>3780</v>
      </c>
    </row>
    <row r="3842">
      <c r="A3842" s="2" t="s">
        <v>3777</v>
      </c>
      <c r="B3842" s="2" t="s">
        <v>3778</v>
      </c>
      <c r="C3842" s="2" t="s">
        <v>3782</v>
      </c>
      <c r="D3842" s="3" t="str">
        <f t="shared" si="597"/>
        <v>12Go Link</v>
      </c>
      <c r="E3842" s="2" t="s">
        <v>1567</v>
      </c>
    </row>
    <row r="3843">
      <c r="A3843" s="2" t="s">
        <v>3777</v>
      </c>
      <c r="B3843" s="2" t="s">
        <v>3783</v>
      </c>
      <c r="C3843" s="2" t="s">
        <v>3784</v>
      </c>
      <c r="D3843" s="3" t="str">
        <f t="shared" ref="D3843:D3844" si="598">HYPERLINK("https://12go.asia/en/travel/Ajloun-Hotel-Transfer/Aqaba-Hotel-Transfer", "12Go Link")</f>
        <v>12Go Link</v>
      </c>
      <c r="E3843" s="2" t="s">
        <v>3780</v>
      </c>
    </row>
    <row r="3844">
      <c r="A3844" s="2" t="s">
        <v>3777</v>
      </c>
      <c r="B3844" s="2" t="s">
        <v>3783</v>
      </c>
      <c r="C3844" s="2" t="s">
        <v>3784</v>
      </c>
      <c r="D3844" s="3" t="str">
        <f t="shared" si="598"/>
        <v>12Go Link</v>
      </c>
      <c r="E3844" s="2" t="s">
        <v>1567</v>
      </c>
    </row>
    <row r="3845">
      <c r="A3845" s="2" t="s">
        <v>3777</v>
      </c>
      <c r="B3845" s="2" t="s">
        <v>3783</v>
      </c>
      <c r="C3845" s="2" t="s">
        <v>3785</v>
      </c>
      <c r="D3845" s="3" t="str">
        <f t="shared" ref="D3845:D3846" si="599">HYPERLINK("https://12go.asia/en/travel/Ajloun-Hotel-Transfer/Aqaba-Port", "12Go Link")</f>
        <v>12Go Link</v>
      </c>
      <c r="E3845" s="2" t="s">
        <v>3780</v>
      </c>
    </row>
    <row r="3846">
      <c r="A3846" s="2" t="s">
        <v>3777</v>
      </c>
      <c r="B3846" s="2" t="s">
        <v>3783</v>
      </c>
      <c r="C3846" s="2" t="s">
        <v>3785</v>
      </c>
      <c r="D3846" s="3" t="str">
        <f t="shared" si="599"/>
        <v>12Go Link</v>
      </c>
      <c r="E3846" s="2" t="s">
        <v>1567</v>
      </c>
    </row>
    <row r="3847">
      <c r="A3847" s="2" t="s">
        <v>3777</v>
      </c>
      <c r="B3847" s="2" t="s">
        <v>3786</v>
      </c>
      <c r="C3847" s="2" t="s">
        <v>3787</v>
      </c>
      <c r="D3847" s="3" t="str">
        <f t="shared" ref="D3847:D3848" si="600">HYPERLINK("https://12go.asia/en/travel/Ajloun-Hotel-Transfer/Dead-Sea-Hotel-Transfer", "12Go Link")</f>
        <v>12Go Link</v>
      </c>
      <c r="E3847" s="2" t="s">
        <v>3780</v>
      </c>
    </row>
    <row r="3848">
      <c r="A3848" s="2" t="s">
        <v>3777</v>
      </c>
      <c r="B3848" s="2" t="s">
        <v>3786</v>
      </c>
      <c r="C3848" s="2" t="s">
        <v>3787</v>
      </c>
      <c r="D3848" s="3" t="str">
        <f t="shared" si="600"/>
        <v>12Go Link</v>
      </c>
      <c r="E3848" s="2" t="s">
        <v>1567</v>
      </c>
    </row>
    <row r="3849">
      <c r="A3849" s="2" t="s">
        <v>3777</v>
      </c>
      <c r="B3849" s="2" t="s">
        <v>3788</v>
      </c>
      <c r="C3849" s="2" t="s">
        <v>3789</v>
      </c>
      <c r="D3849" s="3" t="str">
        <f t="shared" ref="D3849:D3850" si="601">HYPERLINK("https://12go.asia/en/travel/Ajloun-Hotel-Transfer/Irbid-Hotel-Transfer", "12Go Link")</f>
        <v>12Go Link</v>
      </c>
      <c r="E3849" s="2" t="s">
        <v>3780</v>
      </c>
    </row>
    <row r="3850">
      <c r="A3850" s="2" t="s">
        <v>3777</v>
      </c>
      <c r="B3850" s="2" t="s">
        <v>3788</v>
      </c>
      <c r="C3850" s="2" t="s">
        <v>3789</v>
      </c>
      <c r="D3850" s="3" t="str">
        <f t="shared" si="601"/>
        <v>12Go Link</v>
      </c>
      <c r="E3850" s="2" t="s">
        <v>1567</v>
      </c>
    </row>
    <row r="3851">
      <c r="A3851" s="2" t="s">
        <v>3777</v>
      </c>
      <c r="B3851" s="2" t="s">
        <v>3790</v>
      </c>
      <c r="C3851" s="2" t="s">
        <v>3791</v>
      </c>
      <c r="D3851" s="3" t="str">
        <f t="shared" ref="D3851:D3852" si="602">HYPERLINK("https://12go.asia/en/travel/Ajloun-Hotel-Transfer/Jerash-Hotel-Transfer", "12Go Link")</f>
        <v>12Go Link</v>
      </c>
      <c r="E3851" s="2" t="s">
        <v>3780</v>
      </c>
    </row>
    <row r="3852">
      <c r="A3852" s="2" t="s">
        <v>3777</v>
      </c>
      <c r="B3852" s="2" t="s">
        <v>3790</v>
      </c>
      <c r="C3852" s="2" t="s">
        <v>3791</v>
      </c>
      <c r="D3852" s="3" t="str">
        <f t="shared" si="602"/>
        <v>12Go Link</v>
      </c>
      <c r="E3852" s="2" t="s">
        <v>1567</v>
      </c>
    </row>
    <row r="3853">
      <c r="A3853" s="2" t="s">
        <v>3777</v>
      </c>
      <c r="B3853" s="2" t="s">
        <v>3792</v>
      </c>
      <c r="C3853" s="2" t="s">
        <v>3793</v>
      </c>
      <c r="D3853" s="3" t="str">
        <f t="shared" ref="D3853:D3854" si="603">HYPERLINK("https://12go.asia/en/travel/Ajloun-Hotel-Transfer/Madaba-Hotel-Transfer", "12Go Link")</f>
        <v>12Go Link</v>
      </c>
      <c r="E3853" s="2" t="s">
        <v>3780</v>
      </c>
    </row>
    <row r="3854">
      <c r="A3854" s="2" t="s">
        <v>3777</v>
      </c>
      <c r="B3854" s="2" t="s">
        <v>3792</v>
      </c>
      <c r="C3854" s="2" t="s">
        <v>3793</v>
      </c>
      <c r="D3854" s="3" t="str">
        <f t="shared" si="603"/>
        <v>12Go Link</v>
      </c>
      <c r="E3854" s="2" t="s">
        <v>1567</v>
      </c>
    </row>
    <row r="3855">
      <c r="A3855" s="2" t="s">
        <v>3777</v>
      </c>
      <c r="B3855" s="2" t="s">
        <v>3794</v>
      </c>
      <c r="C3855" s="2" t="s">
        <v>3795</v>
      </c>
      <c r="D3855" s="3" t="str">
        <f t="shared" ref="D3855:D3856" si="604">HYPERLINK("https://12go.asia/en/travel/Ajloun-Hotel-Transfer/Ma-in-Hot-Springs-Transfer", "12Go Link")</f>
        <v>12Go Link</v>
      </c>
      <c r="E3855" s="2" t="s">
        <v>3780</v>
      </c>
    </row>
    <row r="3856">
      <c r="A3856" s="2" t="s">
        <v>3777</v>
      </c>
      <c r="B3856" s="2" t="s">
        <v>3794</v>
      </c>
      <c r="C3856" s="2" t="s">
        <v>3795</v>
      </c>
      <c r="D3856" s="3" t="str">
        <f t="shared" si="604"/>
        <v>12Go Link</v>
      </c>
      <c r="E3856" s="2" t="s">
        <v>1567</v>
      </c>
    </row>
    <row r="3857">
      <c r="A3857" s="2" t="s">
        <v>3777</v>
      </c>
      <c r="B3857" s="2" t="s">
        <v>3796</v>
      </c>
      <c r="C3857" s="2" t="s">
        <v>3797</v>
      </c>
      <c r="D3857" s="3" t="str">
        <f t="shared" ref="D3857:D3858" si="605">HYPERLINK("https://12go.asia/en/travel/Ajloun-Hotel-Transfer/Petra-Hotel-Transfer", "12Go Link")</f>
        <v>12Go Link</v>
      </c>
      <c r="E3857" s="2" t="s">
        <v>3780</v>
      </c>
    </row>
    <row r="3858">
      <c r="A3858" s="2" t="s">
        <v>3777</v>
      </c>
      <c r="B3858" s="2" t="s">
        <v>3796</v>
      </c>
      <c r="C3858" s="2" t="s">
        <v>3797</v>
      </c>
      <c r="D3858" s="3" t="str">
        <f t="shared" si="605"/>
        <v>12Go Link</v>
      </c>
      <c r="E3858" s="2" t="s">
        <v>1567</v>
      </c>
    </row>
    <row r="3859">
      <c r="A3859" s="2" t="s">
        <v>3777</v>
      </c>
      <c r="B3859" s="2" t="s">
        <v>3798</v>
      </c>
      <c r="C3859" s="2" t="s">
        <v>3799</v>
      </c>
      <c r="D3859" s="3" t="str">
        <f t="shared" ref="D3859:D3860" si="606">HYPERLINK("https://12go.asia/en/travel/Ajloun-Hotel-Transfer/Jordan-River-Crossing", "12Go Link")</f>
        <v>12Go Link</v>
      </c>
      <c r="E3859" s="2" t="s">
        <v>3780</v>
      </c>
    </row>
    <row r="3860">
      <c r="A3860" s="2" t="s">
        <v>3777</v>
      </c>
      <c r="B3860" s="2" t="s">
        <v>3798</v>
      </c>
      <c r="C3860" s="2" t="s">
        <v>3799</v>
      </c>
      <c r="D3860" s="3" t="str">
        <f t="shared" si="606"/>
        <v>12Go Link</v>
      </c>
      <c r="E3860" s="2" t="s">
        <v>1567</v>
      </c>
    </row>
    <row r="3861">
      <c r="A3861" s="2" t="s">
        <v>3777</v>
      </c>
      <c r="B3861" s="2" t="s">
        <v>3800</v>
      </c>
      <c r="C3861" s="2" t="s">
        <v>3801</v>
      </c>
      <c r="D3861" s="3" t="str">
        <f t="shared" ref="D3861:D3862" si="607">HYPERLINK("https://12go.asia/en/travel/Ajloun-Hotel-Transfer/Umm-Qais-Hotel-Transfer", "12Go Link")</f>
        <v>12Go Link</v>
      </c>
      <c r="E3861" s="2" t="s">
        <v>3780</v>
      </c>
    </row>
    <row r="3862">
      <c r="A3862" s="2" t="s">
        <v>3777</v>
      </c>
      <c r="B3862" s="2" t="s">
        <v>3800</v>
      </c>
      <c r="C3862" s="2" t="s">
        <v>3801</v>
      </c>
      <c r="D3862" s="3" t="str">
        <f t="shared" si="607"/>
        <v>12Go Link</v>
      </c>
      <c r="E3862" s="2" t="s">
        <v>1567</v>
      </c>
    </row>
    <row r="3863">
      <c r="A3863" s="2" t="s">
        <v>3777</v>
      </c>
      <c r="B3863" s="2" t="s">
        <v>3802</v>
      </c>
      <c r="C3863" s="2" t="s">
        <v>3803</v>
      </c>
      <c r="D3863" s="3" t="str">
        <f t="shared" ref="D3863:D3864" si="608">HYPERLINK("https://12go.asia/en/travel/Ajloun-Hotel-Transfer/Wadi-Rum-Hotel-Transfer", "12Go Link")</f>
        <v>12Go Link</v>
      </c>
      <c r="E3863" s="2" t="s">
        <v>3780</v>
      </c>
    </row>
    <row r="3864">
      <c r="A3864" s="2" t="s">
        <v>3777</v>
      </c>
      <c r="B3864" s="2" t="s">
        <v>3802</v>
      </c>
      <c r="C3864" s="2" t="s">
        <v>3803</v>
      </c>
      <c r="D3864" s="3" t="str">
        <f t="shared" si="608"/>
        <v>12Go Link</v>
      </c>
      <c r="E3864" s="2" t="s">
        <v>1567</v>
      </c>
    </row>
    <row r="3865">
      <c r="A3865" s="2" t="s">
        <v>3778</v>
      </c>
      <c r="B3865" s="2" t="s">
        <v>3777</v>
      </c>
      <c r="C3865" s="2" t="s">
        <v>3804</v>
      </c>
      <c r="D3865" s="3" t="str">
        <f t="shared" ref="D3865:D3868" si="609">HYPERLINK("https://12go.asia/en/travel/Amman-Airport/Ajloun-Hotel-Transfer", "12Go Link")</f>
        <v>12Go Link</v>
      </c>
      <c r="E3865" s="2" t="s">
        <v>3780</v>
      </c>
    </row>
    <row r="3866">
      <c r="A3866" s="2" t="s">
        <v>3778</v>
      </c>
      <c r="B3866" s="2" t="s">
        <v>3777</v>
      </c>
      <c r="C3866" s="2" t="s">
        <v>3804</v>
      </c>
      <c r="D3866" s="3" t="str">
        <f t="shared" si="609"/>
        <v>12Go Link</v>
      </c>
      <c r="E3866" s="2" t="s">
        <v>1567</v>
      </c>
    </row>
    <row r="3867">
      <c r="A3867" s="2" t="s">
        <v>3778</v>
      </c>
      <c r="B3867" s="2" t="s">
        <v>3777</v>
      </c>
      <c r="C3867" s="2" t="s">
        <v>3804</v>
      </c>
      <c r="D3867" s="3" t="str">
        <f t="shared" si="609"/>
        <v>12Go Link</v>
      </c>
      <c r="E3867" s="2" t="s">
        <v>3407</v>
      </c>
    </row>
    <row r="3868">
      <c r="A3868" s="2" t="s">
        <v>3778</v>
      </c>
      <c r="B3868" s="2" t="s">
        <v>3777</v>
      </c>
      <c r="C3868" s="2" t="s">
        <v>3804</v>
      </c>
      <c r="D3868" s="3" t="str">
        <f t="shared" si="609"/>
        <v>12Go Link</v>
      </c>
      <c r="E3868" s="2" t="s">
        <v>3805</v>
      </c>
    </row>
    <row r="3869">
      <c r="A3869" s="2" t="s">
        <v>3778</v>
      </c>
      <c r="B3869" s="2" t="s">
        <v>3777</v>
      </c>
      <c r="C3869" s="2" t="s">
        <v>3806</v>
      </c>
      <c r="D3869" s="3" t="str">
        <f t="shared" ref="D3869:D3872" si="610">HYPERLINK("https://12go.asia/en/travel/Amman-Hotel-Transfer/Ajloun-Hotel-Transfer", "12Go Link")</f>
        <v>12Go Link</v>
      </c>
      <c r="E3869" s="2" t="s">
        <v>3780</v>
      </c>
    </row>
    <row r="3870">
      <c r="A3870" s="2" t="s">
        <v>3778</v>
      </c>
      <c r="B3870" s="2" t="s">
        <v>3777</v>
      </c>
      <c r="C3870" s="2" t="s">
        <v>3806</v>
      </c>
      <c r="D3870" s="3" t="str">
        <f t="shared" si="610"/>
        <v>12Go Link</v>
      </c>
      <c r="E3870" s="2" t="s">
        <v>1567</v>
      </c>
    </row>
    <row r="3871">
      <c r="A3871" s="2" t="s">
        <v>3778</v>
      </c>
      <c r="B3871" s="2" t="s">
        <v>3777</v>
      </c>
      <c r="C3871" s="2" t="s">
        <v>3806</v>
      </c>
      <c r="D3871" s="3" t="str">
        <f t="shared" si="610"/>
        <v>12Go Link</v>
      </c>
      <c r="E3871" s="2" t="s">
        <v>3407</v>
      </c>
    </row>
    <row r="3872">
      <c r="A3872" s="2" t="s">
        <v>3778</v>
      </c>
      <c r="B3872" s="2" t="s">
        <v>3777</v>
      </c>
      <c r="C3872" s="2" t="s">
        <v>3806</v>
      </c>
      <c r="D3872" s="3" t="str">
        <f t="shared" si="610"/>
        <v>12Go Link</v>
      </c>
      <c r="E3872" s="2" t="s">
        <v>3805</v>
      </c>
    </row>
    <row r="3873">
      <c r="A3873" s="2" t="s">
        <v>3778</v>
      </c>
      <c r="B3873" s="2" t="s">
        <v>3777</v>
      </c>
      <c r="C3873" s="2" t="s">
        <v>3807</v>
      </c>
      <c r="D3873" s="3" t="str">
        <f t="shared" ref="D3873:D3876" si="611">HYPERLINK("https://12go.asia/en/travel/King-Hussein-Bridge-Border-Crossing-Amman/Ajloun-Hotel-Transfer", "12Go Link")</f>
        <v>12Go Link</v>
      </c>
      <c r="E3873" s="2" t="s">
        <v>3780</v>
      </c>
    </row>
    <row r="3874">
      <c r="A3874" s="2" t="s">
        <v>3778</v>
      </c>
      <c r="B3874" s="2" t="s">
        <v>3777</v>
      </c>
      <c r="C3874" s="2" t="s">
        <v>3807</v>
      </c>
      <c r="D3874" s="3" t="str">
        <f t="shared" si="611"/>
        <v>12Go Link</v>
      </c>
      <c r="E3874" s="2" t="s">
        <v>1567</v>
      </c>
    </row>
    <row r="3875">
      <c r="A3875" s="2" t="s">
        <v>3778</v>
      </c>
      <c r="B3875" s="2" t="s">
        <v>3777</v>
      </c>
      <c r="C3875" s="2" t="s">
        <v>3807</v>
      </c>
      <c r="D3875" s="3" t="str">
        <f t="shared" si="611"/>
        <v>12Go Link</v>
      </c>
      <c r="E3875" s="2" t="s">
        <v>3407</v>
      </c>
    </row>
    <row r="3876">
      <c r="A3876" s="2" t="s">
        <v>3778</v>
      </c>
      <c r="B3876" s="2" t="s">
        <v>3777</v>
      </c>
      <c r="C3876" s="2" t="s">
        <v>3807</v>
      </c>
      <c r="D3876" s="3" t="str">
        <f t="shared" si="611"/>
        <v>12Go Link</v>
      </c>
      <c r="E3876" s="2" t="s">
        <v>3805</v>
      </c>
    </row>
    <row r="3877">
      <c r="A3877" s="2" t="s">
        <v>3778</v>
      </c>
      <c r="B3877" s="2" t="s">
        <v>3778</v>
      </c>
      <c r="C3877" s="2" t="s">
        <v>3808</v>
      </c>
      <c r="D3877" s="3" t="str">
        <f t="shared" ref="D3877:D3880" si="612">HYPERLINK("https://12go.asia/en/travel/Amman-Airport/Amman-Hotel-Transfer", "12Go Link")</f>
        <v>12Go Link</v>
      </c>
      <c r="E3877" s="2" t="s">
        <v>3780</v>
      </c>
    </row>
    <row r="3878">
      <c r="A3878" s="2" t="s">
        <v>3778</v>
      </c>
      <c r="B3878" s="2" t="s">
        <v>3778</v>
      </c>
      <c r="C3878" s="2" t="s">
        <v>3808</v>
      </c>
      <c r="D3878" s="3" t="str">
        <f t="shared" si="612"/>
        <v>12Go Link</v>
      </c>
      <c r="E3878" s="2" t="s">
        <v>1567</v>
      </c>
    </row>
    <row r="3879">
      <c r="A3879" s="2" t="s">
        <v>3778</v>
      </c>
      <c r="B3879" s="2" t="s">
        <v>3778</v>
      </c>
      <c r="C3879" s="2" t="s">
        <v>3808</v>
      </c>
      <c r="D3879" s="3" t="str">
        <f t="shared" si="612"/>
        <v>12Go Link</v>
      </c>
      <c r="E3879" s="2" t="s">
        <v>3407</v>
      </c>
    </row>
    <row r="3880">
      <c r="A3880" s="2" t="s">
        <v>3778</v>
      </c>
      <c r="B3880" s="2" t="s">
        <v>3778</v>
      </c>
      <c r="C3880" s="2" t="s">
        <v>3808</v>
      </c>
      <c r="D3880" s="3" t="str">
        <f t="shared" si="612"/>
        <v>12Go Link</v>
      </c>
      <c r="E3880" s="2" t="s">
        <v>3805</v>
      </c>
    </row>
    <row r="3881">
      <c r="A3881" s="2" t="s">
        <v>3778</v>
      </c>
      <c r="B3881" s="2" t="s">
        <v>3778</v>
      </c>
      <c r="C3881" s="2" t="s">
        <v>3809</v>
      </c>
      <c r="D3881" s="3" t="str">
        <f t="shared" ref="D3881:D3884" si="613">HYPERLINK("https://12go.asia/en/travel/Amman-Airport/King-Hussein-Bridge-Border-Crossing-Amman", "12Go Link")</f>
        <v>12Go Link</v>
      </c>
      <c r="E3881" s="2" t="s">
        <v>3780</v>
      </c>
    </row>
    <row r="3882">
      <c r="A3882" s="2" t="s">
        <v>3778</v>
      </c>
      <c r="B3882" s="2" t="s">
        <v>3778</v>
      </c>
      <c r="C3882" s="2" t="s">
        <v>3809</v>
      </c>
      <c r="D3882" s="3" t="str">
        <f t="shared" si="613"/>
        <v>12Go Link</v>
      </c>
      <c r="E3882" s="2" t="s">
        <v>1567</v>
      </c>
    </row>
    <row r="3883">
      <c r="A3883" s="2" t="s">
        <v>3778</v>
      </c>
      <c r="B3883" s="2" t="s">
        <v>3778</v>
      </c>
      <c r="C3883" s="2" t="s">
        <v>3809</v>
      </c>
      <c r="D3883" s="3" t="str">
        <f t="shared" si="613"/>
        <v>12Go Link</v>
      </c>
      <c r="E3883" s="2" t="s">
        <v>3407</v>
      </c>
    </row>
    <row r="3884">
      <c r="A3884" s="2" t="s">
        <v>3778</v>
      </c>
      <c r="B3884" s="2" t="s">
        <v>3778</v>
      </c>
      <c r="C3884" s="2" t="s">
        <v>3809</v>
      </c>
      <c r="D3884" s="3" t="str">
        <f t="shared" si="613"/>
        <v>12Go Link</v>
      </c>
      <c r="E3884" s="2" t="s">
        <v>3805</v>
      </c>
    </row>
    <row r="3885">
      <c r="A3885" s="2" t="s">
        <v>3778</v>
      </c>
      <c r="B3885" s="2" t="s">
        <v>3778</v>
      </c>
      <c r="C3885" s="2" t="s">
        <v>3810</v>
      </c>
      <c r="D3885" s="3" t="str">
        <f t="shared" ref="D3885:D3888" si="614">HYPERLINK("https://12go.asia/en/travel/Amman-Hotel-Transfer/Amman-Airport", "12Go Link")</f>
        <v>12Go Link</v>
      </c>
      <c r="E3885" s="2" t="s">
        <v>3780</v>
      </c>
    </row>
    <row r="3886">
      <c r="A3886" s="2" t="s">
        <v>3778</v>
      </c>
      <c r="B3886" s="2" t="s">
        <v>3778</v>
      </c>
      <c r="C3886" s="2" t="s">
        <v>3810</v>
      </c>
      <c r="D3886" s="3" t="str">
        <f t="shared" si="614"/>
        <v>12Go Link</v>
      </c>
      <c r="E3886" s="2" t="s">
        <v>1567</v>
      </c>
    </row>
    <row r="3887">
      <c r="A3887" s="2" t="s">
        <v>3778</v>
      </c>
      <c r="B3887" s="2" t="s">
        <v>3778</v>
      </c>
      <c r="C3887" s="2" t="s">
        <v>3810</v>
      </c>
      <c r="D3887" s="3" t="str">
        <f t="shared" si="614"/>
        <v>12Go Link</v>
      </c>
      <c r="E3887" s="2" t="s">
        <v>3407</v>
      </c>
    </row>
    <row r="3888">
      <c r="A3888" s="2" t="s">
        <v>3778</v>
      </c>
      <c r="B3888" s="2" t="s">
        <v>3778</v>
      </c>
      <c r="C3888" s="2" t="s">
        <v>3810</v>
      </c>
      <c r="D3888" s="3" t="str">
        <f t="shared" si="614"/>
        <v>12Go Link</v>
      </c>
      <c r="E3888" s="2" t="s">
        <v>3805</v>
      </c>
    </row>
    <row r="3889">
      <c r="A3889" s="2" t="s">
        <v>3778</v>
      </c>
      <c r="B3889" s="2" t="s">
        <v>3778</v>
      </c>
      <c r="C3889" s="2" t="s">
        <v>3811</v>
      </c>
      <c r="D3889" s="3" t="str">
        <f>HYPERLINK("https://12go.asia/en/travel/Amman-Hotel-Transfer/Amman-Hotel-Transfer", "12Go Link")</f>
        <v>12Go Link</v>
      </c>
      <c r="E3889" s="2" t="s">
        <v>3812</v>
      </c>
    </row>
    <row r="3890">
      <c r="A3890" s="2" t="s">
        <v>3778</v>
      </c>
      <c r="B3890" s="2" t="s">
        <v>3778</v>
      </c>
      <c r="C3890" s="2" t="s">
        <v>3813</v>
      </c>
      <c r="D3890" s="3" t="str">
        <f t="shared" ref="D3890:D3893" si="615">HYPERLINK("https://12go.asia/en/travel/Amman-Hotel-Transfer/King-Hussein-Bridge-Border-Crossing-Amman", "12Go Link")</f>
        <v>12Go Link</v>
      </c>
      <c r="E3890" s="2" t="s">
        <v>3780</v>
      </c>
    </row>
    <row r="3891">
      <c r="A3891" s="2" t="s">
        <v>3778</v>
      </c>
      <c r="B3891" s="2" t="s">
        <v>3778</v>
      </c>
      <c r="C3891" s="2" t="s">
        <v>3813</v>
      </c>
      <c r="D3891" s="3" t="str">
        <f t="shared" si="615"/>
        <v>12Go Link</v>
      </c>
      <c r="E3891" s="2" t="s">
        <v>1567</v>
      </c>
    </row>
    <row r="3892">
      <c r="A3892" s="2" t="s">
        <v>3778</v>
      </c>
      <c r="B3892" s="2" t="s">
        <v>3778</v>
      </c>
      <c r="C3892" s="2" t="s">
        <v>3813</v>
      </c>
      <c r="D3892" s="3" t="str">
        <f t="shared" si="615"/>
        <v>12Go Link</v>
      </c>
      <c r="E3892" s="2" t="s">
        <v>3407</v>
      </c>
    </row>
    <row r="3893">
      <c r="A3893" s="2" t="s">
        <v>3778</v>
      </c>
      <c r="B3893" s="2" t="s">
        <v>3778</v>
      </c>
      <c r="C3893" s="2" t="s">
        <v>3813</v>
      </c>
      <c r="D3893" s="3" t="str">
        <f t="shared" si="615"/>
        <v>12Go Link</v>
      </c>
      <c r="E3893" s="2" t="s">
        <v>3805</v>
      </c>
    </row>
    <row r="3894">
      <c r="A3894" s="2" t="s">
        <v>3778</v>
      </c>
      <c r="B3894" s="2" t="s">
        <v>3778</v>
      </c>
      <c r="C3894" s="2" t="s">
        <v>3814</v>
      </c>
      <c r="D3894" s="3" t="str">
        <f t="shared" ref="D3894:D3897" si="616">HYPERLINK("https://12go.asia/en/travel/King-Hussein-Bridge-Border-Crossing-Amman/Amman-Airport", "12Go Link")</f>
        <v>12Go Link</v>
      </c>
      <c r="E3894" s="2" t="s">
        <v>3780</v>
      </c>
    </row>
    <row r="3895">
      <c r="A3895" s="2" t="s">
        <v>3778</v>
      </c>
      <c r="B3895" s="2" t="s">
        <v>3778</v>
      </c>
      <c r="C3895" s="2" t="s">
        <v>3814</v>
      </c>
      <c r="D3895" s="3" t="str">
        <f t="shared" si="616"/>
        <v>12Go Link</v>
      </c>
      <c r="E3895" s="2" t="s">
        <v>1567</v>
      </c>
    </row>
    <row r="3896">
      <c r="A3896" s="2" t="s">
        <v>3778</v>
      </c>
      <c r="B3896" s="2" t="s">
        <v>3778</v>
      </c>
      <c r="C3896" s="2" t="s">
        <v>3814</v>
      </c>
      <c r="D3896" s="3" t="str">
        <f t="shared" si="616"/>
        <v>12Go Link</v>
      </c>
      <c r="E3896" s="2" t="s">
        <v>3407</v>
      </c>
    </row>
    <row r="3897">
      <c r="A3897" s="2" t="s">
        <v>3778</v>
      </c>
      <c r="B3897" s="2" t="s">
        <v>3778</v>
      </c>
      <c r="C3897" s="2" t="s">
        <v>3814</v>
      </c>
      <c r="D3897" s="3" t="str">
        <f t="shared" si="616"/>
        <v>12Go Link</v>
      </c>
      <c r="E3897" s="2" t="s">
        <v>3805</v>
      </c>
    </row>
    <row r="3898">
      <c r="A3898" s="2" t="s">
        <v>3778</v>
      </c>
      <c r="B3898" s="2" t="s">
        <v>3778</v>
      </c>
      <c r="C3898" s="2" t="s">
        <v>3815</v>
      </c>
      <c r="D3898" s="3" t="str">
        <f t="shared" ref="D3898:D3901" si="617">HYPERLINK("https://12go.asia/en/travel/King-Hussein-Bridge-Border-Crossing-Amman/Amman-Hotel-Transfer", "12Go Link")</f>
        <v>12Go Link</v>
      </c>
      <c r="E3898" s="2" t="s">
        <v>3780</v>
      </c>
    </row>
    <row r="3899">
      <c r="A3899" s="2" t="s">
        <v>3778</v>
      </c>
      <c r="B3899" s="2" t="s">
        <v>3778</v>
      </c>
      <c r="C3899" s="2" t="s">
        <v>3815</v>
      </c>
      <c r="D3899" s="3" t="str">
        <f t="shared" si="617"/>
        <v>12Go Link</v>
      </c>
      <c r="E3899" s="2" t="s">
        <v>1567</v>
      </c>
    </row>
    <row r="3900">
      <c r="A3900" s="2" t="s">
        <v>3778</v>
      </c>
      <c r="B3900" s="2" t="s">
        <v>3778</v>
      </c>
      <c r="C3900" s="2" t="s">
        <v>3815</v>
      </c>
      <c r="D3900" s="3" t="str">
        <f t="shared" si="617"/>
        <v>12Go Link</v>
      </c>
      <c r="E3900" s="2" t="s">
        <v>3407</v>
      </c>
    </row>
    <row r="3901">
      <c r="A3901" s="2" t="s">
        <v>3778</v>
      </c>
      <c r="B3901" s="2" t="s">
        <v>3778</v>
      </c>
      <c r="C3901" s="2" t="s">
        <v>3815</v>
      </c>
      <c r="D3901" s="3" t="str">
        <f t="shared" si="617"/>
        <v>12Go Link</v>
      </c>
      <c r="E3901" s="2" t="s">
        <v>3805</v>
      </c>
    </row>
    <row r="3902">
      <c r="A3902" s="2" t="s">
        <v>3778</v>
      </c>
      <c r="B3902" s="2" t="s">
        <v>3783</v>
      </c>
      <c r="C3902" s="2" t="s">
        <v>3816</v>
      </c>
      <c r="D3902" s="3" t="str">
        <f t="shared" ref="D3902:D3905" si="618">HYPERLINK("https://12go.asia/en/travel/Amman-Airport/Aqaba-Hotel-Transfer", "12Go Link")</f>
        <v>12Go Link</v>
      </c>
      <c r="E3902" s="2" t="s">
        <v>3780</v>
      </c>
    </row>
    <row r="3903">
      <c r="A3903" s="2" t="s">
        <v>3778</v>
      </c>
      <c r="B3903" s="2" t="s">
        <v>3783</v>
      </c>
      <c r="C3903" s="2" t="s">
        <v>3816</v>
      </c>
      <c r="D3903" s="3" t="str">
        <f t="shared" si="618"/>
        <v>12Go Link</v>
      </c>
      <c r="E3903" s="2" t="s">
        <v>1567</v>
      </c>
    </row>
    <row r="3904">
      <c r="A3904" s="2" t="s">
        <v>3778</v>
      </c>
      <c r="B3904" s="2" t="s">
        <v>3783</v>
      </c>
      <c r="C3904" s="2" t="s">
        <v>3816</v>
      </c>
      <c r="D3904" s="3" t="str">
        <f t="shared" si="618"/>
        <v>12Go Link</v>
      </c>
      <c r="E3904" s="2" t="s">
        <v>3407</v>
      </c>
    </row>
    <row r="3905">
      <c r="A3905" s="2" t="s">
        <v>3778</v>
      </c>
      <c r="B3905" s="2" t="s">
        <v>3783</v>
      </c>
      <c r="C3905" s="2" t="s">
        <v>3816</v>
      </c>
      <c r="D3905" s="3" t="str">
        <f t="shared" si="618"/>
        <v>12Go Link</v>
      </c>
      <c r="E3905" s="2" t="s">
        <v>3805</v>
      </c>
    </row>
    <row r="3906">
      <c r="A3906" s="2" t="s">
        <v>3778</v>
      </c>
      <c r="B3906" s="2" t="s">
        <v>3783</v>
      </c>
      <c r="C3906" s="2" t="s">
        <v>3817</v>
      </c>
      <c r="D3906" s="3" t="str">
        <f t="shared" ref="D3906:D3909" si="619">HYPERLINK("https://12go.asia/en/travel/Amman-Airport/Aqaba-Port", "12Go Link")</f>
        <v>12Go Link</v>
      </c>
      <c r="E3906" s="2" t="s">
        <v>3780</v>
      </c>
    </row>
    <row r="3907">
      <c r="A3907" s="2" t="s">
        <v>3778</v>
      </c>
      <c r="B3907" s="2" t="s">
        <v>3783</v>
      </c>
      <c r="C3907" s="2" t="s">
        <v>3817</v>
      </c>
      <c r="D3907" s="3" t="str">
        <f t="shared" si="619"/>
        <v>12Go Link</v>
      </c>
      <c r="E3907" s="2" t="s">
        <v>1567</v>
      </c>
    </row>
    <row r="3908">
      <c r="A3908" s="2" t="s">
        <v>3778</v>
      </c>
      <c r="B3908" s="2" t="s">
        <v>3783</v>
      </c>
      <c r="C3908" s="2" t="s">
        <v>3817</v>
      </c>
      <c r="D3908" s="3" t="str">
        <f t="shared" si="619"/>
        <v>12Go Link</v>
      </c>
      <c r="E3908" s="2" t="s">
        <v>3407</v>
      </c>
    </row>
    <row r="3909">
      <c r="A3909" s="2" t="s">
        <v>3778</v>
      </c>
      <c r="B3909" s="2" t="s">
        <v>3783</v>
      </c>
      <c r="C3909" s="2" t="s">
        <v>3817</v>
      </c>
      <c r="D3909" s="3" t="str">
        <f t="shared" si="619"/>
        <v>12Go Link</v>
      </c>
      <c r="E3909" s="2" t="s">
        <v>3805</v>
      </c>
    </row>
    <row r="3910">
      <c r="A3910" s="2" t="s">
        <v>3778</v>
      </c>
      <c r="B3910" s="2" t="s">
        <v>3783</v>
      </c>
      <c r="C3910" s="2" t="s">
        <v>3818</v>
      </c>
      <c r="D3910" s="3" t="str">
        <f t="shared" ref="D3910:D3913" si="620">HYPERLINK("https://12go.asia/en/travel/Amman-Hotel-Transfer/Aqaba-Hotel-Transfer", "12Go Link")</f>
        <v>12Go Link</v>
      </c>
      <c r="E3910" s="2" t="s">
        <v>3780</v>
      </c>
    </row>
    <row r="3911">
      <c r="A3911" s="2" t="s">
        <v>3778</v>
      </c>
      <c r="B3911" s="2" t="s">
        <v>3783</v>
      </c>
      <c r="C3911" s="2" t="s">
        <v>3818</v>
      </c>
      <c r="D3911" s="3" t="str">
        <f t="shared" si="620"/>
        <v>12Go Link</v>
      </c>
      <c r="E3911" s="2" t="s">
        <v>1567</v>
      </c>
    </row>
    <row r="3912">
      <c r="A3912" s="2" t="s">
        <v>3778</v>
      </c>
      <c r="B3912" s="2" t="s">
        <v>3783</v>
      </c>
      <c r="C3912" s="2" t="s">
        <v>3818</v>
      </c>
      <c r="D3912" s="3" t="str">
        <f t="shared" si="620"/>
        <v>12Go Link</v>
      </c>
      <c r="E3912" s="2" t="s">
        <v>3407</v>
      </c>
    </row>
    <row r="3913">
      <c r="A3913" s="2" t="s">
        <v>3778</v>
      </c>
      <c r="B3913" s="2" t="s">
        <v>3783</v>
      </c>
      <c r="C3913" s="2" t="s">
        <v>3818</v>
      </c>
      <c r="D3913" s="3" t="str">
        <f t="shared" si="620"/>
        <v>12Go Link</v>
      </c>
      <c r="E3913" s="2" t="s">
        <v>3805</v>
      </c>
    </row>
    <row r="3914">
      <c r="A3914" s="2" t="s">
        <v>3778</v>
      </c>
      <c r="B3914" s="2" t="s">
        <v>3783</v>
      </c>
      <c r="C3914" s="2" t="s">
        <v>3819</v>
      </c>
      <c r="D3914" s="3" t="str">
        <f t="shared" ref="D3914:D3917" si="621">HYPERLINK("https://12go.asia/en/travel/Amman-Hotel-Transfer/Aqaba-Port", "12Go Link")</f>
        <v>12Go Link</v>
      </c>
      <c r="E3914" s="2" t="s">
        <v>3780</v>
      </c>
    </row>
    <row r="3915">
      <c r="A3915" s="2" t="s">
        <v>3778</v>
      </c>
      <c r="B3915" s="2" t="s">
        <v>3783</v>
      </c>
      <c r="C3915" s="2" t="s">
        <v>3819</v>
      </c>
      <c r="D3915" s="3" t="str">
        <f t="shared" si="621"/>
        <v>12Go Link</v>
      </c>
      <c r="E3915" s="2" t="s">
        <v>1567</v>
      </c>
    </row>
    <row r="3916">
      <c r="A3916" s="2" t="s">
        <v>3778</v>
      </c>
      <c r="B3916" s="2" t="s">
        <v>3783</v>
      </c>
      <c r="C3916" s="2" t="s">
        <v>3819</v>
      </c>
      <c r="D3916" s="3" t="str">
        <f t="shared" si="621"/>
        <v>12Go Link</v>
      </c>
      <c r="E3916" s="2" t="s">
        <v>3407</v>
      </c>
    </row>
    <row r="3917">
      <c r="A3917" s="2" t="s">
        <v>3778</v>
      </c>
      <c r="B3917" s="2" t="s">
        <v>3783</v>
      </c>
      <c r="C3917" s="2" t="s">
        <v>3819</v>
      </c>
      <c r="D3917" s="3" t="str">
        <f t="shared" si="621"/>
        <v>12Go Link</v>
      </c>
      <c r="E3917" s="2" t="s">
        <v>3805</v>
      </c>
    </row>
    <row r="3918">
      <c r="A3918" s="2" t="s">
        <v>3778</v>
      </c>
      <c r="B3918" s="2" t="s">
        <v>3783</v>
      </c>
      <c r="C3918" s="2" t="s">
        <v>3820</v>
      </c>
      <c r="D3918" s="3" t="str">
        <f t="shared" ref="D3918:D3921" si="622">HYPERLINK("https://12go.asia/en/travel/King-Hussein-Bridge-Border-Crossing-Amman/Aqaba-Hotel-Transfer", "12Go Link")</f>
        <v>12Go Link</v>
      </c>
      <c r="E3918" s="2" t="s">
        <v>3780</v>
      </c>
    </row>
    <row r="3919">
      <c r="A3919" s="2" t="s">
        <v>3778</v>
      </c>
      <c r="B3919" s="2" t="s">
        <v>3783</v>
      </c>
      <c r="C3919" s="2" t="s">
        <v>3820</v>
      </c>
      <c r="D3919" s="3" t="str">
        <f t="shared" si="622"/>
        <v>12Go Link</v>
      </c>
      <c r="E3919" s="2" t="s">
        <v>1567</v>
      </c>
    </row>
    <row r="3920">
      <c r="A3920" s="2" t="s">
        <v>3778</v>
      </c>
      <c r="B3920" s="2" t="s">
        <v>3783</v>
      </c>
      <c r="C3920" s="2" t="s">
        <v>3820</v>
      </c>
      <c r="D3920" s="3" t="str">
        <f t="shared" si="622"/>
        <v>12Go Link</v>
      </c>
      <c r="E3920" s="2" t="s">
        <v>3407</v>
      </c>
    </row>
    <row r="3921">
      <c r="A3921" s="2" t="s">
        <v>3778</v>
      </c>
      <c r="B3921" s="2" t="s">
        <v>3783</v>
      </c>
      <c r="C3921" s="2" t="s">
        <v>3820</v>
      </c>
      <c r="D3921" s="3" t="str">
        <f t="shared" si="622"/>
        <v>12Go Link</v>
      </c>
      <c r="E3921" s="2" t="s">
        <v>3805</v>
      </c>
    </row>
    <row r="3922">
      <c r="A3922" s="2" t="s">
        <v>3778</v>
      </c>
      <c r="B3922" s="2" t="s">
        <v>3783</v>
      </c>
      <c r="C3922" s="2" t="s">
        <v>3821</v>
      </c>
      <c r="D3922" s="3" t="str">
        <f t="shared" ref="D3922:D3925" si="623">HYPERLINK("https://12go.asia/en/travel/King-Hussein-Bridge-Border-Crossing-Amman/Aqaba-Port", "12Go Link")</f>
        <v>12Go Link</v>
      </c>
      <c r="E3922" s="2" t="s">
        <v>3780</v>
      </c>
    </row>
    <row r="3923">
      <c r="A3923" s="2" t="s">
        <v>3778</v>
      </c>
      <c r="B3923" s="2" t="s">
        <v>3783</v>
      </c>
      <c r="C3923" s="2" t="s">
        <v>3821</v>
      </c>
      <c r="D3923" s="3" t="str">
        <f t="shared" si="623"/>
        <v>12Go Link</v>
      </c>
      <c r="E3923" s="2" t="s">
        <v>1567</v>
      </c>
    </row>
    <row r="3924">
      <c r="A3924" s="2" t="s">
        <v>3778</v>
      </c>
      <c r="B3924" s="2" t="s">
        <v>3783</v>
      </c>
      <c r="C3924" s="2" t="s">
        <v>3821</v>
      </c>
      <c r="D3924" s="3" t="str">
        <f t="shared" si="623"/>
        <v>12Go Link</v>
      </c>
      <c r="E3924" s="2" t="s">
        <v>3407</v>
      </c>
    </row>
    <row r="3925">
      <c r="A3925" s="2" t="s">
        <v>3778</v>
      </c>
      <c r="B3925" s="2" t="s">
        <v>3783</v>
      </c>
      <c r="C3925" s="2" t="s">
        <v>3821</v>
      </c>
      <c r="D3925" s="3" t="str">
        <f t="shared" si="623"/>
        <v>12Go Link</v>
      </c>
      <c r="E3925" s="2" t="s">
        <v>3805</v>
      </c>
    </row>
    <row r="3926">
      <c r="A3926" s="2" t="s">
        <v>3778</v>
      </c>
      <c r="B3926" s="2" t="s">
        <v>3786</v>
      </c>
      <c r="C3926" s="2" t="s">
        <v>3822</v>
      </c>
      <c r="D3926" s="3" t="str">
        <f t="shared" ref="D3926:D3929" si="624">HYPERLINK("https://12go.asia/en/travel/Amman-Airport/Dead-Sea-Hotel-Transfer", "12Go Link")</f>
        <v>12Go Link</v>
      </c>
      <c r="E3926" s="2" t="s">
        <v>3780</v>
      </c>
    </row>
    <row r="3927">
      <c r="A3927" s="2" t="s">
        <v>3778</v>
      </c>
      <c r="B3927" s="2" t="s">
        <v>3786</v>
      </c>
      <c r="C3927" s="2" t="s">
        <v>3822</v>
      </c>
      <c r="D3927" s="3" t="str">
        <f t="shared" si="624"/>
        <v>12Go Link</v>
      </c>
      <c r="E3927" s="2" t="s">
        <v>1567</v>
      </c>
    </row>
    <row r="3928">
      <c r="A3928" s="2" t="s">
        <v>3778</v>
      </c>
      <c r="B3928" s="2" t="s">
        <v>3786</v>
      </c>
      <c r="C3928" s="2" t="s">
        <v>3822</v>
      </c>
      <c r="D3928" s="3" t="str">
        <f t="shared" si="624"/>
        <v>12Go Link</v>
      </c>
      <c r="E3928" s="2" t="s">
        <v>3407</v>
      </c>
    </row>
    <row r="3929">
      <c r="A3929" s="2" t="s">
        <v>3778</v>
      </c>
      <c r="B3929" s="2" t="s">
        <v>3786</v>
      </c>
      <c r="C3929" s="2" t="s">
        <v>3822</v>
      </c>
      <c r="D3929" s="3" t="str">
        <f t="shared" si="624"/>
        <v>12Go Link</v>
      </c>
      <c r="E3929" s="2" t="s">
        <v>3805</v>
      </c>
    </row>
    <row r="3930">
      <c r="A3930" s="2" t="s">
        <v>3778</v>
      </c>
      <c r="B3930" s="2" t="s">
        <v>3786</v>
      </c>
      <c r="C3930" s="2" t="s">
        <v>3823</v>
      </c>
      <c r="D3930" s="3" t="str">
        <f t="shared" ref="D3930:D3933" si="625">HYPERLINK("https://12go.asia/en/travel/Amman-Hotel-Transfer/Dead-Sea-Hotel-Transfer", "12Go Link")</f>
        <v>12Go Link</v>
      </c>
      <c r="E3930" s="2" t="s">
        <v>3780</v>
      </c>
    </row>
    <row r="3931">
      <c r="A3931" s="2" t="s">
        <v>3778</v>
      </c>
      <c r="B3931" s="2" t="s">
        <v>3786</v>
      </c>
      <c r="C3931" s="2" t="s">
        <v>3823</v>
      </c>
      <c r="D3931" s="3" t="str">
        <f t="shared" si="625"/>
        <v>12Go Link</v>
      </c>
      <c r="E3931" s="2" t="s">
        <v>1567</v>
      </c>
    </row>
    <row r="3932">
      <c r="A3932" s="2" t="s">
        <v>3778</v>
      </c>
      <c r="B3932" s="2" t="s">
        <v>3786</v>
      </c>
      <c r="C3932" s="2" t="s">
        <v>3823</v>
      </c>
      <c r="D3932" s="3" t="str">
        <f t="shared" si="625"/>
        <v>12Go Link</v>
      </c>
      <c r="E3932" s="2" t="s">
        <v>3407</v>
      </c>
    </row>
    <row r="3933">
      <c r="A3933" s="2" t="s">
        <v>3778</v>
      </c>
      <c r="B3933" s="2" t="s">
        <v>3786</v>
      </c>
      <c r="C3933" s="2" t="s">
        <v>3823</v>
      </c>
      <c r="D3933" s="3" t="str">
        <f t="shared" si="625"/>
        <v>12Go Link</v>
      </c>
      <c r="E3933" s="2" t="s">
        <v>3805</v>
      </c>
    </row>
    <row r="3934">
      <c r="A3934" s="2" t="s">
        <v>3778</v>
      </c>
      <c r="B3934" s="2" t="s">
        <v>3786</v>
      </c>
      <c r="C3934" s="2" t="s">
        <v>3824</v>
      </c>
      <c r="D3934" s="3" t="str">
        <f t="shared" ref="D3934:D3937" si="626">HYPERLINK("https://12go.asia/en/travel/King-Hussein-Bridge-Border-Crossing-Amman/Dead-Sea-Hotel-Transfer", "12Go Link")</f>
        <v>12Go Link</v>
      </c>
      <c r="E3934" s="2" t="s">
        <v>3780</v>
      </c>
    </row>
    <row r="3935">
      <c r="A3935" s="2" t="s">
        <v>3778</v>
      </c>
      <c r="B3935" s="2" t="s">
        <v>3786</v>
      </c>
      <c r="C3935" s="2" t="s">
        <v>3824</v>
      </c>
      <c r="D3935" s="3" t="str">
        <f t="shared" si="626"/>
        <v>12Go Link</v>
      </c>
      <c r="E3935" s="2" t="s">
        <v>1567</v>
      </c>
    </row>
    <row r="3936">
      <c r="A3936" s="2" t="s">
        <v>3778</v>
      </c>
      <c r="B3936" s="2" t="s">
        <v>3786</v>
      </c>
      <c r="C3936" s="2" t="s">
        <v>3824</v>
      </c>
      <c r="D3936" s="3" t="str">
        <f t="shared" si="626"/>
        <v>12Go Link</v>
      </c>
      <c r="E3936" s="2" t="s">
        <v>3407</v>
      </c>
    </row>
    <row r="3937">
      <c r="A3937" s="2" t="s">
        <v>3778</v>
      </c>
      <c r="B3937" s="2" t="s">
        <v>3786</v>
      </c>
      <c r="C3937" s="2" t="s">
        <v>3824</v>
      </c>
      <c r="D3937" s="3" t="str">
        <f t="shared" si="626"/>
        <v>12Go Link</v>
      </c>
      <c r="E3937" s="2" t="s">
        <v>3805</v>
      </c>
    </row>
    <row r="3938">
      <c r="A3938" s="2" t="s">
        <v>3778</v>
      </c>
      <c r="B3938" s="2" t="s">
        <v>3788</v>
      </c>
      <c r="C3938" s="2" t="s">
        <v>3825</v>
      </c>
      <c r="D3938" s="3" t="str">
        <f t="shared" ref="D3938:D3941" si="627">HYPERLINK("https://12go.asia/en/travel/Amman-Airport/Irbid-Hotel-Transfer", "12Go Link")</f>
        <v>12Go Link</v>
      </c>
      <c r="E3938" s="2" t="s">
        <v>3780</v>
      </c>
    </row>
    <row r="3939">
      <c r="A3939" s="2" t="s">
        <v>3778</v>
      </c>
      <c r="B3939" s="2" t="s">
        <v>3788</v>
      </c>
      <c r="C3939" s="2" t="s">
        <v>3825</v>
      </c>
      <c r="D3939" s="3" t="str">
        <f t="shared" si="627"/>
        <v>12Go Link</v>
      </c>
      <c r="E3939" s="2" t="s">
        <v>1567</v>
      </c>
    </row>
    <row r="3940">
      <c r="A3940" s="2" t="s">
        <v>3778</v>
      </c>
      <c r="B3940" s="2" t="s">
        <v>3788</v>
      </c>
      <c r="C3940" s="2" t="s">
        <v>3825</v>
      </c>
      <c r="D3940" s="3" t="str">
        <f t="shared" si="627"/>
        <v>12Go Link</v>
      </c>
      <c r="E3940" s="2" t="s">
        <v>3407</v>
      </c>
    </row>
    <row r="3941">
      <c r="A3941" s="2" t="s">
        <v>3778</v>
      </c>
      <c r="B3941" s="2" t="s">
        <v>3788</v>
      </c>
      <c r="C3941" s="2" t="s">
        <v>3825</v>
      </c>
      <c r="D3941" s="3" t="str">
        <f t="shared" si="627"/>
        <v>12Go Link</v>
      </c>
      <c r="E3941" s="2" t="s">
        <v>3805</v>
      </c>
    </row>
    <row r="3942">
      <c r="A3942" s="2" t="s">
        <v>3778</v>
      </c>
      <c r="B3942" s="2" t="s">
        <v>3788</v>
      </c>
      <c r="C3942" s="2" t="s">
        <v>3826</v>
      </c>
      <c r="D3942" s="3" t="str">
        <f t="shared" ref="D3942:D3945" si="628">HYPERLINK("https://12go.asia/en/travel/Amman-Hotel-Transfer/Irbid-Hotel-Transfer", "12Go Link")</f>
        <v>12Go Link</v>
      </c>
      <c r="E3942" s="2" t="s">
        <v>3780</v>
      </c>
    </row>
    <row r="3943">
      <c r="A3943" s="2" t="s">
        <v>3778</v>
      </c>
      <c r="B3943" s="2" t="s">
        <v>3788</v>
      </c>
      <c r="C3943" s="2" t="s">
        <v>3826</v>
      </c>
      <c r="D3943" s="3" t="str">
        <f t="shared" si="628"/>
        <v>12Go Link</v>
      </c>
      <c r="E3943" s="2" t="s">
        <v>1567</v>
      </c>
    </row>
    <row r="3944">
      <c r="A3944" s="2" t="s">
        <v>3778</v>
      </c>
      <c r="B3944" s="2" t="s">
        <v>3788</v>
      </c>
      <c r="C3944" s="2" t="s">
        <v>3826</v>
      </c>
      <c r="D3944" s="3" t="str">
        <f t="shared" si="628"/>
        <v>12Go Link</v>
      </c>
      <c r="E3944" s="2" t="s">
        <v>3407</v>
      </c>
    </row>
    <row r="3945">
      <c r="A3945" s="2" t="s">
        <v>3778</v>
      </c>
      <c r="B3945" s="2" t="s">
        <v>3788</v>
      </c>
      <c r="C3945" s="2" t="s">
        <v>3826</v>
      </c>
      <c r="D3945" s="3" t="str">
        <f t="shared" si="628"/>
        <v>12Go Link</v>
      </c>
      <c r="E3945" s="2" t="s">
        <v>3805</v>
      </c>
    </row>
    <row r="3946">
      <c r="A3946" s="2" t="s">
        <v>3778</v>
      </c>
      <c r="B3946" s="2" t="s">
        <v>3788</v>
      </c>
      <c r="C3946" s="2" t="s">
        <v>3827</v>
      </c>
      <c r="D3946" s="3" t="str">
        <f t="shared" ref="D3946:D3949" si="629">HYPERLINK("https://12go.asia/en/travel/King-Hussein-Bridge-Border-Crossing-Amman/Irbid-Hotel-Transfer", "12Go Link")</f>
        <v>12Go Link</v>
      </c>
      <c r="E3946" s="2" t="s">
        <v>3780</v>
      </c>
    </row>
    <row r="3947">
      <c r="A3947" s="2" t="s">
        <v>3778</v>
      </c>
      <c r="B3947" s="2" t="s">
        <v>3788</v>
      </c>
      <c r="C3947" s="2" t="s">
        <v>3827</v>
      </c>
      <c r="D3947" s="3" t="str">
        <f t="shared" si="629"/>
        <v>12Go Link</v>
      </c>
      <c r="E3947" s="2" t="s">
        <v>1567</v>
      </c>
    </row>
    <row r="3948">
      <c r="A3948" s="2" t="s">
        <v>3778</v>
      </c>
      <c r="B3948" s="2" t="s">
        <v>3788</v>
      </c>
      <c r="C3948" s="2" t="s">
        <v>3827</v>
      </c>
      <c r="D3948" s="3" t="str">
        <f t="shared" si="629"/>
        <v>12Go Link</v>
      </c>
      <c r="E3948" s="2" t="s">
        <v>3407</v>
      </c>
    </row>
    <row r="3949">
      <c r="A3949" s="2" t="s">
        <v>3778</v>
      </c>
      <c r="B3949" s="2" t="s">
        <v>3788</v>
      </c>
      <c r="C3949" s="2" t="s">
        <v>3827</v>
      </c>
      <c r="D3949" s="3" t="str">
        <f t="shared" si="629"/>
        <v>12Go Link</v>
      </c>
      <c r="E3949" s="2" t="s">
        <v>3805</v>
      </c>
    </row>
    <row r="3950">
      <c r="A3950" s="2" t="s">
        <v>3778</v>
      </c>
      <c r="B3950" s="2" t="s">
        <v>3790</v>
      </c>
      <c r="C3950" s="2" t="s">
        <v>3828</v>
      </c>
      <c r="D3950" s="3" t="str">
        <f t="shared" ref="D3950:D3953" si="630">HYPERLINK("https://12go.asia/en/travel/Amman-Airport/Jerash-Hotel-Transfer", "12Go Link")</f>
        <v>12Go Link</v>
      </c>
      <c r="E3950" s="2" t="s">
        <v>3780</v>
      </c>
    </row>
    <row r="3951">
      <c r="A3951" s="2" t="s">
        <v>3778</v>
      </c>
      <c r="B3951" s="2" t="s">
        <v>3790</v>
      </c>
      <c r="C3951" s="2" t="s">
        <v>3828</v>
      </c>
      <c r="D3951" s="3" t="str">
        <f t="shared" si="630"/>
        <v>12Go Link</v>
      </c>
      <c r="E3951" s="2" t="s">
        <v>1567</v>
      </c>
    </row>
    <row r="3952">
      <c r="A3952" s="2" t="s">
        <v>3778</v>
      </c>
      <c r="B3952" s="2" t="s">
        <v>3790</v>
      </c>
      <c r="C3952" s="2" t="s">
        <v>3828</v>
      </c>
      <c r="D3952" s="3" t="str">
        <f t="shared" si="630"/>
        <v>12Go Link</v>
      </c>
      <c r="E3952" s="2" t="s">
        <v>3407</v>
      </c>
    </row>
    <row r="3953">
      <c r="A3953" s="2" t="s">
        <v>3778</v>
      </c>
      <c r="B3953" s="2" t="s">
        <v>3790</v>
      </c>
      <c r="C3953" s="2" t="s">
        <v>3828</v>
      </c>
      <c r="D3953" s="3" t="str">
        <f t="shared" si="630"/>
        <v>12Go Link</v>
      </c>
      <c r="E3953" s="2" t="s">
        <v>3805</v>
      </c>
    </row>
    <row r="3954">
      <c r="A3954" s="2" t="s">
        <v>3778</v>
      </c>
      <c r="B3954" s="2" t="s">
        <v>3790</v>
      </c>
      <c r="C3954" s="2" t="s">
        <v>3829</v>
      </c>
      <c r="D3954" s="3" t="str">
        <f t="shared" ref="D3954:D3957" si="631">HYPERLINK("https://12go.asia/en/travel/Amman-Hotel-Transfer/Jerash-Hotel-Transfer", "12Go Link")</f>
        <v>12Go Link</v>
      </c>
      <c r="E3954" s="2" t="s">
        <v>3780</v>
      </c>
    </row>
    <row r="3955">
      <c r="A3955" s="2" t="s">
        <v>3778</v>
      </c>
      <c r="B3955" s="2" t="s">
        <v>3790</v>
      </c>
      <c r="C3955" s="2" t="s">
        <v>3829</v>
      </c>
      <c r="D3955" s="3" t="str">
        <f t="shared" si="631"/>
        <v>12Go Link</v>
      </c>
      <c r="E3955" s="2" t="s">
        <v>1567</v>
      </c>
    </row>
    <row r="3956">
      <c r="A3956" s="2" t="s">
        <v>3778</v>
      </c>
      <c r="B3956" s="2" t="s">
        <v>3790</v>
      </c>
      <c r="C3956" s="2" t="s">
        <v>3829</v>
      </c>
      <c r="D3956" s="3" t="str">
        <f t="shared" si="631"/>
        <v>12Go Link</v>
      </c>
      <c r="E3956" s="2" t="s">
        <v>3407</v>
      </c>
    </row>
    <row r="3957">
      <c r="A3957" s="2" t="s">
        <v>3778</v>
      </c>
      <c r="B3957" s="2" t="s">
        <v>3790</v>
      </c>
      <c r="C3957" s="2" t="s">
        <v>3829</v>
      </c>
      <c r="D3957" s="3" t="str">
        <f t="shared" si="631"/>
        <v>12Go Link</v>
      </c>
      <c r="E3957" s="2" t="s">
        <v>3805</v>
      </c>
    </row>
    <row r="3958">
      <c r="A3958" s="2" t="s">
        <v>3778</v>
      </c>
      <c r="B3958" s="2" t="s">
        <v>3790</v>
      </c>
      <c r="C3958" s="2" t="s">
        <v>3830</v>
      </c>
      <c r="D3958" s="3" t="str">
        <f t="shared" ref="D3958:D3961" si="632">HYPERLINK("https://12go.asia/en/travel/King-Hussein-Bridge-Border-Crossing-Amman/Jerash-Hotel-Transfer", "12Go Link")</f>
        <v>12Go Link</v>
      </c>
      <c r="E3958" s="2" t="s">
        <v>3780</v>
      </c>
    </row>
    <row r="3959">
      <c r="A3959" s="2" t="s">
        <v>3778</v>
      </c>
      <c r="B3959" s="2" t="s">
        <v>3790</v>
      </c>
      <c r="C3959" s="2" t="s">
        <v>3830</v>
      </c>
      <c r="D3959" s="3" t="str">
        <f t="shared" si="632"/>
        <v>12Go Link</v>
      </c>
      <c r="E3959" s="2" t="s">
        <v>1567</v>
      </c>
    </row>
    <row r="3960">
      <c r="A3960" s="2" t="s">
        <v>3778</v>
      </c>
      <c r="B3960" s="2" t="s">
        <v>3790</v>
      </c>
      <c r="C3960" s="2" t="s">
        <v>3830</v>
      </c>
      <c r="D3960" s="3" t="str">
        <f t="shared" si="632"/>
        <v>12Go Link</v>
      </c>
      <c r="E3960" s="2" t="s">
        <v>3407</v>
      </c>
    </row>
    <row r="3961">
      <c r="A3961" s="2" t="s">
        <v>3778</v>
      </c>
      <c r="B3961" s="2" t="s">
        <v>3790</v>
      </c>
      <c r="C3961" s="2" t="s">
        <v>3830</v>
      </c>
      <c r="D3961" s="3" t="str">
        <f t="shared" si="632"/>
        <v>12Go Link</v>
      </c>
      <c r="E3961" s="2" t="s">
        <v>3805</v>
      </c>
    </row>
    <row r="3962">
      <c r="A3962" s="2" t="s">
        <v>3778</v>
      </c>
      <c r="B3962" s="2" t="s">
        <v>3792</v>
      </c>
      <c r="C3962" s="2" t="s">
        <v>3831</v>
      </c>
      <c r="D3962" s="3" t="str">
        <f t="shared" ref="D3962:D3965" si="633">HYPERLINK("https://12go.asia/en/travel/Amman-Airport/Madaba-Hotel-Transfer", "12Go Link")</f>
        <v>12Go Link</v>
      </c>
      <c r="E3962" s="2" t="s">
        <v>3780</v>
      </c>
    </row>
    <row r="3963">
      <c r="A3963" s="2" t="s">
        <v>3778</v>
      </c>
      <c r="B3963" s="2" t="s">
        <v>3792</v>
      </c>
      <c r="C3963" s="2" t="s">
        <v>3831</v>
      </c>
      <c r="D3963" s="3" t="str">
        <f t="shared" si="633"/>
        <v>12Go Link</v>
      </c>
      <c r="E3963" s="2" t="s">
        <v>1567</v>
      </c>
    </row>
    <row r="3964">
      <c r="A3964" s="2" t="s">
        <v>3778</v>
      </c>
      <c r="B3964" s="2" t="s">
        <v>3792</v>
      </c>
      <c r="C3964" s="2" t="s">
        <v>3831</v>
      </c>
      <c r="D3964" s="3" t="str">
        <f t="shared" si="633"/>
        <v>12Go Link</v>
      </c>
      <c r="E3964" s="2" t="s">
        <v>3407</v>
      </c>
    </row>
    <row r="3965">
      <c r="A3965" s="2" t="s">
        <v>3778</v>
      </c>
      <c r="B3965" s="2" t="s">
        <v>3792</v>
      </c>
      <c r="C3965" s="2" t="s">
        <v>3831</v>
      </c>
      <c r="D3965" s="3" t="str">
        <f t="shared" si="633"/>
        <v>12Go Link</v>
      </c>
      <c r="E3965" s="2" t="s">
        <v>3805</v>
      </c>
    </row>
    <row r="3966">
      <c r="A3966" s="2" t="s">
        <v>3778</v>
      </c>
      <c r="B3966" s="2" t="s">
        <v>3792</v>
      </c>
      <c r="C3966" s="2" t="s">
        <v>3832</v>
      </c>
      <c r="D3966" s="3" t="str">
        <f t="shared" ref="D3966:D3969" si="634">HYPERLINK("https://12go.asia/en/travel/Amman-Hotel-Transfer/Madaba-Hotel-Transfer", "12Go Link")</f>
        <v>12Go Link</v>
      </c>
      <c r="E3966" s="2" t="s">
        <v>3780</v>
      </c>
    </row>
    <row r="3967">
      <c r="A3967" s="2" t="s">
        <v>3778</v>
      </c>
      <c r="B3967" s="2" t="s">
        <v>3792</v>
      </c>
      <c r="C3967" s="2" t="s">
        <v>3832</v>
      </c>
      <c r="D3967" s="3" t="str">
        <f t="shared" si="634"/>
        <v>12Go Link</v>
      </c>
      <c r="E3967" s="2" t="s">
        <v>1567</v>
      </c>
    </row>
    <row r="3968">
      <c r="A3968" s="2" t="s">
        <v>3778</v>
      </c>
      <c r="B3968" s="2" t="s">
        <v>3792</v>
      </c>
      <c r="C3968" s="2" t="s">
        <v>3832</v>
      </c>
      <c r="D3968" s="3" t="str">
        <f t="shared" si="634"/>
        <v>12Go Link</v>
      </c>
      <c r="E3968" s="2" t="s">
        <v>3407</v>
      </c>
    </row>
    <row r="3969">
      <c r="A3969" s="2" t="s">
        <v>3778</v>
      </c>
      <c r="B3969" s="2" t="s">
        <v>3792</v>
      </c>
      <c r="C3969" s="2" t="s">
        <v>3832</v>
      </c>
      <c r="D3969" s="3" t="str">
        <f t="shared" si="634"/>
        <v>12Go Link</v>
      </c>
      <c r="E3969" s="2" t="s">
        <v>3805</v>
      </c>
    </row>
    <row r="3970">
      <c r="A3970" s="2" t="s">
        <v>3778</v>
      </c>
      <c r="B3970" s="2" t="s">
        <v>3792</v>
      </c>
      <c r="C3970" s="2" t="s">
        <v>3833</v>
      </c>
      <c r="D3970" s="3" t="str">
        <f t="shared" ref="D3970:D3973" si="635">HYPERLINK("https://12go.asia/en/travel/King-Hussein-Bridge-Border-Crossing-Amman/Madaba-Hotel-Transfer", "12Go Link")</f>
        <v>12Go Link</v>
      </c>
      <c r="E3970" s="2" t="s">
        <v>3780</v>
      </c>
    </row>
    <row r="3971">
      <c r="A3971" s="2" t="s">
        <v>3778</v>
      </c>
      <c r="B3971" s="2" t="s">
        <v>3792</v>
      </c>
      <c r="C3971" s="2" t="s">
        <v>3833</v>
      </c>
      <c r="D3971" s="3" t="str">
        <f t="shared" si="635"/>
        <v>12Go Link</v>
      </c>
      <c r="E3971" s="2" t="s">
        <v>1567</v>
      </c>
    </row>
    <row r="3972">
      <c r="A3972" s="2" t="s">
        <v>3778</v>
      </c>
      <c r="B3972" s="2" t="s">
        <v>3792</v>
      </c>
      <c r="C3972" s="2" t="s">
        <v>3833</v>
      </c>
      <c r="D3972" s="3" t="str">
        <f t="shared" si="635"/>
        <v>12Go Link</v>
      </c>
      <c r="E3972" s="2" t="s">
        <v>3407</v>
      </c>
    </row>
    <row r="3973">
      <c r="A3973" s="2" t="s">
        <v>3778</v>
      </c>
      <c r="B3973" s="2" t="s">
        <v>3792</v>
      </c>
      <c r="C3973" s="2" t="s">
        <v>3833</v>
      </c>
      <c r="D3973" s="3" t="str">
        <f t="shared" si="635"/>
        <v>12Go Link</v>
      </c>
      <c r="E3973" s="2" t="s">
        <v>3805</v>
      </c>
    </row>
    <row r="3974">
      <c r="A3974" s="2" t="s">
        <v>3778</v>
      </c>
      <c r="B3974" s="2" t="s">
        <v>3794</v>
      </c>
      <c r="C3974" s="2" t="s">
        <v>3834</v>
      </c>
      <c r="D3974" s="3" t="str">
        <f t="shared" ref="D3974:D3977" si="636">HYPERLINK("https://12go.asia/en/travel/Amman-Airport/Ma-in-Hot-Springs-Transfer", "12Go Link")</f>
        <v>12Go Link</v>
      </c>
      <c r="E3974" s="2" t="s">
        <v>3780</v>
      </c>
    </row>
    <row r="3975">
      <c r="A3975" s="2" t="s">
        <v>3778</v>
      </c>
      <c r="B3975" s="2" t="s">
        <v>3794</v>
      </c>
      <c r="C3975" s="2" t="s">
        <v>3834</v>
      </c>
      <c r="D3975" s="3" t="str">
        <f t="shared" si="636"/>
        <v>12Go Link</v>
      </c>
      <c r="E3975" s="2" t="s">
        <v>1567</v>
      </c>
    </row>
    <row r="3976">
      <c r="A3976" s="2" t="s">
        <v>3778</v>
      </c>
      <c r="B3976" s="2" t="s">
        <v>3794</v>
      </c>
      <c r="C3976" s="2" t="s">
        <v>3834</v>
      </c>
      <c r="D3976" s="3" t="str">
        <f t="shared" si="636"/>
        <v>12Go Link</v>
      </c>
      <c r="E3976" s="2" t="s">
        <v>3407</v>
      </c>
    </row>
    <row r="3977">
      <c r="A3977" s="2" t="s">
        <v>3778</v>
      </c>
      <c r="B3977" s="2" t="s">
        <v>3794</v>
      </c>
      <c r="C3977" s="2" t="s">
        <v>3834</v>
      </c>
      <c r="D3977" s="3" t="str">
        <f t="shared" si="636"/>
        <v>12Go Link</v>
      </c>
      <c r="E3977" s="2" t="s">
        <v>3805</v>
      </c>
    </row>
    <row r="3978">
      <c r="A3978" s="2" t="s">
        <v>3778</v>
      </c>
      <c r="B3978" s="2" t="s">
        <v>3794</v>
      </c>
      <c r="C3978" s="2" t="s">
        <v>3835</v>
      </c>
      <c r="D3978" s="3" t="str">
        <f t="shared" ref="D3978:D3981" si="637">HYPERLINK("https://12go.asia/en/travel/Amman-Hotel-Transfer/Ma-in-Hot-Springs-Transfer", "12Go Link")</f>
        <v>12Go Link</v>
      </c>
      <c r="E3978" s="2" t="s">
        <v>3780</v>
      </c>
    </row>
    <row r="3979">
      <c r="A3979" s="2" t="s">
        <v>3778</v>
      </c>
      <c r="B3979" s="2" t="s">
        <v>3794</v>
      </c>
      <c r="C3979" s="2" t="s">
        <v>3835</v>
      </c>
      <c r="D3979" s="3" t="str">
        <f t="shared" si="637"/>
        <v>12Go Link</v>
      </c>
      <c r="E3979" s="2" t="s">
        <v>1567</v>
      </c>
    </row>
    <row r="3980">
      <c r="A3980" s="2" t="s">
        <v>3778</v>
      </c>
      <c r="B3980" s="2" t="s">
        <v>3794</v>
      </c>
      <c r="C3980" s="2" t="s">
        <v>3835</v>
      </c>
      <c r="D3980" s="3" t="str">
        <f t="shared" si="637"/>
        <v>12Go Link</v>
      </c>
      <c r="E3980" s="2" t="s">
        <v>3407</v>
      </c>
    </row>
    <row r="3981">
      <c r="A3981" s="2" t="s">
        <v>3778</v>
      </c>
      <c r="B3981" s="2" t="s">
        <v>3794</v>
      </c>
      <c r="C3981" s="2" t="s">
        <v>3835</v>
      </c>
      <c r="D3981" s="3" t="str">
        <f t="shared" si="637"/>
        <v>12Go Link</v>
      </c>
      <c r="E3981" s="2" t="s">
        <v>3805</v>
      </c>
    </row>
    <row r="3982">
      <c r="A3982" s="2" t="s">
        <v>3778</v>
      </c>
      <c r="B3982" s="2" t="s">
        <v>3794</v>
      </c>
      <c r="C3982" s="2" t="s">
        <v>3836</v>
      </c>
      <c r="D3982" s="3" t="str">
        <f t="shared" ref="D3982:D3985" si="638">HYPERLINK("https://12go.asia/en/travel/King-Hussein-Bridge-Border-Crossing-Amman/Ma-in-Hot-Springs-Transfer", "12Go Link")</f>
        <v>12Go Link</v>
      </c>
      <c r="E3982" s="2" t="s">
        <v>3780</v>
      </c>
    </row>
    <row r="3983">
      <c r="A3983" s="2" t="s">
        <v>3778</v>
      </c>
      <c r="B3983" s="2" t="s">
        <v>3794</v>
      </c>
      <c r="C3983" s="2" t="s">
        <v>3836</v>
      </c>
      <c r="D3983" s="3" t="str">
        <f t="shared" si="638"/>
        <v>12Go Link</v>
      </c>
      <c r="E3983" s="2" t="s">
        <v>1567</v>
      </c>
    </row>
    <row r="3984">
      <c r="A3984" s="2" t="s">
        <v>3778</v>
      </c>
      <c r="B3984" s="2" t="s">
        <v>3794</v>
      </c>
      <c r="C3984" s="2" t="s">
        <v>3836</v>
      </c>
      <c r="D3984" s="3" t="str">
        <f t="shared" si="638"/>
        <v>12Go Link</v>
      </c>
      <c r="E3984" s="2" t="s">
        <v>3407</v>
      </c>
    </row>
    <row r="3985">
      <c r="A3985" s="2" t="s">
        <v>3778</v>
      </c>
      <c r="B3985" s="2" t="s">
        <v>3794</v>
      </c>
      <c r="C3985" s="2" t="s">
        <v>3836</v>
      </c>
      <c r="D3985" s="3" t="str">
        <f t="shared" si="638"/>
        <v>12Go Link</v>
      </c>
      <c r="E3985" s="2" t="s">
        <v>3805</v>
      </c>
    </row>
    <row r="3986">
      <c r="A3986" s="2" t="s">
        <v>3778</v>
      </c>
      <c r="B3986" s="2" t="s">
        <v>3796</v>
      </c>
      <c r="C3986" s="2" t="s">
        <v>3837</v>
      </c>
      <c r="D3986" s="3" t="str">
        <f t="shared" ref="D3986:D3989" si="639">HYPERLINK("https://12go.asia/en/travel/Amman-Airport/Petra-Hotel-Transfer", "12Go Link")</f>
        <v>12Go Link</v>
      </c>
      <c r="E3986" s="2" t="s">
        <v>3780</v>
      </c>
    </row>
    <row r="3987">
      <c r="A3987" s="2" t="s">
        <v>3778</v>
      </c>
      <c r="B3987" s="2" t="s">
        <v>3796</v>
      </c>
      <c r="C3987" s="2" t="s">
        <v>3837</v>
      </c>
      <c r="D3987" s="3" t="str">
        <f t="shared" si="639"/>
        <v>12Go Link</v>
      </c>
      <c r="E3987" s="2" t="s">
        <v>1567</v>
      </c>
    </row>
    <row r="3988">
      <c r="A3988" s="2" t="s">
        <v>3778</v>
      </c>
      <c r="B3988" s="2" t="s">
        <v>3796</v>
      </c>
      <c r="C3988" s="2" t="s">
        <v>3837</v>
      </c>
      <c r="D3988" s="3" t="str">
        <f t="shared" si="639"/>
        <v>12Go Link</v>
      </c>
      <c r="E3988" s="2" t="s">
        <v>3407</v>
      </c>
    </row>
    <row r="3989">
      <c r="A3989" s="2" t="s">
        <v>3778</v>
      </c>
      <c r="B3989" s="2" t="s">
        <v>3796</v>
      </c>
      <c r="C3989" s="2" t="s">
        <v>3837</v>
      </c>
      <c r="D3989" s="3" t="str">
        <f t="shared" si="639"/>
        <v>12Go Link</v>
      </c>
      <c r="E3989" s="2" t="s">
        <v>3805</v>
      </c>
    </row>
    <row r="3990">
      <c r="A3990" s="2" t="s">
        <v>3778</v>
      </c>
      <c r="B3990" s="2" t="s">
        <v>3796</v>
      </c>
      <c r="C3990" s="2" t="s">
        <v>3838</v>
      </c>
      <c r="D3990" s="3" t="str">
        <f t="shared" ref="D3990:D3993" si="640">HYPERLINK("https://12go.asia/en/travel/Amman-Hotel-Transfer/Petra-Hotel-Transfer", "12Go Link")</f>
        <v>12Go Link</v>
      </c>
      <c r="E3990" s="2" t="s">
        <v>3780</v>
      </c>
    </row>
    <row r="3991">
      <c r="A3991" s="2" t="s">
        <v>3778</v>
      </c>
      <c r="B3991" s="2" t="s">
        <v>3796</v>
      </c>
      <c r="C3991" s="2" t="s">
        <v>3838</v>
      </c>
      <c r="D3991" s="3" t="str">
        <f t="shared" si="640"/>
        <v>12Go Link</v>
      </c>
      <c r="E3991" s="2" t="s">
        <v>1567</v>
      </c>
    </row>
    <row r="3992">
      <c r="A3992" s="2" t="s">
        <v>3778</v>
      </c>
      <c r="B3992" s="2" t="s">
        <v>3796</v>
      </c>
      <c r="C3992" s="2" t="s">
        <v>3838</v>
      </c>
      <c r="D3992" s="3" t="str">
        <f t="shared" si="640"/>
        <v>12Go Link</v>
      </c>
      <c r="E3992" s="2" t="s">
        <v>3407</v>
      </c>
    </row>
    <row r="3993">
      <c r="A3993" s="2" t="s">
        <v>3778</v>
      </c>
      <c r="B3993" s="2" t="s">
        <v>3796</v>
      </c>
      <c r="C3993" s="2" t="s">
        <v>3838</v>
      </c>
      <c r="D3993" s="3" t="str">
        <f t="shared" si="640"/>
        <v>12Go Link</v>
      </c>
      <c r="E3993" s="2" t="s">
        <v>3805</v>
      </c>
    </row>
    <row r="3994">
      <c r="A3994" s="2" t="s">
        <v>3778</v>
      </c>
      <c r="B3994" s="2" t="s">
        <v>3796</v>
      </c>
      <c r="C3994" s="2" t="s">
        <v>3839</v>
      </c>
      <c r="D3994" s="3" t="str">
        <f t="shared" ref="D3994:D3997" si="641">HYPERLINK("https://12go.asia/en/travel/King-Hussein-Bridge-Border-Crossing-Amman/Petra-Hotel-Transfer", "12Go Link")</f>
        <v>12Go Link</v>
      </c>
      <c r="E3994" s="2" t="s">
        <v>3780</v>
      </c>
    </row>
    <row r="3995">
      <c r="A3995" s="2" t="s">
        <v>3778</v>
      </c>
      <c r="B3995" s="2" t="s">
        <v>3796</v>
      </c>
      <c r="C3995" s="2" t="s">
        <v>3839</v>
      </c>
      <c r="D3995" s="3" t="str">
        <f t="shared" si="641"/>
        <v>12Go Link</v>
      </c>
      <c r="E3995" s="2" t="s">
        <v>1567</v>
      </c>
    </row>
    <row r="3996">
      <c r="A3996" s="2" t="s">
        <v>3778</v>
      </c>
      <c r="B3996" s="2" t="s">
        <v>3796</v>
      </c>
      <c r="C3996" s="2" t="s">
        <v>3839</v>
      </c>
      <c r="D3996" s="3" t="str">
        <f t="shared" si="641"/>
        <v>12Go Link</v>
      </c>
      <c r="E3996" s="2" t="s">
        <v>3407</v>
      </c>
    </row>
    <row r="3997">
      <c r="A3997" s="2" t="s">
        <v>3778</v>
      </c>
      <c r="B3997" s="2" t="s">
        <v>3796</v>
      </c>
      <c r="C3997" s="2" t="s">
        <v>3839</v>
      </c>
      <c r="D3997" s="3" t="str">
        <f t="shared" si="641"/>
        <v>12Go Link</v>
      </c>
      <c r="E3997" s="2" t="s">
        <v>3805</v>
      </c>
    </row>
    <row r="3998">
      <c r="A3998" s="2" t="s">
        <v>3778</v>
      </c>
      <c r="B3998" s="2" t="s">
        <v>3798</v>
      </c>
      <c r="C3998" s="2" t="s">
        <v>3840</v>
      </c>
      <c r="D3998" s="3" t="str">
        <f t="shared" ref="D3998:D4001" si="642">HYPERLINK("https://12go.asia/en/travel/Amman-Airport/Jordan-River-Crossing", "12Go Link")</f>
        <v>12Go Link</v>
      </c>
      <c r="E3998" s="2" t="s">
        <v>3780</v>
      </c>
    </row>
    <row r="3999">
      <c r="A3999" s="2" t="s">
        <v>3778</v>
      </c>
      <c r="B3999" s="2" t="s">
        <v>3798</v>
      </c>
      <c r="C3999" s="2" t="s">
        <v>3840</v>
      </c>
      <c r="D3999" s="3" t="str">
        <f t="shared" si="642"/>
        <v>12Go Link</v>
      </c>
      <c r="E3999" s="2" t="s">
        <v>1567</v>
      </c>
    </row>
    <row r="4000">
      <c r="A4000" s="2" t="s">
        <v>3778</v>
      </c>
      <c r="B4000" s="2" t="s">
        <v>3798</v>
      </c>
      <c r="C4000" s="2" t="s">
        <v>3840</v>
      </c>
      <c r="D4000" s="3" t="str">
        <f t="shared" si="642"/>
        <v>12Go Link</v>
      </c>
      <c r="E4000" s="2" t="s">
        <v>3407</v>
      </c>
    </row>
    <row r="4001">
      <c r="A4001" s="2" t="s">
        <v>3778</v>
      </c>
      <c r="B4001" s="2" t="s">
        <v>3798</v>
      </c>
      <c r="C4001" s="2" t="s">
        <v>3840</v>
      </c>
      <c r="D4001" s="3" t="str">
        <f t="shared" si="642"/>
        <v>12Go Link</v>
      </c>
      <c r="E4001" s="2" t="s">
        <v>3805</v>
      </c>
    </row>
    <row r="4002">
      <c r="A4002" s="2" t="s">
        <v>3778</v>
      </c>
      <c r="B4002" s="2" t="s">
        <v>3798</v>
      </c>
      <c r="C4002" s="2" t="s">
        <v>3841</v>
      </c>
      <c r="D4002" s="3" t="str">
        <f t="shared" ref="D4002:D4005" si="643">HYPERLINK("https://12go.asia/en/travel/Amman-Hotel-Transfer/Jordan-River-Crossing", "12Go Link")</f>
        <v>12Go Link</v>
      </c>
      <c r="E4002" s="2" t="s">
        <v>3780</v>
      </c>
    </row>
    <row r="4003">
      <c r="A4003" s="2" t="s">
        <v>3778</v>
      </c>
      <c r="B4003" s="2" t="s">
        <v>3798</v>
      </c>
      <c r="C4003" s="2" t="s">
        <v>3841</v>
      </c>
      <c r="D4003" s="3" t="str">
        <f t="shared" si="643"/>
        <v>12Go Link</v>
      </c>
      <c r="E4003" s="2" t="s">
        <v>1567</v>
      </c>
    </row>
    <row r="4004">
      <c r="A4004" s="2" t="s">
        <v>3778</v>
      </c>
      <c r="B4004" s="2" t="s">
        <v>3798</v>
      </c>
      <c r="C4004" s="2" t="s">
        <v>3841</v>
      </c>
      <c r="D4004" s="3" t="str">
        <f t="shared" si="643"/>
        <v>12Go Link</v>
      </c>
      <c r="E4004" s="2" t="s">
        <v>3407</v>
      </c>
    </row>
    <row r="4005">
      <c r="A4005" s="2" t="s">
        <v>3778</v>
      </c>
      <c r="B4005" s="2" t="s">
        <v>3798</v>
      </c>
      <c r="C4005" s="2" t="s">
        <v>3841</v>
      </c>
      <c r="D4005" s="3" t="str">
        <f t="shared" si="643"/>
        <v>12Go Link</v>
      </c>
      <c r="E4005" s="2" t="s">
        <v>3805</v>
      </c>
    </row>
    <row r="4006">
      <c r="A4006" s="2" t="s">
        <v>3778</v>
      </c>
      <c r="B4006" s="2" t="s">
        <v>3798</v>
      </c>
      <c r="C4006" s="2" t="s">
        <v>3842</v>
      </c>
      <c r="D4006" s="3" t="str">
        <f t="shared" ref="D4006:D4009" si="644">HYPERLINK("https://12go.asia/en/travel/King-Hussein-Bridge-Border-Crossing-Amman/Jordan-River-Crossing", "12Go Link")</f>
        <v>12Go Link</v>
      </c>
      <c r="E4006" s="2" t="s">
        <v>3780</v>
      </c>
    </row>
    <row r="4007">
      <c r="A4007" s="2" t="s">
        <v>3778</v>
      </c>
      <c r="B4007" s="2" t="s">
        <v>3798</v>
      </c>
      <c r="C4007" s="2" t="s">
        <v>3842</v>
      </c>
      <c r="D4007" s="3" t="str">
        <f t="shared" si="644"/>
        <v>12Go Link</v>
      </c>
      <c r="E4007" s="2" t="s">
        <v>1567</v>
      </c>
    </row>
    <row r="4008">
      <c r="A4008" s="2" t="s">
        <v>3778</v>
      </c>
      <c r="B4008" s="2" t="s">
        <v>3798</v>
      </c>
      <c r="C4008" s="2" t="s">
        <v>3842</v>
      </c>
      <c r="D4008" s="3" t="str">
        <f t="shared" si="644"/>
        <v>12Go Link</v>
      </c>
      <c r="E4008" s="2" t="s">
        <v>3407</v>
      </c>
    </row>
    <row r="4009">
      <c r="A4009" s="2" t="s">
        <v>3778</v>
      </c>
      <c r="B4009" s="2" t="s">
        <v>3798</v>
      </c>
      <c r="C4009" s="2" t="s">
        <v>3842</v>
      </c>
      <c r="D4009" s="3" t="str">
        <f t="shared" si="644"/>
        <v>12Go Link</v>
      </c>
      <c r="E4009" s="2" t="s">
        <v>3805</v>
      </c>
    </row>
    <row r="4010">
      <c r="A4010" s="2" t="s">
        <v>3778</v>
      </c>
      <c r="B4010" s="2" t="s">
        <v>3800</v>
      </c>
      <c r="C4010" s="2" t="s">
        <v>3843</v>
      </c>
      <c r="D4010" s="3" t="str">
        <f t="shared" ref="D4010:D4013" si="645">HYPERLINK("https://12go.asia/en/travel/Amman-Airport/Umm-Qais-Hotel-Transfer", "12Go Link")</f>
        <v>12Go Link</v>
      </c>
      <c r="E4010" s="2" t="s">
        <v>3780</v>
      </c>
    </row>
    <row r="4011">
      <c r="A4011" s="2" t="s">
        <v>3778</v>
      </c>
      <c r="B4011" s="2" t="s">
        <v>3800</v>
      </c>
      <c r="C4011" s="2" t="s">
        <v>3843</v>
      </c>
      <c r="D4011" s="3" t="str">
        <f t="shared" si="645"/>
        <v>12Go Link</v>
      </c>
      <c r="E4011" s="2" t="s">
        <v>1567</v>
      </c>
    </row>
    <row r="4012">
      <c r="A4012" s="2" t="s">
        <v>3778</v>
      </c>
      <c r="B4012" s="2" t="s">
        <v>3800</v>
      </c>
      <c r="C4012" s="2" t="s">
        <v>3843</v>
      </c>
      <c r="D4012" s="3" t="str">
        <f t="shared" si="645"/>
        <v>12Go Link</v>
      </c>
      <c r="E4012" s="2" t="s">
        <v>3407</v>
      </c>
    </row>
    <row r="4013">
      <c r="A4013" s="2" t="s">
        <v>3778</v>
      </c>
      <c r="B4013" s="2" t="s">
        <v>3800</v>
      </c>
      <c r="C4013" s="2" t="s">
        <v>3843</v>
      </c>
      <c r="D4013" s="3" t="str">
        <f t="shared" si="645"/>
        <v>12Go Link</v>
      </c>
      <c r="E4013" s="2" t="s">
        <v>3805</v>
      </c>
    </row>
    <row r="4014">
      <c r="A4014" s="2" t="s">
        <v>3778</v>
      </c>
      <c r="B4014" s="2" t="s">
        <v>3800</v>
      </c>
      <c r="C4014" s="2" t="s">
        <v>3844</v>
      </c>
      <c r="D4014" s="3" t="str">
        <f t="shared" ref="D4014:D4017" si="646">HYPERLINK("https://12go.asia/en/travel/Amman-Hotel-Transfer/Umm-Qais-Hotel-Transfer", "12Go Link")</f>
        <v>12Go Link</v>
      </c>
      <c r="E4014" s="2" t="s">
        <v>3780</v>
      </c>
    </row>
    <row r="4015">
      <c r="A4015" s="2" t="s">
        <v>3778</v>
      </c>
      <c r="B4015" s="2" t="s">
        <v>3800</v>
      </c>
      <c r="C4015" s="2" t="s">
        <v>3844</v>
      </c>
      <c r="D4015" s="3" t="str">
        <f t="shared" si="646"/>
        <v>12Go Link</v>
      </c>
      <c r="E4015" s="2" t="s">
        <v>1567</v>
      </c>
    </row>
    <row r="4016">
      <c r="A4016" s="2" t="s">
        <v>3778</v>
      </c>
      <c r="B4016" s="2" t="s">
        <v>3800</v>
      </c>
      <c r="C4016" s="2" t="s">
        <v>3844</v>
      </c>
      <c r="D4016" s="3" t="str">
        <f t="shared" si="646"/>
        <v>12Go Link</v>
      </c>
      <c r="E4016" s="2" t="s">
        <v>3407</v>
      </c>
    </row>
    <row r="4017">
      <c r="A4017" s="2" t="s">
        <v>3778</v>
      </c>
      <c r="B4017" s="2" t="s">
        <v>3800</v>
      </c>
      <c r="C4017" s="2" t="s">
        <v>3844</v>
      </c>
      <c r="D4017" s="3" t="str">
        <f t="shared" si="646"/>
        <v>12Go Link</v>
      </c>
      <c r="E4017" s="2" t="s">
        <v>3805</v>
      </c>
    </row>
    <row r="4018">
      <c r="A4018" s="2" t="s">
        <v>3778</v>
      </c>
      <c r="B4018" s="2" t="s">
        <v>3800</v>
      </c>
      <c r="C4018" s="2" t="s">
        <v>3845</v>
      </c>
      <c r="D4018" s="3" t="str">
        <f t="shared" ref="D4018:D4021" si="647">HYPERLINK("https://12go.asia/en/travel/King-Hussein-Bridge-Border-Crossing-Amman/Umm-Qais-Hotel-Transfer", "12Go Link")</f>
        <v>12Go Link</v>
      </c>
      <c r="E4018" s="2" t="s">
        <v>3780</v>
      </c>
    </row>
    <row r="4019">
      <c r="A4019" s="2" t="s">
        <v>3778</v>
      </c>
      <c r="B4019" s="2" t="s">
        <v>3800</v>
      </c>
      <c r="C4019" s="2" t="s">
        <v>3845</v>
      </c>
      <c r="D4019" s="3" t="str">
        <f t="shared" si="647"/>
        <v>12Go Link</v>
      </c>
      <c r="E4019" s="2" t="s">
        <v>1567</v>
      </c>
    </row>
    <row r="4020">
      <c r="A4020" s="2" t="s">
        <v>3778</v>
      </c>
      <c r="B4020" s="2" t="s">
        <v>3800</v>
      </c>
      <c r="C4020" s="2" t="s">
        <v>3845</v>
      </c>
      <c r="D4020" s="3" t="str">
        <f t="shared" si="647"/>
        <v>12Go Link</v>
      </c>
      <c r="E4020" s="2" t="s">
        <v>3407</v>
      </c>
    </row>
    <row r="4021">
      <c r="A4021" s="2" t="s">
        <v>3778</v>
      </c>
      <c r="B4021" s="2" t="s">
        <v>3800</v>
      </c>
      <c r="C4021" s="2" t="s">
        <v>3845</v>
      </c>
      <c r="D4021" s="3" t="str">
        <f t="shared" si="647"/>
        <v>12Go Link</v>
      </c>
      <c r="E4021" s="2" t="s">
        <v>3805</v>
      </c>
    </row>
    <row r="4022">
      <c r="A4022" s="2" t="s">
        <v>3778</v>
      </c>
      <c r="B4022" s="2" t="s">
        <v>3802</v>
      </c>
      <c r="C4022" s="2" t="s">
        <v>3846</v>
      </c>
      <c r="D4022" s="3" t="str">
        <f t="shared" ref="D4022:D4025" si="648">HYPERLINK("https://12go.asia/en/travel/Amman-Airport/Wadi-Rum-Hotel-Transfer", "12Go Link")</f>
        <v>12Go Link</v>
      </c>
      <c r="E4022" s="2" t="s">
        <v>3780</v>
      </c>
    </row>
    <row r="4023">
      <c r="A4023" s="2" t="s">
        <v>3778</v>
      </c>
      <c r="B4023" s="2" t="s">
        <v>3802</v>
      </c>
      <c r="C4023" s="2" t="s">
        <v>3846</v>
      </c>
      <c r="D4023" s="3" t="str">
        <f t="shared" si="648"/>
        <v>12Go Link</v>
      </c>
      <c r="E4023" s="2" t="s">
        <v>1567</v>
      </c>
    </row>
    <row r="4024">
      <c r="A4024" s="2" t="s">
        <v>3778</v>
      </c>
      <c r="B4024" s="2" t="s">
        <v>3802</v>
      </c>
      <c r="C4024" s="2" t="s">
        <v>3846</v>
      </c>
      <c r="D4024" s="3" t="str">
        <f t="shared" si="648"/>
        <v>12Go Link</v>
      </c>
      <c r="E4024" s="2" t="s">
        <v>3407</v>
      </c>
    </row>
    <row r="4025">
      <c r="A4025" s="2" t="s">
        <v>3778</v>
      </c>
      <c r="B4025" s="2" t="s">
        <v>3802</v>
      </c>
      <c r="C4025" s="2" t="s">
        <v>3846</v>
      </c>
      <c r="D4025" s="3" t="str">
        <f t="shared" si="648"/>
        <v>12Go Link</v>
      </c>
      <c r="E4025" s="2" t="s">
        <v>3805</v>
      </c>
    </row>
    <row r="4026">
      <c r="A4026" s="2" t="s">
        <v>3778</v>
      </c>
      <c r="B4026" s="2" t="s">
        <v>3802</v>
      </c>
      <c r="C4026" s="2" t="s">
        <v>3847</v>
      </c>
      <c r="D4026" s="3" t="str">
        <f t="shared" ref="D4026:D4029" si="649">HYPERLINK("https://12go.asia/en/travel/Amman-Hotel-Transfer/Wadi-Rum-Hotel-Transfer", "12Go Link")</f>
        <v>12Go Link</v>
      </c>
      <c r="E4026" s="2" t="s">
        <v>3780</v>
      </c>
    </row>
    <row r="4027">
      <c r="A4027" s="2" t="s">
        <v>3778</v>
      </c>
      <c r="B4027" s="2" t="s">
        <v>3802</v>
      </c>
      <c r="C4027" s="2" t="s">
        <v>3847</v>
      </c>
      <c r="D4027" s="3" t="str">
        <f t="shared" si="649"/>
        <v>12Go Link</v>
      </c>
      <c r="E4027" s="2" t="s">
        <v>1567</v>
      </c>
    </row>
    <row r="4028">
      <c r="A4028" s="2" t="s">
        <v>3778</v>
      </c>
      <c r="B4028" s="2" t="s">
        <v>3802</v>
      </c>
      <c r="C4028" s="2" t="s">
        <v>3847</v>
      </c>
      <c r="D4028" s="3" t="str">
        <f t="shared" si="649"/>
        <v>12Go Link</v>
      </c>
      <c r="E4028" s="2" t="s">
        <v>3407</v>
      </c>
    </row>
    <row r="4029">
      <c r="A4029" s="2" t="s">
        <v>3778</v>
      </c>
      <c r="B4029" s="2" t="s">
        <v>3802</v>
      </c>
      <c r="C4029" s="2" t="s">
        <v>3847</v>
      </c>
      <c r="D4029" s="3" t="str">
        <f t="shared" si="649"/>
        <v>12Go Link</v>
      </c>
      <c r="E4029" s="2" t="s">
        <v>3805</v>
      </c>
    </row>
    <row r="4030">
      <c r="A4030" s="2" t="s">
        <v>3778</v>
      </c>
      <c r="B4030" s="2" t="s">
        <v>3802</v>
      </c>
      <c r="C4030" s="2" t="s">
        <v>3848</v>
      </c>
      <c r="D4030" s="3" t="str">
        <f t="shared" ref="D4030:D4033" si="650">HYPERLINK("https://12go.asia/en/travel/King-Hussein-Bridge-Border-Crossing-Amman/Wadi-Rum-Hotel-Transfer", "12Go Link")</f>
        <v>12Go Link</v>
      </c>
      <c r="E4030" s="2" t="s">
        <v>3780</v>
      </c>
    </row>
    <row r="4031">
      <c r="A4031" s="2" t="s">
        <v>3778</v>
      </c>
      <c r="B4031" s="2" t="s">
        <v>3802</v>
      </c>
      <c r="C4031" s="2" t="s">
        <v>3848</v>
      </c>
      <c r="D4031" s="3" t="str">
        <f t="shared" si="650"/>
        <v>12Go Link</v>
      </c>
      <c r="E4031" s="2" t="s">
        <v>1567</v>
      </c>
    </row>
    <row r="4032">
      <c r="A4032" s="2" t="s">
        <v>3778</v>
      </c>
      <c r="B4032" s="2" t="s">
        <v>3802</v>
      </c>
      <c r="C4032" s="2" t="s">
        <v>3848</v>
      </c>
      <c r="D4032" s="3" t="str">
        <f t="shared" si="650"/>
        <v>12Go Link</v>
      </c>
      <c r="E4032" s="2" t="s">
        <v>3407</v>
      </c>
    </row>
    <row r="4033">
      <c r="A4033" s="2" t="s">
        <v>3778</v>
      </c>
      <c r="B4033" s="2" t="s">
        <v>3802</v>
      </c>
      <c r="C4033" s="2" t="s">
        <v>3848</v>
      </c>
      <c r="D4033" s="3" t="str">
        <f t="shared" si="650"/>
        <v>12Go Link</v>
      </c>
      <c r="E4033" s="2" t="s">
        <v>3805</v>
      </c>
    </row>
    <row r="4034">
      <c r="A4034" s="2" t="s">
        <v>3783</v>
      </c>
      <c r="B4034" s="2" t="s">
        <v>3777</v>
      </c>
      <c r="C4034" s="2" t="s">
        <v>3849</v>
      </c>
      <c r="D4034" s="3" t="str">
        <f t="shared" ref="D4034:D4037" si="651">HYPERLINK("https://12go.asia/en/travel/Aqaba-Hotel-Transfer/Ajloun-Hotel-Transfer", "12Go Link")</f>
        <v>12Go Link</v>
      </c>
      <c r="E4034" s="2" t="s">
        <v>3780</v>
      </c>
    </row>
    <row r="4035">
      <c r="A4035" s="2" t="s">
        <v>3783</v>
      </c>
      <c r="B4035" s="2" t="s">
        <v>3777</v>
      </c>
      <c r="C4035" s="2" t="s">
        <v>3849</v>
      </c>
      <c r="D4035" s="3" t="str">
        <f t="shared" si="651"/>
        <v>12Go Link</v>
      </c>
      <c r="E4035" s="2" t="s">
        <v>1567</v>
      </c>
    </row>
    <row r="4036">
      <c r="A4036" s="2" t="s">
        <v>3783</v>
      </c>
      <c r="B4036" s="2" t="s">
        <v>3777</v>
      </c>
      <c r="C4036" s="2" t="s">
        <v>3849</v>
      </c>
      <c r="D4036" s="3" t="str">
        <f t="shared" si="651"/>
        <v>12Go Link</v>
      </c>
      <c r="E4036" s="2" t="s">
        <v>3407</v>
      </c>
    </row>
    <row r="4037">
      <c r="A4037" s="2" t="s">
        <v>3783</v>
      </c>
      <c r="B4037" s="2" t="s">
        <v>3777</v>
      </c>
      <c r="C4037" s="2" t="s">
        <v>3849</v>
      </c>
      <c r="D4037" s="3" t="str">
        <f t="shared" si="651"/>
        <v>12Go Link</v>
      </c>
      <c r="E4037" s="2" t="s">
        <v>3805</v>
      </c>
    </row>
    <row r="4038">
      <c r="A4038" s="2" t="s">
        <v>3783</v>
      </c>
      <c r="B4038" s="2" t="s">
        <v>3777</v>
      </c>
      <c r="C4038" s="2" t="s">
        <v>3850</v>
      </c>
      <c r="D4038" s="3" t="str">
        <f t="shared" ref="D4038:D4041" si="652">HYPERLINK("https://12go.asia/en/travel/Aqaba-Port/Ajloun-Hotel-Transfer", "12Go Link")</f>
        <v>12Go Link</v>
      </c>
      <c r="E4038" s="2" t="s">
        <v>3780</v>
      </c>
    </row>
    <row r="4039">
      <c r="A4039" s="2" t="s">
        <v>3783</v>
      </c>
      <c r="B4039" s="2" t="s">
        <v>3777</v>
      </c>
      <c r="C4039" s="2" t="s">
        <v>3850</v>
      </c>
      <c r="D4039" s="3" t="str">
        <f t="shared" si="652"/>
        <v>12Go Link</v>
      </c>
      <c r="E4039" s="2" t="s">
        <v>1567</v>
      </c>
    </row>
    <row r="4040">
      <c r="A4040" s="2" t="s">
        <v>3783</v>
      </c>
      <c r="B4040" s="2" t="s">
        <v>3777</v>
      </c>
      <c r="C4040" s="2" t="s">
        <v>3850</v>
      </c>
      <c r="D4040" s="3" t="str">
        <f t="shared" si="652"/>
        <v>12Go Link</v>
      </c>
      <c r="E4040" s="2" t="s">
        <v>3407</v>
      </c>
    </row>
    <row r="4041">
      <c r="A4041" s="2" t="s">
        <v>3783</v>
      </c>
      <c r="B4041" s="2" t="s">
        <v>3777</v>
      </c>
      <c r="C4041" s="2" t="s">
        <v>3850</v>
      </c>
      <c r="D4041" s="3" t="str">
        <f t="shared" si="652"/>
        <v>12Go Link</v>
      </c>
      <c r="E4041" s="2" t="s">
        <v>3805</v>
      </c>
    </row>
    <row r="4042">
      <c r="A4042" s="2" t="s">
        <v>3783</v>
      </c>
      <c r="B4042" s="2" t="s">
        <v>3778</v>
      </c>
      <c r="C4042" s="2" t="s">
        <v>3851</v>
      </c>
      <c r="D4042" s="3" t="str">
        <f t="shared" ref="D4042:D4045" si="653">HYPERLINK("https://12go.asia/en/travel/Aqaba-Hotel-Transfer/Amman-Airport", "12Go Link")</f>
        <v>12Go Link</v>
      </c>
      <c r="E4042" s="2" t="s">
        <v>3780</v>
      </c>
    </row>
    <row r="4043">
      <c r="A4043" s="2" t="s">
        <v>3783</v>
      </c>
      <c r="B4043" s="2" t="s">
        <v>3778</v>
      </c>
      <c r="C4043" s="2" t="s">
        <v>3851</v>
      </c>
      <c r="D4043" s="3" t="str">
        <f t="shared" si="653"/>
        <v>12Go Link</v>
      </c>
      <c r="E4043" s="2" t="s">
        <v>1567</v>
      </c>
    </row>
    <row r="4044">
      <c r="A4044" s="2" t="s">
        <v>3783</v>
      </c>
      <c r="B4044" s="2" t="s">
        <v>3778</v>
      </c>
      <c r="C4044" s="2" t="s">
        <v>3851</v>
      </c>
      <c r="D4044" s="3" t="str">
        <f t="shared" si="653"/>
        <v>12Go Link</v>
      </c>
      <c r="E4044" s="2" t="s">
        <v>3407</v>
      </c>
    </row>
    <row r="4045">
      <c r="A4045" s="2" t="s">
        <v>3783</v>
      </c>
      <c r="B4045" s="2" t="s">
        <v>3778</v>
      </c>
      <c r="C4045" s="2" t="s">
        <v>3851</v>
      </c>
      <c r="D4045" s="3" t="str">
        <f t="shared" si="653"/>
        <v>12Go Link</v>
      </c>
      <c r="E4045" s="2" t="s">
        <v>3805</v>
      </c>
    </row>
    <row r="4046">
      <c r="A4046" s="2" t="s">
        <v>3783</v>
      </c>
      <c r="B4046" s="2" t="s">
        <v>3778</v>
      </c>
      <c r="C4046" s="2" t="s">
        <v>3852</v>
      </c>
      <c r="D4046" s="3" t="str">
        <f t="shared" ref="D4046:D4049" si="654">HYPERLINK("https://12go.asia/en/travel/Aqaba-Hotel-Transfer/Amman-Hotel-Transfer", "12Go Link")</f>
        <v>12Go Link</v>
      </c>
      <c r="E4046" s="2" t="s">
        <v>3780</v>
      </c>
    </row>
    <row r="4047">
      <c r="A4047" s="2" t="s">
        <v>3783</v>
      </c>
      <c r="B4047" s="2" t="s">
        <v>3778</v>
      </c>
      <c r="C4047" s="2" t="s">
        <v>3852</v>
      </c>
      <c r="D4047" s="3" t="str">
        <f t="shared" si="654"/>
        <v>12Go Link</v>
      </c>
      <c r="E4047" s="2" t="s">
        <v>1567</v>
      </c>
    </row>
    <row r="4048">
      <c r="A4048" s="2" t="s">
        <v>3783</v>
      </c>
      <c r="B4048" s="2" t="s">
        <v>3778</v>
      </c>
      <c r="C4048" s="2" t="s">
        <v>3852</v>
      </c>
      <c r="D4048" s="3" t="str">
        <f t="shared" si="654"/>
        <v>12Go Link</v>
      </c>
      <c r="E4048" s="2" t="s">
        <v>3407</v>
      </c>
    </row>
    <row r="4049">
      <c r="A4049" s="2" t="s">
        <v>3783</v>
      </c>
      <c r="B4049" s="2" t="s">
        <v>3778</v>
      </c>
      <c r="C4049" s="2" t="s">
        <v>3852</v>
      </c>
      <c r="D4049" s="3" t="str">
        <f t="shared" si="654"/>
        <v>12Go Link</v>
      </c>
      <c r="E4049" s="2" t="s">
        <v>3805</v>
      </c>
    </row>
    <row r="4050">
      <c r="A4050" s="2" t="s">
        <v>3783</v>
      </c>
      <c r="B4050" s="2" t="s">
        <v>3778</v>
      </c>
      <c r="C4050" s="2" t="s">
        <v>3853</v>
      </c>
      <c r="D4050" s="3" t="str">
        <f t="shared" ref="D4050:D4053" si="655">HYPERLINK("https://12go.asia/en/travel/Aqaba-Hotel-Transfer/King-Hussein-Bridge-Border-Crossing-Amman", "12Go Link")</f>
        <v>12Go Link</v>
      </c>
      <c r="E4050" s="2" t="s">
        <v>3780</v>
      </c>
    </row>
    <row r="4051">
      <c r="A4051" s="2" t="s">
        <v>3783</v>
      </c>
      <c r="B4051" s="2" t="s">
        <v>3778</v>
      </c>
      <c r="C4051" s="2" t="s">
        <v>3853</v>
      </c>
      <c r="D4051" s="3" t="str">
        <f t="shared" si="655"/>
        <v>12Go Link</v>
      </c>
      <c r="E4051" s="2" t="s">
        <v>1567</v>
      </c>
    </row>
    <row r="4052">
      <c r="A4052" s="2" t="s">
        <v>3783</v>
      </c>
      <c r="B4052" s="2" t="s">
        <v>3778</v>
      </c>
      <c r="C4052" s="2" t="s">
        <v>3853</v>
      </c>
      <c r="D4052" s="3" t="str">
        <f t="shared" si="655"/>
        <v>12Go Link</v>
      </c>
      <c r="E4052" s="2" t="s">
        <v>3407</v>
      </c>
    </row>
    <row r="4053">
      <c r="A4053" s="2" t="s">
        <v>3783</v>
      </c>
      <c r="B4053" s="2" t="s">
        <v>3778</v>
      </c>
      <c r="C4053" s="2" t="s">
        <v>3853</v>
      </c>
      <c r="D4053" s="3" t="str">
        <f t="shared" si="655"/>
        <v>12Go Link</v>
      </c>
      <c r="E4053" s="2" t="s">
        <v>3805</v>
      </c>
    </row>
    <row r="4054">
      <c r="A4054" s="2" t="s">
        <v>3783</v>
      </c>
      <c r="B4054" s="2" t="s">
        <v>3778</v>
      </c>
      <c r="C4054" s="2" t="s">
        <v>3854</v>
      </c>
      <c r="D4054" s="3" t="str">
        <f t="shared" ref="D4054:D4057" si="656">HYPERLINK("https://12go.asia/en/travel/Aqaba-Port/Amman-Airport", "12Go Link")</f>
        <v>12Go Link</v>
      </c>
      <c r="E4054" s="2" t="s">
        <v>3780</v>
      </c>
    </row>
    <row r="4055">
      <c r="A4055" s="2" t="s">
        <v>3783</v>
      </c>
      <c r="B4055" s="2" t="s">
        <v>3778</v>
      </c>
      <c r="C4055" s="2" t="s">
        <v>3854</v>
      </c>
      <c r="D4055" s="3" t="str">
        <f t="shared" si="656"/>
        <v>12Go Link</v>
      </c>
      <c r="E4055" s="2" t="s">
        <v>1567</v>
      </c>
    </row>
    <row r="4056">
      <c r="A4056" s="2" t="s">
        <v>3783</v>
      </c>
      <c r="B4056" s="2" t="s">
        <v>3778</v>
      </c>
      <c r="C4056" s="2" t="s">
        <v>3854</v>
      </c>
      <c r="D4056" s="3" t="str">
        <f t="shared" si="656"/>
        <v>12Go Link</v>
      </c>
      <c r="E4056" s="2" t="s">
        <v>3407</v>
      </c>
    </row>
    <row r="4057">
      <c r="A4057" s="2" t="s">
        <v>3783</v>
      </c>
      <c r="B4057" s="2" t="s">
        <v>3778</v>
      </c>
      <c r="C4057" s="2" t="s">
        <v>3854</v>
      </c>
      <c r="D4057" s="3" t="str">
        <f t="shared" si="656"/>
        <v>12Go Link</v>
      </c>
      <c r="E4057" s="2" t="s">
        <v>3805</v>
      </c>
    </row>
    <row r="4058">
      <c r="A4058" s="2" t="s">
        <v>3783</v>
      </c>
      <c r="B4058" s="2" t="s">
        <v>3778</v>
      </c>
      <c r="C4058" s="2" t="s">
        <v>3855</v>
      </c>
      <c r="D4058" s="3" t="str">
        <f t="shared" ref="D4058:D4061" si="657">HYPERLINK("https://12go.asia/en/travel/Aqaba-Port/Amman-Hotel-Transfer", "12Go Link")</f>
        <v>12Go Link</v>
      </c>
      <c r="E4058" s="2" t="s">
        <v>3780</v>
      </c>
    </row>
    <row r="4059">
      <c r="A4059" s="2" t="s">
        <v>3783</v>
      </c>
      <c r="B4059" s="2" t="s">
        <v>3778</v>
      </c>
      <c r="C4059" s="2" t="s">
        <v>3855</v>
      </c>
      <c r="D4059" s="3" t="str">
        <f t="shared" si="657"/>
        <v>12Go Link</v>
      </c>
      <c r="E4059" s="2" t="s">
        <v>1567</v>
      </c>
    </row>
    <row r="4060">
      <c r="A4060" s="2" t="s">
        <v>3783</v>
      </c>
      <c r="B4060" s="2" t="s">
        <v>3778</v>
      </c>
      <c r="C4060" s="2" t="s">
        <v>3855</v>
      </c>
      <c r="D4060" s="3" t="str">
        <f t="shared" si="657"/>
        <v>12Go Link</v>
      </c>
      <c r="E4060" s="2" t="s">
        <v>3407</v>
      </c>
    </row>
    <row r="4061">
      <c r="A4061" s="2" t="s">
        <v>3783</v>
      </c>
      <c r="B4061" s="2" t="s">
        <v>3778</v>
      </c>
      <c r="C4061" s="2" t="s">
        <v>3855</v>
      </c>
      <c r="D4061" s="3" t="str">
        <f t="shared" si="657"/>
        <v>12Go Link</v>
      </c>
      <c r="E4061" s="2" t="s">
        <v>3805</v>
      </c>
    </row>
    <row r="4062">
      <c r="A4062" s="2" t="s">
        <v>3783</v>
      </c>
      <c r="B4062" s="2" t="s">
        <v>3778</v>
      </c>
      <c r="C4062" s="2" t="s">
        <v>3856</v>
      </c>
      <c r="D4062" s="3" t="str">
        <f t="shared" ref="D4062:D4065" si="658">HYPERLINK("https://12go.asia/en/travel/Aqaba-Port/King-Hussein-Bridge-Border-Crossing-Amman", "12Go Link")</f>
        <v>12Go Link</v>
      </c>
      <c r="E4062" s="2" t="s">
        <v>3780</v>
      </c>
    </row>
    <row r="4063">
      <c r="A4063" s="2" t="s">
        <v>3783</v>
      </c>
      <c r="B4063" s="2" t="s">
        <v>3778</v>
      </c>
      <c r="C4063" s="2" t="s">
        <v>3856</v>
      </c>
      <c r="D4063" s="3" t="str">
        <f t="shared" si="658"/>
        <v>12Go Link</v>
      </c>
      <c r="E4063" s="2" t="s">
        <v>1567</v>
      </c>
    </row>
    <row r="4064">
      <c r="A4064" s="2" t="s">
        <v>3783</v>
      </c>
      <c r="B4064" s="2" t="s">
        <v>3778</v>
      </c>
      <c r="C4064" s="2" t="s">
        <v>3856</v>
      </c>
      <c r="D4064" s="3" t="str">
        <f t="shared" si="658"/>
        <v>12Go Link</v>
      </c>
      <c r="E4064" s="2" t="s">
        <v>3407</v>
      </c>
    </row>
    <row r="4065">
      <c r="A4065" s="2" t="s">
        <v>3783</v>
      </c>
      <c r="B4065" s="2" t="s">
        <v>3778</v>
      </c>
      <c r="C4065" s="2" t="s">
        <v>3856</v>
      </c>
      <c r="D4065" s="3" t="str">
        <f t="shared" si="658"/>
        <v>12Go Link</v>
      </c>
      <c r="E4065" s="2" t="s">
        <v>3805</v>
      </c>
    </row>
    <row r="4066">
      <c r="A4066" s="2" t="s">
        <v>3783</v>
      </c>
      <c r="B4066" s="2" t="s">
        <v>3783</v>
      </c>
      <c r="C4066" s="2" t="s">
        <v>3857</v>
      </c>
      <c r="D4066" s="3" t="str">
        <f t="shared" ref="D4066:D4069" si="659">HYPERLINK("https://12go.asia/en/travel/Aqaba-Port/Aqaba-Hotel-Transfer", "12Go Link")</f>
        <v>12Go Link</v>
      </c>
      <c r="E4066" s="2" t="s">
        <v>3780</v>
      </c>
    </row>
    <row r="4067">
      <c r="A4067" s="2" t="s">
        <v>3783</v>
      </c>
      <c r="B4067" s="2" t="s">
        <v>3783</v>
      </c>
      <c r="C4067" s="2" t="s">
        <v>3857</v>
      </c>
      <c r="D4067" s="3" t="str">
        <f t="shared" si="659"/>
        <v>12Go Link</v>
      </c>
      <c r="E4067" s="2" t="s">
        <v>1567</v>
      </c>
    </row>
    <row r="4068">
      <c r="A4068" s="2" t="s">
        <v>3783</v>
      </c>
      <c r="B4068" s="2" t="s">
        <v>3783</v>
      </c>
      <c r="C4068" s="2" t="s">
        <v>3857</v>
      </c>
      <c r="D4068" s="3" t="str">
        <f t="shared" si="659"/>
        <v>12Go Link</v>
      </c>
      <c r="E4068" s="2" t="s">
        <v>3407</v>
      </c>
    </row>
    <row r="4069">
      <c r="A4069" s="2" t="s">
        <v>3783</v>
      </c>
      <c r="B4069" s="2" t="s">
        <v>3783</v>
      </c>
      <c r="C4069" s="2" t="s">
        <v>3857</v>
      </c>
      <c r="D4069" s="3" t="str">
        <f t="shared" si="659"/>
        <v>12Go Link</v>
      </c>
      <c r="E4069" s="2" t="s">
        <v>3805</v>
      </c>
    </row>
    <row r="4070">
      <c r="A4070" s="2" t="s">
        <v>3783</v>
      </c>
      <c r="B4070" s="2" t="s">
        <v>3786</v>
      </c>
      <c r="C4070" s="2" t="s">
        <v>3858</v>
      </c>
      <c r="D4070" s="3" t="str">
        <f t="shared" ref="D4070:D4073" si="660">HYPERLINK("https://12go.asia/en/travel/Aqaba-Hotel-Transfer/Dead-Sea-Hotel-Transfer", "12Go Link")</f>
        <v>12Go Link</v>
      </c>
      <c r="E4070" s="2" t="s">
        <v>3780</v>
      </c>
    </row>
    <row r="4071">
      <c r="A4071" s="2" t="s">
        <v>3783</v>
      </c>
      <c r="B4071" s="2" t="s">
        <v>3786</v>
      </c>
      <c r="C4071" s="2" t="s">
        <v>3858</v>
      </c>
      <c r="D4071" s="3" t="str">
        <f t="shared" si="660"/>
        <v>12Go Link</v>
      </c>
      <c r="E4071" s="2" t="s">
        <v>1567</v>
      </c>
    </row>
    <row r="4072">
      <c r="A4072" s="2" t="s">
        <v>3783</v>
      </c>
      <c r="B4072" s="2" t="s">
        <v>3786</v>
      </c>
      <c r="C4072" s="2" t="s">
        <v>3858</v>
      </c>
      <c r="D4072" s="3" t="str">
        <f t="shared" si="660"/>
        <v>12Go Link</v>
      </c>
      <c r="E4072" s="2" t="s">
        <v>3407</v>
      </c>
    </row>
    <row r="4073">
      <c r="A4073" s="2" t="s">
        <v>3783</v>
      </c>
      <c r="B4073" s="2" t="s">
        <v>3786</v>
      </c>
      <c r="C4073" s="2" t="s">
        <v>3858</v>
      </c>
      <c r="D4073" s="3" t="str">
        <f t="shared" si="660"/>
        <v>12Go Link</v>
      </c>
      <c r="E4073" s="2" t="s">
        <v>3805</v>
      </c>
    </row>
    <row r="4074">
      <c r="A4074" s="2" t="s">
        <v>3783</v>
      </c>
      <c r="B4074" s="2" t="s">
        <v>3786</v>
      </c>
      <c r="C4074" s="2" t="s">
        <v>3859</v>
      </c>
      <c r="D4074" s="3" t="str">
        <f t="shared" ref="D4074:D4077" si="661">HYPERLINK("https://12go.asia/en/travel/Aqaba-Port/Dead-Sea-Hotel-Transfer", "12Go Link")</f>
        <v>12Go Link</v>
      </c>
      <c r="E4074" s="2" t="s">
        <v>3780</v>
      </c>
    </row>
    <row r="4075">
      <c r="A4075" s="2" t="s">
        <v>3783</v>
      </c>
      <c r="B4075" s="2" t="s">
        <v>3786</v>
      </c>
      <c r="C4075" s="2" t="s">
        <v>3859</v>
      </c>
      <c r="D4075" s="3" t="str">
        <f t="shared" si="661"/>
        <v>12Go Link</v>
      </c>
      <c r="E4075" s="2" t="s">
        <v>1567</v>
      </c>
    </row>
    <row r="4076">
      <c r="A4076" s="2" t="s">
        <v>3783</v>
      </c>
      <c r="B4076" s="2" t="s">
        <v>3786</v>
      </c>
      <c r="C4076" s="2" t="s">
        <v>3859</v>
      </c>
      <c r="D4076" s="3" t="str">
        <f t="shared" si="661"/>
        <v>12Go Link</v>
      </c>
      <c r="E4076" s="2" t="s">
        <v>3407</v>
      </c>
    </row>
    <row r="4077">
      <c r="A4077" s="2" t="s">
        <v>3783</v>
      </c>
      <c r="B4077" s="2" t="s">
        <v>3786</v>
      </c>
      <c r="C4077" s="2" t="s">
        <v>3859</v>
      </c>
      <c r="D4077" s="3" t="str">
        <f t="shared" si="661"/>
        <v>12Go Link</v>
      </c>
      <c r="E4077" s="2" t="s">
        <v>3805</v>
      </c>
    </row>
    <row r="4078">
      <c r="A4078" s="2" t="s">
        <v>3783</v>
      </c>
      <c r="B4078" s="2" t="s">
        <v>3788</v>
      </c>
      <c r="C4078" s="2" t="s">
        <v>3860</v>
      </c>
      <c r="D4078" s="3" t="str">
        <f t="shared" ref="D4078:D4081" si="662">HYPERLINK("https://12go.asia/en/travel/Aqaba-Hotel-Transfer/Irbid-Hotel-Transfer", "12Go Link")</f>
        <v>12Go Link</v>
      </c>
      <c r="E4078" s="2" t="s">
        <v>3780</v>
      </c>
    </row>
    <row r="4079">
      <c r="A4079" s="2" t="s">
        <v>3783</v>
      </c>
      <c r="B4079" s="2" t="s">
        <v>3788</v>
      </c>
      <c r="C4079" s="2" t="s">
        <v>3860</v>
      </c>
      <c r="D4079" s="3" t="str">
        <f t="shared" si="662"/>
        <v>12Go Link</v>
      </c>
      <c r="E4079" s="2" t="s">
        <v>1567</v>
      </c>
    </row>
    <row r="4080">
      <c r="A4080" s="2" t="s">
        <v>3783</v>
      </c>
      <c r="B4080" s="2" t="s">
        <v>3788</v>
      </c>
      <c r="C4080" s="2" t="s">
        <v>3860</v>
      </c>
      <c r="D4080" s="3" t="str">
        <f t="shared" si="662"/>
        <v>12Go Link</v>
      </c>
      <c r="E4080" s="2" t="s">
        <v>3407</v>
      </c>
    </row>
    <row r="4081">
      <c r="A4081" s="2" t="s">
        <v>3783</v>
      </c>
      <c r="B4081" s="2" t="s">
        <v>3788</v>
      </c>
      <c r="C4081" s="2" t="s">
        <v>3860</v>
      </c>
      <c r="D4081" s="3" t="str">
        <f t="shared" si="662"/>
        <v>12Go Link</v>
      </c>
      <c r="E4081" s="2" t="s">
        <v>3805</v>
      </c>
    </row>
    <row r="4082">
      <c r="A4082" s="2" t="s">
        <v>3783</v>
      </c>
      <c r="B4082" s="2" t="s">
        <v>3788</v>
      </c>
      <c r="C4082" s="2" t="s">
        <v>3861</v>
      </c>
      <c r="D4082" s="3" t="str">
        <f t="shared" ref="D4082:D4085" si="663">HYPERLINK("https://12go.asia/en/travel/Aqaba-Port/Irbid-Hotel-Transfer", "12Go Link")</f>
        <v>12Go Link</v>
      </c>
      <c r="E4082" s="2" t="s">
        <v>3780</v>
      </c>
    </row>
    <row r="4083">
      <c r="A4083" s="2" t="s">
        <v>3783</v>
      </c>
      <c r="B4083" s="2" t="s">
        <v>3788</v>
      </c>
      <c r="C4083" s="2" t="s">
        <v>3861</v>
      </c>
      <c r="D4083" s="3" t="str">
        <f t="shared" si="663"/>
        <v>12Go Link</v>
      </c>
      <c r="E4083" s="2" t="s">
        <v>1567</v>
      </c>
    </row>
    <row r="4084">
      <c r="A4084" s="2" t="s">
        <v>3783</v>
      </c>
      <c r="B4084" s="2" t="s">
        <v>3788</v>
      </c>
      <c r="C4084" s="2" t="s">
        <v>3861</v>
      </c>
      <c r="D4084" s="3" t="str">
        <f t="shared" si="663"/>
        <v>12Go Link</v>
      </c>
      <c r="E4084" s="2" t="s">
        <v>3407</v>
      </c>
    </row>
    <row r="4085">
      <c r="A4085" s="2" t="s">
        <v>3783</v>
      </c>
      <c r="B4085" s="2" t="s">
        <v>3788</v>
      </c>
      <c r="C4085" s="2" t="s">
        <v>3861</v>
      </c>
      <c r="D4085" s="3" t="str">
        <f t="shared" si="663"/>
        <v>12Go Link</v>
      </c>
      <c r="E4085" s="2" t="s">
        <v>3805</v>
      </c>
    </row>
    <row r="4086">
      <c r="A4086" s="2" t="s">
        <v>3783</v>
      </c>
      <c r="B4086" s="2" t="s">
        <v>3790</v>
      </c>
      <c r="C4086" s="2" t="s">
        <v>3862</v>
      </c>
      <c r="D4086" s="3" t="str">
        <f t="shared" ref="D4086:D4089" si="664">HYPERLINK("https://12go.asia/en/travel/Aqaba-Hotel-Transfer/Jerash-Hotel-Transfer", "12Go Link")</f>
        <v>12Go Link</v>
      </c>
      <c r="E4086" s="2" t="s">
        <v>3780</v>
      </c>
    </row>
    <row r="4087">
      <c r="A4087" s="2" t="s">
        <v>3783</v>
      </c>
      <c r="B4087" s="2" t="s">
        <v>3790</v>
      </c>
      <c r="C4087" s="2" t="s">
        <v>3862</v>
      </c>
      <c r="D4087" s="3" t="str">
        <f t="shared" si="664"/>
        <v>12Go Link</v>
      </c>
      <c r="E4087" s="2" t="s">
        <v>1567</v>
      </c>
    </row>
    <row r="4088">
      <c r="A4088" s="2" t="s">
        <v>3783</v>
      </c>
      <c r="B4088" s="2" t="s">
        <v>3790</v>
      </c>
      <c r="C4088" s="2" t="s">
        <v>3862</v>
      </c>
      <c r="D4088" s="3" t="str">
        <f t="shared" si="664"/>
        <v>12Go Link</v>
      </c>
      <c r="E4088" s="2" t="s">
        <v>3407</v>
      </c>
    </row>
    <row r="4089">
      <c r="A4089" s="2" t="s">
        <v>3783</v>
      </c>
      <c r="B4089" s="2" t="s">
        <v>3790</v>
      </c>
      <c r="C4089" s="2" t="s">
        <v>3862</v>
      </c>
      <c r="D4089" s="3" t="str">
        <f t="shared" si="664"/>
        <v>12Go Link</v>
      </c>
      <c r="E4089" s="2" t="s">
        <v>3805</v>
      </c>
    </row>
    <row r="4090">
      <c r="A4090" s="2" t="s">
        <v>3783</v>
      </c>
      <c r="B4090" s="2" t="s">
        <v>3790</v>
      </c>
      <c r="C4090" s="2" t="s">
        <v>3863</v>
      </c>
      <c r="D4090" s="3" t="str">
        <f t="shared" ref="D4090:D4093" si="665">HYPERLINK("https://12go.asia/en/travel/Aqaba-Port/Jerash-Hotel-Transfer", "12Go Link")</f>
        <v>12Go Link</v>
      </c>
      <c r="E4090" s="2" t="s">
        <v>3780</v>
      </c>
    </row>
    <row r="4091">
      <c r="A4091" s="2" t="s">
        <v>3783</v>
      </c>
      <c r="B4091" s="2" t="s">
        <v>3790</v>
      </c>
      <c r="C4091" s="2" t="s">
        <v>3863</v>
      </c>
      <c r="D4091" s="3" t="str">
        <f t="shared" si="665"/>
        <v>12Go Link</v>
      </c>
      <c r="E4091" s="2" t="s">
        <v>1567</v>
      </c>
    </row>
    <row r="4092">
      <c r="A4092" s="2" t="s">
        <v>3783</v>
      </c>
      <c r="B4092" s="2" t="s">
        <v>3790</v>
      </c>
      <c r="C4092" s="2" t="s">
        <v>3863</v>
      </c>
      <c r="D4092" s="3" t="str">
        <f t="shared" si="665"/>
        <v>12Go Link</v>
      </c>
      <c r="E4092" s="2" t="s">
        <v>3407</v>
      </c>
    </row>
    <row r="4093">
      <c r="A4093" s="2" t="s">
        <v>3783</v>
      </c>
      <c r="B4093" s="2" t="s">
        <v>3790</v>
      </c>
      <c r="C4093" s="2" t="s">
        <v>3863</v>
      </c>
      <c r="D4093" s="3" t="str">
        <f t="shared" si="665"/>
        <v>12Go Link</v>
      </c>
      <c r="E4093" s="2" t="s">
        <v>3805</v>
      </c>
    </row>
    <row r="4094">
      <c r="A4094" s="2" t="s">
        <v>3783</v>
      </c>
      <c r="B4094" s="2" t="s">
        <v>3792</v>
      </c>
      <c r="C4094" s="2" t="s">
        <v>3864</v>
      </c>
      <c r="D4094" s="3" t="str">
        <f t="shared" ref="D4094:D4097" si="666">HYPERLINK("https://12go.asia/en/travel/Aqaba-Hotel-Transfer/Madaba-Hotel-Transfer", "12Go Link")</f>
        <v>12Go Link</v>
      </c>
      <c r="E4094" s="2" t="s">
        <v>3780</v>
      </c>
    </row>
    <row r="4095">
      <c r="A4095" s="2" t="s">
        <v>3783</v>
      </c>
      <c r="B4095" s="2" t="s">
        <v>3792</v>
      </c>
      <c r="C4095" s="2" t="s">
        <v>3864</v>
      </c>
      <c r="D4095" s="3" t="str">
        <f t="shared" si="666"/>
        <v>12Go Link</v>
      </c>
      <c r="E4095" s="2" t="s">
        <v>1567</v>
      </c>
    </row>
    <row r="4096">
      <c r="A4096" s="2" t="s">
        <v>3783</v>
      </c>
      <c r="B4096" s="2" t="s">
        <v>3792</v>
      </c>
      <c r="C4096" s="2" t="s">
        <v>3864</v>
      </c>
      <c r="D4096" s="3" t="str">
        <f t="shared" si="666"/>
        <v>12Go Link</v>
      </c>
      <c r="E4096" s="2" t="s">
        <v>3407</v>
      </c>
    </row>
    <row r="4097">
      <c r="A4097" s="2" t="s">
        <v>3783</v>
      </c>
      <c r="B4097" s="2" t="s">
        <v>3792</v>
      </c>
      <c r="C4097" s="2" t="s">
        <v>3864</v>
      </c>
      <c r="D4097" s="3" t="str">
        <f t="shared" si="666"/>
        <v>12Go Link</v>
      </c>
      <c r="E4097" s="2" t="s">
        <v>3805</v>
      </c>
    </row>
    <row r="4098">
      <c r="A4098" s="2" t="s">
        <v>3783</v>
      </c>
      <c r="B4098" s="2" t="s">
        <v>3792</v>
      </c>
      <c r="C4098" s="2" t="s">
        <v>3865</v>
      </c>
      <c r="D4098" s="3" t="str">
        <f t="shared" ref="D4098:D4101" si="667">HYPERLINK("https://12go.asia/en/travel/Aqaba-Port/Madaba-Hotel-Transfer", "12Go Link")</f>
        <v>12Go Link</v>
      </c>
      <c r="E4098" s="2" t="s">
        <v>3780</v>
      </c>
    </row>
    <row r="4099">
      <c r="A4099" s="2" t="s">
        <v>3783</v>
      </c>
      <c r="B4099" s="2" t="s">
        <v>3792</v>
      </c>
      <c r="C4099" s="2" t="s">
        <v>3865</v>
      </c>
      <c r="D4099" s="3" t="str">
        <f t="shared" si="667"/>
        <v>12Go Link</v>
      </c>
      <c r="E4099" s="2" t="s">
        <v>1567</v>
      </c>
    </row>
    <row r="4100">
      <c r="A4100" s="2" t="s">
        <v>3783</v>
      </c>
      <c r="B4100" s="2" t="s">
        <v>3792</v>
      </c>
      <c r="C4100" s="2" t="s">
        <v>3865</v>
      </c>
      <c r="D4100" s="3" t="str">
        <f t="shared" si="667"/>
        <v>12Go Link</v>
      </c>
      <c r="E4100" s="2" t="s">
        <v>3407</v>
      </c>
    </row>
    <row r="4101">
      <c r="A4101" s="2" t="s">
        <v>3783</v>
      </c>
      <c r="B4101" s="2" t="s">
        <v>3792</v>
      </c>
      <c r="C4101" s="2" t="s">
        <v>3865</v>
      </c>
      <c r="D4101" s="3" t="str">
        <f t="shared" si="667"/>
        <v>12Go Link</v>
      </c>
      <c r="E4101" s="2" t="s">
        <v>3805</v>
      </c>
    </row>
    <row r="4102">
      <c r="A4102" s="2" t="s">
        <v>3783</v>
      </c>
      <c r="B4102" s="2" t="s">
        <v>3794</v>
      </c>
      <c r="C4102" s="2" t="s">
        <v>3866</v>
      </c>
      <c r="D4102" s="3" t="str">
        <f t="shared" ref="D4102:D4105" si="668">HYPERLINK("https://12go.asia/en/travel/Aqaba-Hotel-Transfer/Ma-in-Hot-Springs-Transfer", "12Go Link")</f>
        <v>12Go Link</v>
      </c>
      <c r="E4102" s="2" t="s">
        <v>3780</v>
      </c>
    </row>
    <row r="4103">
      <c r="A4103" s="2" t="s">
        <v>3783</v>
      </c>
      <c r="B4103" s="2" t="s">
        <v>3794</v>
      </c>
      <c r="C4103" s="2" t="s">
        <v>3866</v>
      </c>
      <c r="D4103" s="3" t="str">
        <f t="shared" si="668"/>
        <v>12Go Link</v>
      </c>
      <c r="E4103" s="2" t="s">
        <v>1567</v>
      </c>
    </row>
    <row r="4104">
      <c r="A4104" s="2" t="s">
        <v>3783</v>
      </c>
      <c r="B4104" s="2" t="s">
        <v>3794</v>
      </c>
      <c r="C4104" s="2" t="s">
        <v>3866</v>
      </c>
      <c r="D4104" s="3" t="str">
        <f t="shared" si="668"/>
        <v>12Go Link</v>
      </c>
      <c r="E4104" s="2" t="s">
        <v>3407</v>
      </c>
    </row>
    <row r="4105">
      <c r="A4105" s="2" t="s">
        <v>3783</v>
      </c>
      <c r="B4105" s="2" t="s">
        <v>3794</v>
      </c>
      <c r="C4105" s="2" t="s">
        <v>3866</v>
      </c>
      <c r="D4105" s="3" t="str">
        <f t="shared" si="668"/>
        <v>12Go Link</v>
      </c>
      <c r="E4105" s="2" t="s">
        <v>3805</v>
      </c>
    </row>
    <row r="4106">
      <c r="A4106" s="2" t="s">
        <v>3783</v>
      </c>
      <c r="B4106" s="2" t="s">
        <v>3794</v>
      </c>
      <c r="C4106" s="2" t="s">
        <v>3867</v>
      </c>
      <c r="D4106" s="3" t="str">
        <f t="shared" ref="D4106:D4109" si="669">HYPERLINK("https://12go.asia/en/travel/Aqaba-Port/Ma-in-Hot-Springs-Transfer", "12Go Link")</f>
        <v>12Go Link</v>
      </c>
      <c r="E4106" s="2" t="s">
        <v>3780</v>
      </c>
    </row>
    <row r="4107">
      <c r="A4107" s="2" t="s">
        <v>3783</v>
      </c>
      <c r="B4107" s="2" t="s">
        <v>3794</v>
      </c>
      <c r="C4107" s="2" t="s">
        <v>3867</v>
      </c>
      <c r="D4107" s="3" t="str">
        <f t="shared" si="669"/>
        <v>12Go Link</v>
      </c>
      <c r="E4107" s="2" t="s">
        <v>1567</v>
      </c>
    </row>
    <row r="4108">
      <c r="A4108" s="2" t="s">
        <v>3783</v>
      </c>
      <c r="B4108" s="2" t="s">
        <v>3794</v>
      </c>
      <c r="C4108" s="2" t="s">
        <v>3867</v>
      </c>
      <c r="D4108" s="3" t="str">
        <f t="shared" si="669"/>
        <v>12Go Link</v>
      </c>
      <c r="E4108" s="2" t="s">
        <v>3407</v>
      </c>
    </row>
    <row r="4109">
      <c r="A4109" s="2" t="s">
        <v>3783</v>
      </c>
      <c r="B4109" s="2" t="s">
        <v>3794</v>
      </c>
      <c r="C4109" s="2" t="s">
        <v>3867</v>
      </c>
      <c r="D4109" s="3" t="str">
        <f t="shared" si="669"/>
        <v>12Go Link</v>
      </c>
      <c r="E4109" s="2" t="s">
        <v>3805</v>
      </c>
    </row>
    <row r="4110">
      <c r="A4110" s="2" t="s">
        <v>3783</v>
      </c>
      <c r="B4110" s="2" t="s">
        <v>3796</v>
      </c>
      <c r="C4110" s="2" t="s">
        <v>3868</v>
      </c>
      <c r="D4110" s="3" t="str">
        <f t="shared" ref="D4110:D4113" si="670">HYPERLINK("https://12go.asia/en/travel/Aqaba-Hotel-Transfer/Petra-Hotel-Transfer", "12Go Link")</f>
        <v>12Go Link</v>
      </c>
      <c r="E4110" s="2" t="s">
        <v>3780</v>
      </c>
    </row>
    <row r="4111">
      <c r="A4111" s="2" t="s">
        <v>3783</v>
      </c>
      <c r="B4111" s="2" t="s">
        <v>3796</v>
      </c>
      <c r="C4111" s="2" t="s">
        <v>3868</v>
      </c>
      <c r="D4111" s="3" t="str">
        <f t="shared" si="670"/>
        <v>12Go Link</v>
      </c>
      <c r="E4111" s="2" t="s">
        <v>1567</v>
      </c>
    </row>
    <row r="4112">
      <c r="A4112" s="2" t="s">
        <v>3783</v>
      </c>
      <c r="B4112" s="2" t="s">
        <v>3796</v>
      </c>
      <c r="C4112" s="2" t="s">
        <v>3868</v>
      </c>
      <c r="D4112" s="3" t="str">
        <f t="shared" si="670"/>
        <v>12Go Link</v>
      </c>
      <c r="E4112" s="2" t="s">
        <v>3407</v>
      </c>
    </row>
    <row r="4113">
      <c r="A4113" s="2" t="s">
        <v>3783</v>
      </c>
      <c r="B4113" s="2" t="s">
        <v>3796</v>
      </c>
      <c r="C4113" s="2" t="s">
        <v>3868</v>
      </c>
      <c r="D4113" s="3" t="str">
        <f t="shared" si="670"/>
        <v>12Go Link</v>
      </c>
      <c r="E4113" s="2" t="s">
        <v>3805</v>
      </c>
    </row>
    <row r="4114">
      <c r="A4114" s="2" t="s">
        <v>3783</v>
      </c>
      <c r="B4114" s="2" t="s">
        <v>3796</v>
      </c>
      <c r="C4114" s="2" t="s">
        <v>3869</v>
      </c>
      <c r="D4114" s="3" t="str">
        <f t="shared" ref="D4114:D4117" si="671">HYPERLINK("https://12go.asia/en/travel/Aqaba-Port/Petra-Hotel-Transfer", "12Go Link")</f>
        <v>12Go Link</v>
      </c>
      <c r="E4114" s="2" t="s">
        <v>3780</v>
      </c>
    </row>
    <row r="4115">
      <c r="A4115" s="2" t="s">
        <v>3783</v>
      </c>
      <c r="B4115" s="2" t="s">
        <v>3796</v>
      </c>
      <c r="C4115" s="2" t="s">
        <v>3869</v>
      </c>
      <c r="D4115" s="3" t="str">
        <f t="shared" si="671"/>
        <v>12Go Link</v>
      </c>
      <c r="E4115" s="2" t="s">
        <v>1567</v>
      </c>
    </row>
    <row r="4116">
      <c r="A4116" s="2" t="s">
        <v>3783</v>
      </c>
      <c r="B4116" s="2" t="s">
        <v>3796</v>
      </c>
      <c r="C4116" s="2" t="s">
        <v>3869</v>
      </c>
      <c r="D4116" s="3" t="str">
        <f t="shared" si="671"/>
        <v>12Go Link</v>
      </c>
      <c r="E4116" s="2" t="s">
        <v>3407</v>
      </c>
    </row>
    <row r="4117">
      <c r="A4117" s="2" t="s">
        <v>3783</v>
      </c>
      <c r="B4117" s="2" t="s">
        <v>3796</v>
      </c>
      <c r="C4117" s="2" t="s">
        <v>3869</v>
      </c>
      <c r="D4117" s="3" t="str">
        <f t="shared" si="671"/>
        <v>12Go Link</v>
      </c>
      <c r="E4117" s="2" t="s">
        <v>3805</v>
      </c>
    </row>
    <row r="4118">
      <c r="A4118" s="2" t="s">
        <v>3783</v>
      </c>
      <c r="B4118" s="2" t="s">
        <v>3798</v>
      </c>
      <c r="C4118" s="2" t="s">
        <v>3870</v>
      </c>
      <c r="D4118" s="3" t="str">
        <f t="shared" ref="D4118:D4121" si="672">HYPERLINK("https://12go.asia/en/travel/Aqaba-Hotel-Transfer/Jordan-River-Crossing", "12Go Link")</f>
        <v>12Go Link</v>
      </c>
      <c r="E4118" s="2" t="s">
        <v>3780</v>
      </c>
    </row>
    <row r="4119">
      <c r="A4119" s="2" t="s">
        <v>3783</v>
      </c>
      <c r="B4119" s="2" t="s">
        <v>3798</v>
      </c>
      <c r="C4119" s="2" t="s">
        <v>3870</v>
      </c>
      <c r="D4119" s="3" t="str">
        <f t="shared" si="672"/>
        <v>12Go Link</v>
      </c>
      <c r="E4119" s="2" t="s">
        <v>1567</v>
      </c>
    </row>
    <row r="4120">
      <c r="A4120" s="2" t="s">
        <v>3783</v>
      </c>
      <c r="B4120" s="2" t="s">
        <v>3798</v>
      </c>
      <c r="C4120" s="2" t="s">
        <v>3870</v>
      </c>
      <c r="D4120" s="3" t="str">
        <f t="shared" si="672"/>
        <v>12Go Link</v>
      </c>
      <c r="E4120" s="2" t="s">
        <v>3407</v>
      </c>
    </row>
    <row r="4121">
      <c r="A4121" s="2" t="s">
        <v>3783</v>
      </c>
      <c r="B4121" s="2" t="s">
        <v>3798</v>
      </c>
      <c r="C4121" s="2" t="s">
        <v>3870</v>
      </c>
      <c r="D4121" s="3" t="str">
        <f t="shared" si="672"/>
        <v>12Go Link</v>
      </c>
      <c r="E4121" s="2" t="s">
        <v>3805</v>
      </c>
    </row>
    <row r="4122">
      <c r="A4122" s="2" t="s">
        <v>3783</v>
      </c>
      <c r="B4122" s="2" t="s">
        <v>3798</v>
      </c>
      <c r="C4122" s="2" t="s">
        <v>3871</v>
      </c>
      <c r="D4122" s="3" t="str">
        <f t="shared" ref="D4122:D4125" si="673">HYPERLINK("https://12go.asia/en/travel/Aqaba-Port/Jordan-River-Crossing", "12Go Link")</f>
        <v>12Go Link</v>
      </c>
      <c r="E4122" s="2" t="s">
        <v>3780</v>
      </c>
    </row>
    <row r="4123">
      <c r="A4123" s="2" t="s">
        <v>3783</v>
      </c>
      <c r="B4123" s="2" t="s">
        <v>3798</v>
      </c>
      <c r="C4123" s="2" t="s">
        <v>3871</v>
      </c>
      <c r="D4123" s="3" t="str">
        <f t="shared" si="673"/>
        <v>12Go Link</v>
      </c>
      <c r="E4123" s="2" t="s">
        <v>1567</v>
      </c>
    </row>
    <row r="4124">
      <c r="A4124" s="2" t="s">
        <v>3783</v>
      </c>
      <c r="B4124" s="2" t="s">
        <v>3798</v>
      </c>
      <c r="C4124" s="2" t="s">
        <v>3871</v>
      </c>
      <c r="D4124" s="3" t="str">
        <f t="shared" si="673"/>
        <v>12Go Link</v>
      </c>
      <c r="E4124" s="2" t="s">
        <v>3407</v>
      </c>
    </row>
    <row r="4125">
      <c r="A4125" s="2" t="s">
        <v>3783</v>
      </c>
      <c r="B4125" s="2" t="s">
        <v>3798</v>
      </c>
      <c r="C4125" s="2" t="s">
        <v>3871</v>
      </c>
      <c r="D4125" s="3" t="str">
        <f t="shared" si="673"/>
        <v>12Go Link</v>
      </c>
      <c r="E4125" s="2" t="s">
        <v>3805</v>
      </c>
    </row>
    <row r="4126">
      <c r="A4126" s="2" t="s">
        <v>3783</v>
      </c>
      <c r="B4126" s="2" t="s">
        <v>3800</v>
      </c>
      <c r="C4126" s="2" t="s">
        <v>3872</v>
      </c>
      <c r="D4126" s="3" t="str">
        <f t="shared" ref="D4126:D4129" si="674">HYPERLINK("https://12go.asia/en/travel/Aqaba-Hotel-Transfer/Umm-Qais-Hotel-Transfer", "12Go Link")</f>
        <v>12Go Link</v>
      </c>
      <c r="E4126" s="2" t="s">
        <v>3780</v>
      </c>
    </row>
    <row r="4127">
      <c r="A4127" s="2" t="s">
        <v>3783</v>
      </c>
      <c r="B4127" s="2" t="s">
        <v>3800</v>
      </c>
      <c r="C4127" s="2" t="s">
        <v>3872</v>
      </c>
      <c r="D4127" s="3" t="str">
        <f t="shared" si="674"/>
        <v>12Go Link</v>
      </c>
      <c r="E4127" s="2" t="s">
        <v>1567</v>
      </c>
    </row>
    <row r="4128">
      <c r="A4128" s="2" t="s">
        <v>3783</v>
      </c>
      <c r="B4128" s="2" t="s">
        <v>3800</v>
      </c>
      <c r="C4128" s="2" t="s">
        <v>3872</v>
      </c>
      <c r="D4128" s="3" t="str">
        <f t="shared" si="674"/>
        <v>12Go Link</v>
      </c>
      <c r="E4128" s="2" t="s">
        <v>3407</v>
      </c>
    </row>
    <row r="4129">
      <c r="A4129" s="2" t="s">
        <v>3783</v>
      </c>
      <c r="B4129" s="2" t="s">
        <v>3800</v>
      </c>
      <c r="C4129" s="2" t="s">
        <v>3872</v>
      </c>
      <c r="D4129" s="3" t="str">
        <f t="shared" si="674"/>
        <v>12Go Link</v>
      </c>
      <c r="E4129" s="2" t="s">
        <v>3805</v>
      </c>
    </row>
    <row r="4130">
      <c r="A4130" s="2" t="s">
        <v>3783</v>
      </c>
      <c r="B4130" s="2" t="s">
        <v>3800</v>
      </c>
      <c r="C4130" s="2" t="s">
        <v>3873</v>
      </c>
      <c r="D4130" s="3" t="str">
        <f t="shared" ref="D4130:D4133" si="675">HYPERLINK("https://12go.asia/en/travel/Aqaba-Port/Umm-Qais-Hotel-Transfer", "12Go Link")</f>
        <v>12Go Link</v>
      </c>
      <c r="E4130" s="2" t="s">
        <v>3780</v>
      </c>
    </row>
    <row r="4131">
      <c r="A4131" s="2" t="s">
        <v>3783</v>
      </c>
      <c r="B4131" s="2" t="s">
        <v>3800</v>
      </c>
      <c r="C4131" s="2" t="s">
        <v>3873</v>
      </c>
      <c r="D4131" s="3" t="str">
        <f t="shared" si="675"/>
        <v>12Go Link</v>
      </c>
      <c r="E4131" s="2" t="s">
        <v>1567</v>
      </c>
    </row>
    <row r="4132">
      <c r="A4132" s="2" t="s">
        <v>3783</v>
      </c>
      <c r="B4132" s="2" t="s">
        <v>3800</v>
      </c>
      <c r="C4132" s="2" t="s">
        <v>3873</v>
      </c>
      <c r="D4132" s="3" t="str">
        <f t="shared" si="675"/>
        <v>12Go Link</v>
      </c>
      <c r="E4132" s="2" t="s">
        <v>3407</v>
      </c>
    </row>
    <row r="4133">
      <c r="A4133" s="2" t="s">
        <v>3783</v>
      </c>
      <c r="B4133" s="2" t="s">
        <v>3800</v>
      </c>
      <c r="C4133" s="2" t="s">
        <v>3873</v>
      </c>
      <c r="D4133" s="3" t="str">
        <f t="shared" si="675"/>
        <v>12Go Link</v>
      </c>
      <c r="E4133" s="2" t="s">
        <v>3805</v>
      </c>
    </row>
    <row r="4134">
      <c r="A4134" s="2" t="s">
        <v>3783</v>
      </c>
      <c r="B4134" s="2" t="s">
        <v>3802</v>
      </c>
      <c r="C4134" s="2" t="s">
        <v>3874</v>
      </c>
      <c r="D4134" s="3" t="str">
        <f t="shared" ref="D4134:D4137" si="676">HYPERLINK("https://12go.asia/en/travel/Aqaba-Hotel-Transfer/Wadi-Rum-Hotel-Transfer", "12Go Link")</f>
        <v>12Go Link</v>
      </c>
      <c r="E4134" s="2" t="s">
        <v>3780</v>
      </c>
    </row>
    <row r="4135">
      <c r="A4135" s="2" t="s">
        <v>3783</v>
      </c>
      <c r="B4135" s="2" t="s">
        <v>3802</v>
      </c>
      <c r="C4135" s="2" t="s">
        <v>3874</v>
      </c>
      <c r="D4135" s="3" t="str">
        <f t="shared" si="676"/>
        <v>12Go Link</v>
      </c>
      <c r="E4135" s="2" t="s">
        <v>1567</v>
      </c>
    </row>
    <row r="4136">
      <c r="A4136" s="2" t="s">
        <v>3783</v>
      </c>
      <c r="B4136" s="2" t="s">
        <v>3802</v>
      </c>
      <c r="C4136" s="2" t="s">
        <v>3874</v>
      </c>
      <c r="D4136" s="3" t="str">
        <f t="shared" si="676"/>
        <v>12Go Link</v>
      </c>
      <c r="E4136" s="2" t="s">
        <v>3407</v>
      </c>
    </row>
    <row r="4137">
      <c r="A4137" s="2" t="s">
        <v>3783</v>
      </c>
      <c r="B4137" s="2" t="s">
        <v>3802</v>
      </c>
      <c r="C4137" s="2" t="s">
        <v>3874</v>
      </c>
      <c r="D4137" s="3" t="str">
        <f t="shared" si="676"/>
        <v>12Go Link</v>
      </c>
      <c r="E4137" s="2" t="s">
        <v>3805</v>
      </c>
    </row>
    <row r="4138">
      <c r="A4138" s="2" t="s">
        <v>3783</v>
      </c>
      <c r="B4138" s="2" t="s">
        <v>3802</v>
      </c>
      <c r="C4138" s="2" t="s">
        <v>3875</v>
      </c>
      <c r="D4138" s="3" t="str">
        <f t="shared" ref="D4138:D4141" si="677">HYPERLINK("https://12go.asia/en/travel/Aqaba-Port/Wadi-Rum-Hotel-Transfer", "12Go Link")</f>
        <v>12Go Link</v>
      </c>
      <c r="E4138" s="2" t="s">
        <v>3780</v>
      </c>
    </row>
    <row r="4139">
      <c r="A4139" s="2" t="s">
        <v>3783</v>
      </c>
      <c r="B4139" s="2" t="s">
        <v>3802</v>
      </c>
      <c r="C4139" s="2" t="s">
        <v>3875</v>
      </c>
      <c r="D4139" s="3" t="str">
        <f t="shared" si="677"/>
        <v>12Go Link</v>
      </c>
      <c r="E4139" s="2" t="s">
        <v>1567</v>
      </c>
    </row>
    <row r="4140">
      <c r="A4140" s="2" t="s">
        <v>3783</v>
      </c>
      <c r="B4140" s="2" t="s">
        <v>3802</v>
      </c>
      <c r="C4140" s="2" t="s">
        <v>3875</v>
      </c>
      <c r="D4140" s="3" t="str">
        <f t="shared" si="677"/>
        <v>12Go Link</v>
      </c>
      <c r="E4140" s="2" t="s">
        <v>3407</v>
      </c>
    </row>
    <row r="4141">
      <c r="A4141" s="2" t="s">
        <v>3783</v>
      </c>
      <c r="B4141" s="2" t="s">
        <v>3802</v>
      </c>
      <c r="C4141" s="2" t="s">
        <v>3875</v>
      </c>
      <c r="D4141" s="3" t="str">
        <f t="shared" si="677"/>
        <v>12Go Link</v>
      </c>
      <c r="E4141" s="2" t="s">
        <v>3805</v>
      </c>
    </row>
    <row r="4142">
      <c r="A4142" s="2" t="s">
        <v>3786</v>
      </c>
      <c r="B4142" s="2" t="s">
        <v>3777</v>
      </c>
      <c r="C4142" s="2" t="s">
        <v>3876</v>
      </c>
      <c r="D4142" s="3" t="str">
        <f t="shared" ref="D4142:D4145" si="678">HYPERLINK("https://12go.asia/en/travel/Dead-Sea-Hotel-Transfer/Ajloun-Hotel-Transfer", "12Go Link")</f>
        <v>12Go Link</v>
      </c>
      <c r="E4142" s="2" t="s">
        <v>3780</v>
      </c>
    </row>
    <row r="4143">
      <c r="A4143" s="2" t="s">
        <v>3786</v>
      </c>
      <c r="B4143" s="2" t="s">
        <v>3777</v>
      </c>
      <c r="C4143" s="2" t="s">
        <v>3876</v>
      </c>
      <c r="D4143" s="3" t="str">
        <f t="shared" si="678"/>
        <v>12Go Link</v>
      </c>
      <c r="E4143" s="2" t="s">
        <v>1567</v>
      </c>
    </row>
    <row r="4144">
      <c r="A4144" s="2" t="s">
        <v>3786</v>
      </c>
      <c r="B4144" s="2" t="s">
        <v>3777</v>
      </c>
      <c r="C4144" s="2" t="s">
        <v>3876</v>
      </c>
      <c r="D4144" s="3" t="str">
        <f t="shared" si="678"/>
        <v>12Go Link</v>
      </c>
      <c r="E4144" s="2" t="s">
        <v>3407</v>
      </c>
    </row>
    <row r="4145">
      <c r="A4145" s="2" t="s">
        <v>3786</v>
      </c>
      <c r="B4145" s="2" t="s">
        <v>3777</v>
      </c>
      <c r="C4145" s="2" t="s">
        <v>3876</v>
      </c>
      <c r="D4145" s="3" t="str">
        <f t="shared" si="678"/>
        <v>12Go Link</v>
      </c>
      <c r="E4145" s="2" t="s">
        <v>3805</v>
      </c>
    </row>
    <row r="4146">
      <c r="A4146" s="2" t="s">
        <v>3786</v>
      </c>
      <c r="B4146" s="2" t="s">
        <v>3778</v>
      </c>
      <c r="C4146" s="2" t="s">
        <v>3877</v>
      </c>
      <c r="D4146" s="3" t="str">
        <f t="shared" ref="D4146:D4149" si="679">HYPERLINK("https://12go.asia/en/travel/Dead-Sea-Hotel-Transfer/Amman-Airport", "12Go Link")</f>
        <v>12Go Link</v>
      </c>
      <c r="E4146" s="2" t="s">
        <v>3780</v>
      </c>
    </row>
    <row r="4147">
      <c r="A4147" s="2" t="s">
        <v>3786</v>
      </c>
      <c r="B4147" s="2" t="s">
        <v>3778</v>
      </c>
      <c r="C4147" s="2" t="s">
        <v>3877</v>
      </c>
      <c r="D4147" s="3" t="str">
        <f t="shared" si="679"/>
        <v>12Go Link</v>
      </c>
      <c r="E4147" s="2" t="s">
        <v>1567</v>
      </c>
    </row>
    <row r="4148">
      <c r="A4148" s="2" t="s">
        <v>3786</v>
      </c>
      <c r="B4148" s="2" t="s">
        <v>3778</v>
      </c>
      <c r="C4148" s="2" t="s">
        <v>3877</v>
      </c>
      <c r="D4148" s="3" t="str">
        <f t="shared" si="679"/>
        <v>12Go Link</v>
      </c>
      <c r="E4148" s="2" t="s">
        <v>3407</v>
      </c>
    </row>
    <row r="4149">
      <c r="A4149" s="2" t="s">
        <v>3786</v>
      </c>
      <c r="B4149" s="2" t="s">
        <v>3778</v>
      </c>
      <c r="C4149" s="2" t="s">
        <v>3877</v>
      </c>
      <c r="D4149" s="3" t="str">
        <f t="shared" si="679"/>
        <v>12Go Link</v>
      </c>
      <c r="E4149" s="2" t="s">
        <v>3805</v>
      </c>
    </row>
    <row r="4150">
      <c r="A4150" s="2" t="s">
        <v>3786</v>
      </c>
      <c r="B4150" s="2" t="s">
        <v>3778</v>
      </c>
      <c r="C4150" s="2" t="s">
        <v>3878</v>
      </c>
      <c r="D4150" s="3" t="str">
        <f t="shared" ref="D4150:D4153" si="680">HYPERLINK("https://12go.asia/en/travel/Dead-Sea-Hotel-Transfer/Amman-Hotel-Transfer", "12Go Link")</f>
        <v>12Go Link</v>
      </c>
      <c r="E4150" s="2" t="s">
        <v>3780</v>
      </c>
    </row>
    <row r="4151">
      <c r="A4151" s="2" t="s">
        <v>3786</v>
      </c>
      <c r="B4151" s="2" t="s">
        <v>3778</v>
      </c>
      <c r="C4151" s="2" t="s">
        <v>3878</v>
      </c>
      <c r="D4151" s="3" t="str">
        <f t="shared" si="680"/>
        <v>12Go Link</v>
      </c>
      <c r="E4151" s="2" t="s">
        <v>1567</v>
      </c>
    </row>
    <row r="4152">
      <c r="A4152" s="2" t="s">
        <v>3786</v>
      </c>
      <c r="B4152" s="2" t="s">
        <v>3778</v>
      </c>
      <c r="C4152" s="2" t="s">
        <v>3878</v>
      </c>
      <c r="D4152" s="3" t="str">
        <f t="shared" si="680"/>
        <v>12Go Link</v>
      </c>
      <c r="E4152" s="2" t="s">
        <v>3407</v>
      </c>
    </row>
    <row r="4153">
      <c r="A4153" s="2" t="s">
        <v>3786</v>
      </c>
      <c r="B4153" s="2" t="s">
        <v>3778</v>
      </c>
      <c r="C4153" s="2" t="s">
        <v>3878</v>
      </c>
      <c r="D4153" s="3" t="str">
        <f t="shared" si="680"/>
        <v>12Go Link</v>
      </c>
      <c r="E4153" s="2" t="s">
        <v>3805</v>
      </c>
    </row>
    <row r="4154">
      <c r="A4154" s="2" t="s">
        <v>3786</v>
      </c>
      <c r="B4154" s="2" t="s">
        <v>3778</v>
      </c>
      <c r="C4154" s="2" t="s">
        <v>3879</v>
      </c>
      <c r="D4154" s="3" t="str">
        <f t="shared" ref="D4154:D4157" si="681">HYPERLINK("https://12go.asia/en/travel/Dead-Sea-Hotel-Transfer/King-Hussein-Bridge-Border-Crossing-Amman", "12Go Link")</f>
        <v>12Go Link</v>
      </c>
      <c r="E4154" s="2" t="s">
        <v>3780</v>
      </c>
    </row>
    <row r="4155">
      <c r="A4155" s="2" t="s">
        <v>3786</v>
      </c>
      <c r="B4155" s="2" t="s">
        <v>3778</v>
      </c>
      <c r="C4155" s="2" t="s">
        <v>3879</v>
      </c>
      <c r="D4155" s="3" t="str">
        <f t="shared" si="681"/>
        <v>12Go Link</v>
      </c>
      <c r="E4155" s="2" t="s">
        <v>1567</v>
      </c>
    </row>
    <row r="4156">
      <c r="A4156" s="2" t="s">
        <v>3786</v>
      </c>
      <c r="B4156" s="2" t="s">
        <v>3778</v>
      </c>
      <c r="C4156" s="2" t="s">
        <v>3879</v>
      </c>
      <c r="D4156" s="3" t="str">
        <f t="shared" si="681"/>
        <v>12Go Link</v>
      </c>
      <c r="E4156" s="2" t="s">
        <v>3407</v>
      </c>
    </row>
    <row r="4157">
      <c r="A4157" s="2" t="s">
        <v>3786</v>
      </c>
      <c r="B4157" s="2" t="s">
        <v>3778</v>
      </c>
      <c r="C4157" s="2" t="s">
        <v>3879</v>
      </c>
      <c r="D4157" s="3" t="str">
        <f t="shared" si="681"/>
        <v>12Go Link</v>
      </c>
      <c r="E4157" s="2" t="s">
        <v>3805</v>
      </c>
    </row>
    <row r="4158">
      <c r="A4158" s="2" t="s">
        <v>3786</v>
      </c>
      <c r="B4158" s="2" t="s">
        <v>3783</v>
      </c>
      <c r="C4158" s="2" t="s">
        <v>3880</v>
      </c>
      <c r="D4158" s="3" t="str">
        <f t="shared" ref="D4158:D4161" si="682">HYPERLINK("https://12go.asia/en/travel/Dead-Sea-Hotel-Transfer/Aqaba-Hotel-Transfer", "12Go Link")</f>
        <v>12Go Link</v>
      </c>
      <c r="E4158" s="2" t="s">
        <v>3780</v>
      </c>
    </row>
    <row r="4159">
      <c r="A4159" s="2" t="s">
        <v>3786</v>
      </c>
      <c r="B4159" s="2" t="s">
        <v>3783</v>
      </c>
      <c r="C4159" s="2" t="s">
        <v>3880</v>
      </c>
      <c r="D4159" s="3" t="str">
        <f t="shared" si="682"/>
        <v>12Go Link</v>
      </c>
      <c r="E4159" s="2" t="s">
        <v>1567</v>
      </c>
    </row>
    <row r="4160">
      <c r="A4160" s="2" t="s">
        <v>3786</v>
      </c>
      <c r="B4160" s="2" t="s">
        <v>3783</v>
      </c>
      <c r="C4160" s="2" t="s">
        <v>3880</v>
      </c>
      <c r="D4160" s="3" t="str">
        <f t="shared" si="682"/>
        <v>12Go Link</v>
      </c>
      <c r="E4160" s="2" t="s">
        <v>3407</v>
      </c>
    </row>
    <row r="4161">
      <c r="A4161" s="2" t="s">
        <v>3786</v>
      </c>
      <c r="B4161" s="2" t="s">
        <v>3783</v>
      </c>
      <c r="C4161" s="2" t="s">
        <v>3880</v>
      </c>
      <c r="D4161" s="3" t="str">
        <f t="shared" si="682"/>
        <v>12Go Link</v>
      </c>
      <c r="E4161" s="2" t="s">
        <v>3805</v>
      </c>
    </row>
    <row r="4162">
      <c r="A4162" s="2" t="s">
        <v>3786</v>
      </c>
      <c r="B4162" s="2" t="s">
        <v>3783</v>
      </c>
      <c r="C4162" s="2" t="s">
        <v>3881</v>
      </c>
      <c r="D4162" s="3" t="str">
        <f t="shared" ref="D4162:D4165" si="683">HYPERLINK("https://12go.asia/en/travel/Dead-Sea-Hotel-Transfer/Aqaba-Port", "12Go Link")</f>
        <v>12Go Link</v>
      </c>
      <c r="E4162" s="2" t="s">
        <v>3780</v>
      </c>
    </row>
    <row r="4163">
      <c r="A4163" s="2" t="s">
        <v>3786</v>
      </c>
      <c r="B4163" s="2" t="s">
        <v>3783</v>
      </c>
      <c r="C4163" s="2" t="s">
        <v>3881</v>
      </c>
      <c r="D4163" s="3" t="str">
        <f t="shared" si="683"/>
        <v>12Go Link</v>
      </c>
      <c r="E4163" s="2" t="s">
        <v>1567</v>
      </c>
    </row>
    <row r="4164">
      <c r="A4164" s="2" t="s">
        <v>3786</v>
      </c>
      <c r="B4164" s="2" t="s">
        <v>3783</v>
      </c>
      <c r="C4164" s="2" t="s">
        <v>3881</v>
      </c>
      <c r="D4164" s="3" t="str">
        <f t="shared" si="683"/>
        <v>12Go Link</v>
      </c>
      <c r="E4164" s="2" t="s">
        <v>3407</v>
      </c>
    </row>
    <row r="4165">
      <c r="A4165" s="2" t="s">
        <v>3786</v>
      </c>
      <c r="B4165" s="2" t="s">
        <v>3783</v>
      </c>
      <c r="C4165" s="2" t="s">
        <v>3881</v>
      </c>
      <c r="D4165" s="3" t="str">
        <f t="shared" si="683"/>
        <v>12Go Link</v>
      </c>
      <c r="E4165" s="2" t="s">
        <v>3805</v>
      </c>
    </row>
    <row r="4166">
      <c r="A4166" s="2" t="s">
        <v>3786</v>
      </c>
      <c r="B4166" s="2" t="s">
        <v>3788</v>
      </c>
      <c r="C4166" s="2" t="s">
        <v>3882</v>
      </c>
      <c r="D4166" s="3" t="str">
        <f t="shared" ref="D4166:D4168" si="684">HYPERLINK("https://12go.asia/en/travel/Dead-Sea-Hotel-Transfer/Irbid-Hotel-Transfer", "12Go Link")</f>
        <v>12Go Link</v>
      </c>
      <c r="E4166" s="2" t="s">
        <v>3780</v>
      </c>
    </row>
    <row r="4167">
      <c r="A4167" s="2" t="s">
        <v>3786</v>
      </c>
      <c r="B4167" s="2" t="s">
        <v>3788</v>
      </c>
      <c r="C4167" s="2" t="s">
        <v>3882</v>
      </c>
      <c r="D4167" s="3" t="str">
        <f t="shared" si="684"/>
        <v>12Go Link</v>
      </c>
      <c r="E4167" s="2" t="s">
        <v>1567</v>
      </c>
    </row>
    <row r="4168">
      <c r="A4168" s="2" t="s">
        <v>3786</v>
      </c>
      <c r="B4168" s="2" t="s">
        <v>3788</v>
      </c>
      <c r="C4168" s="2" t="s">
        <v>3882</v>
      </c>
      <c r="D4168" s="3" t="str">
        <f t="shared" si="684"/>
        <v>12Go Link</v>
      </c>
      <c r="E4168" s="2" t="s">
        <v>3805</v>
      </c>
    </row>
    <row r="4169">
      <c r="A4169" s="2" t="s">
        <v>3786</v>
      </c>
      <c r="B4169" s="2" t="s">
        <v>3790</v>
      </c>
      <c r="C4169" s="2" t="s">
        <v>3883</v>
      </c>
      <c r="D4169" s="3" t="str">
        <f t="shared" ref="D4169:D4172" si="685">HYPERLINK("https://12go.asia/en/travel/Dead-Sea-Hotel-Transfer/Jerash-Hotel-Transfer", "12Go Link")</f>
        <v>12Go Link</v>
      </c>
      <c r="E4169" s="2" t="s">
        <v>3780</v>
      </c>
    </row>
    <row r="4170">
      <c r="A4170" s="2" t="s">
        <v>3786</v>
      </c>
      <c r="B4170" s="2" t="s">
        <v>3790</v>
      </c>
      <c r="C4170" s="2" t="s">
        <v>3883</v>
      </c>
      <c r="D4170" s="3" t="str">
        <f t="shared" si="685"/>
        <v>12Go Link</v>
      </c>
      <c r="E4170" s="2" t="s">
        <v>1567</v>
      </c>
    </row>
    <row r="4171">
      <c r="A4171" s="2" t="s">
        <v>3786</v>
      </c>
      <c r="B4171" s="2" t="s">
        <v>3790</v>
      </c>
      <c r="C4171" s="2" t="s">
        <v>3883</v>
      </c>
      <c r="D4171" s="3" t="str">
        <f t="shared" si="685"/>
        <v>12Go Link</v>
      </c>
      <c r="E4171" s="2" t="s">
        <v>3407</v>
      </c>
    </row>
    <row r="4172">
      <c r="A4172" s="2" t="s">
        <v>3786</v>
      </c>
      <c r="B4172" s="2" t="s">
        <v>3790</v>
      </c>
      <c r="C4172" s="2" t="s">
        <v>3883</v>
      </c>
      <c r="D4172" s="3" t="str">
        <f t="shared" si="685"/>
        <v>12Go Link</v>
      </c>
      <c r="E4172" s="2" t="s">
        <v>3805</v>
      </c>
    </row>
    <row r="4173">
      <c r="A4173" s="2" t="s">
        <v>3786</v>
      </c>
      <c r="B4173" s="2" t="s">
        <v>3792</v>
      </c>
      <c r="C4173" s="2" t="s">
        <v>3884</v>
      </c>
      <c r="D4173" s="3" t="str">
        <f t="shared" ref="D4173:D4176" si="686">HYPERLINK("https://12go.asia/en/travel/Dead-Sea-Hotel-Transfer/Madaba-Hotel-Transfer", "12Go Link")</f>
        <v>12Go Link</v>
      </c>
      <c r="E4173" s="2" t="s">
        <v>3780</v>
      </c>
    </row>
    <row r="4174">
      <c r="A4174" s="2" t="s">
        <v>3786</v>
      </c>
      <c r="B4174" s="2" t="s">
        <v>3792</v>
      </c>
      <c r="C4174" s="2" t="s">
        <v>3884</v>
      </c>
      <c r="D4174" s="3" t="str">
        <f t="shared" si="686"/>
        <v>12Go Link</v>
      </c>
      <c r="E4174" s="2" t="s">
        <v>1567</v>
      </c>
    </row>
    <row r="4175">
      <c r="A4175" s="2" t="s">
        <v>3786</v>
      </c>
      <c r="B4175" s="2" t="s">
        <v>3792</v>
      </c>
      <c r="C4175" s="2" t="s">
        <v>3884</v>
      </c>
      <c r="D4175" s="3" t="str">
        <f t="shared" si="686"/>
        <v>12Go Link</v>
      </c>
      <c r="E4175" s="2" t="s">
        <v>3407</v>
      </c>
    </row>
    <row r="4176">
      <c r="A4176" s="2" t="s">
        <v>3786</v>
      </c>
      <c r="B4176" s="2" t="s">
        <v>3792</v>
      </c>
      <c r="C4176" s="2" t="s">
        <v>3884</v>
      </c>
      <c r="D4176" s="3" t="str">
        <f t="shared" si="686"/>
        <v>12Go Link</v>
      </c>
      <c r="E4176" s="2" t="s">
        <v>3805</v>
      </c>
    </row>
    <row r="4177">
      <c r="A4177" s="2" t="s">
        <v>3786</v>
      </c>
      <c r="B4177" s="2" t="s">
        <v>3794</v>
      </c>
      <c r="C4177" s="2" t="s">
        <v>3885</v>
      </c>
      <c r="D4177" s="3" t="str">
        <f t="shared" ref="D4177:D4180" si="687">HYPERLINK("https://12go.asia/en/travel/Dead-Sea-Hotel-Transfer/Ma-in-Hot-Springs-Transfer", "12Go Link")</f>
        <v>12Go Link</v>
      </c>
      <c r="E4177" s="2" t="s">
        <v>3780</v>
      </c>
    </row>
    <row r="4178">
      <c r="A4178" s="2" t="s">
        <v>3786</v>
      </c>
      <c r="B4178" s="2" t="s">
        <v>3794</v>
      </c>
      <c r="C4178" s="2" t="s">
        <v>3885</v>
      </c>
      <c r="D4178" s="3" t="str">
        <f t="shared" si="687"/>
        <v>12Go Link</v>
      </c>
      <c r="E4178" s="2" t="s">
        <v>1567</v>
      </c>
    </row>
    <row r="4179">
      <c r="A4179" s="2" t="s">
        <v>3786</v>
      </c>
      <c r="B4179" s="2" t="s">
        <v>3794</v>
      </c>
      <c r="C4179" s="2" t="s">
        <v>3885</v>
      </c>
      <c r="D4179" s="3" t="str">
        <f t="shared" si="687"/>
        <v>12Go Link</v>
      </c>
      <c r="E4179" s="2" t="s">
        <v>3407</v>
      </c>
    </row>
    <row r="4180">
      <c r="A4180" s="2" t="s">
        <v>3786</v>
      </c>
      <c r="B4180" s="2" t="s">
        <v>3794</v>
      </c>
      <c r="C4180" s="2" t="s">
        <v>3885</v>
      </c>
      <c r="D4180" s="3" t="str">
        <f t="shared" si="687"/>
        <v>12Go Link</v>
      </c>
      <c r="E4180" s="2" t="s">
        <v>3805</v>
      </c>
    </row>
    <row r="4181">
      <c r="A4181" s="2" t="s">
        <v>3786</v>
      </c>
      <c r="B4181" s="2" t="s">
        <v>3796</v>
      </c>
      <c r="C4181" s="2" t="s">
        <v>3886</v>
      </c>
      <c r="D4181" s="3" t="str">
        <f t="shared" ref="D4181:D4184" si="688">HYPERLINK("https://12go.asia/en/travel/Dead-Sea-Hotel-Transfer/Petra-Hotel-Transfer", "12Go Link")</f>
        <v>12Go Link</v>
      </c>
      <c r="E4181" s="2" t="s">
        <v>3780</v>
      </c>
    </row>
    <row r="4182">
      <c r="A4182" s="2" t="s">
        <v>3786</v>
      </c>
      <c r="B4182" s="2" t="s">
        <v>3796</v>
      </c>
      <c r="C4182" s="2" t="s">
        <v>3886</v>
      </c>
      <c r="D4182" s="3" t="str">
        <f t="shared" si="688"/>
        <v>12Go Link</v>
      </c>
      <c r="E4182" s="2" t="s">
        <v>1567</v>
      </c>
    </row>
    <row r="4183">
      <c r="A4183" s="2" t="s">
        <v>3786</v>
      </c>
      <c r="B4183" s="2" t="s">
        <v>3796</v>
      </c>
      <c r="C4183" s="2" t="s">
        <v>3886</v>
      </c>
      <c r="D4183" s="3" t="str">
        <f t="shared" si="688"/>
        <v>12Go Link</v>
      </c>
      <c r="E4183" s="2" t="s">
        <v>3407</v>
      </c>
    </row>
    <row r="4184">
      <c r="A4184" s="2" t="s">
        <v>3786</v>
      </c>
      <c r="B4184" s="2" t="s">
        <v>3796</v>
      </c>
      <c r="C4184" s="2" t="s">
        <v>3886</v>
      </c>
      <c r="D4184" s="3" t="str">
        <f t="shared" si="688"/>
        <v>12Go Link</v>
      </c>
      <c r="E4184" s="2" t="s">
        <v>3805</v>
      </c>
    </row>
    <row r="4185">
      <c r="A4185" s="2" t="s">
        <v>3786</v>
      </c>
      <c r="B4185" s="2" t="s">
        <v>3798</v>
      </c>
      <c r="C4185" s="2" t="s">
        <v>3887</v>
      </c>
      <c r="D4185" s="3" t="str">
        <f t="shared" ref="D4185:D4188" si="689">HYPERLINK("https://12go.asia/en/travel/Dead-Sea-Hotel-Transfer/Jordan-River-Crossing", "12Go Link")</f>
        <v>12Go Link</v>
      </c>
      <c r="E4185" s="2" t="s">
        <v>3780</v>
      </c>
    </row>
    <row r="4186">
      <c r="A4186" s="2" t="s">
        <v>3786</v>
      </c>
      <c r="B4186" s="2" t="s">
        <v>3798</v>
      </c>
      <c r="C4186" s="2" t="s">
        <v>3887</v>
      </c>
      <c r="D4186" s="3" t="str">
        <f t="shared" si="689"/>
        <v>12Go Link</v>
      </c>
      <c r="E4186" s="2" t="s">
        <v>1567</v>
      </c>
    </row>
    <row r="4187">
      <c r="A4187" s="2" t="s">
        <v>3786</v>
      </c>
      <c r="B4187" s="2" t="s">
        <v>3798</v>
      </c>
      <c r="C4187" s="2" t="s">
        <v>3887</v>
      </c>
      <c r="D4187" s="3" t="str">
        <f t="shared" si="689"/>
        <v>12Go Link</v>
      </c>
      <c r="E4187" s="2" t="s">
        <v>3407</v>
      </c>
    </row>
    <row r="4188">
      <c r="A4188" s="2" t="s">
        <v>3786</v>
      </c>
      <c r="B4188" s="2" t="s">
        <v>3798</v>
      </c>
      <c r="C4188" s="2" t="s">
        <v>3887</v>
      </c>
      <c r="D4188" s="3" t="str">
        <f t="shared" si="689"/>
        <v>12Go Link</v>
      </c>
      <c r="E4188" s="2" t="s">
        <v>3805</v>
      </c>
    </row>
    <row r="4189">
      <c r="A4189" s="2" t="s">
        <v>3786</v>
      </c>
      <c r="B4189" s="2" t="s">
        <v>3800</v>
      </c>
      <c r="C4189" s="2" t="s">
        <v>3888</v>
      </c>
      <c r="D4189" s="3" t="str">
        <f t="shared" ref="D4189:D4192" si="690">HYPERLINK("https://12go.asia/en/travel/Dead-Sea-Hotel-Transfer/Umm-Qais-Hotel-Transfer", "12Go Link")</f>
        <v>12Go Link</v>
      </c>
      <c r="E4189" s="2" t="s">
        <v>3780</v>
      </c>
    </row>
    <row r="4190">
      <c r="A4190" s="2" t="s">
        <v>3786</v>
      </c>
      <c r="B4190" s="2" t="s">
        <v>3800</v>
      </c>
      <c r="C4190" s="2" t="s">
        <v>3888</v>
      </c>
      <c r="D4190" s="3" t="str">
        <f t="shared" si="690"/>
        <v>12Go Link</v>
      </c>
      <c r="E4190" s="2" t="s">
        <v>1567</v>
      </c>
    </row>
    <row r="4191">
      <c r="A4191" s="2" t="s">
        <v>3786</v>
      </c>
      <c r="B4191" s="2" t="s">
        <v>3800</v>
      </c>
      <c r="C4191" s="2" t="s">
        <v>3888</v>
      </c>
      <c r="D4191" s="3" t="str">
        <f t="shared" si="690"/>
        <v>12Go Link</v>
      </c>
      <c r="E4191" s="2" t="s">
        <v>3407</v>
      </c>
    </row>
    <row r="4192">
      <c r="A4192" s="2" t="s">
        <v>3786</v>
      </c>
      <c r="B4192" s="2" t="s">
        <v>3800</v>
      </c>
      <c r="C4192" s="2" t="s">
        <v>3888</v>
      </c>
      <c r="D4192" s="3" t="str">
        <f t="shared" si="690"/>
        <v>12Go Link</v>
      </c>
      <c r="E4192" s="2" t="s">
        <v>3805</v>
      </c>
    </row>
    <row r="4193">
      <c r="A4193" s="2" t="s">
        <v>3786</v>
      </c>
      <c r="B4193" s="2" t="s">
        <v>3802</v>
      </c>
      <c r="C4193" s="2" t="s">
        <v>3889</v>
      </c>
      <c r="D4193" s="3" t="str">
        <f t="shared" ref="D4193:D4196" si="691">HYPERLINK("https://12go.asia/en/travel/Dead-Sea-Hotel-Transfer/Wadi-Rum-Hotel-Transfer", "12Go Link")</f>
        <v>12Go Link</v>
      </c>
      <c r="E4193" s="2" t="s">
        <v>3780</v>
      </c>
    </row>
    <row r="4194">
      <c r="A4194" s="2" t="s">
        <v>3786</v>
      </c>
      <c r="B4194" s="2" t="s">
        <v>3802</v>
      </c>
      <c r="C4194" s="2" t="s">
        <v>3889</v>
      </c>
      <c r="D4194" s="3" t="str">
        <f t="shared" si="691"/>
        <v>12Go Link</v>
      </c>
      <c r="E4194" s="2" t="s">
        <v>1567</v>
      </c>
    </row>
    <row r="4195">
      <c r="A4195" s="2" t="s">
        <v>3786</v>
      </c>
      <c r="B4195" s="2" t="s">
        <v>3802</v>
      </c>
      <c r="C4195" s="2" t="s">
        <v>3889</v>
      </c>
      <c r="D4195" s="3" t="str">
        <f t="shared" si="691"/>
        <v>12Go Link</v>
      </c>
      <c r="E4195" s="2" t="s">
        <v>3407</v>
      </c>
    </row>
    <row r="4196">
      <c r="A4196" s="2" t="s">
        <v>3786</v>
      </c>
      <c r="B4196" s="2" t="s">
        <v>3802</v>
      </c>
      <c r="C4196" s="2" t="s">
        <v>3889</v>
      </c>
      <c r="D4196" s="3" t="str">
        <f t="shared" si="691"/>
        <v>12Go Link</v>
      </c>
      <c r="E4196" s="2" t="s">
        <v>3805</v>
      </c>
    </row>
    <row r="4197">
      <c r="A4197" s="2" t="s">
        <v>3788</v>
      </c>
      <c r="B4197" s="2" t="s">
        <v>3777</v>
      </c>
      <c r="C4197" s="2" t="s">
        <v>3890</v>
      </c>
      <c r="D4197" s="3" t="str">
        <f t="shared" ref="D4197:D4198" si="692">HYPERLINK("https://12go.asia/en/travel/Irbid-Hotel-Transfer/Ajloun-Hotel-Transfer", "12Go Link")</f>
        <v>12Go Link</v>
      </c>
      <c r="E4197" s="2" t="s">
        <v>3780</v>
      </c>
    </row>
    <row r="4198">
      <c r="A4198" s="2" t="s">
        <v>3788</v>
      </c>
      <c r="B4198" s="2" t="s">
        <v>3777</v>
      </c>
      <c r="C4198" s="2" t="s">
        <v>3890</v>
      </c>
      <c r="D4198" s="3" t="str">
        <f t="shared" si="692"/>
        <v>12Go Link</v>
      </c>
      <c r="E4198" s="2" t="s">
        <v>1567</v>
      </c>
    </row>
    <row r="4199">
      <c r="A4199" s="2" t="s">
        <v>3788</v>
      </c>
      <c r="B4199" s="2" t="s">
        <v>3778</v>
      </c>
      <c r="C4199" s="2" t="s">
        <v>3891</v>
      </c>
      <c r="D4199" s="3" t="str">
        <f t="shared" ref="D4199:D4200" si="693">HYPERLINK("https://12go.asia/en/travel/Irbid-Hotel-Transfer/Amman-Airport", "12Go Link")</f>
        <v>12Go Link</v>
      </c>
      <c r="E4199" s="2" t="s">
        <v>3780</v>
      </c>
    </row>
    <row r="4200">
      <c r="A4200" s="2" t="s">
        <v>3788</v>
      </c>
      <c r="B4200" s="2" t="s">
        <v>3778</v>
      </c>
      <c r="C4200" s="2" t="s">
        <v>3891</v>
      </c>
      <c r="D4200" s="3" t="str">
        <f t="shared" si="693"/>
        <v>12Go Link</v>
      </c>
      <c r="E4200" s="2" t="s">
        <v>1567</v>
      </c>
    </row>
    <row r="4201">
      <c r="A4201" s="2" t="s">
        <v>3788</v>
      </c>
      <c r="B4201" s="2" t="s">
        <v>3778</v>
      </c>
      <c r="C4201" s="2" t="s">
        <v>3892</v>
      </c>
      <c r="D4201" s="3" t="str">
        <f t="shared" ref="D4201:D4202" si="694">HYPERLINK("https://12go.asia/en/travel/Irbid-Hotel-Transfer/Amman-Hotel-Transfer", "12Go Link")</f>
        <v>12Go Link</v>
      </c>
      <c r="E4201" s="2" t="s">
        <v>3780</v>
      </c>
    </row>
    <row r="4202">
      <c r="A4202" s="2" t="s">
        <v>3788</v>
      </c>
      <c r="B4202" s="2" t="s">
        <v>3778</v>
      </c>
      <c r="C4202" s="2" t="s">
        <v>3892</v>
      </c>
      <c r="D4202" s="3" t="str">
        <f t="shared" si="694"/>
        <v>12Go Link</v>
      </c>
      <c r="E4202" s="2" t="s">
        <v>1567</v>
      </c>
    </row>
    <row r="4203">
      <c r="A4203" s="2" t="s">
        <v>3788</v>
      </c>
      <c r="B4203" s="2" t="s">
        <v>3778</v>
      </c>
      <c r="C4203" s="2" t="s">
        <v>3893</v>
      </c>
      <c r="D4203" s="3" t="str">
        <f t="shared" ref="D4203:D4204" si="695">HYPERLINK("https://12go.asia/en/travel/Irbid-Hotel-Transfer/King-Hussein-Bridge-Border-Crossing-Amman", "12Go Link")</f>
        <v>12Go Link</v>
      </c>
      <c r="E4203" s="2" t="s">
        <v>3780</v>
      </c>
    </row>
    <row r="4204">
      <c r="A4204" s="2" t="s">
        <v>3788</v>
      </c>
      <c r="B4204" s="2" t="s">
        <v>3778</v>
      </c>
      <c r="C4204" s="2" t="s">
        <v>3893</v>
      </c>
      <c r="D4204" s="3" t="str">
        <f t="shared" si="695"/>
        <v>12Go Link</v>
      </c>
      <c r="E4204" s="2" t="s">
        <v>1567</v>
      </c>
    </row>
    <row r="4205">
      <c r="A4205" s="2" t="s">
        <v>3788</v>
      </c>
      <c r="B4205" s="2" t="s">
        <v>3783</v>
      </c>
      <c r="C4205" s="2" t="s">
        <v>3894</v>
      </c>
      <c r="D4205" s="3" t="str">
        <f t="shared" ref="D4205:D4206" si="696">HYPERLINK("https://12go.asia/en/travel/Irbid-Hotel-Transfer/Aqaba-Hotel-Transfer", "12Go Link")</f>
        <v>12Go Link</v>
      </c>
      <c r="E4205" s="2" t="s">
        <v>3780</v>
      </c>
    </row>
    <row r="4206">
      <c r="A4206" s="2" t="s">
        <v>3788</v>
      </c>
      <c r="B4206" s="2" t="s">
        <v>3783</v>
      </c>
      <c r="C4206" s="2" t="s">
        <v>3894</v>
      </c>
      <c r="D4206" s="3" t="str">
        <f t="shared" si="696"/>
        <v>12Go Link</v>
      </c>
      <c r="E4206" s="2" t="s">
        <v>1567</v>
      </c>
    </row>
    <row r="4207">
      <c r="A4207" s="2" t="s">
        <v>3788</v>
      </c>
      <c r="B4207" s="2" t="s">
        <v>3783</v>
      </c>
      <c r="C4207" s="2" t="s">
        <v>3895</v>
      </c>
      <c r="D4207" s="3" t="str">
        <f t="shared" ref="D4207:D4208" si="697">HYPERLINK("https://12go.asia/en/travel/Irbid-Hotel-Transfer/Aqaba-Port", "12Go Link")</f>
        <v>12Go Link</v>
      </c>
      <c r="E4207" s="2" t="s">
        <v>3780</v>
      </c>
    </row>
    <row r="4208">
      <c r="A4208" s="2" t="s">
        <v>3788</v>
      </c>
      <c r="B4208" s="2" t="s">
        <v>3783</v>
      </c>
      <c r="C4208" s="2" t="s">
        <v>3895</v>
      </c>
      <c r="D4208" s="3" t="str">
        <f t="shared" si="697"/>
        <v>12Go Link</v>
      </c>
      <c r="E4208" s="2" t="s">
        <v>1567</v>
      </c>
    </row>
    <row r="4209">
      <c r="A4209" s="2" t="s">
        <v>3788</v>
      </c>
      <c r="B4209" s="2" t="s">
        <v>3786</v>
      </c>
      <c r="C4209" s="2" t="s">
        <v>3896</v>
      </c>
      <c r="D4209" s="3" t="str">
        <f t="shared" ref="D4209:D4210" si="698">HYPERLINK("https://12go.asia/en/travel/Irbid-Hotel-Transfer/Dead-Sea-Hotel-Transfer", "12Go Link")</f>
        <v>12Go Link</v>
      </c>
      <c r="E4209" s="2" t="s">
        <v>3780</v>
      </c>
    </row>
    <row r="4210">
      <c r="A4210" s="2" t="s">
        <v>3788</v>
      </c>
      <c r="B4210" s="2" t="s">
        <v>3786</v>
      </c>
      <c r="C4210" s="2" t="s">
        <v>3896</v>
      </c>
      <c r="D4210" s="3" t="str">
        <f t="shared" si="698"/>
        <v>12Go Link</v>
      </c>
      <c r="E4210" s="2" t="s">
        <v>1567</v>
      </c>
    </row>
    <row r="4211">
      <c r="A4211" s="2" t="s">
        <v>3788</v>
      </c>
      <c r="B4211" s="2" t="s">
        <v>3790</v>
      </c>
      <c r="C4211" s="2" t="s">
        <v>3897</v>
      </c>
      <c r="D4211" s="3" t="str">
        <f t="shared" ref="D4211:D4212" si="699">HYPERLINK("https://12go.asia/en/travel/Irbid-Hotel-Transfer/Jerash-Hotel-Transfer", "12Go Link")</f>
        <v>12Go Link</v>
      </c>
      <c r="E4211" s="2" t="s">
        <v>3780</v>
      </c>
    </row>
    <row r="4212">
      <c r="A4212" s="2" t="s">
        <v>3788</v>
      </c>
      <c r="B4212" s="2" t="s">
        <v>3790</v>
      </c>
      <c r="C4212" s="2" t="s">
        <v>3897</v>
      </c>
      <c r="D4212" s="3" t="str">
        <f t="shared" si="699"/>
        <v>12Go Link</v>
      </c>
      <c r="E4212" s="2" t="s">
        <v>1567</v>
      </c>
    </row>
    <row r="4213">
      <c r="A4213" s="2" t="s">
        <v>3788</v>
      </c>
      <c r="B4213" s="2" t="s">
        <v>3792</v>
      </c>
      <c r="C4213" s="2" t="s">
        <v>3898</v>
      </c>
      <c r="D4213" s="3" t="str">
        <f t="shared" ref="D4213:D4214" si="700">HYPERLINK("https://12go.asia/en/travel/Irbid-Hotel-Transfer/Madaba-Hotel-Transfer", "12Go Link")</f>
        <v>12Go Link</v>
      </c>
      <c r="E4213" s="2" t="s">
        <v>3780</v>
      </c>
    </row>
    <row r="4214">
      <c r="A4214" s="2" t="s">
        <v>3788</v>
      </c>
      <c r="B4214" s="2" t="s">
        <v>3792</v>
      </c>
      <c r="C4214" s="2" t="s">
        <v>3898</v>
      </c>
      <c r="D4214" s="3" t="str">
        <f t="shared" si="700"/>
        <v>12Go Link</v>
      </c>
      <c r="E4214" s="2" t="s">
        <v>1567</v>
      </c>
    </row>
    <row r="4215">
      <c r="A4215" s="2" t="s">
        <v>3788</v>
      </c>
      <c r="B4215" s="2" t="s">
        <v>3794</v>
      </c>
      <c r="C4215" s="2" t="s">
        <v>3899</v>
      </c>
      <c r="D4215" s="3" t="str">
        <f t="shared" ref="D4215:D4216" si="701">HYPERLINK("https://12go.asia/en/travel/Irbid-Hotel-Transfer/Ma-in-Hot-Springs-Transfer", "12Go Link")</f>
        <v>12Go Link</v>
      </c>
      <c r="E4215" s="2" t="s">
        <v>3780</v>
      </c>
    </row>
    <row r="4216">
      <c r="A4216" s="2" t="s">
        <v>3788</v>
      </c>
      <c r="B4216" s="2" t="s">
        <v>3794</v>
      </c>
      <c r="C4216" s="2" t="s">
        <v>3899</v>
      </c>
      <c r="D4216" s="3" t="str">
        <f t="shared" si="701"/>
        <v>12Go Link</v>
      </c>
      <c r="E4216" s="2" t="s">
        <v>1567</v>
      </c>
    </row>
    <row r="4217">
      <c r="A4217" s="2" t="s">
        <v>3788</v>
      </c>
      <c r="B4217" s="2" t="s">
        <v>3796</v>
      </c>
      <c r="C4217" s="2" t="s">
        <v>3900</v>
      </c>
      <c r="D4217" s="3" t="str">
        <f t="shared" ref="D4217:D4218" si="702">HYPERLINK("https://12go.asia/en/travel/Irbid-Hotel-Transfer/Petra-Hotel-Transfer", "12Go Link")</f>
        <v>12Go Link</v>
      </c>
      <c r="E4217" s="2" t="s">
        <v>3780</v>
      </c>
    </row>
    <row r="4218">
      <c r="A4218" s="2" t="s">
        <v>3788</v>
      </c>
      <c r="B4218" s="2" t="s">
        <v>3796</v>
      </c>
      <c r="C4218" s="2" t="s">
        <v>3900</v>
      </c>
      <c r="D4218" s="3" t="str">
        <f t="shared" si="702"/>
        <v>12Go Link</v>
      </c>
      <c r="E4218" s="2" t="s">
        <v>1567</v>
      </c>
    </row>
    <row r="4219">
      <c r="A4219" s="2" t="s">
        <v>3788</v>
      </c>
      <c r="B4219" s="2" t="s">
        <v>3798</v>
      </c>
      <c r="C4219" s="2" t="s">
        <v>3901</v>
      </c>
      <c r="D4219" s="3" t="str">
        <f t="shared" ref="D4219:D4220" si="703">HYPERLINK("https://12go.asia/en/travel/Irbid-Hotel-Transfer/Jordan-River-Crossing", "12Go Link")</f>
        <v>12Go Link</v>
      </c>
      <c r="E4219" s="2" t="s">
        <v>3780</v>
      </c>
    </row>
    <row r="4220">
      <c r="A4220" s="2" t="s">
        <v>3788</v>
      </c>
      <c r="B4220" s="2" t="s">
        <v>3798</v>
      </c>
      <c r="C4220" s="2" t="s">
        <v>3901</v>
      </c>
      <c r="D4220" s="3" t="str">
        <f t="shared" si="703"/>
        <v>12Go Link</v>
      </c>
      <c r="E4220" s="2" t="s">
        <v>1567</v>
      </c>
    </row>
    <row r="4221">
      <c r="A4221" s="2" t="s">
        <v>3788</v>
      </c>
      <c r="B4221" s="2" t="s">
        <v>3800</v>
      </c>
      <c r="C4221" s="2" t="s">
        <v>3902</v>
      </c>
      <c r="D4221" s="3" t="str">
        <f t="shared" ref="D4221:D4222" si="704">HYPERLINK("https://12go.asia/en/travel/Irbid-Hotel-Transfer/Umm-Qais-Hotel-Transfer", "12Go Link")</f>
        <v>12Go Link</v>
      </c>
      <c r="E4221" s="2" t="s">
        <v>3780</v>
      </c>
    </row>
    <row r="4222">
      <c r="A4222" s="2" t="s">
        <v>3788</v>
      </c>
      <c r="B4222" s="2" t="s">
        <v>3800</v>
      </c>
      <c r="C4222" s="2" t="s">
        <v>3902</v>
      </c>
      <c r="D4222" s="3" t="str">
        <f t="shared" si="704"/>
        <v>12Go Link</v>
      </c>
      <c r="E4222" s="2" t="s">
        <v>1567</v>
      </c>
    </row>
    <row r="4223">
      <c r="A4223" s="2" t="s">
        <v>3788</v>
      </c>
      <c r="B4223" s="2" t="s">
        <v>3802</v>
      </c>
      <c r="C4223" s="2" t="s">
        <v>3903</v>
      </c>
      <c r="D4223" s="3" t="str">
        <f t="shared" ref="D4223:D4224" si="705">HYPERLINK("https://12go.asia/en/travel/Irbid-Hotel-Transfer/Wadi-Rum-Hotel-Transfer", "12Go Link")</f>
        <v>12Go Link</v>
      </c>
      <c r="E4223" s="2" t="s">
        <v>3780</v>
      </c>
    </row>
    <row r="4224">
      <c r="A4224" s="2" t="s">
        <v>3788</v>
      </c>
      <c r="B4224" s="2" t="s">
        <v>3802</v>
      </c>
      <c r="C4224" s="2" t="s">
        <v>3903</v>
      </c>
      <c r="D4224" s="3" t="str">
        <f t="shared" si="705"/>
        <v>12Go Link</v>
      </c>
      <c r="E4224" s="2" t="s">
        <v>1567</v>
      </c>
    </row>
    <row r="4225">
      <c r="A4225" s="2" t="s">
        <v>3790</v>
      </c>
      <c r="B4225" s="2" t="s">
        <v>3777</v>
      </c>
      <c r="C4225" s="2" t="s">
        <v>3904</v>
      </c>
      <c r="D4225" s="3" t="str">
        <f t="shared" ref="D4225:D4226" si="706">HYPERLINK("https://12go.asia/en/travel/Jerash-Hotel-Transfer/Ajloun-Hotel-Transfer", "12Go Link")</f>
        <v>12Go Link</v>
      </c>
      <c r="E4225" s="2" t="s">
        <v>3780</v>
      </c>
    </row>
    <row r="4226">
      <c r="A4226" s="2" t="s">
        <v>3790</v>
      </c>
      <c r="B4226" s="2" t="s">
        <v>3777</v>
      </c>
      <c r="C4226" s="2" t="s">
        <v>3904</v>
      </c>
      <c r="D4226" s="3" t="str">
        <f t="shared" si="706"/>
        <v>12Go Link</v>
      </c>
      <c r="E4226" s="2" t="s">
        <v>1567</v>
      </c>
    </row>
    <row r="4227">
      <c r="A4227" s="2" t="s">
        <v>3790</v>
      </c>
      <c r="B4227" s="2" t="s">
        <v>3778</v>
      </c>
      <c r="C4227" s="2" t="s">
        <v>3905</v>
      </c>
      <c r="D4227" s="3" t="str">
        <f t="shared" ref="D4227:D4228" si="707">HYPERLINK("https://12go.asia/en/travel/Jerash-Hotel-Transfer/Amman-Airport", "12Go Link")</f>
        <v>12Go Link</v>
      </c>
      <c r="E4227" s="2" t="s">
        <v>3780</v>
      </c>
    </row>
    <row r="4228">
      <c r="A4228" s="2" t="s">
        <v>3790</v>
      </c>
      <c r="B4228" s="2" t="s">
        <v>3778</v>
      </c>
      <c r="C4228" s="2" t="s">
        <v>3905</v>
      </c>
      <c r="D4228" s="3" t="str">
        <f t="shared" si="707"/>
        <v>12Go Link</v>
      </c>
      <c r="E4228" s="2" t="s">
        <v>1567</v>
      </c>
    </row>
    <row r="4229">
      <c r="A4229" s="2" t="s">
        <v>3790</v>
      </c>
      <c r="B4229" s="2" t="s">
        <v>3778</v>
      </c>
      <c r="C4229" s="2" t="s">
        <v>3906</v>
      </c>
      <c r="D4229" s="3" t="str">
        <f t="shared" ref="D4229:D4231" si="708">HYPERLINK("https://12go.asia/en/travel/Jerash-Hotel-Transfer/Amman-Hotel-Transfer", "12Go Link")</f>
        <v>12Go Link</v>
      </c>
      <c r="E4229" s="2" t="s">
        <v>3780</v>
      </c>
    </row>
    <row r="4230">
      <c r="A4230" s="2" t="s">
        <v>3790</v>
      </c>
      <c r="B4230" s="2" t="s">
        <v>3778</v>
      </c>
      <c r="C4230" s="2" t="s">
        <v>3906</v>
      </c>
      <c r="D4230" s="3" t="str">
        <f t="shared" si="708"/>
        <v>12Go Link</v>
      </c>
      <c r="E4230" s="2" t="s">
        <v>1567</v>
      </c>
    </row>
    <row r="4231">
      <c r="A4231" s="2" t="s">
        <v>3790</v>
      </c>
      <c r="B4231" s="2" t="s">
        <v>3778</v>
      </c>
      <c r="C4231" s="2" t="s">
        <v>3906</v>
      </c>
      <c r="D4231" s="3" t="str">
        <f t="shared" si="708"/>
        <v>12Go Link</v>
      </c>
      <c r="E4231" s="2" t="s">
        <v>3805</v>
      </c>
    </row>
    <row r="4232">
      <c r="A4232" s="2" t="s">
        <v>3790</v>
      </c>
      <c r="B4232" s="2" t="s">
        <v>3778</v>
      </c>
      <c r="C4232" s="2" t="s">
        <v>3907</v>
      </c>
      <c r="D4232" s="3" t="str">
        <f t="shared" ref="D4232:D4233" si="709">HYPERLINK("https://12go.asia/en/travel/Jerash-Hotel-Transfer/King-Hussein-Bridge-Border-Crossing-Amman", "12Go Link")</f>
        <v>12Go Link</v>
      </c>
      <c r="E4232" s="2" t="s">
        <v>3780</v>
      </c>
    </row>
    <row r="4233">
      <c r="A4233" s="2" t="s">
        <v>3790</v>
      </c>
      <c r="B4233" s="2" t="s">
        <v>3778</v>
      </c>
      <c r="C4233" s="2" t="s">
        <v>3907</v>
      </c>
      <c r="D4233" s="3" t="str">
        <f t="shared" si="709"/>
        <v>12Go Link</v>
      </c>
      <c r="E4233" s="2" t="s">
        <v>1567</v>
      </c>
    </row>
    <row r="4234">
      <c r="A4234" s="2" t="s">
        <v>3790</v>
      </c>
      <c r="B4234" s="2" t="s">
        <v>3783</v>
      </c>
      <c r="C4234" s="2" t="s">
        <v>3908</v>
      </c>
      <c r="D4234" s="3" t="str">
        <f t="shared" ref="D4234:D4235" si="710">HYPERLINK("https://12go.asia/en/travel/Jerash-Hotel-Transfer/Aqaba-Hotel-Transfer", "12Go Link")</f>
        <v>12Go Link</v>
      </c>
      <c r="E4234" s="2" t="s">
        <v>3780</v>
      </c>
    </row>
    <row r="4235">
      <c r="A4235" s="2" t="s">
        <v>3790</v>
      </c>
      <c r="B4235" s="2" t="s">
        <v>3783</v>
      </c>
      <c r="C4235" s="2" t="s">
        <v>3908</v>
      </c>
      <c r="D4235" s="3" t="str">
        <f t="shared" si="710"/>
        <v>12Go Link</v>
      </c>
      <c r="E4235" s="2" t="s">
        <v>1567</v>
      </c>
    </row>
    <row r="4236">
      <c r="A4236" s="2" t="s">
        <v>3790</v>
      </c>
      <c r="B4236" s="2" t="s">
        <v>3783</v>
      </c>
      <c r="C4236" s="2" t="s">
        <v>3909</v>
      </c>
      <c r="D4236" s="3" t="str">
        <f t="shared" ref="D4236:D4237" si="711">HYPERLINK("https://12go.asia/en/travel/Jerash-Hotel-Transfer/Aqaba-Port", "12Go Link")</f>
        <v>12Go Link</v>
      </c>
      <c r="E4236" s="2" t="s">
        <v>3780</v>
      </c>
    </row>
    <row r="4237">
      <c r="A4237" s="2" t="s">
        <v>3790</v>
      </c>
      <c r="B4237" s="2" t="s">
        <v>3783</v>
      </c>
      <c r="C4237" s="2" t="s">
        <v>3909</v>
      </c>
      <c r="D4237" s="3" t="str">
        <f t="shared" si="711"/>
        <v>12Go Link</v>
      </c>
      <c r="E4237" s="2" t="s">
        <v>1567</v>
      </c>
    </row>
    <row r="4238">
      <c r="A4238" s="2" t="s">
        <v>3790</v>
      </c>
      <c r="B4238" s="2" t="s">
        <v>3786</v>
      </c>
      <c r="C4238" s="2" t="s">
        <v>3910</v>
      </c>
      <c r="D4238" s="3" t="str">
        <f t="shared" ref="D4238:D4239" si="712">HYPERLINK("https://12go.asia/en/travel/Jerash-Hotel-Transfer/Dead-Sea-Hotel-Transfer", "12Go Link")</f>
        <v>12Go Link</v>
      </c>
      <c r="E4238" s="2" t="s">
        <v>3780</v>
      </c>
    </row>
    <row r="4239">
      <c r="A4239" s="2" t="s">
        <v>3790</v>
      </c>
      <c r="B4239" s="2" t="s">
        <v>3786</v>
      </c>
      <c r="C4239" s="2" t="s">
        <v>3910</v>
      </c>
      <c r="D4239" s="3" t="str">
        <f t="shared" si="712"/>
        <v>12Go Link</v>
      </c>
      <c r="E4239" s="2" t="s">
        <v>1567</v>
      </c>
    </row>
    <row r="4240">
      <c r="A4240" s="2" t="s">
        <v>3790</v>
      </c>
      <c r="B4240" s="2" t="s">
        <v>3788</v>
      </c>
      <c r="C4240" s="2" t="s">
        <v>3911</v>
      </c>
      <c r="D4240" s="3" t="str">
        <f t="shared" ref="D4240:D4241" si="713">HYPERLINK("https://12go.asia/en/travel/Jerash-Hotel-Transfer/Irbid-Hotel-Transfer", "12Go Link")</f>
        <v>12Go Link</v>
      </c>
      <c r="E4240" s="2" t="s">
        <v>3780</v>
      </c>
    </row>
    <row r="4241">
      <c r="A4241" s="2" t="s">
        <v>3790</v>
      </c>
      <c r="B4241" s="2" t="s">
        <v>3788</v>
      </c>
      <c r="C4241" s="2" t="s">
        <v>3911</v>
      </c>
      <c r="D4241" s="3" t="str">
        <f t="shared" si="713"/>
        <v>12Go Link</v>
      </c>
      <c r="E4241" s="2" t="s">
        <v>1567</v>
      </c>
    </row>
    <row r="4242">
      <c r="A4242" s="2" t="s">
        <v>3790</v>
      </c>
      <c r="B4242" s="2" t="s">
        <v>3792</v>
      </c>
      <c r="C4242" s="2" t="s">
        <v>3912</v>
      </c>
      <c r="D4242" s="3" t="str">
        <f t="shared" ref="D4242:D4243" si="714">HYPERLINK("https://12go.asia/en/travel/Jerash-Hotel-Transfer/Madaba-Hotel-Transfer", "12Go Link")</f>
        <v>12Go Link</v>
      </c>
      <c r="E4242" s="2" t="s">
        <v>3780</v>
      </c>
    </row>
    <row r="4243">
      <c r="A4243" s="2" t="s">
        <v>3790</v>
      </c>
      <c r="B4243" s="2" t="s">
        <v>3792</v>
      </c>
      <c r="C4243" s="2" t="s">
        <v>3912</v>
      </c>
      <c r="D4243" s="3" t="str">
        <f t="shared" si="714"/>
        <v>12Go Link</v>
      </c>
      <c r="E4243" s="2" t="s">
        <v>1567</v>
      </c>
    </row>
    <row r="4244">
      <c r="A4244" s="2" t="s">
        <v>3790</v>
      </c>
      <c r="B4244" s="2" t="s">
        <v>3794</v>
      </c>
      <c r="C4244" s="2" t="s">
        <v>3913</v>
      </c>
      <c r="D4244" s="3" t="str">
        <f t="shared" ref="D4244:D4245" si="715">HYPERLINK("https://12go.asia/en/travel/Jerash-Hotel-Transfer/Ma-in-Hot-Springs-Transfer", "12Go Link")</f>
        <v>12Go Link</v>
      </c>
      <c r="E4244" s="2" t="s">
        <v>3780</v>
      </c>
    </row>
    <row r="4245">
      <c r="A4245" s="2" t="s">
        <v>3790</v>
      </c>
      <c r="B4245" s="2" t="s">
        <v>3794</v>
      </c>
      <c r="C4245" s="2" t="s">
        <v>3913</v>
      </c>
      <c r="D4245" s="3" t="str">
        <f t="shared" si="715"/>
        <v>12Go Link</v>
      </c>
      <c r="E4245" s="2" t="s">
        <v>1567</v>
      </c>
    </row>
    <row r="4246">
      <c r="A4246" s="2" t="s">
        <v>3790</v>
      </c>
      <c r="B4246" s="2" t="s">
        <v>3796</v>
      </c>
      <c r="C4246" s="2" t="s">
        <v>3914</v>
      </c>
      <c r="D4246" s="3" t="str">
        <f t="shared" ref="D4246:D4247" si="716">HYPERLINK("https://12go.asia/en/travel/Jerash-Hotel-Transfer/Petra-Hotel-Transfer", "12Go Link")</f>
        <v>12Go Link</v>
      </c>
      <c r="E4246" s="2" t="s">
        <v>3780</v>
      </c>
    </row>
    <row r="4247">
      <c r="A4247" s="2" t="s">
        <v>3790</v>
      </c>
      <c r="B4247" s="2" t="s">
        <v>3796</v>
      </c>
      <c r="C4247" s="2" t="s">
        <v>3914</v>
      </c>
      <c r="D4247" s="3" t="str">
        <f t="shared" si="716"/>
        <v>12Go Link</v>
      </c>
      <c r="E4247" s="2" t="s">
        <v>1567</v>
      </c>
    </row>
    <row r="4248">
      <c r="A4248" s="2" t="s">
        <v>3790</v>
      </c>
      <c r="B4248" s="2" t="s">
        <v>3798</v>
      </c>
      <c r="C4248" s="2" t="s">
        <v>3915</v>
      </c>
      <c r="D4248" s="3" t="str">
        <f t="shared" ref="D4248:D4249" si="717">HYPERLINK("https://12go.asia/en/travel/Jerash-Hotel-Transfer/Jordan-River-Crossing", "12Go Link")</f>
        <v>12Go Link</v>
      </c>
      <c r="E4248" s="2" t="s">
        <v>3780</v>
      </c>
    </row>
    <row r="4249">
      <c r="A4249" s="2" t="s">
        <v>3790</v>
      </c>
      <c r="B4249" s="2" t="s">
        <v>3798</v>
      </c>
      <c r="C4249" s="2" t="s">
        <v>3915</v>
      </c>
      <c r="D4249" s="3" t="str">
        <f t="shared" si="717"/>
        <v>12Go Link</v>
      </c>
      <c r="E4249" s="2" t="s">
        <v>1567</v>
      </c>
    </row>
    <row r="4250">
      <c r="A4250" s="2" t="s">
        <v>3790</v>
      </c>
      <c r="B4250" s="2" t="s">
        <v>3800</v>
      </c>
      <c r="C4250" s="2" t="s">
        <v>3916</v>
      </c>
      <c r="D4250" s="3" t="str">
        <f t="shared" ref="D4250:D4251" si="718">HYPERLINK("https://12go.asia/en/travel/Jerash-Hotel-Transfer/Umm-Qais-Hotel-Transfer", "12Go Link")</f>
        <v>12Go Link</v>
      </c>
      <c r="E4250" s="2" t="s">
        <v>3780</v>
      </c>
    </row>
    <row r="4251">
      <c r="A4251" s="2" t="s">
        <v>3790</v>
      </c>
      <c r="B4251" s="2" t="s">
        <v>3800</v>
      </c>
      <c r="C4251" s="2" t="s">
        <v>3916</v>
      </c>
      <c r="D4251" s="3" t="str">
        <f t="shared" si="718"/>
        <v>12Go Link</v>
      </c>
      <c r="E4251" s="2" t="s">
        <v>1567</v>
      </c>
    </row>
    <row r="4252">
      <c r="A4252" s="2" t="s">
        <v>3790</v>
      </c>
      <c r="B4252" s="2" t="s">
        <v>3802</v>
      </c>
      <c r="C4252" s="2" t="s">
        <v>3917</v>
      </c>
      <c r="D4252" s="3" t="str">
        <f t="shared" ref="D4252:D4253" si="719">HYPERLINK("https://12go.asia/en/travel/Jerash-Hotel-Transfer/Wadi-Rum-Hotel-Transfer", "12Go Link")</f>
        <v>12Go Link</v>
      </c>
      <c r="E4252" s="2" t="s">
        <v>3780</v>
      </c>
    </row>
    <row r="4253">
      <c r="A4253" s="2" t="s">
        <v>3790</v>
      </c>
      <c r="B4253" s="2" t="s">
        <v>3802</v>
      </c>
      <c r="C4253" s="2" t="s">
        <v>3917</v>
      </c>
      <c r="D4253" s="3" t="str">
        <f t="shared" si="719"/>
        <v>12Go Link</v>
      </c>
      <c r="E4253" s="2" t="s">
        <v>1567</v>
      </c>
    </row>
    <row r="4254">
      <c r="A4254" s="2" t="s">
        <v>3792</v>
      </c>
      <c r="B4254" s="2" t="s">
        <v>3777</v>
      </c>
      <c r="C4254" s="2" t="s">
        <v>3918</v>
      </c>
      <c r="D4254" s="3" t="str">
        <f t="shared" ref="D4254:D4255" si="720">HYPERLINK("https://12go.asia/en/travel/Madaba-Hotel-Transfer/Ajloun-Hotel-Transfer", "12Go Link")</f>
        <v>12Go Link</v>
      </c>
      <c r="E4254" s="2" t="s">
        <v>3780</v>
      </c>
    </row>
    <row r="4255">
      <c r="A4255" s="2" t="s">
        <v>3792</v>
      </c>
      <c r="B4255" s="2" t="s">
        <v>3777</v>
      </c>
      <c r="C4255" s="2" t="s">
        <v>3918</v>
      </c>
      <c r="D4255" s="3" t="str">
        <f t="shared" si="720"/>
        <v>12Go Link</v>
      </c>
      <c r="E4255" s="2" t="s">
        <v>1567</v>
      </c>
    </row>
    <row r="4256">
      <c r="A4256" s="2" t="s">
        <v>3792</v>
      </c>
      <c r="B4256" s="2" t="s">
        <v>3778</v>
      </c>
      <c r="C4256" s="2" t="s">
        <v>3919</v>
      </c>
      <c r="D4256" s="3" t="str">
        <f t="shared" ref="D4256:D4257" si="721">HYPERLINK("https://12go.asia/en/travel/Madaba-Hotel-Transfer/Amman-Airport", "12Go Link")</f>
        <v>12Go Link</v>
      </c>
      <c r="E4256" s="2" t="s">
        <v>3780</v>
      </c>
    </row>
    <row r="4257">
      <c r="A4257" s="2" t="s">
        <v>3792</v>
      </c>
      <c r="B4257" s="2" t="s">
        <v>3778</v>
      </c>
      <c r="C4257" s="2" t="s">
        <v>3919</v>
      </c>
      <c r="D4257" s="3" t="str">
        <f t="shared" si="721"/>
        <v>12Go Link</v>
      </c>
      <c r="E4257" s="2" t="s">
        <v>1567</v>
      </c>
    </row>
    <row r="4258">
      <c r="A4258" s="2" t="s">
        <v>3792</v>
      </c>
      <c r="B4258" s="2" t="s">
        <v>3778</v>
      </c>
      <c r="C4258" s="2" t="s">
        <v>3920</v>
      </c>
      <c r="D4258" s="3" t="str">
        <f t="shared" ref="D4258:D4259" si="722">HYPERLINK("https://12go.asia/en/travel/Madaba-Hotel-Transfer/Amman-Hotel-Transfer", "12Go Link")</f>
        <v>12Go Link</v>
      </c>
      <c r="E4258" s="2" t="s">
        <v>3780</v>
      </c>
    </row>
    <row r="4259">
      <c r="A4259" s="2" t="s">
        <v>3792</v>
      </c>
      <c r="B4259" s="2" t="s">
        <v>3778</v>
      </c>
      <c r="C4259" s="2" t="s">
        <v>3920</v>
      </c>
      <c r="D4259" s="3" t="str">
        <f t="shared" si="722"/>
        <v>12Go Link</v>
      </c>
      <c r="E4259" s="2" t="s">
        <v>1567</v>
      </c>
    </row>
    <row r="4260">
      <c r="A4260" s="2" t="s">
        <v>3792</v>
      </c>
      <c r="B4260" s="2" t="s">
        <v>3778</v>
      </c>
      <c r="C4260" s="2" t="s">
        <v>3921</v>
      </c>
      <c r="D4260" s="3" t="str">
        <f t="shared" ref="D4260:D4261" si="723">HYPERLINK("https://12go.asia/en/travel/Madaba-Hotel-Transfer/King-Hussein-Bridge-Border-Crossing-Amman", "12Go Link")</f>
        <v>12Go Link</v>
      </c>
      <c r="E4260" s="2" t="s">
        <v>3780</v>
      </c>
    </row>
    <row r="4261">
      <c r="A4261" s="2" t="s">
        <v>3792</v>
      </c>
      <c r="B4261" s="2" t="s">
        <v>3778</v>
      </c>
      <c r="C4261" s="2" t="s">
        <v>3921</v>
      </c>
      <c r="D4261" s="3" t="str">
        <f t="shared" si="723"/>
        <v>12Go Link</v>
      </c>
      <c r="E4261" s="2" t="s">
        <v>1567</v>
      </c>
    </row>
    <row r="4262">
      <c r="A4262" s="2" t="s">
        <v>3792</v>
      </c>
      <c r="B4262" s="2" t="s">
        <v>3783</v>
      </c>
      <c r="C4262" s="2" t="s">
        <v>3922</v>
      </c>
      <c r="D4262" s="3" t="str">
        <f t="shared" ref="D4262:D4263" si="724">HYPERLINK("https://12go.asia/en/travel/Madaba-Hotel-Transfer/Aqaba-Hotel-Transfer", "12Go Link")</f>
        <v>12Go Link</v>
      </c>
      <c r="E4262" s="2" t="s">
        <v>3780</v>
      </c>
    </row>
    <row r="4263">
      <c r="A4263" s="2" t="s">
        <v>3792</v>
      </c>
      <c r="B4263" s="2" t="s">
        <v>3783</v>
      </c>
      <c r="C4263" s="2" t="s">
        <v>3922</v>
      </c>
      <c r="D4263" s="3" t="str">
        <f t="shared" si="724"/>
        <v>12Go Link</v>
      </c>
      <c r="E4263" s="2" t="s">
        <v>1567</v>
      </c>
    </row>
    <row r="4264">
      <c r="A4264" s="2" t="s">
        <v>3792</v>
      </c>
      <c r="B4264" s="2" t="s">
        <v>3783</v>
      </c>
      <c r="C4264" s="2" t="s">
        <v>3923</v>
      </c>
      <c r="D4264" s="3" t="str">
        <f t="shared" ref="D4264:D4265" si="725">HYPERLINK("https://12go.asia/en/travel/Madaba-Hotel-Transfer/Aqaba-Port", "12Go Link")</f>
        <v>12Go Link</v>
      </c>
      <c r="E4264" s="2" t="s">
        <v>3780</v>
      </c>
    </row>
    <row r="4265">
      <c r="A4265" s="2" t="s">
        <v>3792</v>
      </c>
      <c r="B4265" s="2" t="s">
        <v>3783</v>
      </c>
      <c r="C4265" s="2" t="s">
        <v>3923</v>
      </c>
      <c r="D4265" s="3" t="str">
        <f t="shared" si="725"/>
        <v>12Go Link</v>
      </c>
      <c r="E4265" s="2" t="s">
        <v>1567</v>
      </c>
    </row>
    <row r="4266">
      <c r="A4266" s="2" t="s">
        <v>3792</v>
      </c>
      <c r="B4266" s="2" t="s">
        <v>3786</v>
      </c>
      <c r="C4266" s="2" t="s">
        <v>3924</v>
      </c>
      <c r="D4266" s="3" t="str">
        <f t="shared" ref="D4266:D4267" si="726">HYPERLINK("https://12go.asia/en/travel/Madaba-Hotel-Transfer/Dead-Sea-Hotel-Transfer", "12Go Link")</f>
        <v>12Go Link</v>
      </c>
      <c r="E4266" s="2" t="s">
        <v>3780</v>
      </c>
    </row>
    <row r="4267">
      <c r="A4267" s="2" t="s">
        <v>3792</v>
      </c>
      <c r="B4267" s="2" t="s">
        <v>3786</v>
      </c>
      <c r="C4267" s="2" t="s">
        <v>3924</v>
      </c>
      <c r="D4267" s="3" t="str">
        <f t="shared" si="726"/>
        <v>12Go Link</v>
      </c>
      <c r="E4267" s="2" t="s">
        <v>1567</v>
      </c>
    </row>
    <row r="4268">
      <c r="A4268" s="2" t="s">
        <v>3792</v>
      </c>
      <c r="B4268" s="2" t="s">
        <v>3788</v>
      </c>
      <c r="C4268" s="2" t="s">
        <v>3925</v>
      </c>
      <c r="D4268" s="3" t="str">
        <f t="shared" ref="D4268:D4269" si="727">HYPERLINK("https://12go.asia/en/travel/Madaba-Hotel-Transfer/Irbid-Hotel-Transfer", "12Go Link")</f>
        <v>12Go Link</v>
      </c>
      <c r="E4268" s="2" t="s">
        <v>3780</v>
      </c>
    </row>
    <row r="4269">
      <c r="A4269" s="2" t="s">
        <v>3792</v>
      </c>
      <c r="B4269" s="2" t="s">
        <v>3788</v>
      </c>
      <c r="C4269" s="2" t="s">
        <v>3925</v>
      </c>
      <c r="D4269" s="3" t="str">
        <f t="shared" si="727"/>
        <v>12Go Link</v>
      </c>
      <c r="E4269" s="2" t="s">
        <v>1567</v>
      </c>
    </row>
    <row r="4270">
      <c r="A4270" s="2" t="s">
        <v>3792</v>
      </c>
      <c r="B4270" s="2" t="s">
        <v>3790</v>
      </c>
      <c r="C4270" s="2" t="s">
        <v>3926</v>
      </c>
      <c r="D4270" s="3" t="str">
        <f t="shared" ref="D4270:D4271" si="728">HYPERLINK("https://12go.asia/en/travel/Madaba-Hotel-Transfer/Jerash-Hotel-Transfer", "12Go Link")</f>
        <v>12Go Link</v>
      </c>
      <c r="E4270" s="2" t="s">
        <v>3780</v>
      </c>
    </row>
    <row r="4271">
      <c r="A4271" s="2" t="s">
        <v>3792</v>
      </c>
      <c r="B4271" s="2" t="s">
        <v>3790</v>
      </c>
      <c r="C4271" s="2" t="s">
        <v>3926</v>
      </c>
      <c r="D4271" s="3" t="str">
        <f t="shared" si="728"/>
        <v>12Go Link</v>
      </c>
      <c r="E4271" s="2" t="s">
        <v>1567</v>
      </c>
    </row>
    <row r="4272">
      <c r="A4272" s="2" t="s">
        <v>3792</v>
      </c>
      <c r="B4272" s="2" t="s">
        <v>3794</v>
      </c>
      <c r="C4272" s="2" t="s">
        <v>3927</v>
      </c>
      <c r="D4272" s="3" t="str">
        <f t="shared" ref="D4272:D4273" si="729">HYPERLINK("https://12go.asia/en/travel/Madaba-Hotel-Transfer/Ma-in-Hot-Springs-Transfer", "12Go Link")</f>
        <v>12Go Link</v>
      </c>
      <c r="E4272" s="2" t="s">
        <v>3780</v>
      </c>
    </row>
    <row r="4273">
      <c r="A4273" s="2" t="s">
        <v>3792</v>
      </c>
      <c r="B4273" s="2" t="s">
        <v>3794</v>
      </c>
      <c r="C4273" s="2" t="s">
        <v>3927</v>
      </c>
      <c r="D4273" s="3" t="str">
        <f t="shared" si="729"/>
        <v>12Go Link</v>
      </c>
      <c r="E4273" s="2" t="s">
        <v>1567</v>
      </c>
    </row>
    <row r="4274">
      <c r="A4274" s="2" t="s">
        <v>3792</v>
      </c>
      <c r="B4274" s="2" t="s">
        <v>3796</v>
      </c>
      <c r="C4274" s="2" t="s">
        <v>3928</v>
      </c>
      <c r="D4274" s="3" t="str">
        <f t="shared" ref="D4274:D4275" si="730">HYPERLINK("https://12go.asia/en/travel/Madaba-Hotel-Transfer/Petra-Hotel-Transfer", "12Go Link")</f>
        <v>12Go Link</v>
      </c>
      <c r="E4274" s="2" t="s">
        <v>3780</v>
      </c>
    </row>
    <row r="4275">
      <c r="A4275" s="2" t="s">
        <v>3792</v>
      </c>
      <c r="B4275" s="2" t="s">
        <v>3796</v>
      </c>
      <c r="C4275" s="2" t="s">
        <v>3928</v>
      </c>
      <c r="D4275" s="3" t="str">
        <f t="shared" si="730"/>
        <v>12Go Link</v>
      </c>
      <c r="E4275" s="2" t="s">
        <v>1567</v>
      </c>
    </row>
    <row r="4276">
      <c r="A4276" s="2" t="s">
        <v>3792</v>
      </c>
      <c r="B4276" s="2" t="s">
        <v>3798</v>
      </c>
      <c r="C4276" s="2" t="s">
        <v>3929</v>
      </c>
      <c r="D4276" s="3" t="str">
        <f t="shared" ref="D4276:D4277" si="731">HYPERLINK("https://12go.asia/en/travel/Madaba-Hotel-Transfer/Jordan-River-Crossing", "12Go Link")</f>
        <v>12Go Link</v>
      </c>
      <c r="E4276" s="2" t="s">
        <v>3780</v>
      </c>
    </row>
    <row r="4277">
      <c r="A4277" s="2" t="s">
        <v>3792</v>
      </c>
      <c r="B4277" s="2" t="s">
        <v>3798</v>
      </c>
      <c r="C4277" s="2" t="s">
        <v>3929</v>
      </c>
      <c r="D4277" s="3" t="str">
        <f t="shared" si="731"/>
        <v>12Go Link</v>
      </c>
      <c r="E4277" s="2" t="s">
        <v>1567</v>
      </c>
    </row>
    <row r="4278">
      <c r="A4278" s="2" t="s">
        <v>3792</v>
      </c>
      <c r="B4278" s="2" t="s">
        <v>3800</v>
      </c>
      <c r="C4278" s="2" t="s">
        <v>3930</v>
      </c>
      <c r="D4278" s="3" t="str">
        <f t="shared" ref="D4278:D4279" si="732">HYPERLINK("https://12go.asia/en/travel/Madaba-Hotel-Transfer/Umm-Qais-Hotel-Transfer", "12Go Link")</f>
        <v>12Go Link</v>
      </c>
      <c r="E4278" s="2" t="s">
        <v>3780</v>
      </c>
    </row>
    <row r="4279">
      <c r="A4279" s="2" t="s">
        <v>3792</v>
      </c>
      <c r="B4279" s="2" t="s">
        <v>3800</v>
      </c>
      <c r="C4279" s="2" t="s">
        <v>3930</v>
      </c>
      <c r="D4279" s="3" t="str">
        <f t="shared" si="732"/>
        <v>12Go Link</v>
      </c>
      <c r="E4279" s="2" t="s">
        <v>1567</v>
      </c>
    </row>
    <row r="4280">
      <c r="A4280" s="2" t="s">
        <v>3792</v>
      </c>
      <c r="B4280" s="2" t="s">
        <v>3802</v>
      </c>
      <c r="C4280" s="2" t="s">
        <v>3931</v>
      </c>
      <c r="D4280" s="3" t="str">
        <f t="shared" ref="D4280:D4281" si="733">HYPERLINK("https://12go.asia/en/travel/Madaba-Hotel-Transfer/Wadi-Rum-Hotel-Transfer", "12Go Link")</f>
        <v>12Go Link</v>
      </c>
      <c r="E4280" s="2" t="s">
        <v>3780</v>
      </c>
    </row>
    <row r="4281">
      <c r="A4281" s="2" t="s">
        <v>3792</v>
      </c>
      <c r="B4281" s="2" t="s">
        <v>3802</v>
      </c>
      <c r="C4281" s="2" t="s">
        <v>3931</v>
      </c>
      <c r="D4281" s="3" t="str">
        <f t="shared" si="733"/>
        <v>12Go Link</v>
      </c>
      <c r="E4281" s="2" t="s">
        <v>1567</v>
      </c>
    </row>
    <row r="4282">
      <c r="A4282" s="2" t="s">
        <v>3794</v>
      </c>
      <c r="B4282" s="2" t="s">
        <v>3777</v>
      </c>
      <c r="C4282" s="2" t="s">
        <v>3932</v>
      </c>
      <c r="D4282" s="3" t="str">
        <f t="shared" ref="D4282:D4283" si="734">HYPERLINK("https://12go.asia/en/travel/Ma-in-Hot-Springs-Transfer/Ajloun-Hotel-Transfer", "12Go Link")</f>
        <v>12Go Link</v>
      </c>
      <c r="E4282" s="2" t="s">
        <v>3780</v>
      </c>
    </row>
    <row r="4283">
      <c r="A4283" s="2" t="s">
        <v>3794</v>
      </c>
      <c r="B4283" s="2" t="s">
        <v>3777</v>
      </c>
      <c r="C4283" s="2" t="s">
        <v>3932</v>
      </c>
      <c r="D4283" s="3" t="str">
        <f t="shared" si="734"/>
        <v>12Go Link</v>
      </c>
      <c r="E4283" s="2" t="s">
        <v>1567</v>
      </c>
    </row>
    <row r="4284">
      <c r="A4284" s="2" t="s">
        <v>3794</v>
      </c>
      <c r="B4284" s="2" t="s">
        <v>3778</v>
      </c>
      <c r="C4284" s="2" t="s">
        <v>3933</v>
      </c>
      <c r="D4284" s="3" t="str">
        <f t="shared" ref="D4284:D4285" si="735">HYPERLINK("https://12go.asia/en/travel/Ma-in-Hot-Springs-Transfer/Amman-Airport", "12Go Link")</f>
        <v>12Go Link</v>
      </c>
      <c r="E4284" s="2" t="s">
        <v>3780</v>
      </c>
    </row>
    <row r="4285">
      <c r="A4285" s="2" t="s">
        <v>3794</v>
      </c>
      <c r="B4285" s="2" t="s">
        <v>3778</v>
      </c>
      <c r="C4285" s="2" t="s">
        <v>3933</v>
      </c>
      <c r="D4285" s="3" t="str">
        <f t="shared" si="735"/>
        <v>12Go Link</v>
      </c>
      <c r="E4285" s="2" t="s">
        <v>1567</v>
      </c>
    </row>
    <row r="4286">
      <c r="A4286" s="2" t="s">
        <v>3794</v>
      </c>
      <c r="B4286" s="2" t="s">
        <v>3778</v>
      </c>
      <c r="C4286" s="2" t="s">
        <v>3934</v>
      </c>
      <c r="D4286" s="3" t="str">
        <f t="shared" ref="D4286:D4287" si="736">HYPERLINK("https://12go.asia/en/travel/Ma-in-Hot-Springs-Transfer/Amman-Hotel-Transfer", "12Go Link")</f>
        <v>12Go Link</v>
      </c>
      <c r="E4286" s="2" t="s">
        <v>3780</v>
      </c>
    </row>
    <row r="4287">
      <c r="A4287" s="2" t="s">
        <v>3794</v>
      </c>
      <c r="B4287" s="2" t="s">
        <v>3778</v>
      </c>
      <c r="C4287" s="2" t="s">
        <v>3934</v>
      </c>
      <c r="D4287" s="3" t="str">
        <f t="shared" si="736"/>
        <v>12Go Link</v>
      </c>
      <c r="E4287" s="2" t="s">
        <v>1567</v>
      </c>
    </row>
    <row r="4288">
      <c r="A4288" s="2" t="s">
        <v>3794</v>
      </c>
      <c r="B4288" s="2" t="s">
        <v>3778</v>
      </c>
      <c r="C4288" s="2" t="s">
        <v>3935</v>
      </c>
      <c r="D4288" s="3" t="str">
        <f t="shared" ref="D4288:D4289" si="737">HYPERLINK("https://12go.asia/en/travel/Ma-in-Hot-Springs-Transfer/King-Hussein-Bridge-Border-Crossing-Amman", "12Go Link")</f>
        <v>12Go Link</v>
      </c>
      <c r="E4288" s="2" t="s">
        <v>3780</v>
      </c>
    </row>
    <row r="4289">
      <c r="A4289" s="2" t="s">
        <v>3794</v>
      </c>
      <c r="B4289" s="2" t="s">
        <v>3778</v>
      </c>
      <c r="C4289" s="2" t="s">
        <v>3935</v>
      </c>
      <c r="D4289" s="3" t="str">
        <f t="shared" si="737"/>
        <v>12Go Link</v>
      </c>
      <c r="E4289" s="2" t="s">
        <v>1567</v>
      </c>
    </row>
    <row r="4290">
      <c r="A4290" s="2" t="s">
        <v>3794</v>
      </c>
      <c r="B4290" s="2" t="s">
        <v>3783</v>
      </c>
      <c r="C4290" s="2" t="s">
        <v>3936</v>
      </c>
      <c r="D4290" s="3" t="str">
        <f t="shared" ref="D4290:D4291" si="738">HYPERLINK("https://12go.asia/en/travel/Ma-in-Hot-Springs-Transfer/Aqaba-Hotel-Transfer", "12Go Link")</f>
        <v>12Go Link</v>
      </c>
      <c r="E4290" s="2" t="s">
        <v>3780</v>
      </c>
    </row>
    <row r="4291">
      <c r="A4291" s="2" t="s">
        <v>3794</v>
      </c>
      <c r="B4291" s="2" t="s">
        <v>3783</v>
      </c>
      <c r="C4291" s="2" t="s">
        <v>3936</v>
      </c>
      <c r="D4291" s="3" t="str">
        <f t="shared" si="738"/>
        <v>12Go Link</v>
      </c>
      <c r="E4291" s="2" t="s">
        <v>1567</v>
      </c>
    </row>
    <row r="4292">
      <c r="A4292" s="2" t="s">
        <v>3794</v>
      </c>
      <c r="B4292" s="2" t="s">
        <v>3783</v>
      </c>
      <c r="C4292" s="2" t="s">
        <v>3937</v>
      </c>
      <c r="D4292" s="3" t="str">
        <f t="shared" ref="D4292:D4293" si="739">HYPERLINK("https://12go.asia/en/travel/Ma-in-Hot-Springs-Transfer/Aqaba-Port", "12Go Link")</f>
        <v>12Go Link</v>
      </c>
      <c r="E4292" s="2" t="s">
        <v>3780</v>
      </c>
    </row>
    <row r="4293">
      <c r="A4293" s="2" t="s">
        <v>3794</v>
      </c>
      <c r="B4293" s="2" t="s">
        <v>3783</v>
      </c>
      <c r="C4293" s="2" t="s">
        <v>3937</v>
      </c>
      <c r="D4293" s="3" t="str">
        <f t="shared" si="739"/>
        <v>12Go Link</v>
      </c>
      <c r="E4293" s="2" t="s">
        <v>1567</v>
      </c>
    </row>
    <row r="4294">
      <c r="A4294" s="2" t="s">
        <v>3794</v>
      </c>
      <c r="B4294" s="2" t="s">
        <v>3786</v>
      </c>
      <c r="C4294" s="2" t="s">
        <v>3938</v>
      </c>
      <c r="D4294" s="3" t="str">
        <f t="shared" ref="D4294:D4295" si="740">HYPERLINK("https://12go.asia/en/travel/Ma-in-Hot-Springs-Transfer/Dead-Sea-Hotel-Transfer", "12Go Link")</f>
        <v>12Go Link</v>
      </c>
      <c r="E4294" s="2" t="s">
        <v>3780</v>
      </c>
    </row>
    <row r="4295">
      <c r="A4295" s="2" t="s">
        <v>3794</v>
      </c>
      <c r="B4295" s="2" t="s">
        <v>3786</v>
      </c>
      <c r="C4295" s="2" t="s">
        <v>3938</v>
      </c>
      <c r="D4295" s="3" t="str">
        <f t="shared" si="740"/>
        <v>12Go Link</v>
      </c>
      <c r="E4295" s="2" t="s">
        <v>1567</v>
      </c>
    </row>
    <row r="4296">
      <c r="A4296" s="2" t="s">
        <v>3794</v>
      </c>
      <c r="B4296" s="2" t="s">
        <v>3788</v>
      </c>
      <c r="C4296" s="2" t="s">
        <v>3939</v>
      </c>
      <c r="D4296" s="3" t="str">
        <f t="shared" ref="D4296:D4297" si="741">HYPERLINK("https://12go.asia/en/travel/Ma-in-Hot-Springs-Transfer/Irbid-Hotel-Transfer", "12Go Link")</f>
        <v>12Go Link</v>
      </c>
      <c r="E4296" s="2" t="s">
        <v>3780</v>
      </c>
    </row>
    <row r="4297">
      <c r="A4297" s="2" t="s">
        <v>3794</v>
      </c>
      <c r="B4297" s="2" t="s">
        <v>3788</v>
      </c>
      <c r="C4297" s="2" t="s">
        <v>3939</v>
      </c>
      <c r="D4297" s="3" t="str">
        <f t="shared" si="741"/>
        <v>12Go Link</v>
      </c>
      <c r="E4297" s="2" t="s">
        <v>1567</v>
      </c>
    </row>
    <row r="4298">
      <c r="A4298" s="2" t="s">
        <v>3794</v>
      </c>
      <c r="B4298" s="2" t="s">
        <v>3790</v>
      </c>
      <c r="C4298" s="2" t="s">
        <v>3940</v>
      </c>
      <c r="D4298" s="3" t="str">
        <f t="shared" ref="D4298:D4299" si="742">HYPERLINK("https://12go.asia/en/travel/Ma-in-Hot-Springs-Transfer/Jerash-Hotel-Transfer", "12Go Link")</f>
        <v>12Go Link</v>
      </c>
      <c r="E4298" s="2" t="s">
        <v>3780</v>
      </c>
    </row>
    <row r="4299">
      <c r="A4299" s="2" t="s">
        <v>3794</v>
      </c>
      <c r="B4299" s="2" t="s">
        <v>3790</v>
      </c>
      <c r="C4299" s="2" t="s">
        <v>3940</v>
      </c>
      <c r="D4299" s="3" t="str">
        <f t="shared" si="742"/>
        <v>12Go Link</v>
      </c>
      <c r="E4299" s="2" t="s">
        <v>1567</v>
      </c>
    </row>
    <row r="4300">
      <c r="A4300" s="2" t="s">
        <v>3794</v>
      </c>
      <c r="B4300" s="2" t="s">
        <v>3792</v>
      </c>
      <c r="C4300" s="2" t="s">
        <v>3941</v>
      </c>
      <c r="D4300" s="3" t="str">
        <f t="shared" ref="D4300:D4301" si="743">HYPERLINK("https://12go.asia/en/travel/Ma-in-Hot-Springs-Transfer/Madaba-Hotel-Transfer", "12Go Link")</f>
        <v>12Go Link</v>
      </c>
      <c r="E4300" s="2" t="s">
        <v>3780</v>
      </c>
    </row>
    <row r="4301">
      <c r="A4301" s="2" t="s">
        <v>3794</v>
      </c>
      <c r="B4301" s="2" t="s">
        <v>3792</v>
      </c>
      <c r="C4301" s="2" t="s">
        <v>3941</v>
      </c>
      <c r="D4301" s="3" t="str">
        <f t="shared" si="743"/>
        <v>12Go Link</v>
      </c>
      <c r="E4301" s="2" t="s">
        <v>1567</v>
      </c>
    </row>
    <row r="4302">
      <c r="A4302" s="2" t="s">
        <v>3794</v>
      </c>
      <c r="B4302" s="2" t="s">
        <v>3796</v>
      </c>
      <c r="C4302" s="2" t="s">
        <v>3942</v>
      </c>
      <c r="D4302" s="3" t="str">
        <f t="shared" ref="D4302:D4303" si="744">HYPERLINK("https://12go.asia/en/travel/Ma-in-Hot-Springs-Transfer/Petra-Hotel-Transfer", "12Go Link")</f>
        <v>12Go Link</v>
      </c>
      <c r="E4302" s="2" t="s">
        <v>3780</v>
      </c>
    </row>
    <row r="4303">
      <c r="A4303" s="2" t="s">
        <v>3794</v>
      </c>
      <c r="B4303" s="2" t="s">
        <v>3796</v>
      </c>
      <c r="C4303" s="2" t="s">
        <v>3942</v>
      </c>
      <c r="D4303" s="3" t="str">
        <f t="shared" si="744"/>
        <v>12Go Link</v>
      </c>
      <c r="E4303" s="2" t="s">
        <v>1567</v>
      </c>
    </row>
    <row r="4304">
      <c r="A4304" s="2" t="s">
        <v>3794</v>
      </c>
      <c r="B4304" s="2" t="s">
        <v>3798</v>
      </c>
      <c r="C4304" s="2" t="s">
        <v>3943</v>
      </c>
      <c r="D4304" s="3" t="str">
        <f t="shared" ref="D4304:D4305" si="745">HYPERLINK("https://12go.asia/en/travel/Ma-in-Hot-Springs-Transfer/Jordan-River-Crossing", "12Go Link")</f>
        <v>12Go Link</v>
      </c>
      <c r="E4304" s="2" t="s">
        <v>3780</v>
      </c>
    </row>
    <row r="4305">
      <c r="A4305" s="2" t="s">
        <v>3794</v>
      </c>
      <c r="B4305" s="2" t="s">
        <v>3798</v>
      </c>
      <c r="C4305" s="2" t="s">
        <v>3943</v>
      </c>
      <c r="D4305" s="3" t="str">
        <f t="shared" si="745"/>
        <v>12Go Link</v>
      </c>
      <c r="E4305" s="2" t="s">
        <v>1567</v>
      </c>
    </row>
    <row r="4306">
      <c r="A4306" s="2" t="s">
        <v>3794</v>
      </c>
      <c r="B4306" s="2" t="s">
        <v>3800</v>
      </c>
      <c r="C4306" s="2" t="s">
        <v>3944</v>
      </c>
      <c r="D4306" s="3" t="str">
        <f t="shared" ref="D4306:D4307" si="746">HYPERLINK("https://12go.asia/en/travel/Ma-in-Hot-Springs-Transfer/Umm-Qais-Hotel-Transfer", "12Go Link")</f>
        <v>12Go Link</v>
      </c>
      <c r="E4306" s="2" t="s">
        <v>3780</v>
      </c>
    </row>
    <row r="4307">
      <c r="A4307" s="2" t="s">
        <v>3794</v>
      </c>
      <c r="B4307" s="2" t="s">
        <v>3800</v>
      </c>
      <c r="C4307" s="2" t="s">
        <v>3944</v>
      </c>
      <c r="D4307" s="3" t="str">
        <f t="shared" si="746"/>
        <v>12Go Link</v>
      </c>
      <c r="E4307" s="2" t="s">
        <v>1567</v>
      </c>
    </row>
    <row r="4308">
      <c r="A4308" s="2" t="s">
        <v>3794</v>
      </c>
      <c r="B4308" s="2" t="s">
        <v>3802</v>
      </c>
      <c r="C4308" s="2" t="s">
        <v>3945</v>
      </c>
      <c r="D4308" s="3" t="str">
        <f t="shared" ref="D4308:D4309" si="747">HYPERLINK("https://12go.asia/en/travel/Ma-in-Hot-Springs-Transfer/Wadi-Rum-Hotel-Transfer", "12Go Link")</f>
        <v>12Go Link</v>
      </c>
      <c r="E4308" s="2" t="s">
        <v>3780</v>
      </c>
    </row>
    <row r="4309">
      <c r="A4309" s="2" t="s">
        <v>3794</v>
      </c>
      <c r="B4309" s="2" t="s">
        <v>3802</v>
      </c>
      <c r="C4309" s="2" t="s">
        <v>3945</v>
      </c>
      <c r="D4309" s="3" t="str">
        <f t="shared" si="747"/>
        <v>12Go Link</v>
      </c>
      <c r="E4309" s="2" t="s">
        <v>1567</v>
      </c>
    </row>
    <row r="4310">
      <c r="A4310" s="2" t="s">
        <v>3796</v>
      </c>
      <c r="B4310" s="2" t="s">
        <v>3777</v>
      </c>
      <c r="C4310" s="2" t="s">
        <v>3946</v>
      </c>
      <c r="D4310" s="3" t="str">
        <f t="shared" ref="D4310:D4312" si="748">HYPERLINK("https://12go.asia/en/travel/Petra-Hotel-Transfer/Ajloun-Hotel-Transfer", "12Go Link")</f>
        <v>12Go Link</v>
      </c>
      <c r="E4310" s="2" t="s">
        <v>3780</v>
      </c>
    </row>
    <row r="4311">
      <c r="A4311" s="2" t="s">
        <v>3796</v>
      </c>
      <c r="B4311" s="2" t="s">
        <v>3777</v>
      </c>
      <c r="C4311" s="2" t="s">
        <v>3946</v>
      </c>
      <c r="D4311" s="3" t="str">
        <f t="shared" si="748"/>
        <v>12Go Link</v>
      </c>
      <c r="E4311" s="2" t="s">
        <v>1567</v>
      </c>
    </row>
    <row r="4312">
      <c r="A4312" s="2" t="s">
        <v>3796</v>
      </c>
      <c r="B4312" s="2" t="s">
        <v>3777</v>
      </c>
      <c r="C4312" s="2" t="s">
        <v>3946</v>
      </c>
      <c r="D4312" s="3" t="str">
        <f t="shared" si="748"/>
        <v>12Go Link</v>
      </c>
      <c r="E4312" s="2" t="s">
        <v>3805</v>
      </c>
    </row>
    <row r="4313">
      <c r="A4313" s="2" t="s">
        <v>3796</v>
      </c>
      <c r="B4313" s="2" t="s">
        <v>3778</v>
      </c>
      <c r="C4313" s="2" t="s">
        <v>3947</v>
      </c>
      <c r="D4313" s="3" t="str">
        <f t="shared" ref="D4313:D4315" si="749">HYPERLINK("https://12go.asia/en/travel/Petra-Hotel-Transfer/Amman-Airport", "12Go Link")</f>
        <v>12Go Link</v>
      </c>
      <c r="E4313" s="2" t="s">
        <v>3780</v>
      </c>
    </row>
    <row r="4314">
      <c r="A4314" s="2" t="s">
        <v>3796</v>
      </c>
      <c r="B4314" s="2" t="s">
        <v>3778</v>
      </c>
      <c r="C4314" s="2" t="s">
        <v>3947</v>
      </c>
      <c r="D4314" s="3" t="str">
        <f t="shared" si="749"/>
        <v>12Go Link</v>
      </c>
      <c r="E4314" s="2" t="s">
        <v>1567</v>
      </c>
    </row>
    <row r="4315">
      <c r="A4315" s="2" t="s">
        <v>3796</v>
      </c>
      <c r="B4315" s="2" t="s">
        <v>3778</v>
      </c>
      <c r="C4315" s="2" t="s">
        <v>3947</v>
      </c>
      <c r="D4315" s="3" t="str">
        <f t="shared" si="749"/>
        <v>12Go Link</v>
      </c>
      <c r="E4315" s="2" t="s">
        <v>3805</v>
      </c>
    </row>
    <row r="4316">
      <c r="A4316" s="2" t="s">
        <v>3796</v>
      </c>
      <c r="B4316" s="2" t="s">
        <v>3778</v>
      </c>
      <c r="C4316" s="2" t="s">
        <v>3948</v>
      </c>
      <c r="D4316" s="3" t="str">
        <f t="shared" ref="D4316:D4318" si="750">HYPERLINK("https://12go.asia/en/travel/Petra-Hotel-Transfer/Amman-Hotel-Transfer", "12Go Link")</f>
        <v>12Go Link</v>
      </c>
      <c r="E4316" s="2" t="s">
        <v>3780</v>
      </c>
    </row>
    <row r="4317">
      <c r="A4317" s="2" t="s">
        <v>3796</v>
      </c>
      <c r="B4317" s="2" t="s">
        <v>3778</v>
      </c>
      <c r="C4317" s="2" t="s">
        <v>3948</v>
      </c>
      <c r="D4317" s="3" t="str">
        <f t="shared" si="750"/>
        <v>12Go Link</v>
      </c>
      <c r="E4317" s="2" t="s">
        <v>1567</v>
      </c>
    </row>
    <row r="4318">
      <c r="A4318" s="2" t="s">
        <v>3796</v>
      </c>
      <c r="B4318" s="2" t="s">
        <v>3778</v>
      </c>
      <c r="C4318" s="2" t="s">
        <v>3948</v>
      </c>
      <c r="D4318" s="3" t="str">
        <f t="shared" si="750"/>
        <v>12Go Link</v>
      </c>
      <c r="E4318" s="2" t="s">
        <v>3805</v>
      </c>
    </row>
    <row r="4319">
      <c r="A4319" s="2" t="s">
        <v>3796</v>
      </c>
      <c r="B4319" s="2" t="s">
        <v>3778</v>
      </c>
      <c r="C4319" s="2" t="s">
        <v>3949</v>
      </c>
      <c r="D4319" s="3" t="str">
        <f t="shared" ref="D4319:D4321" si="751">HYPERLINK("https://12go.asia/en/travel/Petra-Hotel-Transfer/King-Hussein-Bridge-Border-Crossing-Amman", "12Go Link")</f>
        <v>12Go Link</v>
      </c>
      <c r="E4319" s="2" t="s">
        <v>3780</v>
      </c>
    </row>
    <row r="4320">
      <c r="A4320" s="2" t="s">
        <v>3796</v>
      </c>
      <c r="B4320" s="2" t="s">
        <v>3778</v>
      </c>
      <c r="C4320" s="2" t="s">
        <v>3949</v>
      </c>
      <c r="D4320" s="3" t="str">
        <f t="shared" si="751"/>
        <v>12Go Link</v>
      </c>
      <c r="E4320" s="2" t="s">
        <v>1567</v>
      </c>
    </row>
    <row r="4321">
      <c r="A4321" s="2" t="s">
        <v>3796</v>
      </c>
      <c r="B4321" s="2" t="s">
        <v>3778</v>
      </c>
      <c r="C4321" s="2" t="s">
        <v>3949</v>
      </c>
      <c r="D4321" s="3" t="str">
        <f t="shared" si="751"/>
        <v>12Go Link</v>
      </c>
      <c r="E4321" s="2" t="s">
        <v>3805</v>
      </c>
    </row>
    <row r="4322">
      <c r="A4322" s="2" t="s">
        <v>3796</v>
      </c>
      <c r="B4322" s="2" t="s">
        <v>3783</v>
      </c>
      <c r="C4322" s="2" t="s">
        <v>3950</v>
      </c>
      <c r="D4322" s="3" t="str">
        <f t="shared" ref="D4322:D4324" si="752">HYPERLINK("https://12go.asia/en/travel/Petra-Hotel-Transfer/Aqaba-Hotel-Transfer", "12Go Link")</f>
        <v>12Go Link</v>
      </c>
      <c r="E4322" s="2" t="s">
        <v>3780</v>
      </c>
    </row>
    <row r="4323">
      <c r="A4323" s="2" t="s">
        <v>3796</v>
      </c>
      <c r="B4323" s="2" t="s">
        <v>3783</v>
      </c>
      <c r="C4323" s="2" t="s">
        <v>3950</v>
      </c>
      <c r="D4323" s="3" t="str">
        <f t="shared" si="752"/>
        <v>12Go Link</v>
      </c>
      <c r="E4323" s="2" t="s">
        <v>1567</v>
      </c>
    </row>
    <row r="4324">
      <c r="A4324" s="2" t="s">
        <v>3796</v>
      </c>
      <c r="B4324" s="2" t="s">
        <v>3783</v>
      </c>
      <c r="C4324" s="2" t="s">
        <v>3950</v>
      </c>
      <c r="D4324" s="3" t="str">
        <f t="shared" si="752"/>
        <v>12Go Link</v>
      </c>
      <c r="E4324" s="2" t="s">
        <v>3805</v>
      </c>
    </row>
    <row r="4325">
      <c r="A4325" s="2" t="s">
        <v>3796</v>
      </c>
      <c r="B4325" s="2" t="s">
        <v>3783</v>
      </c>
      <c r="C4325" s="2" t="s">
        <v>3951</v>
      </c>
      <c r="D4325" s="3" t="str">
        <f t="shared" ref="D4325:D4327" si="753">HYPERLINK("https://12go.asia/en/travel/Petra-Hotel-Transfer/Aqaba-Port", "12Go Link")</f>
        <v>12Go Link</v>
      </c>
      <c r="E4325" s="2" t="s">
        <v>3780</v>
      </c>
    </row>
    <row r="4326">
      <c r="A4326" s="2" t="s">
        <v>3796</v>
      </c>
      <c r="B4326" s="2" t="s">
        <v>3783</v>
      </c>
      <c r="C4326" s="2" t="s">
        <v>3951</v>
      </c>
      <c r="D4326" s="3" t="str">
        <f t="shared" si="753"/>
        <v>12Go Link</v>
      </c>
      <c r="E4326" s="2" t="s">
        <v>1567</v>
      </c>
    </row>
    <row r="4327">
      <c r="A4327" s="2" t="s">
        <v>3796</v>
      </c>
      <c r="B4327" s="2" t="s">
        <v>3783</v>
      </c>
      <c r="C4327" s="2" t="s">
        <v>3951</v>
      </c>
      <c r="D4327" s="3" t="str">
        <f t="shared" si="753"/>
        <v>12Go Link</v>
      </c>
      <c r="E4327" s="2" t="s">
        <v>3805</v>
      </c>
    </row>
    <row r="4328">
      <c r="A4328" s="2" t="s">
        <v>3796</v>
      </c>
      <c r="B4328" s="2" t="s">
        <v>3786</v>
      </c>
      <c r="C4328" s="2" t="s">
        <v>3952</v>
      </c>
      <c r="D4328" s="3" t="str">
        <f t="shared" ref="D4328:D4330" si="754">HYPERLINK("https://12go.asia/en/travel/Petra-Hotel-Transfer/Dead-Sea-Hotel-Transfer", "12Go Link")</f>
        <v>12Go Link</v>
      </c>
      <c r="E4328" s="2" t="s">
        <v>3780</v>
      </c>
    </row>
    <row r="4329">
      <c r="A4329" s="2" t="s">
        <v>3796</v>
      </c>
      <c r="B4329" s="2" t="s">
        <v>3786</v>
      </c>
      <c r="C4329" s="2" t="s">
        <v>3952</v>
      </c>
      <c r="D4329" s="3" t="str">
        <f t="shared" si="754"/>
        <v>12Go Link</v>
      </c>
      <c r="E4329" s="2" t="s">
        <v>1567</v>
      </c>
    </row>
    <row r="4330">
      <c r="A4330" s="2" t="s">
        <v>3796</v>
      </c>
      <c r="B4330" s="2" t="s">
        <v>3786</v>
      </c>
      <c r="C4330" s="2" t="s">
        <v>3952</v>
      </c>
      <c r="D4330" s="3" t="str">
        <f t="shared" si="754"/>
        <v>12Go Link</v>
      </c>
      <c r="E4330" s="2" t="s">
        <v>3805</v>
      </c>
    </row>
    <row r="4331">
      <c r="A4331" s="2" t="s">
        <v>3796</v>
      </c>
      <c r="B4331" s="2" t="s">
        <v>3788</v>
      </c>
      <c r="C4331" s="2" t="s">
        <v>3953</v>
      </c>
      <c r="D4331" s="3" t="str">
        <f t="shared" ref="D4331:D4333" si="755">HYPERLINK("https://12go.asia/en/travel/Petra-Hotel-Transfer/Irbid-Hotel-Transfer", "12Go Link")</f>
        <v>12Go Link</v>
      </c>
      <c r="E4331" s="2" t="s">
        <v>3780</v>
      </c>
    </row>
    <row r="4332">
      <c r="A4332" s="2" t="s">
        <v>3796</v>
      </c>
      <c r="B4332" s="2" t="s">
        <v>3788</v>
      </c>
      <c r="C4332" s="2" t="s">
        <v>3953</v>
      </c>
      <c r="D4332" s="3" t="str">
        <f t="shared" si="755"/>
        <v>12Go Link</v>
      </c>
      <c r="E4332" s="2" t="s">
        <v>1567</v>
      </c>
    </row>
    <row r="4333">
      <c r="A4333" s="2" t="s">
        <v>3796</v>
      </c>
      <c r="B4333" s="2" t="s">
        <v>3788</v>
      </c>
      <c r="C4333" s="2" t="s">
        <v>3953</v>
      </c>
      <c r="D4333" s="3" t="str">
        <f t="shared" si="755"/>
        <v>12Go Link</v>
      </c>
      <c r="E4333" s="2" t="s">
        <v>3805</v>
      </c>
    </row>
    <row r="4334">
      <c r="A4334" s="2" t="s">
        <v>3796</v>
      </c>
      <c r="B4334" s="2" t="s">
        <v>3790</v>
      </c>
      <c r="C4334" s="2" t="s">
        <v>3954</v>
      </c>
      <c r="D4334" s="3" t="str">
        <f t="shared" ref="D4334:D4336" si="756">HYPERLINK("https://12go.asia/en/travel/Petra-Hotel-Transfer/Jerash-Hotel-Transfer", "12Go Link")</f>
        <v>12Go Link</v>
      </c>
      <c r="E4334" s="2" t="s">
        <v>3780</v>
      </c>
    </row>
    <row r="4335">
      <c r="A4335" s="2" t="s">
        <v>3796</v>
      </c>
      <c r="B4335" s="2" t="s">
        <v>3790</v>
      </c>
      <c r="C4335" s="2" t="s">
        <v>3954</v>
      </c>
      <c r="D4335" s="3" t="str">
        <f t="shared" si="756"/>
        <v>12Go Link</v>
      </c>
      <c r="E4335" s="2" t="s">
        <v>1567</v>
      </c>
    </row>
    <row r="4336">
      <c r="A4336" s="2" t="s">
        <v>3796</v>
      </c>
      <c r="B4336" s="2" t="s">
        <v>3790</v>
      </c>
      <c r="C4336" s="2" t="s">
        <v>3954</v>
      </c>
      <c r="D4336" s="3" t="str">
        <f t="shared" si="756"/>
        <v>12Go Link</v>
      </c>
      <c r="E4336" s="2" t="s">
        <v>3805</v>
      </c>
    </row>
    <row r="4337">
      <c r="A4337" s="2" t="s">
        <v>3796</v>
      </c>
      <c r="B4337" s="2" t="s">
        <v>3792</v>
      </c>
      <c r="C4337" s="2" t="s">
        <v>3955</v>
      </c>
      <c r="D4337" s="3" t="str">
        <f t="shared" ref="D4337:D4339" si="757">HYPERLINK("https://12go.asia/en/travel/Petra-Hotel-Transfer/Madaba-Hotel-Transfer", "12Go Link")</f>
        <v>12Go Link</v>
      </c>
      <c r="E4337" s="2" t="s">
        <v>3780</v>
      </c>
    </row>
    <row r="4338">
      <c r="A4338" s="2" t="s">
        <v>3796</v>
      </c>
      <c r="B4338" s="2" t="s">
        <v>3792</v>
      </c>
      <c r="C4338" s="2" t="s">
        <v>3955</v>
      </c>
      <c r="D4338" s="3" t="str">
        <f t="shared" si="757"/>
        <v>12Go Link</v>
      </c>
      <c r="E4338" s="2" t="s">
        <v>1567</v>
      </c>
    </row>
    <row r="4339">
      <c r="A4339" s="2" t="s">
        <v>3796</v>
      </c>
      <c r="B4339" s="2" t="s">
        <v>3792</v>
      </c>
      <c r="C4339" s="2" t="s">
        <v>3955</v>
      </c>
      <c r="D4339" s="3" t="str">
        <f t="shared" si="757"/>
        <v>12Go Link</v>
      </c>
      <c r="E4339" s="2" t="s">
        <v>3805</v>
      </c>
    </row>
    <row r="4340">
      <c r="A4340" s="2" t="s">
        <v>3796</v>
      </c>
      <c r="B4340" s="2" t="s">
        <v>3794</v>
      </c>
      <c r="C4340" s="2" t="s">
        <v>3956</v>
      </c>
      <c r="D4340" s="3" t="str">
        <f t="shared" ref="D4340:D4342" si="758">HYPERLINK("https://12go.asia/en/travel/Petra-Hotel-Transfer/Ma-in-Hot-Springs-Transfer", "12Go Link")</f>
        <v>12Go Link</v>
      </c>
      <c r="E4340" s="2" t="s">
        <v>3780</v>
      </c>
    </row>
    <row r="4341">
      <c r="A4341" s="2" t="s">
        <v>3796</v>
      </c>
      <c r="B4341" s="2" t="s">
        <v>3794</v>
      </c>
      <c r="C4341" s="2" t="s">
        <v>3956</v>
      </c>
      <c r="D4341" s="3" t="str">
        <f t="shared" si="758"/>
        <v>12Go Link</v>
      </c>
      <c r="E4341" s="2" t="s">
        <v>1567</v>
      </c>
    </row>
    <row r="4342">
      <c r="A4342" s="2" t="s">
        <v>3796</v>
      </c>
      <c r="B4342" s="2" t="s">
        <v>3794</v>
      </c>
      <c r="C4342" s="2" t="s">
        <v>3956</v>
      </c>
      <c r="D4342" s="3" t="str">
        <f t="shared" si="758"/>
        <v>12Go Link</v>
      </c>
      <c r="E4342" s="2" t="s">
        <v>3805</v>
      </c>
    </row>
    <row r="4343">
      <c r="A4343" s="2" t="s">
        <v>3796</v>
      </c>
      <c r="B4343" s="2" t="s">
        <v>3798</v>
      </c>
      <c r="C4343" s="2" t="s">
        <v>3957</v>
      </c>
      <c r="D4343" s="3" t="str">
        <f t="shared" ref="D4343:D4345" si="759">HYPERLINK("https://12go.asia/en/travel/Petra-Hotel-Transfer/Jordan-River-Crossing", "12Go Link")</f>
        <v>12Go Link</v>
      </c>
      <c r="E4343" s="2" t="s">
        <v>3780</v>
      </c>
    </row>
    <row r="4344">
      <c r="A4344" s="2" t="s">
        <v>3796</v>
      </c>
      <c r="B4344" s="2" t="s">
        <v>3798</v>
      </c>
      <c r="C4344" s="2" t="s">
        <v>3957</v>
      </c>
      <c r="D4344" s="3" t="str">
        <f t="shared" si="759"/>
        <v>12Go Link</v>
      </c>
      <c r="E4344" s="2" t="s">
        <v>1567</v>
      </c>
    </row>
    <row r="4345">
      <c r="A4345" s="2" t="s">
        <v>3796</v>
      </c>
      <c r="B4345" s="2" t="s">
        <v>3798</v>
      </c>
      <c r="C4345" s="2" t="s">
        <v>3957</v>
      </c>
      <c r="D4345" s="3" t="str">
        <f t="shared" si="759"/>
        <v>12Go Link</v>
      </c>
      <c r="E4345" s="2" t="s">
        <v>3805</v>
      </c>
    </row>
    <row r="4346">
      <c r="A4346" s="2" t="s">
        <v>3796</v>
      </c>
      <c r="B4346" s="2" t="s">
        <v>3800</v>
      </c>
      <c r="C4346" s="2" t="s">
        <v>3958</v>
      </c>
      <c r="D4346" s="3" t="str">
        <f t="shared" ref="D4346:D4348" si="760">HYPERLINK("https://12go.asia/en/travel/Petra-Hotel-Transfer/Umm-Qais-Hotel-Transfer", "12Go Link")</f>
        <v>12Go Link</v>
      </c>
      <c r="E4346" s="2" t="s">
        <v>3780</v>
      </c>
    </row>
    <row r="4347">
      <c r="A4347" s="2" t="s">
        <v>3796</v>
      </c>
      <c r="B4347" s="2" t="s">
        <v>3800</v>
      </c>
      <c r="C4347" s="2" t="s">
        <v>3958</v>
      </c>
      <c r="D4347" s="3" t="str">
        <f t="shared" si="760"/>
        <v>12Go Link</v>
      </c>
      <c r="E4347" s="2" t="s">
        <v>1567</v>
      </c>
    </row>
    <row r="4348">
      <c r="A4348" s="2" t="s">
        <v>3796</v>
      </c>
      <c r="B4348" s="2" t="s">
        <v>3800</v>
      </c>
      <c r="C4348" s="2" t="s">
        <v>3958</v>
      </c>
      <c r="D4348" s="3" t="str">
        <f t="shared" si="760"/>
        <v>12Go Link</v>
      </c>
      <c r="E4348" s="2" t="s">
        <v>3805</v>
      </c>
    </row>
    <row r="4349">
      <c r="A4349" s="2" t="s">
        <v>3796</v>
      </c>
      <c r="B4349" s="2" t="s">
        <v>3802</v>
      </c>
      <c r="C4349" s="2" t="s">
        <v>3959</v>
      </c>
      <c r="D4349" s="3" t="str">
        <f t="shared" ref="D4349:D4351" si="761">HYPERLINK("https://12go.asia/en/travel/Petra-Hotel-Transfer/Wadi-Rum-Hotel-Transfer", "12Go Link")</f>
        <v>12Go Link</v>
      </c>
      <c r="E4349" s="2" t="s">
        <v>3780</v>
      </c>
    </row>
    <row r="4350">
      <c r="A4350" s="2" t="s">
        <v>3796</v>
      </c>
      <c r="B4350" s="2" t="s">
        <v>3802</v>
      </c>
      <c r="C4350" s="2" t="s">
        <v>3959</v>
      </c>
      <c r="D4350" s="3" t="str">
        <f t="shared" si="761"/>
        <v>12Go Link</v>
      </c>
      <c r="E4350" s="2" t="s">
        <v>1567</v>
      </c>
    </row>
    <row r="4351">
      <c r="A4351" s="2" t="s">
        <v>3796</v>
      </c>
      <c r="B4351" s="2" t="s">
        <v>3802</v>
      </c>
      <c r="C4351" s="2" t="s">
        <v>3959</v>
      </c>
      <c r="D4351" s="3" t="str">
        <f t="shared" si="761"/>
        <v>12Go Link</v>
      </c>
      <c r="E4351" s="2" t="s">
        <v>3805</v>
      </c>
    </row>
    <row r="4352">
      <c r="A4352" s="2" t="s">
        <v>3798</v>
      </c>
      <c r="B4352" s="2" t="s">
        <v>3777</v>
      </c>
      <c r="C4352" s="2" t="s">
        <v>3960</v>
      </c>
      <c r="D4352" s="3" t="str">
        <f t="shared" ref="D4352:D4355" si="762">HYPERLINK("https://12go.asia/en/travel/Jordan-River-Crossing/Ajloun-Hotel-Transfer", "12Go Link")</f>
        <v>12Go Link</v>
      </c>
      <c r="E4352" s="2" t="s">
        <v>3780</v>
      </c>
    </row>
    <row r="4353">
      <c r="A4353" s="2" t="s">
        <v>3798</v>
      </c>
      <c r="B4353" s="2" t="s">
        <v>3777</v>
      </c>
      <c r="C4353" s="2" t="s">
        <v>3960</v>
      </c>
      <c r="D4353" s="3" t="str">
        <f t="shared" si="762"/>
        <v>12Go Link</v>
      </c>
      <c r="E4353" s="2" t="s">
        <v>1567</v>
      </c>
    </row>
    <row r="4354">
      <c r="A4354" s="2" t="s">
        <v>3798</v>
      </c>
      <c r="B4354" s="2" t="s">
        <v>3777</v>
      </c>
      <c r="C4354" s="2" t="s">
        <v>3960</v>
      </c>
      <c r="D4354" s="3" t="str">
        <f t="shared" si="762"/>
        <v>12Go Link</v>
      </c>
      <c r="E4354" s="2" t="s">
        <v>3407</v>
      </c>
    </row>
    <row r="4355">
      <c r="A4355" s="2" t="s">
        <v>3798</v>
      </c>
      <c r="B4355" s="2" t="s">
        <v>3777</v>
      </c>
      <c r="C4355" s="2" t="s">
        <v>3960</v>
      </c>
      <c r="D4355" s="3" t="str">
        <f t="shared" si="762"/>
        <v>12Go Link</v>
      </c>
      <c r="E4355" s="2" t="s">
        <v>3805</v>
      </c>
    </row>
    <row r="4356">
      <c r="A4356" s="2" t="s">
        <v>3798</v>
      </c>
      <c r="B4356" s="2" t="s">
        <v>3778</v>
      </c>
      <c r="C4356" s="2" t="s">
        <v>3961</v>
      </c>
      <c r="D4356" s="3" t="str">
        <f t="shared" ref="D4356:D4359" si="763">HYPERLINK("https://12go.asia/en/travel/Jordan-River-Crossing/Amman-Airport", "12Go Link")</f>
        <v>12Go Link</v>
      </c>
      <c r="E4356" s="2" t="s">
        <v>3780</v>
      </c>
    </row>
    <row r="4357">
      <c r="A4357" s="2" t="s">
        <v>3798</v>
      </c>
      <c r="B4357" s="2" t="s">
        <v>3778</v>
      </c>
      <c r="C4357" s="2" t="s">
        <v>3961</v>
      </c>
      <c r="D4357" s="3" t="str">
        <f t="shared" si="763"/>
        <v>12Go Link</v>
      </c>
      <c r="E4357" s="2" t="s">
        <v>1567</v>
      </c>
    </row>
    <row r="4358">
      <c r="A4358" s="2" t="s">
        <v>3798</v>
      </c>
      <c r="B4358" s="2" t="s">
        <v>3778</v>
      </c>
      <c r="C4358" s="2" t="s">
        <v>3961</v>
      </c>
      <c r="D4358" s="3" t="str">
        <f t="shared" si="763"/>
        <v>12Go Link</v>
      </c>
      <c r="E4358" s="2" t="s">
        <v>3407</v>
      </c>
    </row>
    <row r="4359">
      <c r="A4359" s="2" t="s">
        <v>3798</v>
      </c>
      <c r="B4359" s="2" t="s">
        <v>3778</v>
      </c>
      <c r="C4359" s="2" t="s">
        <v>3961</v>
      </c>
      <c r="D4359" s="3" t="str">
        <f t="shared" si="763"/>
        <v>12Go Link</v>
      </c>
      <c r="E4359" s="2" t="s">
        <v>3805</v>
      </c>
    </row>
    <row r="4360">
      <c r="A4360" s="2" t="s">
        <v>3798</v>
      </c>
      <c r="B4360" s="2" t="s">
        <v>3778</v>
      </c>
      <c r="C4360" s="2" t="s">
        <v>3962</v>
      </c>
      <c r="D4360" s="3" t="str">
        <f t="shared" ref="D4360:D4363" si="764">HYPERLINK("https://12go.asia/en/travel/Jordan-River-Crossing/Amman-Hotel-Transfer", "12Go Link")</f>
        <v>12Go Link</v>
      </c>
      <c r="E4360" s="2" t="s">
        <v>3780</v>
      </c>
    </row>
    <row r="4361">
      <c r="A4361" s="2" t="s">
        <v>3798</v>
      </c>
      <c r="B4361" s="2" t="s">
        <v>3778</v>
      </c>
      <c r="C4361" s="2" t="s">
        <v>3962</v>
      </c>
      <c r="D4361" s="3" t="str">
        <f t="shared" si="764"/>
        <v>12Go Link</v>
      </c>
      <c r="E4361" s="2" t="s">
        <v>1567</v>
      </c>
    </row>
    <row r="4362">
      <c r="A4362" s="2" t="s">
        <v>3798</v>
      </c>
      <c r="B4362" s="2" t="s">
        <v>3778</v>
      </c>
      <c r="C4362" s="2" t="s">
        <v>3962</v>
      </c>
      <c r="D4362" s="3" t="str">
        <f t="shared" si="764"/>
        <v>12Go Link</v>
      </c>
      <c r="E4362" s="2" t="s">
        <v>3407</v>
      </c>
    </row>
    <row r="4363">
      <c r="A4363" s="2" t="s">
        <v>3798</v>
      </c>
      <c r="B4363" s="2" t="s">
        <v>3778</v>
      </c>
      <c r="C4363" s="2" t="s">
        <v>3962</v>
      </c>
      <c r="D4363" s="3" t="str">
        <f t="shared" si="764"/>
        <v>12Go Link</v>
      </c>
      <c r="E4363" s="2" t="s">
        <v>3805</v>
      </c>
    </row>
    <row r="4364">
      <c r="A4364" s="2" t="s">
        <v>3798</v>
      </c>
      <c r="B4364" s="2" t="s">
        <v>3778</v>
      </c>
      <c r="C4364" s="2" t="s">
        <v>3963</v>
      </c>
      <c r="D4364" s="3" t="str">
        <f t="shared" ref="D4364:D4367" si="765">HYPERLINK("https://12go.asia/en/travel/Jordan-River-Crossing/King-Hussein-Bridge-Border-Crossing-Amman", "12Go Link")</f>
        <v>12Go Link</v>
      </c>
      <c r="E4364" s="2" t="s">
        <v>3780</v>
      </c>
    </row>
    <row r="4365">
      <c r="A4365" s="2" t="s">
        <v>3798</v>
      </c>
      <c r="B4365" s="2" t="s">
        <v>3778</v>
      </c>
      <c r="C4365" s="2" t="s">
        <v>3963</v>
      </c>
      <c r="D4365" s="3" t="str">
        <f t="shared" si="765"/>
        <v>12Go Link</v>
      </c>
      <c r="E4365" s="2" t="s">
        <v>1567</v>
      </c>
    </row>
    <row r="4366">
      <c r="A4366" s="2" t="s">
        <v>3798</v>
      </c>
      <c r="B4366" s="2" t="s">
        <v>3778</v>
      </c>
      <c r="C4366" s="2" t="s">
        <v>3963</v>
      </c>
      <c r="D4366" s="3" t="str">
        <f t="shared" si="765"/>
        <v>12Go Link</v>
      </c>
      <c r="E4366" s="2" t="s">
        <v>3407</v>
      </c>
    </row>
    <row r="4367">
      <c r="A4367" s="2" t="s">
        <v>3798</v>
      </c>
      <c r="B4367" s="2" t="s">
        <v>3778</v>
      </c>
      <c r="C4367" s="2" t="s">
        <v>3963</v>
      </c>
      <c r="D4367" s="3" t="str">
        <f t="shared" si="765"/>
        <v>12Go Link</v>
      </c>
      <c r="E4367" s="2" t="s">
        <v>3805</v>
      </c>
    </row>
    <row r="4368">
      <c r="A4368" s="2" t="s">
        <v>3798</v>
      </c>
      <c r="B4368" s="2" t="s">
        <v>3783</v>
      </c>
      <c r="C4368" s="2" t="s">
        <v>3964</v>
      </c>
      <c r="D4368" s="3" t="str">
        <f t="shared" ref="D4368:D4371" si="766">HYPERLINK("https://12go.asia/en/travel/Jordan-River-Crossing/Aqaba-Hotel-Transfer", "12Go Link")</f>
        <v>12Go Link</v>
      </c>
      <c r="E4368" s="2" t="s">
        <v>3780</v>
      </c>
    </row>
    <row r="4369">
      <c r="A4369" s="2" t="s">
        <v>3798</v>
      </c>
      <c r="B4369" s="2" t="s">
        <v>3783</v>
      </c>
      <c r="C4369" s="2" t="s">
        <v>3964</v>
      </c>
      <c r="D4369" s="3" t="str">
        <f t="shared" si="766"/>
        <v>12Go Link</v>
      </c>
      <c r="E4369" s="2" t="s">
        <v>1567</v>
      </c>
    </row>
    <row r="4370">
      <c r="A4370" s="2" t="s">
        <v>3798</v>
      </c>
      <c r="B4370" s="2" t="s">
        <v>3783</v>
      </c>
      <c r="C4370" s="2" t="s">
        <v>3964</v>
      </c>
      <c r="D4370" s="3" t="str">
        <f t="shared" si="766"/>
        <v>12Go Link</v>
      </c>
      <c r="E4370" s="2" t="s">
        <v>3407</v>
      </c>
    </row>
    <row r="4371">
      <c r="A4371" s="2" t="s">
        <v>3798</v>
      </c>
      <c r="B4371" s="2" t="s">
        <v>3783</v>
      </c>
      <c r="C4371" s="2" t="s">
        <v>3964</v>
      </c>
      <c r="D4371" s="3" t="str">
        <f t="shared" si="766"/>
        <v>12Go Link</v>
      </c>
      <c r="E4371" s="2" t="s">
        <v>3805</v>
      </c>
    </row>
    <row r="4372">
      <c r="A4372" s="2" t="s">
        <v>3798</v>
      </c>
      <c r="B4372" s="2" t="s">
        <v>3783</v>
      </c>
      <c r="C4372" s="2" t="s">
        <v>3965</v>
      </c>
      <c r="D4372" s="3" t="str">
        <f t="shared" ref="D4372:D4375" si="767">HYPERLINK("https://12go.asia/en/travel/Jordan-River-Crossing/Aqaba-Port", "12Go Link")</f>
        <v>12Go Link</v>
      </c>
      <c r="E4372" s="2" t="s">
        <v>3780</v>
      </c>
    </row>
    <row r="4373">
      <c r="A4373" s="2" t="s">
        <v>3798</v>
      </c>
      <c r="B4373" s="2" t="s">
        <v>3783</v>
      </c>
      <c r="C4373" s="2" t="s">
        <v>3965</v>
      </c>
      <c r="D4373" s="3" t="str">
        <f t="shared" si="767"/>
        <v>12Go Link</v>
      </c>
      <c r="E4373" s="2" t="s">
        <v>1567</v>
      </c>
    </row>
    <row r="4374">
      <c r="A4374" s="2" t="s">
        <v>3798</v>
      </c>
      <c r="B4374" s="2" t="s">
        <v>3783</v>
      </c>
      <c r="C4374" s="2" t="s">
        <v>3965</v>
      </c>
      <c r="D4374" s="3" t="str">
        <f t="shared" si="767"/>
        <v>12Go Link</v>
      </c>
      <c r="E4374" s="2" t="s">
        <v>3407</v>
      </c>
    </row>
    <row r="4375">
      <c r="A4375" s="2" t="s">
        <v>3798</v>
      </c>
      <c r="B4375" s="2" t="s">
        <v>3783</v>
      </c>
      <c r="C4375" s="2" t="s">
        <v>3965</v>
      </c>
      <c r="D4375" s="3" t="str">
        <f t="shared" si="767"/>
        <v>12Go Link</v>
      </c>
      <c r="E4375" s="2" t="s">
        <v>3805</v>
      </c>
    </row>
    <row r="4376">
      <c r="A4376" s="2" t="s">
        <v>3798</v>
      </c>
      <c r="B4376" s="2" t="s">
        <v>3786</v>
      </c>
      <c r="C4376" s="2" t="s">
        <v>3966</v>
      </c>
      <c r="D4376" s="3" t="str">
        <f t="shared" ref="D4376:D4379" si="768">HYPERLINK("https://12go.asia/en/travel/Jordan-River-Crossing/Dead-Sea-Hotel-Transfer", "12Go Link")</f>
        <v>12Go Link</v>
      </c>
      <c r="E4376" s="2" t="s">
        <v>3780</v>
      </c>
    </row>
    <row r="4377">
      <c r="A4377" s="2" t="s">
        <v>3798</v>
      </c>
      <c r="B4377" s="2" t="s">
        <v>3786</v>
      </c>
      <c r="C4377" s="2" t="s">
        <v>3966</v>
      </c>
      <c r="D4377" s="3" t="str">
        <f t="shared" si="768"/>
        <v>12Go Link</v>
      </c>
      <c r="E4377" s="2" t="s">
        <v>1567</v>
      </c>
    </row>
    <row r="4378">
      <c r="A4378" s="2" t="s">
        <v>3798</v>
      </c>
      <c r="B4378" s="2" t="s">
        <v>3786</v>
      </c>
      <c r="C4378" s="2" t="s">
        <v>3966</v>
      </c>
      <c r="D4378" s="3" t="str">
        <f t="shared" si="768"/>
        <v>12Go Link</v>
      </c>
      <c r="E4378" s="2" t="s">
        <v>3407</v>
      </c>
    </row>
    <row r="4379">
      <c r="A4379" s="2" t="s">
        <v>3798</v>
      </c>
      <c r="B4379" s="2" t="s">
        <v>3786</v>
      </c>
      <c r="C4379" s="2" t="s">
        <v>3966</v>
      </c>
      <c r="D4379" s="3" t="str">
        <f t="shared" si="768"/>
        <v>12Go Link</v>
      </c>
      <c r="E4379" s="2" t="s">
        <v>3805</v>
      </c>
    </row>
    <row r="4380">
      <c r="A4380" s="2" t="s">
        <v>3798</v>
      </c>
      <c r="B4380" s="2" t="s">
        <v>3788</v>
      </c>
      <c r="C4380" s="2" t="s">
        <v>3967</v>
      </c>
      <c r="D4380" s="3" t="str">
        <f t="shared" ref="D4380:D4383" si="769">HYPERLINK("https://12go.asia/en/travel/Jordan-River-Crossing/Irbid-Hotel-Transfer", "12Go Link")</f>
        <v>12Go Link</v>
      </c>
      <c r="E4380" s="2" t="s">
        <v>3780</v>
      </c>
    </row>
    <row r="4381">
      <c r="A4381" s="2" t="s">
        <v>3798</v>
      </c>
      <c r="B4381" s="2" t="s">
        <v>3788</v>
      </c>
      <c r="C4381" s="2" t="s">
        <v>3967</v>
      </c>
      <c r="D4381" s="3" t="str">
        <f t="shared" si="769"/>
        <v>12Go Link</v>
      </c>
      <c r="E4381" s="2" t="s">
        <v>1567</v>
      </c>
    </row>
    <row r="4382">
      <c r="A4382" s="2" t="s">
        <v>3798</v>
      </c>
      <c r="B4382" s="2" t="s">
        <v>3788</v>
      </c>
      <c r="C4382" s="2" t="s">
        <v>3967</v>
      </c>
      <c r="D4382" s="3" t="str">
        <f t="shared" si="769"/>
        <v>12Go Link</v>
      </c>
      <c r="E4382" s="2" t="s">
        <v>3407</v>
      </c>
    </row>
    <row r="4383">
      <c r="A4383" s="2" t="s">
        <v>3798</v>
      </c>
      <c r="B4383" s="2" t="s">
        <v>3788</v>
      </c>
      <c r="C4383" s="2" t="s">
        <v>3967</v>
      </c>
      <c r="D4383" s="3" t="str">
        <f t="shared" si="769"/>
        <v>12Go Link</v>
      </c>
      <c r="E4383" s="2" t="s">
        <v>3805</v>
      </c>
    </row>
    <row r="4384">
      <c r="A4384" s="2" t="s">
        <v>3798</v>
      </c>
      <c r="B4384" s="2" t="s">
        <v>3790</v>
      </c>
      <c r="C4384" s="2" t="s">
        <v>3968</v>
      </c>
      <c r="D4384" s="3" t="str">
        <f t="shared" ref="D4384:D4387" si="770">HYPERLINK("https://12go.asia/en/travel/Jordan-River-Crossing/Jerash-Hotel-Transfer", "12Go Link")</f>
        <v>12Go Link</v>
      </c>
      <c r="E4384" s="2" t="s">
        <v>3780</v>
      </c>
    </row>
    <row r="4385">
      <c r="A4385" s="2" t="s">
        <v>3798</v>
      </c>
      <c r="B4385" s="2" t="s">
        <v>3790</v>
      </c>
      <c r="C4385" s="2" t="s">
        <v>3968</v>
      </c>
      <c r="D4385" s="3" t="str">
        <f t="shared" si="770"/>
        <v>12Go Link</v>
      </c>
      <c r="E4385" s="2" t="s">
        <v>1567</v>
      </c>
    </row>
    <row r="4386">
      <c r="A4386" s="2" t="s">
        <v>3798</v>
      </c>
      <c r="B4386" s="2" t="s">
        <v>3790</v>
      </c>
      <c r="C4386" s="2" t="s">
        <v>3968</v>
      </c>
      <c r="D4386" s="3" t="str">
        <f t="shared" si="770"/>
        <v>12Go Link</v>
      </c>
      <c r="E4386" s="2" t="s">
        <v>3407</v>
      </c>
    </row>
    <row r="4387">
      <c r="A4387" s="2" t="s">
        <v>3798</v>
      </c>
      <c r="B4387" s="2" t="s">
        <v>3790</v>
      </c>
      <c r="C4387" s="2" t="s">
        <v>3968</v>
      </c>
      <c r="D4387" s="3" t="str">
        <f t="shared" si="770"/>
        <v>12Go Link</v>
      </c>
      <c r="E4387" s="2" t="s">
        <v>3805</v>
      </c>
    </row>
    <row r="4388">
      <c r="A4388" s="2" t="s">
        <v>3798</v>
      </c>
      <c r="B4388" s="2" t="s">
        <v>3792</v>
      </c>
      <c r="C4388" s="2" t="s">
        <v>3969</v>
      </c>
      <c r="D4388" s="3" t="str">
        <f t="shared" ref="D4388:D4391" si="771">HYPERLINK("https://12go.asia/en/travel/Jordan-River-Crossing/Madaba-Hotel-Transfer", "12Go Link")</f>
        <v>12Go Link</v>
      </c>
      <c r="E4388" s="2" t="s">
        <v>3780</v>
      </c>
    </row>
    <row r="4389">
      <c r="A4389" s="2" t="s">
        <v>3798</v>
      </c>
      <c r="B4389" s="2" t="s">
        <v>3792</v>
      </c>
      <c r="C4389" s="2" t="s">
        <v>3969</v>
      </c>
      <c r="D4389" s="3" t="str">
        <f t="shared" si="771"/>
        <v>12Go Link</v>
      </c>
      <c r="E4389" s="2" t="s">
        <v>1567</v>
      </c>
    </row>
    <row r="4390">
      <c r="A4390" s="2" t="s">
        <v>3798</v>
      </c>
      <c r="B4390" s="2" t="s">
        <v>3792</v>
      </c>
      <c r="C4390" s="2" t="s">
        <v>3969</v>
      </c>
      <c r="D4390" s="3" t="str">
        <f t="shared" si="771"/>
        <v>12Go Link</v>
      </c>
      <c r="E4390" s="2" t="s">
        <v>3407</v>
      </c>
    </row>
    <row r="4391">
      <c r="A4391" s="2" t="s">
        <v>3798</v>
      </c>
      <c r="B4391" s="2" t="s">
        <v>3792</v>
      </c>
      <c r="C4391" s="2" t="s">
        <v>3969</v>
      </c>
      <c r="D4391" s="3" t="str">
        <f t="shared" si="771"/>
        <v>12Go Link</v>
      </c>
      <c r="E4391" s="2" t="s">
        <v>3805</v>
      </c>
    </row>
    <row r="4392">
      <c r="A4392" s="2" t="s">
        <v>3798</v>
      </c>
      <c r="B4392" s="2" t="s">
        <v>3794</v>
      </c>
      <c r="C4392" s="2" t="s">
        <v>3970</v>
      </c>
      <c r="D4392" s="3" t="str">
        <f t="shared" ref="D4392:D4395" si="772">HYPERLINK("https://12go.asia/en/travel/Jordan-River-Crossing/Ma-in-Hot-Springs-Transfer", "12Go Link")</f>
        <v>12Go Link</v>
      </c>
      <c r="E4392" s="2" t="s">
        <v>3780</v>
      </c>
    </row>
    <row r="4393">
      <c r="A4393" s="2" t="s">
        <v>3798</v>
      </c>
      <c r="B4393" s="2" t="s">
        <v>3794</v>
      </c>
      <c r="C4393" s="2" t="s">
        <v>3970</v>
      </c>
      <c r="D4393" s="3" t="str">
        <f t="shared" si="772"/>
        <v>12Go Link</v>
      </c>
      <c r="E4393" s="2" t="s">
        <v>1567</v>
      </c>
    </row>
    <row r="4394">
      <c r="A4394" s="2" t="s">
        <v>3798</v>
      </c>
      <c r="B4394" s="2" t="s">
        <v>3794</v>
      </c>
      <c r="C4394" s="2" t="s">
        <v>3970</v>
      </c>
      <c r="D4394" s="3" t="str">
        <f t="shared" si="772"/>
        <v>12Go Link</v>
      </c>
      <c r="E4394" s="2" t="s">
        <v>3407</v>
      </c>
    </row>
    <row r="4395">
      <c r="A4395" s="2" t="s">
        <v>3798</v>
      </c>
      <c r="B4395" s="2" t="s">
        <v>3794</v>
      </c>
      <c r="C4395" s="2" t="s">
        <v>3970</v>
      </c>
      <c r="D4395" s="3" t="str">
        <f t="shared" si="772"/>
        <v>12Go Link</v>
      </c>
      <c r="E4395" s="2" t="s">
        <v>3805</v>
      </c>
    </row>
    <row r="4396">
      <c r="A4396" s="2" t="s">
        <v>3798</v>
      </c>
      <c r="B4396" s="2" t="s">
        <v>3796</v>
      </c>
      <c r="C4396" s="2" t="s">
        <v>3971</v>
      </c>
      <c r="D4396" s="3" t="str">
        <f t="shared" ref="D4396:D4399" si="773">HYPERLINK("https://12go.asia/en/travel/Jordan-River-Crossing/Petra-Hotel-Transfer", "12Go Link")</f>
        <v>12Go Link</v>
      </c>
      <c r="E4396" s="2" t="s">
        <v>3780</v>
      </c>
    </row>
    <row r="4397">
      <c r="A4397" s="2" t="s">
        <v>3798</v>
      </c>
      <c r="B4397" s="2" t="s">
        <v>3796</v>
      </c>
      <c r="C4397" s="2" t="s">
        <v>3971</v>
      </c>
      <c r="D4397" s="3" t="str">
        <f t="shared" si="773"/>
        <v>12Go Link</v>
      </c>
      <c r="E4397" s="2" t="s">
        <v>1567</v>
      </c>
    </row>
    <row r="4398">
      <c r="A4398" s="2" t="s">
        <v>3798</v>
      </c>
      <c r="B4398" s="2" t="s">
        <v>3796</v>
      </c>
      <c r="C4398" s="2" t="s">
        <v>3971</v>
      </c>
      <c r="D4398" s="3" t="str">
        <f t="shared" si="773"/>
        <v>12Go Link</v>
      </c>
      <c r="E4398" s="2" t="s">
        <v>3407</v>
      </c>
    </row>
    <row r="4399">
      <c r="A4399" s="2" t="s">
        <v>3798</v>
      </c>
      <c r="B4399" s="2" t="s">
        <v>3796</v>
      </c>
      <c r="C4399" s="2" t="s">
        <v>3971</v>
      </c>
      <c r="D4399" s="3" t="str">
        <f t="shared" si="773"/>
        <v>12Go Link</v>
      </c>
      <c r="E4399" s="2" t="s">
        <v>3805</v>
      </c>
    </row>
    <row r="4400">
      <c r="A4400" s="2" t="s">
        <v>3798</v>
      </c>
      <c r="B4400" s="2" t="s">
        <v>3800</v>
      </c>
      <c r="C4400" s="2" t="s">
        <v>3972</v>
      </c>
      <c r="D4400" s="3" t="str">
        <f t="shared" ref="D4400:D4403" si="774">HYPERLINK("https://12go.asia/en/travel/Jordan-River-Crossing/Umm-Qais-Hotel-Transfer", "12Go Link")</f>
        <v>12Go Link</v>
      </c>
      <c r="E4400" s="2" t="s">
        <v>3780</v>
      </c>
    </row>
    <row r="4401">
      <c r="A4401" s="2" t="s">
        <v>3798</v>
      </c>
      <c r="B4401" s="2" t="s">
        <v>3800</v>
      </c>
      <c r="C4401" s="2" t="s">
        <v>3972</v>
      </c>
      <c r="D4401" s="3" t="str">
        <f t="shared" si="774"/>
        <v>12Go Link</v>
      </c>
      <c r="E4401" s="2" t="s">
        <v>1567</v>
      </c>
    </row>
    <row r="4402">
      <c r="A4402" s="2" t="s">
        <v>3798</v>
      </c>
      <c r="B4402" s="2" t="s">
        <v>3800</v>
      </c>
      <c r="C4402" s="2" t="s">
        <v>3972</v>
      </c>
      <c r="D4402" s="3" t="str">
        <f t="shared" si="774"/>
        <v>12Go Link</v>
      </c>
      <c r="E4402" s="2" t="s">
        <v>3407</v>
      </c>
    </row>
    <row r="4403">
      <c r="A4403" s="2" t="s">
        <v>3798</v>
      </c>
      <c r="B4403" s="2" t="s">
        <v>3800</v>
      </c>
      <c r="C4403" s="2" t="s">
        <v>3972</v>
      </c>
      <c r="D4403" s="3" t="str">
        <f t="shared" si="774"/>
        <v>12Go Link</v>
      </c>
      <c r="E4403" s="2" t="s">
        <v>3805</v>
      </c>
    </row>
    <row r="4404">
      <c r="A4404" s="2" t="s">
        <v>3798</v>
      </c>
      <c r="B4404" s="2" t="s">
        <v>3802</v>
      </c>
      <c r="C4404" s="2" t="s">
        <v>3973</v>
      </c>
      <c r="D4404" s="3" t="str">
        <f t="shared" ref="D4404:D4407" si="775">HYPERLINK("https://12go.asia/en/travel/Jordan-River-Crossing/Wadi-Rum-Hotel-Transfer", "12Go Link")</f>
        <v>12Go Link</v>
      </c>
      <c r="E4404" s="2" t="s">
        <v>3780</v>
      </c>
    </row>
    <row r="4405">
      <c r="A4405" s="2" t="s">
        <v>3798</v>
      </c>
      <c r="B4405" s="2" t="s">
        <v>3802</v>
      </c>
      <c r="C4405" s="2" t="s">
        <v>3973</v>
      </c>
      <c r="D4405" s="3" t="str">
        <f t="shared" si="775"/>
        <v>12Go Link</v>
      </c>
      <c r="E4405" s="2" t="s">
        <v>1567</v>
      </c>
    </row>
    <row r="4406">
      <c r="A4406" s="2" t="s">
        <v>3798</v>
      </c>
      <c r="B4406" s="2" t="s">
        <v>3802</v>
      </c>
      <c r="C4406" s="2" t="s">
        <v>3973</v>
      </c>
      <c r="D4406" s="3" t="str">
        <f t="shared" si="775"/>
        <v>12Go Link</v>
      </c>
      <c r="E4406" s="2" t="s">
        <v>3407</v>
      </c>
    </row>
    <row r="4407">
      <c r="A4407" s="2" t="s">
        <v>3798</v>
      </c>
      <c r="B4407" s="2" t="s">
        <v>3802</v>
      </c>
      <c r="C4407" s="2" t="s">
        <v>3973</v>
      </c>
      <c r="D4407" s="3" t="str">
        <f t="shared" si="775"/>
        <v>12Go Link</v>
      </c>
      <c r="E4407" s="2" t="s">
        <v>3805</v>
      </c>
    </row>
    <row r="4408">
      <c r="A4408" s="2" t="s">
        <v>3800</v>
      </c>
      <c r="B4408" s="2" t="s">
        <v>3777</v>
      </c>
      <c r="C4408" s="2" t="s">
        <v>3974</v>
      </c>
      <c r="D4408" s="3" t="str">
        <f t="shared" ref="D4408:D4409" si="776">HYPERLINK("https://12go.asia/en/travel/Umm-Qais-Hotel-Transfer/Ajloun-Hotel-Transfer", "12Go Link")</f>
        <v>12Go Link</v>
      </c>
      <c r="E4408" s="2" t="s">
        <v>3780</v>
      </c>
    </row>
    <row r="4409">
      <c r="A4409" s="2" t="s">
        <v>3800</v>
      </c>
      <c r="B4409" s="2" t="s">
        <v>3777</v>
      </c>
      <c r="C4409" s="2" t="s">
        <v>3974</v>
      </c>
      <c r="D4409" s="3" t="str">
        <f t="shared" si="776"/>
        <v>12Go Link</v>
      </c>
      <c r="E4409" s="2" t="s">
        <v>1567</v>
      </c>
    </row>
    <row r="4410">
      <c r="A4410" s="2" t="s">
        <v>3800</v>
      </c>
      <c r="B4410" s="2" t="s">
        <v>3778</v>
      </c>
      <c r="C4410" s="2" t="s">
        <v>3975</v>
      </c>
      <c r="D4410" s="3" t="str">
        <f t="shared" ref="D4410:D4411" si="777">HYPERLINK("https://12go.asia/en/travel/Umm-Qais-Hotel-Transfer/Amman-Airport", "12Go Link")</f>
        <v>12Go Link</v>
      </c>
      <c r="E4410" s="2" t="s">
        <v>3780</v>
      </c>
    </row>
    <row r="4411">
      <c r="A4411" s="2" t="s">
        <v>3800</v>
      </c>
      <c r="B4411" s="2" t="s">
        <v>3778</v>
      </c>
      <c r="C4411" s="2" t="s">
        <v>3975</v>
      </c>
      <c r="D4411" s="3" t="str">
        <f t="shared" si="777"/>
        <v>12Go Link</v>
      </c>
      <c r="E4411" s="2" t="s">
        <v>1567</v>
      </c>
    </row>
    <row r="4412">
      <c r="A4412" s="2" t="s">
        <v>3800</v>
      </c>
      <c r="B4412" s="2" t="s">
        <v>3778</v>
      </c>
      <c r="C4412" s="2" t="s">
        <v>3976</v>
      </c>
      <c r="D4412" s="3" t="str">
        <f t="shared" ref="D4412:D4413" si="778">HYPERLINK("https://12go.asia/en/travel/Umm-Qais-Hotel-Transfer/Amman-Hotel-Transfer", "12Go Link")</f>
        <v>12Go Link</v>
      </c>
      <c r="E4412" s="2" t="s">
        <v>3780</v>
      </c>
    </row>
    <row r="4413">
      <c r="A4413" s="2" t="s">
        <v>3800</v>
      </c>
      <c r="B4413" s="2" t="s">
        <v>3778</v>
      </c>
      <c r="C4413" s="2" t="s">
        <v>3976</v>
      </c>
      <c r="D4413" s="3" t="str">
        <f t="shared" si="778"/>
        <v>12Go Link</v>
      </c>
      <c r="E4413" s="2" t="s">
        <v>1567</v>
      </c>
    </row>
    <row r="4414">
      <c r="A4414" s="2" t="s">
        <v>3800</v>
      </c>
      <c r="B4414" s="2" t="s">
        <v>3778</v>
      </c>
      <c r="C4414" s="2" t="s">
        <v>3977</v>
      </c>
      <c r="D4414" s="3" t="str">
        <f t="shared" ref="D4414:D4415" si="779">HYPERLINK("https://12go.asia/en/travel/Umm-Qais-Hotel-Transfer/King-Hussein-Bridge-Border-Crossing-Amman", "12Go Link")</f>
        <v>12Go Link</v>
      </c>
      <c r="E4414" s="2" t="s">
        <v>3780</v>
      </c>
    </row>
    <row r="4415">
      <c r="A4415" s="2" t="s">
        <v>3800</v>
      </c>
      <c r="B4415" s="2" t="s">
        <v>3778</v>
      </c>
      <c r="C4415" s="2" t="s">
        <v>3977</v>
      </c>
      <c r="D4415" s="3" t="str">
        <f t="shared" si="779"/>
        <v>12Go Link</v>
      </c>
      <c r="E4415" s="2" t="s">
        <v>1567</v>
      </c>
    </row>
    <row r="4416">
      <c r="A4416" s="2" t="s">
        <v>3800</v>
      </c>
      <c r="B4416" s="2" t="s">
        <v>3783</v>
      </c>
      <c r="C4416" s="2" t="s">
        <v>3978</v>
      </c>
      <c r="D4416" s="3" t="str">
        <f t="shared" ref="D4416:D4417" si="780">HYPERLINK("https://12go.asia/en/travel/Umm-Qais-Hotel-Transfer/Aqaba-Hotel-Transfer", "12Go Link")</f>
        <v>12Go Link</v>
      </c>
      <c r="E4416" s="2" t="s">
        <v>3780</v>
      </c>
    </row>
    <row r="4417">
      <c r="A4417" s="2" t="s">
        <v>3800</v>
      </c>
      <c r="B4417" s="2" t="s">
        <v>3783</v>
      </c>
      <c r="C4417" s="2" t="s">
        <v>3978</v>
      </c>
      <c r="D4417" s="3" t="str">
        <f t="shared" si="780"/>
        <v>12Go Link</v>
      </c>
      <c r="E4417" s="2" t="s">
        <v>1567</v>
      </c>
    </row>
    <row r="4418">
      <c r="A4418" s="2" t="s">
        <v>3800</v>
      </c>
      <c r="B4418" s="2" t="s">
        <v>3783</v>
      </c>
      <c r="C4418" s="2" t="s">
        <v>3979</v>
      </c>
      <c r="D4418" s="3" t="str">
        <f t="shared" ref="D4418:D4419" si="781">HYPERLINK("https://12go.asia/en/travel/Umm-Qais-Hotel-Transfer/Aqaba-Port", "12Go Link")</f>
        <v>12Go Link</v>
      </c>
      <c r="E4418" s="2" t="s">
        <v>3780</v>
      </c>
    </row>
    <row r="4419">
      <c r="A4419" s="2" t="s">
        <v>3800</v>
      </c>
      <c r="B4419" s="2" t="s">
        <v>3783</v>
      </c>
      <c r="C4419" s="2" t="s">
        <v>3979</v>
      </c>
      <c r="D4419" s="3" t="str">
        <f t="shared" si="781"/>
        <v>12Go Link</v>
      </c>
      <c r="E4419" s="2" t="s">
        <v>1567</v>
      </c>
    </row>
    <row r="4420">
      <c r="A4420" s="2" t="s">
        <v>3800</v>
      </c>
      <c r="B4420" s="2" t="s">
        <v>3786</v>
      </c>
      <c r="C4420" s="2" t="s">
        <v>3980</v>
      </c>
      <c r="D4420" s="3" t="str">
        <f t="shared" ref="D4420:D4421" si="782">HYPERLINK("https://12go.asia/en/travel/Umm-Qais-Hotel-Transfer/Dead-Sea-Hotel-Transfer", "12Go Link")</f>
        <v>12Go Link</v>
      </c>
      <c r="E4420" s="2" t="s">
        <v>3780</v>
      </c>
    </row>
    <row r="4421">
      <c r="A4421" s="2" t="s">
        <v>3800</v>
      </c>
      <c r="B4421" s="2" t="s">
        <v>3786</v>
      </c>
      <c r="C4421" s="2" t="s">
        <v>3980</v>
      </c>
      <c r="D4421" s="3" t="str">
        <f t="shared" si="782"/>
        <v>12Go Link</v>
      </c>
      <c r="E4421" s="2" t="s">
        <v>1567</v>
      </c>
    </row>
    <row r="4422">
      <c r="A4422" s="2" t="s">
        <v>3800</v>
      </c>
      <c r="B4422" s="2" t="s">
        <v>3788</v>
      </c>
      <c r="C4422" s="2" t="s">
        <v>3981</v>
      </c>
      <c r="D4422" s="3" t="str">
        <f t="shared" ref="D4422:D4423" si="783">HYPERLINK("https://12go.asia/en/travel/Umm-Qais-Hotel-Transfer/Irbid-Hotel-Transfer", "12Go Link")</f>
        <v>12Go Link</v>
      </c>
      <c r="E4422" s="2" t="s">
        <v>3780</v>
      </c>
    </row>
    <row r="4423">
      <c r="A4423" s="2" t="s">
        <v>3800</v>
      </c>
      <c r="B4423" s="2" t="s">
        <v>3788</v>
      </c>
      <c r="C4423" s="2" t="s">
        <v>3981</v>
      </c>
      <c r="D4423" s="3" t="str">
        <f t="shared" si="783"/>
        <v>12Go Link</v>
      </c>
      <c r="E4423" s="2" t="s">
        <v>1567</v>
      </c>
    </row>
    <row r="4424">
      <c r="A4424" s="2" t="s">
        <v>3800</v>
      </c>
      <c r="B4424" s="2" t="s">
        <v>3790</v>
      </c>
      <c r="C4424" s="2" t="s">
        <v>3982</v>
      </c>
      <c r="D4424" s="3" t="str">
        <f t="shared" ref="D4424:D4425" si="784">HYPERLINK("https://12go.asia/en/travel/Umm-Qais-Hotel-Transfer/Jerash-Hotel-Transfer", "12Go Link")</f>
        <v>12Go Link</v>
      </c>
      <c r="E4424" s="2" t="s">
        <v>3780</v>
      </c>
    </row>
    <row r="4425">
      <c r="A4425" s="2" t="s">
        <v>3800</v>
      </c>
      <c r="B4425" s="2" t="s">
        <v>3790</v>
      </c>
      <c r="C4425" s="2" t="s">
        <v>3982</v>
      </c>
      <c r="D4425" s="3" t="str">
        <f t="shared" si="784"/>
        <v>12Go Link</v>
      </c>
      <c r="E4425" s="2" t="s">
        <v>1567</v>
      </c>
    </row>
    <row r="4426">
      <c r="A4426" s="2" t="s">
        <v>3800</v>
      </c>
      <c r="B4426" s="2" t="s">
        <v>3792</v>
      </c>
      <c r="C4426" s="2" t="s">
        <v>3983</v>
      </c>
      <c r="D4426" s="3" t="str">
        <f t="shared" ref="D4426:D4427" si="785">HYPERLINK("https://12go.asia/en/travel/Umm-Qais-Hotel-Transfer/Madaba-Hotel-Transfer", "12Go Link")</f>
        <v>12Go Link</v>
      </c>
      <c r="E4426" s="2" t="s">
        <v>3780</v>
      </c>
    </row>
    <row r="4427">
      <c r="A4427" s="2" t="s">
        <v>3800</v>
      </c>
      <c r="B4427" s="2" t="s">
        <v>3792</v>
      </c>
      <c r="C4427" s="2" t="s">
        <v>3983</v>
      </c>
      <c r="D4427" s="3" t="str">
        <f t="shared" si="785"/>
        <v>12Go Link</v>
      </c>
      <c r="E4427" s="2" t="s">
        <v>1567</v>
      </c>
    </row>
    <row r="4428">
      <c r="A4428" s="2" t="s">
        <v>3800</v>
      </c>
      <c r="B4428" s="2" t="s">
        <v>3794</v>
      </c>
      <c r="C4428" s="2" t="s">
        <v>3984</v>
      </c>
      <c r="D4428" s="3" t="str">
        <f t="shared" ref="D4428:D4429" si="786">HYPERLINK("https://12go.asia/en/travel/Umm-Qais-Hotel-Transfer/Ma-in-Hot-Springs-Transfer", "12Go Link")</f>
        <v>12Go Link</v>
      </c>
      <c r="E4428" s="2" t="s">
        <v>3780</v>
      </c>
    </row>
    <row r="4429">
      <c r="A4429" s="2" t="s">
        <v>3800</v>
      </c>
      <c r="B4429" s="2" t="s">
        <v>3794</v>
      </c>
      <c r="C4429" s="2" t="s">
        <v>3984</v>
      </c>
      <c r="D4429" s="3" t="str">
        <f t="shared" si="786"/>
        <v>12Go Link</v>
      </c>
      <c r="E4429" s="2" t="s">
        <v>1567</v>
      </c>
    </row>
    <row r="4430">
      <c r="A4430" s="2" t="s">
        <v>3800</v>
      </c>
      <c r="B4430" s="2" t="s">
        <v>3796</v>
      </c>
      <c r="C4430" s="2" t="s">
        <v>3985</v>
      </c>
      <c r="D4430" s="3" t="str">
        <f t="shared" ref="D4430:D4431" si="787">HYPERLINK("https://12go.asia/en/travel/Umm-Qais-Hotel-Transfer/Petra-Hotel-Transfer", "12Go Link")</f>
        <v>12Go Link</v>
      </c>
      <c r="E4430" s="2" t="s">
        <v>3780</v>
      </c>
    </row>
    <row r="4431">
      <c r="A4431" s="2" t="s">
        <v>3800</v>
      </c>
      <c r="B4431" s="2" t="s">
        <v>3796</v>
      </c>
      <c r="C4431" s="2" t="s">
        <v>3985</v>
      </c>
      <c r="D4431" s="3" t="str">
        <f t="shared" si="787"/>
        <v>12Go Link</v>
      </c>
      <c r="E4431" s="2" t="s">
        <v>1567</v>
      </c>
    </row>
    <row r="4432">
      <c r="A4432" s="2" t="s">
        <v>3800</v>
      </c>
      <c r="B4432" s="2" t="s">
        <v>3798</v>
      </c>
      <c r="C4432" s="2" t="s">
        <v>3986</v>
      </c>
      <c r="D4432" s="3" t="str">
        <f t="shared" ref="D4432:D4433" si="788">HYPERLINK("https://12go.asia/en/travel/Umm-Qais-Hotel-Transfer/Jordan-River-Crossing", "12Go Link")</f>
        <v>12Go Link</v>
      </c>
      <c r="E4432" s="2" t="s">
        <v>3780</v>
      </c>
    </row>
    <row r="4433">
      <c r="A4433" s="2" t="s">
        <v>3800</v>
      </c>
      <c r="B4433" s="2" t="s">
        <v>3798</v>
      </c>
      <c r="C4433" s="2" t="s">
        <v>3986</v>
      </c>
      <c r="D4433" s="3" t="str">
        <f t="shared" si="788"/>
        <v>12Go Link</v>
      </c>
      <c r="E4433" s="2" t="s">
        <v>1567</v>
      </c>
    </row>
    <row r="4434">
      <c r="A4434" s="2" t="s">
        <v>3800</v>
      </c>
      <c r="B4434" s="2" t="s">
        <v>3802</v>
      </c>
      <c r="C4434" s="2" t="s">
        <v>3987</v>
      </c>
      <c r="D4434" s="3" t="str">
        <f t="shared" ref="D4434:D4435" si="789">HYPERLINK("https://12go.asia/en/travel/Umm-Qais-Hotel-Transfer/Wadi-Rum-Hotel-Transfer", "12Go Link")</f>
        <v>12Go Link</v>
      </c>
      <c r="E4434" s="2" t="s">
        <v>3780</v>
      </c>
    </row>
    <row r="4435">
      <c r="A4435" s="2" t="s">
        <v>3800</v>
      </c>
      <c r="B4435" s="2" t="s">
        <v>3802</v>
      </c>
      <c r="C4435" s="2" t="s">
        <v>3987</v>
      </c>
      <c r="D4435" s="3" t="str">
        <f t="shared" si="789"/>
        <v>12Go Link</v>
      </c>
      <c r="E4435" s="2" t="s">
        <v>1567</v>
      </c>
    </row>
    <row r="4436">
      <c r="A4436" s="2" t="s">
        <v>3802</v>
      </c>
      <c r="B4436" s="2" t="s">
        <v>3777</v>
      </c>
      <c r="C4436" s="2" t="s">
        <v>3988</v>
      </c>
      <c r="D4436" s="3" t="str">
        <f t="shared" ref="D4436:D4438" si="790">HYPERLINK("https://12go.asia/en/travel/Wadi-Rum-Hotel-Transfer/Ajloun-Hotel-Transfer", "12Go Link")</f>
        <v>12Go Link</v>
      </c>
      <c r="E4436" s="2" t="s">
        <v>3780</v>
      </c>
    </row>
    <row r="4437">
      <c r="A4437" s="2" t="s">
        <v>3802</v>
      </c>
      <c r="B4437" s="2" t="s">
        <v>3777</v>
      </c>
      <c r="C4437" s="2" t="s">
        <v>3988</v>
      </c>
      <c r="D4437" s="3" t="str">
        <f t="shared" si="790"/>
        <v>12Go Link</v>
      </c>
      <c r="E4437" s="2" t="s">
        <v>1567</v>
      </c>
    </row>
    <row r="4438">
      <c r="A4438" s="2" t="s">
        <v>3802</v>
      </c>
      <c r="B4438" s="2" t="s">
        <v>3777</v>
      </c>
      <c r="C4438" s="2" t="s">
        <v>3988</v>
      </c>
      <c r="D4438" s="3" t="str">
        <f t="shared" si="790"/>
        <v>12Go Link</v>
      </c>
      <c r="E4438" s="2" t="s">
        <v>3805</v>
      </c>
    </row>
    <row r="4439">
      <c r="A4439" s="2" t="s">
        <v>3802</v>
      </c>
      <c r="B4439" s="2" t="s">
        <v>3778</v>
      </c>
      <c r="C4439" s="2" t="s">
        <v>3989</v>
      </c>
      <c r="D4439" s="3" t="str">
        <f t="shared" ref="D4439:D4441" si="791">HYPERLINK("https://12go.asia/en/travel/Wadi-Rum-Hotel-Transfer/Amman-Airport", "12Go Link")</f>
        <v>12Go Link</v>
      </c>
      <c r="E4439" s="2" t="s">
        <v>3780</v>
      </c>
    </row>
    <row r="4440">
      <c r="A4440" s="2" t="s">
        <v>3802</v>
      </c>
      <c r="B4440" s="2" t="s">
        <v>3778</v>
      </c>
      <c r="C4440" s="2" t="s">
        <v>3989</v>
      </c>
      <c r="D4440" s="3" t="str">
        <f t="shared" si="791"/>
        <v>12Go Link</v>
      </c>
      <c r="E4440" s="2" t="s">
        <v>1567</v>
      </c>
    </row>
    <row r="4441">
      <c r="A4441" s="2" t="s">
        <v>3802</v>
      </c>
      <c r="B4441" s="2" t="s">
        <v>3778</v>
      </c>
      <c r="C4441" s="2" t="s">
        <v>3989</v>
      </c>
      <c r="D4441" s="3" t="str">
        <f t="shared" si="791"/>
        <v>12Go Link</v>
      </c>
      <c r="E4441" s="2" t="s">
        <v>3805</v>
      </c>
    </row>
    <row r="4442">
      <c r="A4442" s="2" t="s">
        <v>3802</v>
      </c>
      <c r="B4442" s="2" t="s">
        <v>3778</v>
      </c>
      <c r="C4442" s="2" t="s">
        <v>3990</v>
      </c>
      <c r="D4442" s="3" t="str">
        <f t="shared" ref="D4442:D4444" si="792">HYPERLINK("https://12go.asia/en/travel/Wadi-Rum-Hotel-Transfer/Amman-Hotel-Transfer", "12Go Link")</f>
        <v>12Go Link</v>
      </c>
      <c r="E4442" s="2" t="s">
        <v>3780</v>
      </c>
    </row>
    <row r="4443">
      <c r="A4443" s="2" t="s">
        <v>3802</v>
      </c>
      <c r="B4443" s="2" t="s">
        <v>3778</v>
      </c>
      <c r="C4443" s="2" t="s">
        <v>3990</v>
      </c>
      <c r="D4443" s="3" t="str">
        <f t="shared" si="792"/>
        <v>12Go Link</v>
      </c>
      <c r="E4443" s="2" t="s">
        <v>1567</v>
      </c>
    </row>
    <row r="4444">
      <c r="A4444" s="2" t="s">
        <v>3802</v>
      </c>
      <c r="B4444" s="2" t="s">
        <v>3778</v>
      </c>
      <c r="C4444" s="2" t="s">
        <v>3990</v>
      </c>
      <c r="D4444" s="3" t="str">
        <f t="shared" si="792"/>
        <v>12Go Link</v>
      </c>
      <c r="E4444" s="2" t="s">
        <v>3805</v>
      </c>
    </row>
    <row r="4445">
      <c r="A4445" s="2" t="s">
        <v>3802</v>
      </c>
      <c r="B4445" s="2" t="s">
        <v>3778</v>
      </c>
      <c r="C4445" s="2" t="s">
        <v>3991</v>
      </c>
      <c r="D4445" s="3" t="str">
        <f t="shared" ref="D4445:D4447" si="793">HYPERLINK("https://12go.asia/en/travel/Wadi-Rum-Hotel-Transfer/King-Hussein-Bridge-Border-Crossing-Amman", "12Go Link")</f>
        <v>12Go Link</v>
      </c>
      <c r="E4445" s="2" t="s">
        <v>3780</v>
      </c>
    </row>
    <row r="4446">
      <c r="A4446" s="2" t="s">
        <v>3802</v>
      </c>
      <c r="B4446" s="2" t="s">
        <v>3778</v>
      </c>
      <c r="C4446" s="2" t="s">
        <v>3991</v>
      </c>
      <c r="D4446" s="3" t="str">
        <f t="shared" si="793"/>
        <v>12Go Link</v>
      </c>
      <c r="E4446" s="2" t="s">
        <v>1567</v>
      </c>
    </row>
    <row r="4447">
      <c r="A4447" s="2" t="s">
        <v>3802</v>
      </c>
      <c r="B4447" s="2" t="s">
        <v>3778</v>
      </c>
      <c r="C4447" s="2" t="s">
        <v>3991</v>
      </c>
      <c r="D4447" s="3" t="str">
        <f t="shared" si="793"/>
        <v>12Go Link</v>
      </c>
      <c r="E4447" s="2" t="s">
        <v>3805</v>
      </c>
    </row>
    <row r="4448">
      <c r="A4448" s="2" t="s">
        <v>3802</v>
      </c>
      <c r="B4448" s="2" t="s">
        <v>3783</v>
      </c>
      <c r="C4448" s="2" t="s">
        <v>3992</v>
      </c>
      <c r="D4448" s="3" t="str">
        <f t="shared" ref="D4448:D4450" si="794">HYPERLINK("https://12go.asia/en/travel/Wadi-Rum-Hotel-Transfer/Aqaba-Hotel-Transfer", "12Go Link")</f>
        <v>12Go Link</v>
      </c>
      <c r="E4448" s="2" t="s">
        <v>3780</v>
      </c>
    </row>
    <row r="4449">
      <c r="A4449" s="2" t="s">
        <v>3802</v>
      </c>
      <c r="B4449" s="2" t="s">
        <v>3783</v>
      </c>
      <c r="C4449" s="2" t="s">
        <v>3992</v>
      </c>
      <c r="D4449" s="3" t="str">
        <f t="shared" si="794"/>
        <v>12Go Link</v>
      </c>
      <c r="E4449" s="2" t="s">
        <v>1567</v>
      </c>
    </row>
    <row r="4450">
      <c r="A4450" s="2" t="s">
        <v>3802</v>
      </c>
      <c r="B4450" s="2" t="s">
        <v>3783</v>
      </c>
      <c r="C4450" s="2" t="s">
        <v>3992</v>
      </c>
      <c r="D4450" s="3" t="str">
        <f t="shared" si="794"/>
        <v>12Go Link</v>
      </c>
      <c r="E4450" s="2" t="s">
        <v>3805</v>
      </c>
    </row>
    <row r="4451">
      <c r="A4451" s="2" t="s">
        <v>3802</v>
      </c>
      <c r="B4451" s="2" t="s">
        <v>3783</v>
      </c>
      <c r="C4451" s="2" t="s">
        <v>3993</v>
      </c>
      <c r="D4451" s="3" t="str">
        <f t="shared" ref="D4451:D4453" si="795">HYPERLINK("https://12go.asia/en/travel/Wadi-Rum-Hotel-Transfer/Aqaba-Port", "12Go Link")</f>
        <v>12Go Link</v>
      </c>
      <c r="E4451" s="2" t="s">
        <v>3780</v>
      </c>
    </row>
    <row r="4452">
      <c r="A4452" s="2" t="s">
        <v>3802</v>
      </c>
      <c r="B4452" s="2" t="s">
        <v>3783</v>
      </c>
      <c r="C4452" s="2" t="s">
        <v>3993</v>
      </c>
      <c r="D4452" s="3" t="str">
        <f t="shared" si="795"/>
        <v>12Go Link</v>
      </c>
      <c r="E4452" s="2" t="s">
        <v>1567</v>
      </c>
    </row>
    <row r="4453">
      <c r="A4453" s="2" t="s">
        <v>3802</v>
      </c>
      <c r="B4453" s="2" t="s">
        <v>3783</v>
      </c>
      <c r="C4453" s="2" t="s">
        <v>3993</v>
      </c>
      <c r="D4453" s="3" t="str">
        <f t="shared" si="795"/>
        <v>12Go Link</v>
      </c>
      <c r="E4453" s="2" t="s">
        <v>3805</v>
      </c>
    </row>
    <row r="4454">
      <c r="A4454" s="2" t="s">
        <v>3802</v>
      </c>
      <c r="B4454" s="2" t="s">
        <v>3786</v>
      </c>
      <c r="C4454" s="2" t="s">
        <v>3994</v>
      </c>
      <c r="D4454" s="3" t="str">
        <f t="shared" ref="D4454:D4456" si="796">HYPERLINK("https://12go.asia/en/travel/Wadi-Rum-Hotel-Transfer/Dead-Sea-Hotel-Transfer", "12Go Link")</f>
        <v>12Go Link</v>
      </c>
      <c r="E4454" s="2" t="s">
        <v>3780</v>
      </c>
    </row>
    <row r="4455">
      <c r="A4455" s="2" t="s">
        <v>3802</v>
      </c>
      <c r="B4455" s="2" t="s">
        <v>3786</v>
      </c>
      <c r="C4455" s="2" t="s">
        <v>3994</v>
      </c>
      <c r="D4455" s="3" t="str">
        <f t="shared" si="796"/>
        <v>12Go Link</v>
      </c>
      <c r="E4455" s="2" t="s">
        <v>1567</v>
      </c>
    </row>
    <row r="4456">
      <c r="A4456" s="2" t="s">
        <v>3802</v>
      </c>
      <c r="B4456" s="2" t="s">
        <v>3786</v>
      </c>
      <c r="C4456" s="2" t="s">
        <v>3994</v>
      </c>
      <c r="D4456" s="3" t="str">
        <f t="shared" si="796"/>
        <v>12Go Link</v>
      </c>
      <c r="E4456" s="2" t="s">
        <v>3805</v>
      </c>
    </row>
    <row r="4457">
      <c r="A4457" s="2" t="s">
        <v>3802</v>
      </c>
      <c r="B4457" s="2" t="s">
        <v>3788</v>
      </c>
      <c r="C4457" s="2" t="s">
        <v>3995</v>
      </c>
      <c r="D4457" s="3" t="str">
        <f t="shared" ref="D4457:D4459" si="797">HYPERLINK("https://12go.asia/en/travel/Wadi-Rum-Hotel-Transfer/Irbid-Hotel-Transfer", "12Go Link")</f>
        <v>12Go Link</v>
      </c>
      <c r="E4457" s="2" t="s">
        <v>3780</v>
      </c>
    </row>
    <row r="4458">
      <c r="A4458" s="2" t="s">
        <v>3802</v>
      </c>
      <c r="B4458" s="2" t="s">
        <v>3788</v>
      </c>
      <c r="C4458" s="2" t="s">
        <v>3995</v>
      </c>
      <c r="D4458" s="3" t="str">
        <f t="shared" si="797"/>
        <v>12Go Link</v>
      </c>
      <c r="E4458" s="2" t="s">
        <v>1567</v>
      </c>
    </row>
    <row r="4459">
      <c r="A4459" s="2" t="s">
        <v>3802</v>
      </c>
      <c r="B4459" s="2" t="s">
        <v>3788</v>
      </c>
      <c r="C4459" s="2" t="s">
        <v>3995</v>
      </c>
      <c r="D4459" s="3" t="str">
        <f t="shared" si="797"/>
        <v>12Go Link</v>
      </c>
      <c r="E4459" s="2" t="s">
        <v>3805</v>
      </c>
    </row>
    <row r="4460">
      <c r="A4460" s="2" t="s">
        <v>3802</v>
      </c>
      <c r="B4460" s="2" t="s">
        <v>3790</v>
      </c>
      <c r="C4460" s="2" t="s">
        <v>3996</v>
      </c>
      <c r="D4460" s="3" t="str">
        <f t="shared" ref="D4460:D4462" si="798">HYPERLINK("https://12go.asia/en/travel/Wadi-Rum-Hotel-Transfer/Jerash-Hotel-Transfer", "12Go Link")</f>
        <v>12Go Link</v>
      </c>
      <c r="E4460" s="2" t="s">
        <v>3780</v>
      </c>
    </row>
    <row r="4461">
      <c r="A4461" s="2" t="s">
        <v>3802</v>
      </c>
      <c r="B4461" s="2" t="s">
        <v>3790</v>
      </c>
      <c r="C4461" s="2" t="s">
        <v>3996</v>
      </c>
      <c r="D4461" s="3" t="str">
        <f t="shared" si="798"/>
        <v>12Go Link</v>
      </c>
      <c r="E4461" s="2" t="s">
        <v>1567</v>
      </c>
    </row>
    <row r="4462">
      <c r="A4462" s="2" t="s">
        <v>3802</v>
      </c>
      <c r="B4462" s="2" t="s">
        <v>3790</v>
      </c>
      <c r="C4462" s="2" t="s">
        <v>3996</v>
      </c>
      <c r="D4462" s="3" t="str">
        <f t="shared" si="798"/>
        <v>12Go Link</v>
      </c>
      <c r="E4462" s="2" t="s">
        <v>3805</v>
      </c>
    </row>
    <row r="4463">
      <c r="A4463" s="2" t="s">
        <v>3802</v>
      </c>
      <c r="B4463" s="2" t="s">
        <v>3792</v>
      </c>
      <c r="C4463" s="2" t="s">
        <v>3997</v>
      </c>
      <c r="D4463" s="3" t="str">
        <f t="shared" ref="D4463:D4465" si="799">HYPERLINK("https://12go.asia/en/travel/Wadi-Rum-Hotel-Transfer/Madaba-Hotel-Transfer", "12Go Link")</f>
        <v>12Go Link</v>
      </c>
      <c r="E4463" s="2" t="s">
        <v>3780</v>
      </c>
    </row>
    <row r="4464">
      <c r="A4464" s="2" t="s">
        <v>3802</v>
      </c>
      <c r="B4464" s="2" t="s">
        <v>3792</v>
      </c>
      <c r="C4464" s="2" t="s">
        <v>3997</v>
      </c>
      <c r="D4464" s="3" t="str">
        <f t="shared" si="799"/>
        <v>12Go Link</v>
      </c>
      <c r="E4464" s="2" t="s">
        <v>1567</v>
      </c>
    </row>
    <row r="4465">
      <c r="A4465" s="2" t="s">
        <v>3802</v>
      </c>
      <c r="B4465" s="2" t="s">
        <v>3792</v>
      </c>
      <c r="C4465" s="2" t="s">
        <v>3997</v>
      </c>
      <c r="D4465" s="3" t="str">
        <f t="shared" si="799"/>
        <v>12Go Link</v>
      </c>
      <c r="E4465" s="2" t="s">
        <v>3805</v>
      </c>
    </row>
    <row r="4466">
      <c r="A4466" s="2" t="s">
        <v>3802</v>
      </c>
      <c r="B4466" s="2" t="s">
        <v>3794</v>
      </c>
      <c r="C4466" s="2" t="s">
        <v>3998</v>
      </c>
      <c r="D4466" s="3" t="str">
        <f t="shared" ref="D4466:D4468" si="800">HYPERLINK("https://12go.asia/en/travel/Wadi-Rum-Hotel-Transfer/Ma-in-Hot-Springs-Transfer", "12Go Link")</f>
        <v>12Go Link</v>
      </c>
      <c r="E4466" s="2" t="s">
        <v>3780</v>
      </c>
    </row>
    <row r="4467">
      <c r="A4467" s="2" t="s">
        <v>3802</v>
      </c>
      <c r="B4467" s="2" t="s">
        <v>3794</v>
      </c>
      <c r="C4467" s="2" t="s">
        <v>3998</v>
      </c>
      <c r="D4467" s="3" t="str">
        <f t="shared" si="800"/>
        <v>12Go Link</v>
      </c>
      <c r="E4467" s="2" t="s">
        <v>1567</v>
      </c>
    </row>
    <row r="4468">
      <c r="A4468" s="2" t="s">
        <v>3802</v>
      </c>
      <c r="B4468" s="2" t="s">
        <v>3794</v>
      </c>
      <c r="C4468" s="2" t="s">
        <v>3998</v>
      </c>
      <c r="D4468" s="3" t="str">
        <f t="shared" si="800"/>
        <v>12Go Link</v>
      </c>
      <c r="E4468" s="2" t="s">
        <v>3805</v>
      </c>
    </row>
    <row r="4469">
      <c r="A4469" s="2" t="s">
        <v>3802</v>
      </c>
      <c r="B4469" s="2" t="s">
        <v>3796</v>
      </c>
      <c r="C4469" s="2" t="s">
        <v>3999</v>
      </c>
      <c r="D4469" s="3" t="str">
        <f t="shared" ref="D4469:D4471" si="801">HYPERLINK("https://12go.asia/en/travel/Wadi-Rum-Hotel-Transfer/Petra-Hotel-Transfer", "12Go Link")</f>
        <v>12Go Link</v>
      </c>
      <c r="E4469" s="2" t="s">
        <v>3780</v>
      </c>
    </row>
    <row r="4470">
      <c r="A4470" s="2" t="s">
        <v>3802</v>
      </c>
      <c r="B4470" s="2" t="s">
        <v>3796</v>
      </c>
      <c r="C4470" s="2" t="s">
        <v>3999</v>
      </c>
      <c r="D4470" s="3" t="str">
        <f t="shared" si="801"/>
        <v>12Go Link</v>
      </c>
      <c r="E4470" s="2" t="s">
        <v>1567</v>
      </c>
    </row>
    <row r="4471">
      <c r="A4471" s="2" t="s">
        <v>3802</v>
      </c>
      <c r="B4471" s="2" t="s">
        <v>3796</v>
      </c>
      <c r="C4471" s="2" t="s">
        <v>3999</v>
      </c>
      <c r="D4471" s="3" t="str">
        <f t="shared" si="801"/>
        <v>12Go Link</v>
      </c>
      <c r="E4471" s="2" t="s">
        <v>3805</v>
      </c>
    </row>
    <row r="4472">
      <c r="A4472" s="2" t="s">
        <v>3802</v>
      </c>
      <c r="B4472" s="2" t="s">
        <v>3798</v>
      </c>
      <c r="C4472" s="2" t="s">
        <v>4000</v>
      </c>
      <c r="D4472" s="3" t="str">
        <f t="shared" ref="D4472:D4474" si="802">HYPERLINK("https://12go.asia/en/travel/Wadi-Rum-Hotel-Transfer/Jordan-River-Crossing", "12Go Link")</f>
        <v>12Go Link</v>
      </c>
      <c r="E4472" s="2" t="s">
        <v>3780</v>
      </c>
    </row>
    <row r="4473">
      <c r="A4473" s="2" t="s">
        <v>3802</v>
      </c>
      <c r="B4473" s="2" t="s">
        <v>3798</v>
      </c>
      <c r="C4473" s="2" t="s">
        <v>4000</v>
      </c>
      <c r="D4473" s="3" t="str">
        <f t="shared" si="802"/>
        <v>12Go Link</v>
      </c>
      <c r="E4473" s="2" t="s">
        <v>1567</v>
      </c>
    </row>
    <row r="4474">
      <c r="A4474" s="2" t="s">
        <v>3802</v>
      </c>
      <c r="B4474" s="2" t="s">
        <v>3798</v>
      </c>
      <c r="C4474" s="2" t="s">
        <v>4000</v>
      </c>
      <c r="D4474" s="3" t="str">
        <f t="shared" si="802"/>
        <v>12Go Link</v>
      </c>
      <c r="E4474" s="2" t="s">
        <v>3805</v>
      </c>
    </row>
    <row r="4475">
      <c r="A4475" s="2" t="s">
        <v>3802</v>
      </c>
      <c r="B4475" s="2" t="s">
        <v>3800</v>
      </c>
      <c r="C4475" s="2" t="s">
        <v>4001</v>
      </c>
      <c r="D4475" s="3" t="str">
        <f t="shared" ref="D4475:D4477" si="803">HYPERLINK("https://12go.asia/en/travel/Wadi-Rum-Hotel-Transfer/Umm-Qais-Hotel-Transfer", "12Go Link")</f>
        <v>12Go Link</v>
      </c>
      <c r="E4475" s="2" t="s">
        <v>3780</v>
      </c>
    </row>
    <row r="4476">
      <c r="A4476" s="2" t="s">
        <v>3802</v>
      </c>
      <c r="B4476" s="2" t="s">
        <v>3800</v>
      </c>
      <c r="C4476" s="2" t="s">
        <v>4001</v>
      </c>
      <c r="D4476" s="3" t="str">
        <f t="shared" si="803"/>
        <v>12Go Link</v>
      </c>
      <c r="E4476" s="2" t="s">
        <v>1567</v>
      </c>
    </row>
    <row r="4477">
      <c r="A4477" s="2" t="s">
        <v>3802</v>
      </c>
      <c r="B4477" s="2" t="s">
        <v>3800</v>
      </c>
      <c r="C4477" s="2" t="s">
        <v>4001</v>
      </c>
      <c r="D4477" s="3" t="str">
        <f t="shared" si="803"/>
        <v>12Go Link</v>
      </c>
      <c r="E4477" s="2" t="s">
        <v>3805</v>
      </c>
    </row>
    <row r="4478">
      <c r="A4478" s="2" t="s">
        <v>4002</v>
      </c>
      <c r="B4478" s="2" t="s">
        <v>4003</v>
      </c>
      <c r="C4478" s="2" t="s">
        <v>4004</v>
      </c>
      <c r="D4478" s="3" t="str">
        <f>HYPERLINK("https://12go.asia/en/travel/Chong-Mek-Checkpoint/Nakasong", "12Go Link")</f>
        <v>12Go Link</v>
      </c>
      <c r="E4478" s="2" t="s">
        <v>4005</v>
      </c>
    </row>
    <row r="4479">
      <c r="A4479" s="2" t="s">
        <v>4002</v>
      </c>
      <c r="B4479" s="2" t="s">
        <v>4006</v>
      </c>
      <c r="C4479" s="2" t="s">
        <v>4007</v>
      </c>
      <c r="D4479" s="3" t="str">
        <f t="shared" ref="D4479:D4480" si="804">HYPERLINK("https://12go.asia/en/travel/Chong-Mek-Border-/Pakse-Hotel-Transfer", "12Go Link")</f>
        <v>12Go Link</v>
      </c>
      <c r="E4479" s="2" t="s">
        <v>4008</v>
      </c>
    </row>
    <row r="4480">
      <c r="A4480" s="2" t="s">
        <v>4002</v>
      </c>
      <c r="B4480" s="2" t="s">
        <v>4006</v>
      </c>
      <c r="C4480" s="2" t="s">
        <v>4007</v>
      </c>
      <c r="D4480" s="3" t="str">
        <f t="shared" si="804"/>
        <v>12Go Link</v>
      </c>
      <c r="E4480" s="2" t="s">
        <v>4009</v>
      </c>
    </row>
    <row r="4481">
      <c r="A4481" s="2" t="s">
        <v>4002</v>
      </c>
      <c r="B4481" s="2" t="s">
        <v>4006</v>
      </c>
      <c r="C4481" s="2" t="s">
        <v>4010</v>
      </c>
      <c r="D4481" s="3" t="str">
        <f>HYPERLINK("https://12go.asia/en/travel/Chong-Mek-Checkpoint/Pakse-Hotel-Transfer", "12Go Link")</f>
        <v>12Go Link</v>
      </c>
      <c r="E4481" s="2" t="s">
        <v>4011</v>
      </c>
    </row>
    <row r="4482">
      <c r="A4482" s="2" t="s">
        <v>4002</v>
      </c>
      <c r="B4482" s="2" t="s">
        <v>4012</v>
      </c>
      <c r="C4482" s="2" t="s">
        <v>4013</v>
      </c>
      <c r="D4482" s="3" t="str">
        <f t="shared" ref="D4482:D4483" si="805">HYPERLINK("https://12go.asia/en/travel/Chong-Mek-Border-/Ubon-Ratchathani-Transfer", "12Go Link")</f>
        <v>12Go Link</v>
      </c>
      <c r="E4482" s="2" t="s">
        <v>4008</v>
      </c>
    </row>
    <row r="4483">
      <c r="A4483" s="2" t="s">
        <v>4002</v>
      </c>
      <c r="B4483" s="2" t="s">
        <v>4012</v>
      </c>
      <c r="C4483" s="2" t="s">
        <v>4013</v>
      </c>
      <c r="D4483" s="3" t="str">
        <f t="shared" si="805"/>
        <v>12Go Link</v>
      </c>
      <c r="E4483" s="2" t="s">
        <v>4009</v>
      </c>
    </row>
    <row r="4484">
      <c r="A4484" s="2" t="s">
        <v>4014</v>
      </c>
      <c r="B4484" s="2" t="s">
        <v>4015</v>
      </c>
      <c r="C4484" s="2" t="s">
        <v>4016</v>
      </c>
      <c r="D4484" s="3" t="str">
        <f>HYPERLINK("https://12go.asia/en/travel/Huay-Xai/Luang-Namtha-Bus-Terminal", "12Go Link")</f>
        <v>12Go Link</v>
      </c>
      <c r="E4484" s="2" t="s">
        <v>4017</v>
      </c>
    </row>
    <row r="4485">
      <c r="A4485" s="2" t="s">
        <v>4014</v>
      </c>
      <c r="B4485" s="2" t="s">
        <v>4015</v>
      </c>
      <c r="C4485" s="2" t="s">
        <v>4018</v>
      </c>
      <c r="D4485" s="3" t="str">
        <f>HYPERLINK("https://12go.asia/en/travel/Huay-Xai-Transfer/Luang-Namtha-Bus-Terminal", "12Go Link")</f>
        <v>12Go Link</v>
      </c>
      <c r="E4485" s="2" t="s">
        <v>4019</v>
      </c>
    </row>
    <row r="4486">
      <c r="A4486" s="2" t="s">
        <v>4014</v>
      </c>
      <c r="B4486" s="2" t="s">
        <v>4020</v>
      </c>
      <c r="C4486" s="2" t="s">
        <v>4021</v>
      </c>
      <c r="D4486" s="3" t="str">
        <f>HYPERLINK("https://12go.asia/en/travel/Huay-Xai/Sokprasert-Bus-Terminal", "12Go Link")</f>
        <v>12Go Link</v>
      </c>
      <c r="E4486" s="2" t="s">
        <v>4017</v>
      </c>
    </row>
    <row r="4487">
      <c r="A4487" s="2" t="s">
        <v>4014</v>
      </c>
      <c r="B4487" s="2" t="s">
        <v>4020</v>
      </c>
      <c r="C4487" s="2" t="s">
        <v>4022</v>
      </c>
      <c r="D4487" s="3" t="str">
        <f>HYPERLINK("https://12go.asia/en/travel/Huay-Xai-Transfer/Luang-Prabang-Slow-Boat-Pier", "12Go Link")</f>
        <v>12Go Link</v>
      </c>
      <c r="E4487" s="2" t="s">
        <v>4023</v>
      </c>
    </row>
    <row r="4488">
      <c r="A4488" s="2" t="s">
        <v>4014</v>
      </c>
      <c r="B4488" s="2" t="s">
        <v>4020</v>
      </c>
      <c r="C4488" s="2" t="s">
        <v>4024</v>
      </c>
      <c r="D4488" s="3" t="str">
        <f>HYPERLINK("https://12go.asia/en/travel/Huay-Xai-Transfer/Sokprasert-Bus-Terminal", "12Go Link")</f>
        <v>12Go Link</v>
      </c>
      <c r="E4488" s="2" t="s">
        <v>4019</v>
      </c>
    </row>
    <row r="4489">
      <c r="A4489" s="2" t="s">
        <v>4014</v>
      </c>
      <c r="B4489" s="2" t="s">
        <v>4025</v>
      </c>
      <c r="C4489" s="2" t="s">
        <v>4026</v>
      </c>
      <c r="D4489" s="3" t="str">
        <f>HYPERLINK("https://12go.asia/en/travel/Huay-Xai/Nateuy-Train-Station", "12Go Link")</f>
        <v>12Go Link</v>
      </c>
      <c r="E4489" s="2" t="s">
        <v>4005</v>
      </c>
    </row>
    <row r="4490">
      <c r="A4490" s="2" t="s">
        <v>4014</v>
      </c>
      <c r="B4490" s="2" t="s">
        <v>4025</v>
      </c>
      <c r="C4490" s="2" t="s">
        <v>4027</v>
      </c>
      <c r="D4490" s="3" t="str">
        <f>HYPERLINK("https://12go.asia/en/travel/Huay-Xai-border-checkpoint/Nateuy-Train-Station", "12Go Link")</f>
        <v>12Go Link</v>
      </c>
      <c r="E4490" s="2" t="s">
        <v>4005</v>
      </c>
    </row>
    <row r="4491">
      <c r="A4491" s="2" t="s">
        <v>4015</v>
      </c>
      <c r="B4491" s="2" t="s">
        <v>4028</v>
      </c>
      <c r="C4491" s="2" t="s">
        <v>4029</v>
      </c>
      <c r="D4491" s="3" t="str">
        <f>HYPERLINK("https://12go.asia/en/travel/Luang-Namtha-Bus-Station/Lao-Viet-Restaurant", "12Go Link")</f>
        <v>12Go Link</v>
      </c>
      <c r="E4491" s="2" t="s">
        <v>8</v>
      </c>
    </row>
    <row r="4492">
      <c r="A4492" s="2" t="s">
        <v>4015</v>
      </c>
      <c r="B4492" s="2" t="s">
        <v>4030</v>
      </c>
      <c r="C4492" s="2" t="s">
        <v>4031</v>
      </c>
      <c r="D4492" s="3" t="str">
        <f>HYPERLINK("https://12go.asia/en/travel/Luang-Namtha-Bus-Station/Muang-Khua", "12Go Link")</f>
        <v>12Go Link</v>
      </c>
      <c r="E4492" s="2" t="s">
        <v>8</v>
      </c>
    </row>
    <row r="4493">
      <c r="A4493" s="2" t="s">
        <v>4015</v>
      </c>
      <c r="B4493" s="2" t="s">
        <v>4032</v>
      </c>
      <c r="C4493" s="2" t="s">
        <v>4033</v>
      </c>
      <c r="D4493" s="3" t="str">
        <f>HYPERLINK("https://12go.asia/en/travel/Luang-Namtha-Bus-Station/Pha-Din-Hotel", "12Go Link")</f>
        <v>12Go Link</v>
      </c>
      <c r="E4493" s="2" t="s">
        <v>8</v>
      </c>
    </row>
    <row r="4494">
      <c r="A4494" s="2" t="s">
        <v>4015</v>
      </c>
      <c r="B4494" s="2" t="s">
        <v>4034</v>
      </c>
      <c r="C4494" s="2" t="s">
        <v>4035</v>
      </c>
      <c r="D4494" s="3" t="str">
        <f>HYPERLINK("https://12go.asia/en/travel/Luang-Namtha-Bus-Station/270-Nguyen-Hoang", "12Go Link")</f>
        <v>12Go Link</v>
      </c>
      <c r="E4494" s="2" t="s">
        <v>4036</v>
      </c>
    </row>
    <row r="4495">
      <c r="A4495" s="2" t="s">
        <v>4015</v>
      </c>
      <c r="B4495" s="2" t="s">
        <v>4037</v>
      </c>
      <c r="C4495" s="2" t="s">
        <v>4038</v>
      </c>
      <c r="D4495" s="3" t="str">
        <f>HYPERLINK("https://12go.asia/en/travel/Luang-Namtha-Bus-Station/Sapa-Bus-Station", "12Go Link")</f>
        <v>12Go Link</v>
      </c>
      <c r="E4495" s="2" t="s">
        <v>4039</v>
      </c>
    </row>
    <row r="4496">
      <c r="A4496" s="2" t="s">
        <v>4020</v>
      </c>
      <c r="B4496" s="2" t="s">
        <v>4014</v>
      </c>
      <c r="C4496" s="2" t="s">
        <v>4040</v>
      </c>
      <c r="D4496" s="3" t="str">
        <f t="shared" ref="D4496:D4497" si="806">HYPERLINK("https://12go.asia/en/travel/Luang-Prabang-Transfer/Huay-Xai-Pier", "12Go Link")</f>
        <v>12Go Link</v>
      </c>
      <c r="E4496" s="2" t="s">
        <v>331</v>
      </c>
    </row>
    <row r="4497">
      <c r="A4497" s="2" t="s">
        <v>4020</v>
      </c>
      <c r="B4497" s="2" t="s">
        <v>4014</v>
      </c>
      <c r="C4497" s="2" t="s">
        <v>4040</v>
      </c>
      <c r="D4497" s="3" t="str">
        <f t="shared" si="806"/>
        <v>12Go Link</v>
      </c>
      <c r="E4497" s="2" t="s">
        <v>4041</v>
      </c>
    </row>
    <row r="4498">
      <c r="A4498" s="2" t="s">
        <v>4020</v>
      </c>
      <c r="B4498" s="2" t="s">
        <v>4020</v>
      </c>
      <c r="C4498" s="2" t="s">
        <v>4042</v>
      </c>
      <c r="D4498" s="3" t="str">
        <f>HYPERLINK("https://12go.asia/en/travel/Luang-Prabang-Transfer/Pak-Beng-Slow-Boat-Pier", "12Go Link")</f>
        <v>12Go Link</v>
      </c>
      <c r="E4498" s="2" t="s">
        <v>331</v>
      </c>
    </row>
    <row r="4499">
      <c r="A4499" s="2" t="s">
        <v>4020</v>
      </c>
      <c r="B4499" s="2" t="s">
        <v>4020</v>
      </c>
      <c r="C4499" s="2" t="s">
        <v>4043</v>
      </c>
      <c r="D4499" s="3" t="str">
        <f>HYPERLINK("https://12go.asia/en/travel/Nong-Khiaw-Minivan-Station/Naluang-Bus-Station", "12Go Link")</f>
        <v>12Go Link</v>
      </c>
      <c r="E4499" s="2" t="s">
        <v>4044</v>
      </c>
    </row>
    <row r="4500">
      <c r="A4500" s="2" t="s">
        <v>4003</v>
      </c>
      <c r="B4500" s="2" t="s">
        <v>4006</v>
      </c>
      <c r="C4500" s="2" t="s">
        <v>4045</v>
      </c>
      <c r="D4500" s="3" t="str">
        <f t="shared" ref="D4500:D4501" si="807">HYPERLINK("https://12go.asia/en/travel/Nakasong/Pakse-Hotel-Transfer", "12Go Link")</f>
        <v>12Go Link</v>
      </c>
      <c r="E4500" s="2" t="s">
        <v>4008</v>
      </c>
    </row>
    <row r="4501">
      <c r="A4501" s="2" t="s">
        <v>4003</v>
      </c>
      <c r="B4501" s="2" t="s">
        <v>4006</v>
      </c>
      <c r="C4501" s="2" t="s">
        <v>4045</v>
      </c>
      <c r="D4501" s="3" t="str">
        <f t="shared" si="807"/>
        <v>12Go Link</v>
      </c>
      <c r="E4501" s="2" t="s">
        <v>4009</v>
      </c>
    </row>
    <row r="4502">
      <c r="A4502" s="2" t="s">
        <v>4046</v>
      </c>
      <c r="B4502" s="2" t="s">
        <v>4020</v>
      </c>
      <c r="C4502" s="2" t="s">
        <v>4047</v>
      </c>
      <c r="D4502" s="3" t="str">
        <f>HYPERLINK("https://12go.asia/en/travel/Ing-Ing-Mountain-View/Villa-Ban-Pakham-Hotel", "12Go Link")</f>
        <v>12Go Link</v>
      </c>
      <c r="E4502" s="2" t="s">
        <v>8</v>
      </c>
    </row>
    <row r="4503">
      <c r="A4503" s="2" t="s">
        <v>4046</v>
      </c>
      <c r="B4503" s="2" t="s">
        <v>4028</v>
      </c>
      <c r="C4503" s="2" t="s">
        <v>4048</v>
      </c>
      <c r="D4503" s="3" t="str">
        <f>HYPERLINK("https://12go.asia/en/travel/Ing-Ing-Mountain-View/Lao-Viet-Restaurant", "12Go Link")</f>
        <v>12Go Link</v>
      </c>
      <c r="E4503" s="2" t="s">
        <v>8</v>
      </c>
    </row>
    <row r="4504">
      <c r="A4504" s="2" t="s">
        <v>4046</v>
      </c>
      <c r="B4504" s="2" t="s">
        <v>4030</v>
      </c>
      <c r="C4504" s="2" t="s">
        <v>4049</v>
      </c>
      <c r="D4504" s="3" t="str">
        <f>HYPERLINK("https://12go.asia/en/travel/Ing-Ing-Mountain-View/Muang-Khua", "12Go Link")</f>
        <v>12Go Link</v>
      </c>
      <c r="E4504" s="2" t="s">
        <v>8</v>
      </c>
    </row>
    <row r="4505">
      <c r="A4505" s="2" t="s">
        <v>4046</v>
      </c>
      <c r="B4505" s="2" t="s">
        <v>4050</v>
      </c>
      <c r="C4505" s="2" t="s">
        <v>4051</v>
      </c>
      <c r="D4505" s="3" t="str">
        <f t="shared" ref="D4505:D4506" si="808">HYPERLINK("https://12go.asia/en/travel/Nong-Khiaw-Bus-Terminal/Vang-Vieng-Transfer", "12Go Link")</f>
        <v>12Go Link</v>
      </c>
      <c r="E4505" s="2" t="s">
        <v>4052</v>
      </c>
    </row>
    <row r="4506">
      <c r="A4506" s="2" t="s">
        <v>4046</v>
      </c>
      <c r="B4506" s="2" t="s">
        <v>4050</v>
      </c>
      <c r="C4506" s="2" t="s">
        <v>4051</v>
      </c>
      <c r="D4506" s="3" t="str">
        <f t="shared" si="808"/>
        <v>12Go Link</v>
      </c>
      <c r="E4506" s="2" t="s">
        <v>4053</v>
      </c>
    </row>
    <row r="4507">
      <c r="A4507" s="2" t="s">
        <v>4046</v>
      </c>
      <c r="B4507" s="2" t="s">
        <v>4054</v>
      </c>
      <c r="C4507" s="2" t="s">
        <v>4055</v>
      </c>
      <c r="D4507" s="3" t="str">
        <f>HYPERLINK("https://12go.asia/en/travel/Nong-Khiaw-Bus-Terminal/Vientiane-Transfer", "12Go Link")</f>
        <v>12Go Link</v>
      </c>
      <c r="E4507" s="2" t="s">
        <v>4056</v>
      </c>
    </row>
    <row r="4508">
      <c r="A4508" s="2" t="s">
        <v>4046</v>
      </c>
      <c r="B4508" s="2" t="s">
        <v>4032</v>
      </c>
      <c r="C4508" s="2" t="s">
        <v>4057</v>
      </c>
      <c r="D4508" s="3" t="str">
        <f>HYPERLINK("https://12go.asia/en/travel/Ing-Ing-Mountain-View/Pha-Din-Hotel", "12Go Link")</f>
        <v>12Go Link</v>
      </c>
      <c r="E4508" s="2" t="s">
        <v>8</v>
      </c>
    </row>
    <row r="4509">
      <c r="A4509" s="2" t="s">
        <v>4046</v>
      </c>
      <c r="B4509" s="2" t="s">
        <v>4034</v>
      </c>
      <c r="C4509" s="2" t="s">
        <v>4058</v>
      </c>
      <c r="D4509" s="3" t="str">
        <f t="shared" ref="D4509:D4510" si="809">HYPERLINK("https://12go.asia/en/travel/Ing-Ing-Mountain-View/270-Nguyen-Hoang", "12Go Link")</f>
        <v>12Go Link</v>
      </c>
      <c r="E4509" s="2" t="s">
        <v>4039</v>
      </c>
    </row>
    <row r="4510">
      <c r="A4510" s="2" t="s">
        <v>4046</v>
      </c>
      <c r="B4510" s="2" t="s">
        <v>4034</v>
      </c>
      <c r="C4510" s="2" t="s">
        <v>4058</v>
      </c>
      <c r="D4510" s="3" t="str">
        <f t="shared" si="809"/>
        <v>12Go Link</v>
      </c>
      <c r="E4510" s="2" t="s">
        <v>4036</v>
      </c>
    </row>
    <row r="4511">
      <c r="A4511" s="2" t="s">
        <v>4046</v>
      </c>
      <c r="B4511" s="2" t="s">
        <v>4037</v>
      </c>
      <c r="C4511" s="2" t="s">
        <v>4059</v>
      </c>
      <c r="D4511" s="3" t="str">
        <f>HYPERLINK("https://12go.asia/en/travel/Ing-Ing-Mountain-View/Sapa-Bus-Station", "12Go Link")</f>
        <v>12Go Link</v>
      </c>
      <c r="E4511" s="2" t="s">
        <v>4039</v>
      </c>
    </row>
    <row r="4512">
      <c r="A4512" s="2" t="s">
        <v>4028</v>
      </c>
      <c r="B4512" s="2" t="s">
        <v>4030</v>
      </c>
      <c r="C4512" s="2" t="s">
        <v>4060</v>
      </c>
      <c r="D4512" s="3" t="str">
        <f>HYPERLINK("https://12go.asia/en/travel/Lao-Viet-Restaurant/Muang-Khua", "12Go Link")</f>
        <v>12Go Link</v>
      </c>
      <c r="E4512" s="2" t="s">
        <v>8</v>
      </c>
    </row>
    <row r="4513">
      <c r="A4513" s="2" t="s">
        <v>4028</v>
      </c>
      <c r="B4513" s="2" t="s">
        <v>4032</v>
      </c>
      <c r="C4513" s="2" t="s">
        <v>4061</v>
      </c>
      <c r="D4513" s="3" t="str">
        <f>HYPERLINK("https://12go.asia/en/travel/Lao-Viet-Restaurant/Pha-Din-Hotel", "12Go Link")</f>
        <v>12Go Link</v>
      </c>
      <c r="E4513" s="2" t="s">
        <v>8</v>
      </c>
    </row>
    <row r="4514">
      <c r="A4514" s="2" t="s">
        <v>4006</v>
      </c>
      <c r="B4514" s="2" t="s">
        <v>4002</v>
      </c>
      <c r="C4514" s="2" t="s">
        <v>4062</v>
      </c>
      <c r="D4514" s="3" t="str">
        <f t="shared" ref="D4514:D4515" si="810">HYPERLINK("https://12go.asia/en/travel/Pakse-Hotel-Transfer/Chong-Mek-Border-", "12Go Link")</f>
        <v>12Go Link</v>
      </c>
      <c r="E4514" s="2" t="s">
        <v>4008</v>
      </c>
    </row>
    <row r="4515">
      <c r="A4515" s="2" t="s">
        <v>4006</v>
      </c>
      <c r="B4515" s="2" t="s">
        <v>4002</v>
      </c>
      <c r="C4515" s="2" t="s">
        <v>4062</v>
      </c>
      <c r="D4515" s="3" t="str">
        <f t="shared" si="810"/>
        <v>12Go Link</v>
      </c>
      <c r="E4515" s="2" t="s">
        <v>4009</v>
      </c>
    </row>
    <row r="4516">
      <c r="A4516" s="2" t="s">
        <v>4006</v>
      </c>
      <c r="B4516" s="2" t="s">
        <v>4002</v>
      </c>
      <c r="C4516" s="2" t="s">
        <v>4063</v>
      </c>
      <c r="D4516" s="3" t="str">
        <f>HYPERLINK("https://12go.asia/en/travel/Pakse-Transfer/Chong-Mek-Checkpoint", "12Go Link")</f>
        <v>12Go Link</v>
      </c>
      <c r="E4516" s="2" t="s">
        <v>4064</v>
      </c>
    </row>
    <row r="4517">
      <c r="A4517" s="2" t="s">
        <v>4006</v>
      </c>
      <c r="B4517" s="2" t="s">
        <v>4065</v>
      </c>
      <c r="C4517" s="2" t="s">
        <v>4066</v>
      </c>
      <c r="D4517" s="3" t="str">
        <f>HYPERLINK("https://12go.asia/en/travel/Pakse-Transfer/Wonderful-Tour-Dondet", "12Go Link")</f>
        <v>12Go Link</v>
      </c>
      <c r="E4517" s="2" t="s">
        <v>4067</v>
      </c>
    </row>
    <row r="4518">
      <c r="A4518" s="2" t="s">
        <v>4006</v>
      </c>
      <c r="B4518" s="2" t="s">
        <v>4003</v>
      </c>
      <c r="C4518" s="2" t="s">
        <v>4068</v>
      </c>
      <c r="D4518" s="3" t="str">
        <f t="shared" ref="D4518:D4519" si="811">HYPERLINK("https://12go.asia/en/travel/Pakse-Hotel-Transfer/Nakasong", "12Go Link")</f>
        <v>12Go Link</v>
      </c>
      <c r="E4518" s="2" t="s">
        <v>4008</v>
      </c>
    </row>
    <row r="4519">
      <c r="A4519" s="2" t="s">
        <v>4006</v>
      </c>
      <c r="B4519" s="2" t="s">
        <v>4003</v>
      </c>
      <c r="C4519" s="2" t="s">
        <v>4068</v>
      </c>
      <c r="D4519" s="3" t="str">
        <f t="shared" si="811"/>
        <v>12Go Link</v>
      </c>
      <c r="E4519" s="2" t="s">
        <v>4009</v>
      </c>
    </row>
    <row r="4520">
      <c r="A4520" s="2" t="s">
        <v>4006</v>
      </c>
      <c r="B4520" s="2" t="s">
        <v>4069</v>
      </c>
      <c r="C4520" s="2" t="s">
        <v>4070</v>
      </c>
      <c r="D4520" s="3" t="str">
        <f t="shared" ref="D4520:D4521" si="812">HYPERLINK("https://12go.asia/en/travel/Pakse-Hotel-Transfer/Ban-Nong-Luang", "12Go Link")</f>
        <v>12Go Link</v>
      </c>
      <c r="E4520" s="2" t="s">
        <v>4008</v>
      </c>
    </row>
    <row r="4521">
      <c r="A4521" s="2" t="s">
        <v>4006</v>
      </c>
      <c r="B4521" s="2" t="s">
        <v>4069</v>
      </c>
      <c r="C4521" s="2" t="s">
        <v>4070</v>
      </c>
      <c r="D4521" s="3" t="str">
        <f t="shared" si="812"/>
        <v>12Go Link</v>
      </c>
      <c r="E4521" s="2" t="s">
        <v>4009</v>
      </c>
    </row>
    <row r="4522">
      <c r="A4522" s="2" t="s">
        <v>4006</v>
      </c>
      <c r="B4522" s="2" t="s">
        <v>4069</v>
      </c>
      <c r="C4522" s="2" t="s">
        <v>4071</v>
      </c>
      <c r="D4522" s="3" t="str">
        <f t="shared" ref="D4522:D4523" si="813">HYPERLINK("https://12go.asia/en/travel/Pakse-Hotel-Transfer/Tad-Fane-Waterfall", "12Go Link")</f>
        <v>12Go Link</v>
      </c>
      <c r="E4522" s="2" t="s">
        <v>4008</v>
      </c>
    </row>
    <row r="4523">
      <c r="A4523" s="2" t="s">
        <v>4006</v>
      </c>
      <c r="B4523" s="2" t="s">
        <v>4069</v>
      </c>
      <c r="C4523" s="2" t="s">
        <v>4071</v>
      </c>
      <c r="D4523" s="3" t="str">
        <f t="shared" si="813"/>
        <v>12Go Link</v>
      </c>
      <c r="E4523" s="2" t="s">
        <v>4009</v>
      </c>
    </row>
    <row r="4524">
      <c r="A4524" s="2" t="s">
        <v>4006</v>
      </c>
      <c r="B4524" s="2" t="s">
        <v>4072</v>
      </c>
      <c r="C4524" s="2" t="s">
        <v>4073</v>
      </c>
      <c r="D4524" s="3" t="str">
        <f>HYPERLINK("https://12go.asia/en/travel/Pakse-SCL-Bus-Station/Savannakhet-Bus-Station", "12Go Link")</f>
        <v>12Go Link</v>
      </c>
      <c r="E4524" s="2" t="s">
        <v>4074</v>
      </c>
    </row>
    <row r="4525">
      <c r="A4525" s="2" t="s">
        <v>4006</v>
      </c>
      <c r="B4525" s="2" t="s">
        <v>4012</v>
      </c>
      <c r="C4525" s="2" t="s">
        <v>4075</v>
      </c>
      <c r="D4525" s="3" t="str">
        <f t="shared" ref="D4525:D4526" si="814">HYPERLINK("https://12go.asia/en/travel/Pakse-Hotel-Transfer/Ubon-Ratchathani-Transfer", "12Go Link")</f>
        <v>12Go Link</v>
      </c>
      <c r="E4525" s="2" t="s">
        <v>4008</v>
      </c>
    </row>
    <row r="4526">
      <c r="A4526" s="2" t="s">
        <v>4006</v>
      </c>
      <c r="B4526" s="2" t="s">
        <v>4012</v>
      </c>
      <c r="C4526" s="2" t="s">
        <v>4075</v>
      </c>
      <c r="D4526" s="3" t="str">
        <f t="shared" si="814"/>
        <v>12Go Link</v>
      </c>
      <c r="E4526" s="2" t="s">
        <v>4009</v>
      </c>
    </row>
    <row r="4527">
      <c r="A4527" s="2" t="s">
        <v>4006</v>
      </c>
      <c r="B4527" s="2" t="s">
        <v>4012</v>
      </c>
      <c r="C4527" s="2" t="s">
        <v>4076</v>
      </c>
      <c r="D4527" s="3" t="str">
        <f>HYPERLINK("https://12go.asia/en/travel/Pakse-Transfer/Ubon-Ratchathani-Transfer", "12Go Link")</f>
        <v>12Go Link</v>
      </c>
      <c r="E4527" s="2" t="s">
        <v>4064</v>
      </c>
    </row>
    <row r="4528">
      <c r="A4528" s="2" t="s">
        <v>4069</v>
      </c>
      <c r="B4528" s="2" t="s">
        <v>4006</v>
      </c>
      <c r="C4528" s="2" t="s">
        <v>4077</v>
      </c>
      <c r="D4528" s="3" t="str">
        <f t="shared" ref="D4528:D4529" si="815">HYPERLINK("https://12go.asia/en/travel/Ban-Nong-Luang/Pakse-Hotel-Transfer", "12Go Link")</f>
        <v>12Go Link</v>
      </c>
      <c r="E4528" s="2" t="s">
        <v>4008</v>
      </c>
    </row>
    <row r="4529">
      <c r="A4529" s="2" t="s">
        <v>4069</v>
      </c>
      <c r="B4529" s="2" t="s">
        <v>4006</v>
      </c>
      <c r="C4529" s="2" t="s">
        <v>4077</v>
      </c>
      <c r="D4529" s="3" t="str">
        <f t="shared" si="815"/>
        <v>12Go Link</v>
      </c>
      <c r="E4529" s="2" t="s">
        <v>4009</v>
      </c>
    </row>
    <row r="4530">
      <c r="A4530" s="2" t="s">
        <v>4069</v>
      </c>
      <c r="B4530" s="2" t="s">
        <v>4006</v>
      </c>
      <c r="C4530" s="2" t="s">
        <v>4078</v>
      </c>
      <c r="D4530" s="3" t="str">
        <f t="shared" ref="D4530:D4531" si="816">HYPERLINK("https://12go.asia/en/travel/Tad-Fane-Waterfall/Pakse-Hotel-Transfer", "12Go Link")</f>
        <v>12Go Link</v>
      </c>
      <c r="E4530" s="2" t="s">
        <v>4008</v>
      </c>
    </row>
    <row r="4531">
      <c r="A4531" s="2" t="s">
        <v>4069</v>
      </c>
      <c r="B4531" s="2" t="s">
        <v>4006</v>
      </c>
      <c r="C4531" s="2" t="s">
        <v>4078</v>
      </c>
      <c r="D4531" s="3" t="str">
        <f t="shared" si="816"/>
        <v>12Go Link</v>
      </c>
      <c r="E4531" s="2" t="s">
        <v>4009</v>
      </c>
    </row>
    <row r="4532">
      <c r="A4532" s="2" t="s">
        <v>4050</v>
      </c>
      <c r="B4532" s="2" t="s">
        <v>4065</v>
      </c>
      <c r="C4532" s="2" t="s">
        <v>4079</v>
      </c>
      <c r="D4532" s="3" t="str">
        <f>HYPERLINK("https://12go.asia/en/travel/Vang-Vieng-Transfer/Tuktuk-Delivery-on-Donedet", "12Go Link")</f>
        <v>12Go Link</v>
      </c>
      <c r="E4532" s="2" t="s">
        <v>4080</v>
      </c>
    </row>
    <row r="4533">
      <c r="A4533" s="2" t="s">
        <v>4050</v>
      </c>
      <c r="B4533" s="2" t="s">
        <v>4020</v>
      </c>
      <c r="C4533" s="2" t="s">
        <v>4081</v>
      </c>
      <c r="D4533" s="3" t="str">
        <f>HYPERLINK("https://12go.asia/en/travel/Vang-Vieng-Transfer/Naluang-International-Bus-Station", "12Go Link")</f>
        <v>12Go Link</v>
      </c>
      <c r="E4533" s="2" t="s">
        <v>8</v>
      </c>
    </row>
    <row r="4534">
      <c r="A4534" s="2" t="s">
        <v>4050</v>
      </c>
      <c r="B4534" s="2" t="s">
        <v>4046</v>
      </c>
      <c r="C4534" s="2" t="s">
        <v>4082</v>
      </c>
      <c r="D4534" s="3" t="str">
        <f>HYPERLINK("https://12go.asia/en/travel/Vang-Vieng-Transfer/Nong-Khiaw-Bus-Terminal", "12Go Link")</f>
        <v>12Go Link</v>
      </c>
      <c r="E4534" s="2" t="s">
        <v>4083</v>
      </c>
    </row>
    <row r="4535">
      <c r="A4535" s="2" t="s">
        <v>4050</v>
      </c>
      <c r="B4535" s="2" t="s">
        <v>4006</v>
      </c>
      <c r="C4535" s="2" t="s">
        <v>4084</v>
      </c>
      <c r="D4535" s="3" t="str">
        <f>HYPERLINK("https://12go.asia/en/travel/Vang-Vieng-Transfer/Chitpasong-Bus-Station-Pakse", "12Go Link")</f>
        <v>12Go Link</v>
      </c>
      <c r="E4535" s="2" t="s">
        <v>4080</v>
      </c>
    </row>
    <row r="4536">
      <c r="A4536" s="2" t="s">
        <v>4050</v>
      </c>
      <c r="B4536" s="2" t="s">
        <v>4006</v>
      </c>
      <c r="C4536" s="2" t="s">
        <v>4085</v>
      </c>
      <c r="D4536" s="3" t="str">
        <f>HYPERLINK("https://12go.asia/en/travel/Vang-Vieng-Transfer/Pakse-Northern-Bus-Terminal", "12Go Link")</f>
        <v>12Go Link</v>
      </c>
      <c r="E4536" s="2" t="s">
        <v>331</v>
      </c>
    </row>
    <row r="4537">
      <c r="A4537" s="2" t="s">
        <v>4050</v>
      </c>
      <c r="B4537" s="2" t="s">
        <v>4072</v>
      </c>
      <c r="C4537" s="2" t="s">
        <v>4086</v>
      </c>
      <c r="D4537" s="3" t="str">
        <f t="shared" ref="D4537:D4538" si="817">HYPERLINK("https://12go.asia/en/travel/Vang-Vieng-Transfer/Savannakhet-Bus-Station", "12Go Link")</f>
        <v>12Go Link</v>
      </c>
      <c r="E4537" s="2" t="s">
        <v>331</v>
      </c>
    </row>
    <row r="4538">
      <c r="A4538" s="2" t="s">
        <v>4050</v>
      </c>
      <c r="B4538" s="2" t="s">
        <v>4072</v>
      </c>
      <c r="C4538" s="2" t="s">
        <v>4086</v>
      </c>
      <c r="D4538" s="3" t="str">
        <f t="shared" si="817"/>
        <v>12Go Link</v>
      </c>
      <c r="E4538" s="2" t="s">
        <v>4080</v>
      </c>
    </row>
    <row r="4539">
      <c r="A4539" s="2" t="s">
        <v>4050</v>
      </c>
      <c r="B4539" s="2" t="s">
        <v>4087</v>
      </c>
      <c r="C4539" s="2" t="s">
        <v>4088</v>
      </c>
      <c r="D4539" s="3" t="str">
        <f t="shared" ref="D4539:D4541" si="818">HYPERLINK("https://12go.asia/en/travel/Vang-Vieng-Transfer/Thakhek-Bus-Terminal", "12Go Link")</f>
        <v>12Go Link</v>
      </c>
      <c r="E4539" s="2" t="s">
        <v>331</v>
      </c>
    </row>
    <row r="4540">
      <c r="A4540" s="2" t="s">
        <v>4050</v>
      </c>
      <c r="B4540" s="2" t="s">
        <v>4087</v>
      </c>
      <c r="C4540" s="2" t="s">
        <v>4088</v>
      </c>
      <c r="D4540" s="3" t="str">
        <f t="shared" si="818"/>
        <v>12Go Link</v>
      </c>
      <c r="E4540" s="2" t="s">
        <v>4080</v>
      </c>
    </row>
    <row r="4541">
      <c r="A4541" s="2" t="s">
        <v>4050</v>
      </c>
      <c r="B4541" s="2" t="s">
        <v>4087</v>
      </c>
      <c r="C4541" s="2" t="s">
        <v>4088</v>
      </c>
      <c r="D4541" s="3" t="str">
        <f t="shared" si="818"/>
        <v>12Go Link</v>
      </c>
      <c r="E4541" s="2" t="s">
        <v>4089</v>
      </c>
    </row>
    <row r="4542">
      <c r="A4542" s="2" t="s">
        <v>4050</v>
      </c>
      <c r="B4542" s="2" t="s">
        <v>4050</v>
      </c>
      <c r="C4542" s="2" t="s">
        <v>4090</v>
      </c>
      <c r="D4542" s="3" t="str">
        <f t="shared" ref="D4542:D4546" si="819">HYPERLINK("https://12go.asia/en/travel/Vang-Vieng-Transfer/Blue-Lagoon-1", "12Go Link")</f>
        <v>12Go Link</v>
      </c>
      <c r="E4542" s="2" t="s">
        <v>4091</v>
      </c>
    </row>
    <row r="4543">
      <c r="A4543" s="2" t="s">
        <v>4050</v>
      </c>
      <c r="B4543" s="2" t="s">
        <v>4050</v>
      </c>
      <c r="C4543" s="2" t="s">
        <v>4090</v>
      </c>
      <c r="D4543" s="3" t="str">
        <f t="shared" si="819"/>
        <v>12Go Link</v>
      </c>
      <c r="E4543" s="2" t="s">
        <v>4092</v>
      </c>
    </row>
    <row r="4544">
      <c r="A4544" s="2" t="s">
        <v>4050</v>
      </c>
      <c r="B4544" s="2" t="s">
        <v>4050</v>
      </c>
      <c r="C4544" s="2" t="s">
        <v>4090</v>
      </c>
      <c r="D4544" s="3" t="str">
        <f t="shared" si="819"/>
        <v>12Go Link</v>
      </c>
      <c r="E4544" s="2" t="s">
        <v>4093</v>
      </c>
    </row>
    <row r="4545">
      <c r="A4545" s="2" t="s">
        <v>4050</v>
      </c>
      <c r="B4545" s="2" t="s">
        <v>4050</v>
      </c>
      <c r="C4545" s="2" t="s">
        <v>4090</v>
      </c>
      <c r="D4545" s="3" t="str">
        <f t="shared" si="819"/>
        <v>12Go Link</v>
      </c>
      <c r="E4545" s="2" t="s">
        <v>4094</v>
      </c>
    </row>
    <row r="4546">
      <c r="A4546" s="2" t="s">
        <v>4050</v>
      </c>
      <c r="B4546" s="2" t="s">
        <v>4050</v>
      </c>
      <c r="C4546" s="2" t="s">
        <v>4090</v>
      </c>
      <c r="D4546" s="3" t="str">
        <f t="shared" si="819"/>
        <v>12Go Link</v>
      </c>
      <c r="E4546" s="2" t="s">
        <v>4095</v>
      </c>
    </row>
    <row r="4547">
      <c r="A4547" s="2" t="s">
        <v>4050</v>
      </c>
      <c r="B4547" s="2" t="s">
        <v>4050</v>
      </c>
      <c r="C4547" s="2" t="s">
        <v>4096</v>
      </c>
      <c r="D4547" s="3" t="str">
        <f t="shared" ref="D4547:D4551" si="820">HYPERLINK("https://12go.asia/en/travel/Vang-Vieng-Transfer/Blue-Lagoon-2", "12Go Link")</f>
        <v>12Go Link</v>
      </c>
      <c r="E4547" s="2" t="s">
        <v>4091</v>
      </c>
    </row>
    <row r="4548">
      <c r="A4548" s="2" t="s">
        <v>4050</v>
      </c>
      <c r="B4548" s="2" t="s">
        <v>4050</v>
      </c>
      <c r="C4548" s="2" t="s">
        <v>4096</v>
      </c>
      <c r="D4548" s="3" t="str">
        <f t="shared" si="820"/>
        <v>12Go Link</v>
      </c>
      <c r="E4548" s="2" t="s">
        <v>4092</v>
      </c>
    </row>
    <row r="4549">
      <c r="A4549" s="2" t="s">
        <v>4050</v>
      </c>
      <c r="B4549" s="2" t="s">
        <v>4050</v>
      </c>
      <c r="C4549" s="2" t="s">
        <v>4096</v>
      </c>
      <c r="D4549" s="3" t="str">
        <f t="shared" si="820"/>
        <v>12Go Link</v>
      </c>
      <c r="E4549" s="2" t="s">
        <v>4093</v>
      </c>
    </row>
    <row r="4550">
      <c r="A4550" s="2" t="s">
        <v>4050</v>
      </c>
      <c r="B4550" s="2" t="s">
        <v>4050</v>
      </c>
      <c r="C4550" s="2" t="s">
        <v>4096</v>
      </c>
      <c r="D4550" s="3" t="str">
        <f t="shared" si="820"/>
        <v>12Go Link</v>
      </c>
      <c r="E4550" s="2" t="s">
        <v>4094</v>
      </c>
    </row>
    <row r="4551">
      <c r="A4551" s="2" t="s">
        <v>4050</v>
      </c>
      <c r="B4551" s="2" t="s">
        <v>4050</v>
      </c>
      <c r="C4551" s="2" t="s">
        <v>4096</v>
      </c>
      <c r="D4551" s="3" t="str">
        <f t="shared" si="820"/>
        <v>12Go Link</v>
      </c>
      <c r="E4551" s="2" t="s">
        <v>4095</v>
      </c>
    </row>
    <row r="4552">
      <c r="A4552" s="2" t="s">
        <v>4050</v>
      </c>
      <c r="B4552" s="2" t="s">
        <v>4050</v>
      </c>
      <c r="C4552" s="2" t="s">
        <v>4097</v>
      </c>
      <c r="D4552" s="3" t="str">
        <f t="shared" ref="D4552:D4556" si="821">HYPERLINK("https://12go.asia/en/travel/Vang-Vieng-Transfer/Blue-Lagoon-3", "12Go Link")</f>
        <v>12Go Link</v>
      </c>
      <c r="E4552" s="2" t="s">
        <v>4091</v>
      </c>
    </row>
    <row r="4553">
      <c r="A4553" s="2" t="s">
        <v>4050</v>
      </c>
      <c r="B4553" s="2" t="s">
        <v>4050</v>
      </c>
      <c r="C4553" s="2" t="s">
        <v>4097</v>
      </c>
      <c r="D4553" s="3" t="str">
        <f t="shared" si="821"/>
        <v>12Go Link</v>
      </c>
      <c r="E4553" s="2" t="s">
        <v>4092</v>
      </c>
    </row>
    <row r="4554">
      <c r="A4554" s="2" t="s">
        <v>4050</v>
      </c>
      <c r="B4554" s="2" t="s">
        <v>4050</v>
      </c>
      <c r="C4554" s="2" t="s">
        <v>4097</v>
      </c>
      <c r="D4554" s="3" t="str">
        <f t="shared" si="821"/>
        <v>12Go Link</v>
      </c>
      <c r="E4554" s="2" t="s">
        <v>4093</v>
      </c>
    </row>
    <row r="4555">
      <c r="A4555" s="2" t="s">
        <v>4050</v>
      </c>
      <c r="B4555" s="2" t="s">
        <v>4050</v>
      </c>
      <c r="C4555" s="2" t="s">
        <v>4097</v>
      </c>
      <c r="D4555" s="3" t="str">
        <f t="shared" si="821"/>
        <v>12Go Link</v>
      </c>
      <c r="E4555" s="2" t="s">
        <v>4094</v>
      </c>
    </row>
    <row r="4556">
      <c r="A4556" s="2" t="s">
        <v>4050</v>
      </c>
      <c r="B4556" s="2" t="s">
        <v>4050</v>
      </c>
      <c r="C4556" s="2" t="s">
        <v>4097</v>
      </c>
      <c r="D4556" s="3" t="str">
        <f t="shared" si="821"/>
        <v>12Go Link</v>
      </c>
      <c r="E4556" s="2" t="s">
        <v>4095</v>
      </c>
    </row>
    <row r="4557">
      <c r="A4557" s="2" t="s">
        <v>4050</v>
      </c>
      <c r="B4557" s="2" t="s">
        <v>4054</v>
      </c>
      <c r="C4557" s="2" t="s">
        <v>4098</v>
      </c>
      <c r="D4557" s="3" t="str">
        <f>HYPERLINK("https://12go.asia/en/travel/Vang-Vieng-Transfer/Memory-Hotel", "12Go Link")</f>
        <v>12Go Link</v>
      </c>
      <c r="E4557" s="2" t="s">
        <v>8</v>
      </c>
    </row>
    <row r="4558">
      <c r="A4558" s="2" t="s">
        <v>4050</v>
      </c>
      <c r="B4558" s="2" t="s">
        <v>4054</v>
      </c>
      <c r="C4558" s="2" t="s">
        <v>4099</v>
      </c>
      <c r="D4558" s="3" t="str">
        <f>HYPERLINK("https://12go.asia/en/travel/Vang-Vieng-Transfer/Thanaleng-Border-Laos-side", "12Go Link")</f>
        <v>12Go Link</v>
      </c>
      <c r="E4558" s="2" t="s">
        <v>4005</v>
      </c>
    </row>
    <row r="4559">
      <c r="A4559" s="2" t="s">
        <v>4050</v>
      </c>
      <c r="B4559" s="2" t="s">
        <v>4054</v>
      </c>
      <c r="C4559" s="2" t="s">
        <v>4100</v>
      </c>
      <c r="D4559" s="3" t="str">
        <f>HYPERLINK("https://12go.asia/en/travel/Vang-Vieng-Transfer/Vientiane-Airport", "12Go Link")</f>
        <v>12Go Link</v>
      </c>
      <c r="E4559" s="2" t="s">
        <v>4005</v>
      </c>
    </row>
    <row r="4560">
      <c r="A4560" s="2" t="s">
        <v>4050</v>
      </c>
      <c r="B4560" s="2" t="s">
        <v>4054</v>
      </c>
      <c r="C4560" s="2" t="s">
        <v>4101</v>
      </c>
      <c r="D4560" s="3" t="str">
        <f>HYPERLINK("https://12go.asia/en/travel/Vang-Vieng-Transfer/Vientiane-Center-Lao", "12Go Link")</f>
        <v>12Go Link</v>
      </c>
      <c r="E4560" s="2" t="s">
        <v>4005</v>
      </c>
    </row>
    <row r="4561">
      <c r="A4561" s="2" t="s">
        <v>4050</v>
      </c>
      <c r="B4561" s="2" t="s">
        <v>4054</v>
      </c>
      <c r="C4561" s="2" t="s">
        <v>4102</v>
      </c>
      <c r="D4561" s="3" t="str">
        <f>HYPERLINK("https://12go.asia/en/travel/Vang-Vieng-Transfer/Vientiane-Northern-Bus-Stop", "12Go Link")</f>
        <v>12Go Link</v>
      </c>
      <c r="E4561" s="2" t="s">
        <v>4005</v>
      </c>
    </row>
    <row r="4562">
      <c r="A4562" s="2" t="s">
        <v>4050</v>
      </c>
      <c r="B4562" s="2" t="s">
        <v>4054</v>
      </c>
      <c r="C4562" s="2" t="s">
        <v>4103</v>
      </c>
      <c r="D4562" s="3" t="str">
        <f>HYPERLINK("https://12go.asia/en/travel/Vang-Vieng-Transfer/Vientiane-Southern-Bus-Terminal", "12Go Link")</f>
        <v>12Go Link</v>
      </c>
      <c r="E4562" s="2" t="s">
        <v>4005</v>
      </c>
    </row>
    <row r="4563">
      <c r="A4563" s="2" t="s">
        <v>4050</v>
      </c>
      <c r="B4563" s="2" t="s">
        <v>340</v>
      </c>
      <c r="C4563" s="2" t="s">
        <v>4104</v>
      </c>
      <c r="D4563" s="3" t="str">
        <f>HYPERLINK("https://12go.asia/en/travel/Vang-Vieng-Transfer/Bangkok-Office-Mo-Chit", "12Go Link")</f>
        <v>12Go Link</v>
      </c>
      <c r="E4563" s="2" t="s">
        <v>4105</v>
      </c>
    </row>
    <row r="4564">
      <c r="A4564" s="2" t="s">
        <v>4050</v>
      </c>
      <c r="B4564" s="2" t="s">
        <v>340</v>
      </c>
      <c r="C4564" s="2" t="s">
        <v>4106</v>
      </c>
      <c r="D4564" s="3" t="str">
        <f>HYPERLINK("https://12go.asia/en/travel/Vang-Vieng-Transfer/Krung-Thep-Aphiwat-Central-Terminal-Station", "12Go Link")</f>
        <v>12Go Link</v>
      </c>
      <c r="E4564" s="2" t="s">
        <v>4107</v>
      </c>
    </row>
    <row r="4565">
      <c r="A4565" s="2" t="s">
        <v>4050</v>
      </c>
      <c r="B4565" s="2" t="s">
        <v>4108</v>
      </c>
      <c r="C4565" s="2" t="s">
        <v>4109</v>
      </c>
      <c r="D4565" s="3" t="str">
        <f>HYPERLINK("https://12go.asia/en/travel/Vang-Vieng-Transfer/Chiang-Mai-Arcade-2", "12Go Link")</f>
        <v>12Go Link</v>
      </c>
      <c r="E4565" s="2" t="s">
        <v>4105</v>
      </c>
    </row>
    <row r="4566">
      <c r="A4566" s="2" t="s">
        <v>4050</v>
      </c>
      <c r="B4566" s="2" t="s">
        <v>4110</v>
      </c>
      <c r="C4566" s="2" t="s">
        <v>4111</v>
      </c>
      <c r="D4566" s="3" t="str">
        <f>HYPERLINK("https://12go.asia/en/travel/Vang-Vieng-Transfer/Da-Nang-Central-Bus-Station", "12Go Link")</f>
        <v>12Go Link</v>
      </c>
      <c r="E4566" s="2" t="s">
        <v>331</v>
      </c>
    </row>
    <row r="4567">
      <c r="A4567" s="2" t="s">
        <v>4050</v>
      </c>
      <c r="B4567" s="2" t="s">
        <v>4034</v>
      </c>
      <c r="C4567" s="2" t="s">
        <v>4112</v>
      </c>
      <c r="D4567" s="3" t="str">
        <f>HYPERLINK("https://12go.asia/en/travel/Vang-Vieng-Transfer/Nuoc-Ngam-Bus-Station", "12Go Link")</f>
        <v>12Go Link</v>
      </c>
      <c r="E4567" s="2" t="s">
        <v>331</v>
      </c>
    </row>
    <row r="4568">
      <c r="A4568" s="2" t="s">
        <v>4054</v>
      </c>
      <c r="B4568" s="2" t="s">
        <v>4046</v>
      </c>
      <c r="C4568" s="2" t="s">
        <v>4113</v>
      </c>
      <c r="D4568" s="3" t="str">
        <f>HYPERLINK("https://12go.asia/en/travel/Vientiane-Transfer/Nong-Khiaw-Bus-Terminal", "12Go Link")</f>
        <v>12Go Link</v>
      </c>
      <c r="E4568" s="2" t="s">
        <v>4056</v>
      </c>
    </row>
    <row r="4569">
      <c r="A4569" s="2" t="s">
        <v>4054</v>
      </c>
      <c r="B4569" s="2" t="s">
        <v>4050</v>
      </c>
      <c r="C4569" s="2" t="s">
        <v>4114</v>
      </c>
      <c r="D4569" s="3" t="str">
        <f>HYPERLINK("https://12go.asia/en/travel/Memory-Hotel/VangVieng-Backpackers-Hostel", "12Go Link")</f>
        <v>12Go Link</v>
      </c>
      <c r="E4569" s="2" t="s">
        <v>8</v>
      </c>
    </row>
    <row r="4570">
      <c r="A4570" s="2" t="s">
        <v>4054</v>
      </c>
      <c r="B4570" s="2" t="s">
        <v>4050</v>
      </c>
      <c r="C4570" s="2" t="s">
        <v>4115</v>
      </c>
      <c r="D4570" s="3" t="str">
        <f>HYPERLINK("https://12go.asia/en/travel/Thanaleng-Border-Laos-side/Vang-Vieng-Transfer", "12Go Link")</f>
        <v>12Go Link</v>
      </c>
      <c r="E4570" s="2" t="s">
        <v>4005</v>
      </c>
    </row>
    <row r="4571">
      <c r="A4571" s="2" t="s">
        <v>4054</v>
      </c>
      <c r="B4571" s="2" t="s">
        <v>4050</v>
      </c>
      <c r="C4571" s="2" t="s">
        <v>4116</v>
      </c>
      <c r="D4571" s="3" t="str">
        <f>HYPERLINK("https://12go.asia/en/travel/Vientiane-Airport/Vang-Vieng-Transfer", "12Go Link")</f>
        <v>12Go Link</v>
      </c>
      <c r="E4571" s="2" t="s">
        <v>4005</v>
      </c>
    </row>
    <row r="4572">
      <c r="A4572" s="2" t="s">
        <v>4054</v>
      </c>
      <c r="B4572" s="2" t="s">
        <v>4050</v>
      </c>
      <c r="C4572" s="2" t="s">
        <v>4117</v>
      </c>
      <c r="D4572" s="3" t="str">
        <f>HYPERLINK("https://12go.asia/en/travel/Vientiane-Center-Lao/Vang-Vieng-Transfer", "12Go Link")</f>
        <v>12Go Link</v>
      </c>
      <c r="E4572" s="2" t="s">
        <v>4005</v>
      </c>
    </row>
    <row r="4573">
      <c r="A4573" s="2" t="s">
        <v>4054</v>
      </c>
      <c r="B4573" s="2" t="s">
        <v>4050</v>
      </c>
      <c r="C4573" s="2" t="s">
        <v>4118</v>
      </c>
      <c r="D4573" s="3" t="str">
        <f>HYPERLINK("https://12go.asia/en/travel/Vientiane-Northern-Bus-Stop/Vang-Vieng-Transfer", "12Go Link")</f>
        <v>12Go Link</v>
      </c>
      <c r="E4573" s="2" t="s">
        <v>4005</v>
      </c>
    </row>
    <row r="4574">
      <c r="A4574" s="2" t="s">
        <v>4054</v>
      </c>
      <c r="B4574" s="2" t="s">
        <v>4050</v>
      </c>
      <c r="C4574" s="2" t="s">
        <v>4119</v>
      </c>
      <c r="D4574" s="3" t="str">
        <f>HYPERLINK("https://12go.asia/en/travel/Vientiane-Southern-Bus-Terminal-z/Vang-Vieng-Transfer", "12Go Link")</f>
        <v>12Go Link</v>
      </c>
      <c r="E4574" s="2" t="s">
        <v>4005</v>
      </c>
    </row>
    <row r="4575">
      <c r="A4575" s="2" t="s">
        <v>4054</v>
      </c>
      <c r="B4575" s="2" t="s">
        <v>340</v>
      </c>
      <c r="C4575" s="2" t="s">
        <v>4120</v>
      </c>
      <c r="D4575" s="3" t="str">
        <f>HYPERLINK("https://12go.asia/en/travel/Vientiane-Transfer/Bangkok-Office-Mo-Chit", "12Go Link")</f>
        <v>12Go Link</v>
      </c>
      <c r="E4575" s="2" t="s">
        <v>4121</v>
      </c>
    </row>
    <row r="4576">
      <c r="A4576" s="2" t="s">
        <v>4054</v>
      </c>
      <c r="B4576" s="2" t="s">
        <v>340</v>
      </c>
      <c r="C4576" s="2" t="s">
        <v>4122</v>
      </c>
      <c r="D4576" s="3" t="str">
        <f>HYPERLINK("https://12go.asia/en/travel/Vientiane-Transfer/Krung-Thep-Aphiwat-Central-Terminal-Station", "12Go Link")</f>
        <v>12Go Link</v>
      </c>
      <c r="E4576" s="2" t="s">
        <v>4123</v>
      </c>
    </row>
    <row r="4577">
      <c r="A4577" s="2" t="s">
        <v>4054</v>
      </c>
      <c r="B4577" s="2" t="s">
        <v>4108</v>
      </c>
      <c r="C4577" s="2" t="s">
        <v>4124</v>
      </c>
      <c r="D4577" s="3" t="str">
        <f>HYPERLINK("https://12go.asia/en/travel/Vientiane-Transfer/Chiang-Mai-Arcade-2", "12Go Link")</f>
        <v>12Go Link</v>
      </c>
      <c r="E4577" s="2" t="s">
        <v>4121</v>
      </c>
    </row>
    <row r="4578">
      <c r="A4578" s="2" t="s">
        <v>4054</v>
      </c>
      <c r="B4578" s="2" t="s">
        <v>4125</v>
      </c>
      <c r="C4578" s="2" t="s">
        <v>4126</v>
      </c>
      <c r="D4578" s="3" t="str">
        <f>HYPERLINK("https://12go.asia/en/travel/Vientiane-Transfer/Khon-Kaen", "12Go Link")</f>
        <v>12Go Link</v>
      </c>
      <c r="E4578" s="2" t="s">
        <v>4123</v>
      </c>
    </row>
    <row r="4579">
      <c r="A4579" s="2" t="s">
        <v>4127</v>
      </c>
      <c r="B4579" s="2" t="s">
        <v>3594</v>
      </c>
      <c r="C4579" s="2" t="s">
        <v>4128</v>
      </c>
      <c r="D4579" s="3" t="str">
        <f>HYPERLINK("https://12go.asia/en/travel/bandar-penawar/klang", "12Go Link")</f>
        <v>12Go Link</v>
      </c>
      <c r="E4579" s="2" t="s">
        <v>59</v>
      </c>
    </row>
    <row r="4580">
      <c r="A4580" s="2" t="s">
        <v>4129</v>
      </c>
      <c r="B4580" s="2" t="s">
        <v>4130</v>
      </c>
      <c r="C4580" s="2" t="s">
        <v>4131</v>
      </c>
      <c r="D4580" s="3" t="str">
        <f t="shared" ref="D4580:D4583" si="822">HYPERLINK("https://12go.asia/en/travel/Batu-Caves/Kuala-Lumpur-Airport", "12Go Link")</f>
        <v>12Go Link</v>
      </c>
      <c r="E4580" s="2" t="s">
        <v>286</v>
      </c>
    </row>
    <row r="4581">
      <c r="A4581" s="2" t="s">
        <v>4129</v>
      </c>
      <c r="B4581" s="2" t="s">
        <v>4130</v>
      </c>
      <c r="C4581" s="2" t="s">
        <v>4131</v>
      </c>
      <c r="D4581" s="3" t="str">
        <f t="shared" si="822"/>
        <v>12Go Link</v>
      </c>
      <c r="E4581" s="2" t="s">
        <v>3407</v>
      </c>
    </row>
    <row r="4582">
      <c r="A4582" s="2" t="s">
        <v>4129</v>
      </c>
      <c r="B4582" s="2" t="s">
        <v>4130</v>
      </c>
      <c r="C4582" s="2" t="s">
        <v>4131</v>
      </c>
      <c r="D4582" s="3" t="str">
        <f t="shared" si="822"/>
        <v>12Go Link</v>
      </c>
      <c r="E4582" s="2" t="s">
        <v>3408</v>
      </c>
    </row>
    <row r="4583">
      <c r="A4583" s="2" t="s">
        <v>4129</v>
      </c>
      <c r="B4583" s="2" t="s">
        <v>4130</v>
      </c>
      <c r="C4583" s="2" t="s">
        <v>4131</v>
      </c>
      <c r="D4583" s="3" t="str">
        <f t="shared" si="822"/>
        <v>12Go Link</v>
      </c>
      <c r="E4583" s="2" t="s">
        <v>3409</v>
      </c>
    </row>
    <row r="4584">
      <c r="A4584" s="2" t="s">
        <v>4132</v>
      </c>
      <c r="B4584" s="2" t="s">
        <v>4133</v>
      </c>
      <c r="C4584" s="2" t="s">
        <v>4134</v>
      </c>
      <c r="D4584" s="3" t="str">
        <f t="shared" ref="D4584:D4587" si="823">HYPERLINK("https://12go.asia/en/travel/Butterworth-Hotel-Transfer/Penang-International-Airport", "12Go Link")</f>
        <v>12Go Link</v>
      </c>
      <c r="E4584" s="2" t="s">
        <v>286</v>
      </c>
    </row>
    <row r="4585">
      <c r="A4585" s="2" t="s">
        <v>4132</v>
      </c>
      <c r="B4585" s="2" t="s">
        <v>4133</v>
      </c>
      <c r="C4585" s="2" t="s">
        <v>4134</v>
      </c>
      <c r="D4585" s="3" t="str">
        <f t="shared" si="823"/>
        <v>12Go Link</v>
      </c>
      <c r="E4585" s="2" t="s">
        <v>3407</v>
      </c>
    </row>
    <row r="4586">
      <c r="A4586" s="2" t="s">
        <v>4132</v>
      </c>
      <c r="B4586" s="2" t="s">
        <v>4133</v>
      </c>
      <c r="C4586" s="2" t="s">
        <v>4134</v>
      </c>
      <c r="D4586" s="3" t="str">
        <f t="shared" si="823"/>
        <v>12Go Link</v>
      </c>
      <c r="E4586" s="2" t="s">
        <v>3408</v>
      </c>
    </row>
    <row r="4587">
      <c r="A4587" s="2" t="s">
        <v>4132</v>
      </c>
      <c r="B4587" s="2" t="s">
        <v>4133</v>
      </c>
      <c r="C4587" s="2" t="s">
        <v>4134</v>
      </c>
      <c r="D4587" s="3" t="str">
        <f t="shared" si="823"/>
        <v>12Go Link</v>
      </c>
      <c r="E4587" s="2" t="s">
        <v>3409</v>
      </c>
    </row>
    <row r="4588">
      <c r="A4588" s="2" t="s">
        <v>4135</v>
      </c>
      <c r="B4588" s="2" t="s">
        <v>4130</v>
      </c>
      <c r="C4588" s="2" t="s">
        <v>4136</v>
      </c>
      <c r="D4588" s="3" t="str">
        <f t="shared" ref="D4588:D4590" si="824">HYPERLINK("https://12go.asia/en/travel/Cameron-Highlands-Hotel-Transfer/Kuala-Lumpur-Hotel-Transfer", "12Go Link")</f>
        <v>12Go Link</v>
      </c>
      <c r="E4588" s="2" t="s">
        <v>4137</v>
      </c>
    </row>
    <row r="4589">
      <c r="A4589" s="2" t="s">
        <v>4135</v>
      </c>
      <c r="B4589" s="2" t="s">
        <v>4130</v>
      </c>
      <c r="C4589" s="2" t="s">
        <v>4136</v>
      </c>
      <c r="D4589" s="3" t="str">
        <f t="shared" si="824"/>
        <v>12Go Link</v>
      </c>
      <c r="E4589" s="2" t="s">
        <v>4138</v>
      </c>
    </row>
    <row r="4590">
      <c r="A4590" s="2" t="s">
        <v>4135</v>
      </c>
      <c r="B4590" s="2" t="s">
        <v>4130</v>
      </c>
      <c r="C4590" s="2" t="s">
        <v>4136</v>
      </c>
      <c r="D4590" s="3" t="str">
        <f t="shared" si="824"/>
        <v>12Go Link</v>
      </c>
      <c r="E4590" s="2" t="s">
        <v>4139</v>
      </c>
    </row>
    <row r="4591">
      <c r="A4591" s="2" t="s">
        <v>4140</v>
      </c>
      <c r="B4591" s="2" t="s">
        <v>4133</v>
      </c>
      <c r="C4591" s="2" t="s">
        <v>4141</v>
      </c>
      <c r="D4591" s="3" t="str">
        <f t="shared" ref="D4591:D4594" si="825">HYPERLINK("https://12go.asia/en/travel/George-Town/Penang-International-Airport", "12Go Link")</f>
        <v>12Go Link</v>
      </c>
      <c r="E4591" s="2" t="s">
        <v>286</v>
      </c>
    </row>
    <row r="4592">
      <c r="A4592" s="2" t="s">
        <v>4140</v>
      </c>
      <c r="B4592" s="2" t="s">
        <v>4133</v>
      </c>
      <c r="C4592" s="2" t="s">
        <v>4141</v>
      </c>
      <c r="D4592" s="3" t="str">
        <f t="shared" si="825"/>
        <v>12Go Link</v>
      </c>
      <c r="E4592" s="2" t="s">
        <v>3407</v>
      </c>
    </row>
    <row r="4593">
      <c r="A4593" s="2" t="s">
        <v>4140</v>
      </c>
      <c r="B4593" s="2" t="s">
        <v>4133</v>
      </c>
      <c r="C4593" s="2" t="s">
        <v>4141</v>
      </c>
      <c r="D4593" s="3" t="str">
        <f t="shared" si="825"/>
        <v>12Go Link</v>
      </c>
      <c r="E4593" s="2" t="s">
        <v>3408</v>
      </c>
    </row>
    <row r="4594">
      <c r="A4594" s="2" t="s">
        <v>4140</v>
      </c>
      <c r="B4594" s="2" t="s">
        <v>4133</v>
      </c>
      <c r="C4594" s="2" t="s">
        <v>4141</v>
      </c>
      <c r="D4594" s="3" t="str">
        <f t="shared" si="825"/>
        <v>12Go Link</v>
      </c>
      <c r="E4594" s="2" t="s">
        <v>3409</v>
      </c>
    </row>
    <row r="4595">
      <c r="A4595" s="2" t="s">
        <v>4142</v>
      </c>
      <c r="B4595" s="2" t="s">
        <v>4130</v>
      </c>
      <c r="C4595" s="2" t="s">
        <v>4143</v>
      </c>
      <c r="D4595" s="3" t="str">
        <f t="shared" ref="D4595:D4597" si="826">HYPERLINK("https://12go.asia/en/travel/Ipoh-Hotel-Transfer/Kuala-Lumpur-Hotel-Transfer", "12Go Link")</f>
        <v>12Go Link</v>
      </c>
      <c r="E4595" s="2" t="s">
        <v>4137</v>
      </c>
    </row>
    <row r="4596">
      <c r="A4596" s="2" t="s">
        <v>4142</v>
      </c>
      <c r="B4596" s="2" t="s">
        <v>4130</v>
      </c>
      <c r="C4596" s="2" t="s">
        <v>4143</v>
      </c>
      <c r="D4596" s="3" t="str">
        <f t="shared" si="826"/>
        <v>12Go Link</v>
      </c>
      <c r="E4596" s="2" t="s">
        <v>4138</v>
      </c>
    </row>
    <row r="4597">
      <c r="A4597" s="2" t="s">
        <v>4142</v>
      </c>
      <c r="B4597" s="2" t="s">
        <v>4130</v>
      </c>
      <c r="C4597" s="2" t="s">
        <v>4143</v>
      </c>
      <c r="D4597" s="3" t="str">
        <f t="shared" si="826"/>
        <v>12Go Link</v>
      </c>
      <c r="E4597" s="2" t="s">
        <v>4139</v>
      </c>
    </row>
    <row r="4598">
      <c r="A4598" s="2" t="s">
        <v>4144</v>
      </c>
      <c r="B4598" s="2" t="s">
        <v>4130</v>
      </c>
      <c r="C4598" s="2" t="s">
        <v>4145</v>
      </c>
      <c r="D4598" s="3" t="str">
        <f>HYPERLINK("https://12go.asia/en/travel/hotel-ramada/swiss-garden-hotel", "12Go Link")</f>
        <v>12Go Link</v>
      </c>
      <c r="E4598" s="2" t="s">
        <v>59</v>
      </c>
    </row>
    <row r="4599">
      <c r="A4599" s="2" t="s">
        <v>4144</v>
      </c>
      <c r="B4599" s="2" t="s">
        <v>4130</v>
      </c>
      <c r="C4599" s="2" t="s">
        <v>4146</v>
      </c>
      <c r="D4599" s="3" t="str">
        <f>HYPERLINK("https://12go.asia/en/travel/hotel-ramada/tbs-kuala-lumpur", "12Go Link")</f>
        <v>12Go Link</v>
      </c>
      <c r="E4599" s="2" t="s">
        <v>59</v>
      </c>
    </row>
    <row r="4600">
      <c r="A4600" s="2" t="s">
        <v>4144</v>
      </c>
      <c r="B4600" s="2" t="s">
        <v>4130</v>
      </c>
      <c r="C4600" s="2" t="s">
        <v>4147</v>
      </c>
      <c r="D4600" s="3" t="str">
        <f>HYPERLINK("https://12go.asia/en/travel/legoland-malaysia-parking-zone/swiss-garden-hotel", "12Go Link")</f>
        <v>12Go Link</v>
      </c>
      <c r="E4600" s="2" t="s">
        <v>59</v>
      </c>
    </row>
    <row r="4601">
      <c r="A4601" s="2" t="s">
        <v>4144</v>
      </c>
      <c r="B4601" s="2" t="s">
        <v>4130</v>
      </c>
      <c r="C4601" s="2" t="s">
        <v>4148</v>
      </c>
      <c r="D4601" s="3" t="str">
        <f>HYPERLINK("https://12go.asia/en/travel/legoland-malaysia-parking-zone/tbs-kuala-lumpur", "12Go Link")</f>
        <v>12Go Link</v>
      </c>
      <c r="E4601" s="2" t="s">
        <v>59</v>
      </c>
    </row>
    <row r="4602">
      <c r="A4602" s="2" t="s">
        <v>4144</v>
      </c>
      <c r="B4602" s="2" t="s">
        <v>4130</v>
      </c>
      <c r="C4602" s="2" t="s">
        <v>4149</v>
      </c>
      <c r="D4602" s="3" t="str">
        <f>HYPERLINK("https://12go.asia/en/travel/mall-of-medini/swiss-garden-hotel", "12Go Link")</f>
        <v>12Go Link</v>
      </c>
      <c r="E4602" s="2" t="s">
        <v>59</v>
      </c>
    </row>
    <row r="4603">
      <c r="A4603" s="2" t="s">
        <v>4144</v>
      </c>
      <c r="B4603" s="2" t="s">
        <v>4130</v>
      </c>
      <c r="C4603" s="2" t="s">
        <v>4150</v>
      </c>
      <c r="D4603" s="3" t="str">
        <f>HYPERLINK("https://12go.asia/en/travel/mall-of-medini/tbs-kuala-lumpur", "12Go Link")</f>
        <v>12Go Link</v>
      </c>
      <c r="E4603" s="2" t="s">
        <v>59</v>
      </c>
    </row>
    <row r="4604">
      <c r="A4604" s="2" t="s">
        <v>4144</v>
      </c>
      <c r="B4604" s="2" t="s">
        <v>4151</v>
      </c>
      <c r="C4604" s="2" t="s">
        <v>4152</v>
      </c>
      <c r="D4604" s="3" t="str">
        <f>HYPERLINK("https://12go.asia/en/travel/pengerang/terminal-shah-alam-section-17", "12Go Link")</f>
        <v>12Go Link</v>
      </c>
      <c r="E4604" s="2" t="s">
        <v>59</v>
      </c>
    </row>
    <row r="4605">
      <c r="A4605" s="2" t="s">
        <v>4153</v>
      </c>
      <c r="B4605" s="2" t="s">
        <v>4153</v>
      </c>
      <c r="C4605" s="2" t="s">
        <v>4154</v>
      </c>
      <c r="D4605" s="3" t="str">
        <f>HYPERLINK("https://12go.asia/en/travel/jb-sentral/pintu-masuk-senai-airport-terminal", "12Go Link")</f>
        <v>12Go Link</v>
      </c>
      <c r="E4605" s="2" t="s">
        <v>59</v>
      </c>
    </row>
    <row r="4606">
      <c r="A4606" s="2" t="s">
        <v>4153</v>
      </c>
      <c r="B4606" s="2" t="s">
        <v>4130</v>
      </c>
      <c r="C4606" s="2" t="s">
        <v>4155</v>
      </c>
      <c r="D4606" s="3" t="str">
        <f t="shared" ref="D4606:D4608" si="827">HYPERLINK("https://12go.asia/en/travel/Johor-Bahru/Kuala-Lumpur-Hotel-Transfer", "12Go Link")</f>
        <v>12Go Link</v>
      </c>
      <c r="E4606" s="2" t="s">
        <v>4137</v>
      </c>
    </row>
    <row r="4607">
      <c r="A4607" s="2" t="s">
        <v>4153</v>
      </c>
      <c r="B4607" s="2" t="s">
        <v>4130</v>
      </c>
      <c r="C4607" s="2" t="s">
        <v>4155</v>
      </c>
      <c r="D4607" s="3" t="str">
        <f t="shared" si="827"/>
        <v>12Go Link</v>
      </c>
      <c r="E4607" s="2" t="s">
        <v>4138</v>
      </c>
    </row>
    <row r="4608">
      <c r="A4608" s="2" t="s">
        <v>4153</v>
      </c>
      <c r="B4608" s="2" t="s">
        <v>4130</v>
      </c>
      <c r="C4608" s="2" t="s">
        <v>4155</v>
      </c>
      <c r="D4608" s="3" t="str">
        <f t="shared" si="827"/>
        <v>12Go Link</v>
      </c>
      <c r="E4608" s="2" t="s">
        <v>4139</v>
      </c>
    </row>
    <row r="4609">
      <c r="A4609" s="2" t="s">
        <v>4153</v>
      </c>
      <c r="B4609" s="2" t="s">
        <v>4156</v>
      </c>
      <c r="C4609" s="2" t="s">
        <v>4157</v>
      </c>
      <c r="D4609" s="3" t="str">
        <f t="shared" ref="D4609:D4611" si="828">HYPERLINK("https://12go.asia/en/travel/Johor-Bahru/Singapore-Hotel-Transfer", "12Go Link")</f>
        <v>12Go Link</v>
      </c>
      <c r="E4609" s="2" t="s">
        <v>4137</v>
      </c>
    </row>
    <row r="4610">
      <c r="A4610" s="2" t="s">
        <v>4153</v>
      </c>
      <c r="B4610" s="2" t="s">
        <v>4156</v>
      </c>
      <c r="C4610" s="2" t="s">
        <v>4157</v>
      </c>
      <c r="D4610" s="3" t="str">
        <f t="shared" si="828"/>
        <v>12Go Link</v>
      </c>
      <c r="E4610" s="2" t="s">
        <v>4138</v>
      </c>
    </row>
    <row r="4611">
      <c r="A4611" s="2" t="s">
        <v>4153</v>
      </c>
      <c r="B4611" s="2" t="s">
        <v>4156</v>
      </c>
      <c r="C4611" s="2" t="s">
        <v>4157</v>
      </c>
      <c r="D4611" s="3" t="str">
        <f t="shared" si="828"/>
        <v>12Go Link</v>
      </c>
      <c r="E4611" s="2" t="s">
        <v>4139</v>
      </c>
    </row>
    <row r="4612">
      <c r="A4612" s="2" t="s">
        <v>4158</v>
      </c>
      <c r="B4612" s="2" t="s">
        <v>4158</v>
      </c>
      <c r="C4612" s="2" t="s">
        <v>4159</v>
      </c>
      <c r="D4612" s="3" t="str">
        <f t="shared" ref="D4612:D4615" si="829">HYPERLINK("https://12go.asia/en/travel/Langkawi-Beach-Resorts-North/Langkawi-International-Airport", "12Go Link")</f>
        <v>12Go Link</v>
      </c>
      <c r="E4612" s="2" t="s">
        <v>286</v>
      </c>
    </row>
    <row r="4613">
      <c r="A4613" s="2" t="s">
        <v>4158</v>
      </c>
      <c r="B4613" s="2" t="s">
        <v>4158</v>
      </c>
      <c r="C4613" s="2" t="s">
        <v>4159</v>
      </c>
      <c r="D4613" s="3" t="str">
        <f t="shared" si="829"/>
        <v>12Go Link</v>
      </c>
      <c r="E4613" s="2" t="s">
        <v>3407</v>
      </c>
    </row>
    <row r="4614">
      <c r="A4614" s="2" t="s">
        <v>4158</v>
      </c>
      <c r="B4614" s="2" t="s">
        <v>4158</v>
      </c>
      <c r="C4614" s="2" t="s">
        <v>4159</v>
      </c>
      <c r="D4614" s="3" t="str">
        <f t="shared" si="829"/>
        <v>12Go Link</v>
      </c>
      <c r="E4614" s="2" t="s">
        <v>3408</v>
      </c>
    </row>
    <row r="4615">
      <c r="A4615" s="2" t="s">
        <v>4158</v>
      </c>
      <c r="B4615" s="2" t="s">
        <v>4158</v>
      </c>
      <c r="C4615" s="2" t="s">
        <v>4159</v>
      </c>
      <c r="D4615" s="3" t="str">
        <f t="shared" si="829"/>
        <v>12Go Link</v>
      </c>
      <c r="E4615" s="2" t="s">
        <v>3409</v>
      </c>
    </row>
    <row r="4616">
      <c r="A4616" s="2" t="s">
        <v>4158</v>
      </c>
      <c r="B4616" s="2" t="s">
        <v>4158</v>
      </c>
      <c r="C4616" s="2" t="s">
        <v>4160</v>
      </c>
      <c r="D4616" s="3" t="str">
        <f t="shared" ref="D4616:D4630" si="830">HYPERLINK("https://12go.asia/en/travel/Langkawi-International-Airport/Cenang-Beach", "12Go Link")</f>
        <v>12Go Link</v>
      </c>
      <c r="E4616" s="2" t="s">
        <v>4161</v>
      </c>
    </row>
    <row r="4617">
      <c r="A4617" s="2" t="s">
        <v>4158</v>
      </c>
      <c r="B4617" s="2" t="s">
        <v>4158</v>
      </c>
      <c r="C4617" s="2" t="s">
        <v>4160</v>
      </c>
      <c r="D4617" s="3" t="str">
        <f t="shared" si="830"/>
        <v>12Go Link</v>
      </c>
      <c r="E4617" s="2" t="s">
        <v>4162</v>
      </c>
    </row>
    <row r="4618">
      <c r="A4618" s="2" t="s">
        <v>4158</v>
      </c>
      <c r="B4618" s="2" t="s">
        <v>4158</v>
      </c>
      <c r="C4618" s="2" t="s">
        <v>4160</v>
      </c>
      <c r="D4618" s="3" t="str">
        <f t="shared" si="830"/>
        <v>12Go Link</v>
      </c>
      <c r="E4618" s="2" t="s">
        <v>4163</v>
      </c>
    </row>
    <row r="4619">
      <c r="A4619" s="2" t="s">
        <v>4158</v>
      </c>
      <c r="B4619" s="2" t="s">
        <v>4158</v>
      </c>
      <c r="C4619" s="2" t="s">
        <v>4160</v>
      </c>
      <c r="D4619" s="3" t="str">
        <f t="shared" si="830"/>
        <v>12Go Link</v>
      </c>
      <c r="E4619" s="2" t="s">
        <v>4164</v>
      </c>
    </row>
    <row r="4620">
      <c r="A4620" s="2" t="s">
        <v>4158</v>
      </c>
      <c r="B4620" s="2" t="s">
        <v>4158</v>
      </c>
      <c r="C4620" s="2" t="s">
        <v>4160</v>
      </c>
      <c r="D4620" s="3" t="str">
        <f t="shared" si="830"/>
        <v>12Go Link</v>
      </c>
      <c r="E4620" s="2" t="s">
        <v>4165</v>
      </c>
    </row>
    <row r="4621">
      <c r="A4621" s="2" t="s">
        <v>4158</v>
      </c>
      <c r="B4621" s="2" t="s">
        <v>4158</v>
      </c>
      <c r="C4621" s="2" t="s">
        <v>4160</v>
      </c>
      <c r="D4621" s="3" t="str">
        <f t="shared" si="830"/>
        <v>12Go Link</v>
      </c>
      <c r="E4621" s="2" t="s">
        <v>4166</v>
      </c>
    </row>
    <row r="4622">
      <c r="A4622" s="2" t="s">
        <v>4158</v>
      </c>
      <c r="B4622" s="2" t="s">
        <v>4158</v>
      </c>
      <c r="C4622" s="2" t="s">
        <v>4160</v>
      </c>
      <c r="D4622" s="3" t="str">
        <f t="shared" si="830"/>
        <v>12Go Link</v>
      </c>
      <c r="E4622" s="2" t="s">
        <v>4167</v>
      </c>
    </row>
    <row r="4623">
      <c r="A4623" s="2" t="s">
        <v>4158</v>
      </c>
      <c r="B4623" s="2" t="s">
        <v>4158</v>
      </c>
      <c r="C4623" s="2" t="s">
        <v>4160</v>
      </c>
      <c r="D4623" s="3" t="str">
        <f t="shared" si="830"/>
        <v>12Go Link</v>
      </c>
      <c r="E4623" s="2" t="s">
        <v>4168</v>
      </c>
    </row>
    <row r="4624">
      <c r="A4624" s="2" t="s">
        <v>4158</v>
      </c>
      <c r="B4624" s="2" t="s">
        <v>4158</v>
      </c>
      <c r="C4624" s="2" t="s">
        <v>4160</v>
      </c>
      <c r="D4624" s="3" t="str">
        <f t="shared" si="830"/>
        <v>12Go Link</v>
      </c>
      <c r="E4624" s="2" t="s">
        <v>4169</v>
      </c>
    </row>
    <row r="4625">
      <c r="A4625" s="2" t="s">
        <v>4158</v>
      </c>
      <c r="B4625" s="2" t="s">
        <v>4158</v>
      </c>
      <c r="C4625" s="2" t="s">
        <v>4160</v>
      </c>
      <c r="D4625" s="3" t="str">
        <f t="shared" si="830"/>
        <v>12Go Link</v>
      </c>
      <c r="E4625" s="2" t="s">
        <v>4170</v>
      </c>
    </row>
    <row r="4626">
      <c r="A4626" s="2" t="s">
        <v>4158</v>
      </c>
      <c r="B4626" s="2" t="s">
        <v>4158</v>
      </c>
      <c r="C4626" s="2" t="s">
        <v>4160</v>
      </c>
      <c r="D4626" s="3" t="str">
        <f t="shared" si="830"/>
        <v>12Go Link</v>
      </c>
      <c r="E4626" s="2" t="s">
        <v>4171</v>
      </c>
    </row>
    <row r="4627">
      <c r="A4627" s="2" t="s">
        <v>4158</v>
      </c>
      <c r="B4627" s="2" t="s">
        <v>4158</v>
      </c>
      <c r="C4627" s="2" t="s">
        <v>4160</v>
      </c>
      <c r="D4627" s="3" t="str">
        <f t="shared" si="830"/>
        <v>12Go Link</v>
      </c>
      <c r="E4627" s="2" t="s">
        <v>4172</v>
      </c>
    </row>
    <row r="4628">
      <c r="A4628" s="2" t="s">
        <v>4158</v>
      </c>
      <c r="B4628" s="2" t="s">
        <v>4158</v>
      </c>
      <c r="C4628" s="2" t="s">
        <v>4160</v>
      </c>
      <c r="D4628" s="3" t="str">
        <f t="shared" si="830"/>
        <v>12Go Link</v>
      </c>
      <c r="E4628" s="2" t="s">
        <v>4173</v>
      </c>
    </row>
    <row r="4629">
      <c r="A4629" s="2" t="s">
        <v>4158</v>
      </c>
      <c r="B4629" s="2" t="s">
        <v>4158</v>
      </c>
      <c r="C4629" s="2" t="s">
        <v>4160</v>
      </c>
      <c r="D4629" s="3" t="str">
        <f t="shared" si="830"/>
        <v>12Go Link</v>
      </c>
      <c r="E4629" s="2" t="s">
        <v>4174</v>
      </c>
    </row>
    <row r="4630">
      <c r="A4630" s="2" t="s">
        <v>4158</v>
      </c>
      <c r="B4630" s="2" t="s">
        <v>4158</v>
      </c>
      <c r="C4630" s="2" t="s">
        <v>4160</v>
      </c>
      <c r="D4630" s="3" t="str">
        <f t="shared" si="830"/>
        <v>12Go Link</v>
      </c>
      <c r="E4630" s="2" t="s">
        <v>4175</v>
      </c>
    </row>
    <row r="4631">
      <c r="A4631" s="2" t="s">
        <v>4158</v>
      </c>
      <c r="B4631" s="2" t="s">
        <v>4158</v>
      </c>
      <c r="C4631" s="2" t="s">
        <v>4176</v>
      </c>
      <c r="D4631" s="3" t="str">
        <f t="shared" ref="D4631:D4634" si="831">HYPERLINK("https://12go.asia/en/travel/Langkawi-International-Airport/Langkawi-Beach-Resorts-North", "12Go Link")</f>
        <v>12Go Link</v>
      </c>
      <c r="E4631" s="2" t="s">
        <v>286</v>
      </c>
    </row>
    <row r="4632">
      <c r="A4632" s="2" t="s">
        <v>4158</v>
      </c>
      <c r="B4632" s="2" t="s">
        <v>4158</v>
      </c>
      <c r="C4632" s="2" t="s">
        <v>4176</v>
      </c>
      <c r="D4632" s="3" t="str">
        <f t="shared" si="831"/>
        <v>12Go Link</v>
      </c>
      <c r="E4632" s="2" t="s">
        <v>3407</v>
      </c>
    </row>
    <row r="4633">
      <c r="A4633" s="2" t="s">
        <v>4158</v>
      </c>
      <c r="B4633" s="2" t="s">
        <v>4158</v>
      </c>
      <c r="C4633" s="2" t="s">
        <v>4176</v>
      </c>
      <c r="D4633" s="3" t="str">
        <f t="shared" si="831"/>
        <v>12Go Link</v>
      </c>
      <c r="E4633" s="2" t="s">
        <v>3408</v>
      </c>
    </row>
    <row r="4634">
      <c r="A4634" s="2" t="s">
        <v>4158</v>
      </c>
      <c r="B4634" s="2" t="s">
        <v>4158</v>
      </c>
      <c r="C4634" s="2" t="s">
        <v>4176</v>
      </c>
      <c r="D4634" s="3" t="str">
        <f t="shared" si="831"/>
        <v>12Go Link</v>
      </c>
      <c r="E4634" s="2" t="s">
        <v>3409</v>
      </c>
    </row>
    <row r="4635">
      <c r="A4635" s="2" t="s">
        <v>4158</v>
      </c>
      <c r="B4635" s="2" t="s">
        <v>4158</v>
      </c>
      <c r="C4635" s="2" t="s">
        <v>4177</v>
      </c>
      <c r="D4635" s="3" t="str">
        <f t="shared" ref="D4635:D4638" si="832">HYPERLINK("https://12go.asia/en/travel/Langkawi-International-Airport/Langkawi-Transfer", "12Go Link")</f>
        <v>12Go Link</v>
      </c>
      <c r="E4635" s="2" t="s">
        <v>286</v>
      </c>
    </row>
    <row r="4636">
      <c r="A4636" s="2" t="s">
        <v>4158</v>
      </c>
      <c r="B4636" s="2" t="s">
        <v>4158</v>
      </c>
      <c r="C4636" s="2" t="s">
        <v>4177</v>
      </c>
      <c r="D4636" s="3" t="str">
        <f t="shared" si="832"/>
        <v>12Go Link</v>
      </c>
      <c r="E4636" s="2" t="s">
        <v>3407</v>
      </c>
    </row>
    <row r="4637">
      <c r="A4637" s="2" t="s">
        <v>4158</v>
      </c>
      <c r="B4637" s="2" t="s">
        <v>4158</v>
      </c>
      <c r="C4637" s="2" t="s">
        <v>4177</v>
      </c>
      <c r="D4637" s="3" t="str">
        <f t="shared" si="832"/>
        <v>12Go Link</v>
      </c>
      <c r="E4637" s="2" t="s">
        <v>3408</v>
      </c>
    </row>
    <row r="4638">
      <c r="A4638" s="2" t="s">
        <v>4158</v>
      </c>
      <c r="B4638" s="2" t="s">
        <v>4158</v>
      </c>
      <c r="C4638" s="2" t="s">
        <v>4177</v>
      </c>
      <c r="D4638" s="3" t="str">
        <f t="shared" si="832"/>
        <v>12Go Link</v>
      </c>
      <c r="E4638" s="2" t="s">
        <v>3409</v>
      </c>
    </row>
    <row r="4639">
      <c r="A4639" s="2" t="s">
        <v>4158</v>
      </c>
      <c r="B4639" s="2" t="s">
        <v>4158</v>
      </c>
      <c r="C4639" s="2" t="s">
        <v>4178</v>
      </c>
      <c r="D4639" s="3" t="str">
        <f t="shared" ref="D4639:D4653" si="833">HYPERLINK("https://12go.asia/en/travel/Langkawi-International-Airport/Tengah-Beach", "12Go Link")</f>
        <v>12Go Link</v>
      </c>
      <c r="E4639" s="2" t="s">
        <v>4161</v>
      </c>
    </row>
    <row r="4640">
      <c r="A4640" s="2" t="s">
        <v>4158</v>
      </c>
      <c r="B4640" s="2" t="s">
        <v>4158</v>
      </c>
      <c r="C4640" s="2" t="s">
        <v>4178</v>
      </c>
      <c r="D4640" s="3" t="str">
        <f t="shared" si="833"/>
        <v>12Go Link</v>
      </c>
      <c r="E4640" s="2" t="s">
        <v>4162</v>
      </c>
    </row>
    <row r="4641">
      <c r="A4641" s="2" t="s">
        <v>4158</v>
      </c>
      <c r="B4641" s="2" t="s">
        <v>4158</v>
      </c>
      <c r="C4641" s="2" t="s">
        <v>4178</v>
      </c>
      <c r="D4641" s="3" t="str">
        <f t="shared" si="833"/>
        <v>12Go Link</v>
      </c>
      <c r="E4641" s="2" t="s">
        <v>4163</v>
      </c>
    </row>
    <row r="4642">
      <c r="A4642" s="2" t="s">
        <v>4158</v>
      </c>
      <c r="B4642" s="2" t="s">
        <v>4158</v>
      </c>
      <c r="C4642" s="2" t="s">
        <v>4178</v>
      </c>
      <c r="D4642" s="3" t="str">
        <f t="shared" si="833"/>
        <v>12Go Link</v>
      </c>
      <c r="E4642" s="2" t="s">
        <v>4164</v>
      </c>
    </row>
    <row r="4643">
      <c r="A4643" s="2" t="s">
        <v>4158</v>
      </c>
      <c r="B4643" s="2" t="s">
        <v>4158</v>
      </c>
      <c r="C4643" s="2" t="s">
        <v>4178</v>
      </c>
      <c r="D4643" s="3" t="str">
        <f t="shared" si="833"/>
        <v>12Go Link</v>
      </c>
      <c r="E4643" s="2" t="s">
        <v>4165</v>
      </c>
    </row>
    <row r="4644">
      <c r="A4644" s="2" t="s">
        <v>4158</v>
      </c>
      <c r="B4644" s="2" t="s">
        <v>4158</v>
      </c>
      <c r="C4644" s="2" t="s">
        <v>4178</v>
      </c>
      <c r="D4644" s="3" t="str">
        <f t="shared" si="833"/>
        <v>12Go Link</v>
      </c>
      <c r="E4644" s="2" t="s">
        <v>4166</v>
      </c>
    </row>
    <row r="4645">
      <c r="A4645" s="2" t="s">
        <v>4158</v>
      </c>
      <c r="B4645" s="2" t="s">
        <v>4158</v>
      </c>
      <c r="C4645" s="2" t="s">
        <v>4178</v>
      </c>
      <c r="D4645" s="3" t="str">
        <f t="shared" si="833"/>
        <v>12Go Link</v>
      </c>
      <c r="E4645" s="2" t="s">
        <v>4167</v>
      </c>
    </row>
    <row r="4646">
      <c r="A4646" s="2" t="s">
        <v>4158</v>
      </c>
      <c r="B4646" s="2" t="s">
        <v>4158</v>
      </c>
      <c r="C4646" s="2" t="s">
        <v>4178</v>
      </c>
      <c r="D4646" s="3" t="str">
        <f t="shared" si="833"/>
        <v>12Go Link</v>
      </c>
      <c r="E4646" s="2" t="s">
        <v>4168</v>
      </c>
    </row>
    <row r="4647">
      <c r="A4647" s="2" t="s">
        <v>4158</v>
      </c>
      <c r="B4647" s="2" t="s">
        <v>4158</v>
      </c>
      <c r="C4647" s="2" t="s">
        <v>4178</v>
      </c>
      <c r="D4647" s="3" t="str">
        <f t="shared" si="833"/>
        <v>12Go Link</v>
      </c>
      <c r="E4647" s="2" t="s">
        <v>4169</v>
      </c>
    </row>
    <row r="4648">
      <c r="A4648" s="2" t="s">
        <v>4158</v>
      </c>
      <c r="B4648" s="2" t="s">
        <v>4158</v>
      </c>
      <c r="C4648" s="2" t="s">
        <v>4178</v>
      </c>
      <c r="D4648" s="3" t="str">
        <f t="shared" si="833"/>
        <v>12Go Link</v>
      </c>
      <c r="E4648" s="2" t="s">
        <v>4170</v>
      </c>
    </row>
    <row r="4649">
      <c r="A4649" s="2" t="s">
        <v>4158</v>
      </c>
      <c r="B4649" s="2" t="s">
        <v>4158</v>
      </c>
      <c r="C4649" s="2" t="s">
        <v>4178</v>
      </c>
      <c r="D4649" s="3" t="str">
        <f t="shared" si="833"/>
        <v>12Go Link</v>
      </c>
      <c r="E4649" s="2" t="s">
        <v>4171</v>
      </c>
    </row>
    <row r="4650">
      <c r="A4650" s="2" t="s">
        <v>4158</v>
      </c>
      <c r="B4650" s="2" t="s">
        <v>4158</v>
      </c>
      <c r="C4650" s="2" t="s">
        <v>4178</v>
      </c>
      <c r="D4650" s="3" t="str">
        <f t="shared" si="833"/>
        <v>12Go Link</v>
      </c>
      <c r="E4650" s="2" t="s">
        <v>4172</v>
      </c>
    </row>
    <row r="4651">
      <c r="A4651" s="2" t="s">
        <v>4158</v>
      </c>
      <c r="B4651" s="2" t="s">
        <v>4158</v>
      </c>
      <c r="C4651" s="2" t="s">
        <v>4178</v>
      </c>
      <c r="D4651" s="3" t="str">
        <f t="shared" si="833"/>
        <v>12Go Link</v>
      </c>
      <c r="E4651" s="2" t="s">
        <v>4173</v>
      </c>
    </row>
    <row r="4652">
      <c r="A4652" s="2" t="s">
        <v>4158</v>
      </c>
      <c r="B4652" s="2" t="s">
        <v>4158</v>
      </c>
      <c r="C4652" s="2" t="s">
        <v>4178</v>
      </c>
      <c r="D4652" s="3" t="str">
        <f t="shared" si="833"/>
        <v>12Go Link</v>
      </c>
      <c r="E4652" s="2" t="s">
        <v>4174</v>
      </c>
    </row>
    <row r="4653">
      <c r="A4653" s="2" t="s">
        <v>4158</v>
      </c>
      <c r="B4653" s="2" t="s">
        <v>4158</v>
      </c>
      <c r="C4653" s="2" t="s">
        <v>4178</v>
      </c>
      <c r="D4653" s="3" t="str">
        <f t="shared" si="833"/>
        <v>12Go Link</v>
      </c>
      <c r="E4653" s="2" t="s">
        <v>4175</v>
      </c>
    </row>
    <row r="4654">
      <c r="A4654" s="2" t="s">
        <v>4158</v>
      </c>
      <c r="B4654" s="2" t="s">
        <v>4158</v>
      </c>
      <c r="C4654" s="2" t="s">
        <v>4179</v>
      </c>
      <c r="D4654" s="3" t="str">
        <f t="shared" ref="D4654:D4657" si="834">HYPERLINK("https://12go.asia/en/travel/Langkawi-Transfer/Langkawi-International-Airport", "12Go Link")</f>
        <v>12Go Link</v>
      </c>
      <c r="E4654" s="2" t="s">
        <v>286</v>
      </c>
    </row>
    <row r="4655">
      <c r="A4655" s="2" t="s">
        <v>4158</v>
      </c>
      <c r="B4655" s="2" t="s">
        <v>4158</v>
      </c>
      <c r="C4655" s="2" t="s">
        <v>4179</v>
      </c>
      <c r="D4655" s="3" t="str">
        <f t="shared" si="834"/>
        <v>12Go Link</v>
      </c>
      <c r="E4655" s="2" t="s">
        <v>3407</v>
      </c>
    </row>
    <row r="4656">
      <c r="A4656" s="2" t="s">
        <v>4158</v>
      </c>
      <c r="B4656" s="2" t="s">
        <v>4158</v>
      </c>
      <c r="C4656" s="2" t="s">
        <v>4179</v>
      </c>
      <c r="D4656" s="3" t="str">
        <f t="shared" si="834"/>
        <v>12Go Link</v>
      </c>
      <c r="E4656" s="2" t="s">
        <v>3408</v>
      </c>
    </row>
    <row r="4657">
      <c r="A4657" s="2" t="s">
        <v>4158</v>
      </c>
      <c r="B4657" s="2" t="s">
        <v>4158</v>
      </c>
      <c r="C4657" s="2" t="s">
        <v>4179</v>
      </c>
      <c r="D4657" s="3" t="str">
        <f t="shared" si="834"/>
        <v>12Go Link</v>
      </c>
      <c r="E4657" s="2" t="s">
        <v>3409</v>
      </c>
    </row>
    <row r="4658">
      <c r="A4658" s="2" t="s">
        <v>4158</v>
      </c>
      <c r="B4658" s="2" t="s">
        <v>4180</v>
      </c>
      <c r="C4658" s="2" t="s">
        <v>4181</v>
      </c>
      <c r="D4658" s="3" t="str">
        <f t="shared" ref="D4658:D4672" si="835">HYPERLINK("https://12go.asia/en/travel/Langkawi-International-Airport/Andaman", "12Go Link")</f>
        <v>12Go Link</v>
      </c>
      <c r="E4658" s="2" t="s">
        <v>4161</v>
      </c>
    </row>
    <row r="4659">
      <c r="A4659" s="2" t="s">
        <v>4158</v>
      </c>
      <c r="B4659" s="2" t="s">
        <v>4180</v>
      </c>
      <c r="C4659" s="2" t="s">
        <v>4181</v>
      </c>
      <c r="D4659" s="3" t="str">
        <f t="shared" si="835"/>
        <v>12Go Link</v>
      </c>
      <c r="E4659" s="2" t="s">
        <v>4162</v>
      </c>
    </row>
    <row r="4660">
      <c r="A4660" s="2" t="s">
        <v>4158</v>
      </c>
      <c r="B4660" s="2" t="s">
        <v>4180</v>
      </c>
      <c r="C4660" s="2" t="s">
        <v>4181</v>
      </c>
      <c r="D4660" s="3" t="str">
        <f t="shared" si="835"/>
        <v>12Go Link</v>
      </c>
      <c r="E4660" s="2" t="s">
        <v>4163</v>
      </c>
    </row>
    <row r="4661">
      <c r="A4661" s="2" t="s">
        <v>4158</v>
      </c>
      <c r="B4661" s="2" t="s">
        <v>4180</v>
      </c>
      <c r="C4661" s="2" t="s">
        <v>4181</v>
      </c>
      <c r="D4661" s="3" t="str">
        <f t="shared" si="835"/>
        <v>12Go Link</v>
      </c>
      <c r="E4661" s="2" t="s">
        <v>4164</v>
      </c>
    </row>
    <row r="4662">
      <c r="A4662" s="2" t="s">
        <v>4158</v>
      </c>
      <c r="B4662" s="2" t="s">
        <v>4180</v>
      </c>
      <c r="C4662" s="2" t="s">
        <v>4181</v>
      </c>
      <c r="D4662" s="3" t="str">
        <f t="shared" si="835"/>
        <v>12Go Link</v>
      </c>
      <c r="E4662" s="2" t="s">
        <v>4165</v>
      </c>
    </row>
    <row r="4663">
      <c r="A4663" s="2" t="s">
        <v>4158</v>
      </c>
      <c r="B4663" s="2" t="s">
        <v>4180</v>
      </c>
      <c r="C4663" s="2" t="s">
        <v>4181</v>
      </c>
      <c r="D4663" s="3" t="str">
        <f t="shared" si="835"/>
        <v>12Go Link</v>
      </c>
      <c r="E4663" s="2" t="s">
        <v>4166</v>
      </c>
    </row>
    <row r="4664">
      <c r="A4664" s="2" t="s">
        <v>4158</v>
      </c>
      <c r="B4664" s="2" t="s">
        <v>4180</v>
      </c>
      <c r="C4664" s="2" t="s">
        <v>4181</v>
      </c>
      <c r="D4664" s="3" t="str">
        <f t="shared" si="835"/>
        <v>12Go Link</v>
      </c>
      <c r="E4664" s="2" t="s">
        <v>4167</v>
      </c>
    </row>
    <row r="4665">
      <c r="A4665" s="2" t="s">
        <v>4158</v>
      </c>
      <c r="B4665" s="2" t="s">
        <v>4180</v>
      </c>
      <c r="C4665" s="2" t="s">
        <v>4181</v>
      </c>
      <c r="D4665" s="3" t="str">
        <f t="shared" si="835"/>
        <v>12Go Link</v>
      </c>
      <c r="E4665" s="2" t="s">
        <v>4168</v>
      </c>
    </row>
    <row r="4666">
      <c r="A4666" s="2" t="s">
        <v>4158</v>
      </c>
      <c r="B4666" s="2" t="s">
        <v>4180</v>
      </c>
      <c r="C4666" s="2" t="s">
        <v>4181</v>
      </c>
      <c r="D4666" s="3" t="str">
        <f t="shared" si="835"/>
        <v>12Go Link</v>
      </c>
      <c r="E4666" s="2" t="s">
        <v>4169</v>
      </c>
    </row>
    <row r="4667">
      <c r="A4667" s="2" t="s">
        <v>4158</v>
      </c>
      <c r="B4667" s="2" t="s">
        <v>4180</v>
      </c>
      <c r="C4667" s="2" t="s">
        <v>4181</v>
      </c>
      <c r="D4667" s="3" t="str">
        <f t="shared" si="835"/>
        <v>12Go Link</v>
      </c>
      <c r="E4667" s="2" t="s">
        <v>4170</v>
      </c>
    </row>
    <row r="4668">
      <c r="A4668" s="2" t="s">
        <v>4158</v>
      </c>
      <c r="B4668" s="2" t="s">
        <v>4180</v>
      </c>
      <c r="C4668" s="2" t="s">
        <v>4181</v>
      </c>
      <c r="D4668" s="3" t="str">
        <f t="shared" si="835"/>
        <v>12Go Link</v>
      </c>
      <c r="E4668" s="2" t="s">
        <v>4171</v>
      </c>
    </row>
    <row r="4669">
      <c r="A4669" s="2" t="s">
        <v>4158</v>
      </c>
      <c r="B4669" s="2" t="s">
        <v>4180</v>
      </c>
      <c r="C4669" s="2" t="s">
        <v>4181</v>
      </c>
      <c r="D4669" s="3" t="str">
        <f t="shared" si="835"/>
        <v>12Go Link</v>
      </c>
      <c r="E4669" s="2" t="s">
        <v>4172</v>
      </c>
    </row>
    <row r="4670">
      <c r="A4670" s="2" t="s">
        <v>4158</v>
      </c>
      <c r="B4670" s="2" t="s">
        <v>4180</v>
      </c>
      <c r="C4670" s="2" t="s">
        <v>4181</v>
      </c>
      <c r="D4670" s="3" t="str">
        <f t="shared" si="835"/>
        <v>12Go Link</v>
      </c>
      <c r="E4670" s="2" t="s">
        <v>4173</v>
      </c>
    </row>
    <row r="4671">
      <c r="A4671" s="2" t="s">
        <v>4158</v>
      </c>
      <c r="B4671" s="2" t="s">
        <v>4180</v>
      </c>
      <c r="C4671" s="2" t="s">
        <v>4181</v>
      </c>
      <c r="D4671" s="3" t="str">
        <f t="shared" si="835"/>
        <v>12Go Link</v>
      </c>
      <c r="E4671" s="2" t="s">
        <v>4174</v>
      </c>
    </row>
    <row r="4672">
      <c r="A4672" s="2" t="s">
        <v>4158</v>
      </c>
      <c r="B4672" s="2" t="s">
        <v>4180</v>
      </c>
      <c r="C4672" s="2" t="s">
        <v>4181</v>
      </c>
      <c r="D4672" s="3" t="str">
        <f t="shared" si="835"/>
        <v>12Go Link</v>
      </c>
      <c r="E4672" s="2" t="s">
        <v>4175</v>
      </c>
    </row>
    <row r="4673">
      <c r="A4673" s="2" t="s">
        <v>4158</v>
      </c>
      <c r="B4673" s="2" t="s">
        <v>4180</v>
      </c>
      <c r="C4673" s="2" t="s">
        <v>4182</v>
      </c>
      <c r="D4673" s="3" t="str">
        <f t="shared" ref="D4673:D4687" si="836">HYPERLINK("https://12go.asia/en/travel/Langkawi-International-Airport/Datai", "12Go Link")</f>
        <v>12Go Link</v>
      </c>
      <c r="E4673" s="2" t="s">
        <v>4161</v>
      </c>
    </row>
    <row r="4674">
      <c r="A4674" s="2" t="s">
        <v>4158</v>
      </c>
      <c r="B4674" s="2" t="s">
        <v>4180</v>
      </c>
      <c r="C4674" s="2" t="s">
        <v>4182</v>
      </c>
      <c r="D4674" s="3" t="str">
        <f t="shared" si="836"/>
        <v>12Go Link</v>
      </c>
      <c r="E4674" s="2" t="s">
        <v>4162</v>
      </c>
    </row>
    <row r="4675">
      <c r="A4675" s="2" t="s">
        <v>4158</v>
      </c>
      <c r="B4675" s="2" t="s">
        <v>4180</v>
      </c>
      <c r="C4675" s="2" t="s">
        <v>4182</v>
      </c>
      <c r="D4675" s="3" t="str">
        <f t="shared" si="836"/>
        <v>12Go Link</v>
      </c>
      <c r="E4675" s="2" t="s">
        <v>4163</v>
      </c>
    </row>
    <row r="4676">
      <c r="A4676" s="2" t="s">
        <v>4158</v>
      </c>
      <c r="B4676" s="2" t="s">
        <v>4180</v>
      </c>
      <c r="C4676" s="2" t="s">
        <v>4182</v>
      </c>
      <c r="D4676" s="3" t="str">
        <f t="shared" si="836"/>
        <v>12Go Link</v>
      </c>
      <c r="E4676" s="2" t="s">
        <v>4164</v>
      </c>
    </row>
    <row r="4677">
      <c r="A4677" s="2" t="s">
        <v>4158</v>
      </c>
      <c r="B4677" s="2" t="s">
        <v>4180</v>
      </c>
      <c r="C4677" s="2" t="s">
        <v>4182</v>
      </c>
      <c r="D4677" s="3" t="str">
        <f t="shared" si="836"/>
        <v>12Go Link</v>
      </c>
      <c r="E4677" s="2" t="s">
        <v>4165</v>
      </c>
    </row>
    <row r="4678">
      <c r="A4678" s="2" t="s">
        <v>4158</v>
      </c>
      <c r="B4678" s="2" t="s">
        <v>4180</v>
      </c>
      <c r="C4678" s="2" t="s">
        <v>4182</v>
      </c>
      <c r="D4678" s="3" t="str">
        <f t="shared" si="836"/>
        <v>12Go Link</v>
      </c>
      <c r="E4678" s="2" t="s">
        <v>4166</v>
      </c>
    </row>
    <row r="4679">
      <c r="A4679" s="2" t="s">
        <v>4158</v>
      </c>
      <c r="B4679" s="2" t="s">
        <v>4180</v>
      </c>
      <c r="C4679" s="2" t="s">
        <v>4182</v>
      </c>
      <c r="D4679" s="3" t="str">
        <f t="shared" si="836"/>
        <v>12Go Link</v>
      </c>
      <c r="E4679" s="2" t="s">
        <v>4167</v>
      </c>
    </row>
    <row r="4680">
      <c r="A4680" s="2" t="s">
        <v>4158</v>
      </c>
      <c r="B4680" s="2" t="s">
        <v>4180</v>
      </c>
      <c r="C4680" s="2" t="s">
        <v>4182</v>
      </c>
      <c r="D4680" s="3" t="str">
        <f t="shared" si="836"/>
        <v>12Go Link</v>
      </c>
      <c r="E4680" s="2" t="s">
        <v>4168</v>
      </c>
    </row>
    <row r="4681">
      <c r="A4681" s="2" t="s">
        <v>4158</v>
      </c>
      <c r="B4681" s="2" t="s">
        <v>4180</v>
      </c>
      <c r="C4681" s="2" t="s">
        <v>4182</v>
      </c>
      <c r="D4681" s="3" t="str">
        <f t="shared" si="836"/>
        <v>12Go Link</v>
      </c>
      <c r="E4681" s="2" t="s">
        <v>4169</v>
      </c>
    </row>
    <row r="4682">
      <c r="A4682" s="2" t="s">
        <v>4158</v>
      </c>
      <c r="B4682" s="2" t="s">
        <v>4180</v>
      </c>
      <c r="C4682" s="2" t="s">
        <v>4182</v>
      </c>
      <c r="D4682" s="3" t="str">
        <f t="shared" si="836"/>
        <v>12Go Link</v>
      </c>
      <c r="E4682" s="2" t="s">
        <v>4170</v>
      </c>
    </row>
    <row r="4683">
      <c r="A4683" s="2" t="s">
        <v>4158</v>
      </c>
      <c r="B4683" s="2" t="s">
        <v>4180</v>
      </c>
      <c r="C4683" s="2" t="s">
        <v>4182</v>
      </c>
      <c r="D4683" s="3" t="str">
        <f t="shared" si="836"/>
        <v>12Go Link</v>
      </c>
      <c r="E4683" s="2" t="s">
        <v>4171</v>
      </c>
    </row>
    <row r="4684">
      <c r="A4684" s="2" t="s">
        <v>4158</v>
      </c>
      <c r="B4684" s="2" t="s">
        <v>4180</v>
      </c>
      <c r="C4684" s="2" t="s">
        <v>4182</v>
      </c>
      <c r="D4684" s="3" t="str">
        <f t="shared" si="836"/>
        <v>12Go Link</v>
      </c>
      <c r="E4684" s="2" t="s">
        <v>4172</v>
      </c>
    </row>
    <row r="4685">
      <c r="A4685" s="2" t="s">
        <v>4158</v>
      </c>
      <c r="B4685" s="2" t="s">
        <v>4180</v>
      </c>
      <c r="C4685" s="2" t="s">
        <v>4182</v>
      </c>
      <c r="D4685" s="3" t="str">
        <f t="shared" si="836"/>
        <v>12Go Link</v>
      </c>
      <c r="E4685" s="2" t="s">
        <v>4173</v>
      </c>
    </row>
    <row r="4686">
      <c r="A4686" s="2" t="s">
        <v>4158</v>
      </c>
      <c r="B4686" s="2" t="s">
        <v>4180</v>
      </c>
      <c r="C4686" s="2" t="s">
        <v>4182</v>
      </c>
      <c r="D4686" s="3" t="str">
        <f t="shared" si="836"/>
        <v>12Go Link</v>
      </c>
      <c r="E4686" s="2" t="s">
        <v>4174</v>
      </c>
    </row>
    <row r="4687">
      <c r="A4687" s="2" t="s">
        <v>4158</v>
      </c>
      <c r="B4687" s="2" t="s">
        <v>4180</v>
      </c>
      <c r="C4687" s="2" t="s">
        <v>4182</v>
      </c>
      <c r="D4687" s="3" t="str">
        <f t="shared" si="836"/>
        <v>12Go Link</v>
      </c>
      <c r="E4687" s="2" t="s">
        <v>4175</v>
      </c>
    </row>
    <row r="4688">
      <c r="A4688" s="2" t="s">
        <v>4158</v>
      </c>
      <c r="B4688" s="2" t="s">
        <v>4180</v>
      </c>
      <c r="C4688" s="2" t="s">
        <v>4183</v>
      </c>
      <c r="D4688" s="3" t="str">
        <f t="shared" ref="D4688:D4702" si="837">HYPERLINK("https://12go.asia/en/travel/Langkawi-International-Airport/Kuah-Transfer", "12Go Link")</f>
        <v>12Go Link</v>
      </c>
      <c r="E4688" s="2" t="s">
        <v>4161</v>
      </c>
    </row>
    <row r="4689">
      <c r="A4689" s="2" t="s">
        <v>4158</v>
      </c>
      <c r="B4689" s="2" t="s">
        <v>4180</v>
      </c>
      <c r="C4689" s="2" t="s">
        <v>4183</v>
      </c>
      <c r="D4689" s="3" t="str">
        <f t="shared" si="837"/>
        <v>12Go Link</v>
      </c>
      <c r="E4689" s="2" t="s">
        <v>4162</v>
      </c>
    </row>
    <row r="4690">
      <c r="A4690" s="2" t="s">
        <v>4158</v>
      </c>
      <c r="B4690" s="2" t="s">
        <v>4180</v>
      </c>
      <c r="C4690" s="2" t="s">
        <v>4183</v>
      </c>
      <c r="D4690" s="3" t="str">
        <f t="shared" si="837"/>
        <v>12Go Link</v>
      </c>
      <c r="E4690" s="2" t="s">
        <v>4163</v>
      </c>
    </row>
    <row r="4691">
      <c r="A4691" s="2" t="s">
        <v>4158</v>
      </c>
      <c r="B4691" s="2" t="s">
        <v>4180</v>
      </c>
      <c r="C4691" s="2" t="s">
        <v>4183</v>
      </c>
      <c r="D4691" s="3" t="str">
        <f t="shared" si="837"/>
        <v>12Go Link</v>
      </c>
      <c r="E4691" s="2" t="s">
        <v>4164</v>
      </c>
    </row>
    <row r="4692">
      <c r="A4692" s="2" t="s">
        <v>4158</v>
      </c>
      <c r="B4692" s="2" t="s">
        <v>4180</v>
      </c>
      <c r="C4692" s="2" t="s">
        <v>4183</v>
      </c>
      <c r="D4692" s="3" t="str">
        <f t="shared" si="837"/>
        <v>12Go Link</v>
      </c>
      <c r="E4692" s="2" t="s">
        <v>4165</v>
      </c>
    </row>
    <row r="4693">
      <c r="A4693" s="2" t="s">
        <v>4158</v>
      </c>
      <c r="B4693" s="2" t="s">
        <v>4180</v>
      </c>
      <c r="C4693" s="2" t="s">
        <v>4183</v>
      </c>
      <c r="D4693" s="3" t="str">
        <f t="shared" si="837"/>
        <v>12Go Link</v>
      </c>
      <c r="E4693" s="2" t="s">
        <v>4166</v>
      </c>
    </row>
    <row r="4694">
      <c r="A4694" s="2" t="s">
        <v>4158</v>
      </c>
      <c r="B4694" s="2" t="s">
        <v>4180</v>
      </c>
      <c r="C4694" s="2" t="s">
        <v>4183</v>
      </c>
      <c r="D4694" s="3" t="str">
        <f t="shared" si="837"/>
        <v>12Go Link</v>
      </c>
      <c r="E4694" s="2" t="s">
        <v>4167</v>
      </c>
    </row>
    <row r="4695">
      <c r="A4695" s="2" t="s">
        <v>4158</v>
      </c>
      <c r="B4695" s="2" t="s">
        <v>4180</v>
      </c>
      <c r="C4695" s="2" t="s">
        <v>4183</v>
      </c>
      <c r="D4695" s="3" t="str">
        <f t="shared" si="837"/>
        <v>12Go Link</v>
      </c>
      <c r="E4695" s="2" t="s">
        <v>4168</v>
      </c>
    </row>
    <row r="4696">
      <c r="A4696" s="2" t="s">
        <v>4158</v>
      </c>
      <c r="B4696" s="2" t="s">
        <v>4180</v>
      </c>
      <c r="C4696" s="2" t="s">
        <v>4183</v>
      </c>
      <c r="D4696" s="3" t="str">
        <f t="shared" si="837"/>
        <v>12Go Link</v>
      </c>
      <c r="E4696" s="2" t="s">
        <v>4169</v>
      </c>
    </row>
    <row r="4697">
      <c r="A4697" s="2" t="s">
        <v>4158</v>
      </c>
      <c r="B4697" s="2" t="s">
        <v>4180</v>
      </c>
      <c r="C4697" s="2" t="s">
        <v>4183</v>
      </c>
      <c r="D4697" s="3" t="str">
        <f t="shared" si="837"/>
        <v>12Go Link</v>
      </c>
      <c r="E4697" s="2" t="s">
        <v>4170</v>
      </c>
    </row>
    <row r="4698">
      <c r="A4698" s="2" t="s">
        <v>4158</v>
      </c>
      <c r="B4698" s="2" t="s">
        <v>4180</v>
      </c>
      <c r="C4698" s="2" t="s">
        <v>4183</v>
      </c>
      <c r="D4698" s="3" t="str">
        <f t="shared" si="837"/>
        <v>12Go Link</v>
      </c>
      <c r="E4698" s="2" t="s">
        <v>4171</v>
      </c>
    </row>
    <row r="4699">
      <c r="A4699" s="2" t="s">
        <v>4158</v>
      </c>
      <c r="B4699" s="2" t="s">
        <v>4180</v>
      </c>
      <c r="C4699" s="2" t="s">
        <v>4183</v>
      </c>
      <c r="D4699" s="3" t="str">
        <f t="shared" si="837"/>
        <v>12Go Link</v>
      </c>
      <c r="E4699" s="2" t="s">
        <v>4172</v>
      </c>
    </row>
    <row r="4700">
      <c r="A4700" s="2" t="s">
        <v>4158</v>
      </c>
      <c r="B4700" s="2" t="s">
        <v>4180</v>
      </c>
      <c r="C4700" s="2" t="s">
        <v>4183</v>
      </c>
      <c r="D4700" s="3" t="str">
        <f t="shared" si="837"/>
        <v>12Go Link</v>
      </c>
      <c r="E4700" s="2" t="s">
        <v>4173</v>
      </c>
    </row>
    <row r="4701">
      <c r="A4701" s="2" t="s">
        <v>4158</v>
      </c>
      <c r="B4701" s="2" t="s">
        <v>4180</v>
      </c>
      <c r="C4701" s="2" t="s">
        <v>4183</v>
      </c>
      <c r="D4701" s="3" t="str">
        <f t="shared" si="837"/>
        <v>12Go Link</v>
      </c>
      <c r="E4701" s="2" t="s">
        <v>4174</v>
      </c>
    </row>
    <row r="4702">
      <c r="A4702" s="2" t="s">
        <v>4158</v>
      </c>
      <c r="B4702" s="2" t="s">
        <v>4180</v>
      </c>
      <c r="C4702" s="2" t="s">
        <v>4183</v>
      </c>
      <c r="D4702" s="3" t="str">
        <f t="shared" si="837"/>
        <v>12Go Link</v>
      </c>
      <c r="E4702" s="2" t="s">
        <v>4175</v>
      </c>
    </row>
    <row r="4703">
      <c r="A4703" s="2" t="s">
        <v>4158</v>
      </c>
      <c r="B4703" s="2" t="s">
        <v>4180</v>
      </c>
      <c r="C4703" s="2" t="s">
        <v>4184</v>
      </c>
      <c r="D4703" s="3" t="str">
        <f t="shared" ref="D4703:D4717" si="838">HYPERLINK("https://12go.asia/en/travel/Langkawi-International-Airport/Pantai-Kok-Beach", "12Go Link")</f>
        <v>12Go Link</v>
      </c>
      <c r="E4703" s="2" t="s">
        <v>4161</v>
      </c>
    </row>
    <row r="4704">
      <c r="A4704" s="2" t="s">
        <v>4158</v>
      </c>
      <c r="B4704" s="2" t="s">
        <v>4180</v>
      </c>
      <c r="C4704" s="2" t="s">
        <v>4184</v>
      </c>
      <c r="D4704" s="3" t="str">
        <f t="shared" si="838"/>
        <v>12Go Link</v>
      </c>
      <c r="E4704" s="2" t="s">
        <v>4162</v>
      </c>
    </row>
    <row r="4705">
      <c r="A4705" s="2" t="s">
        <v>4158</v>
      </c>
      <c r="B4705" s="2" t="s">
        <v>4180</v>
      </c>
      <c r="C4705" s="2" t="s">
        <v>4184</v>
      </c>
      <c r="D4705" s="3" t="str">
        <f t="shared" si="838"/>
        <v>12Go Link</v>
      </c>
      <c r="E4705" s="2" t="s">
        <v>4163</v>
      </c>
    </row>
    <row r="4706">
      <c r="A4706" s="2" t="s">
        <v>4158</v>
      </c>
      <c r="B4706" s="2" t="s">
        <v>4180</v>
      </c>
      <c r="C4706" s="2" t="s">
        <v>4184</v>
      </c>
      <c r="D4706" s="3" t="str">
        <f t="shared" si="838"/>
        <v>12Go Link</v>
      </c>
      <c r="E4706" s="2" t="s">
        <v>4164</v>
      </c>
    </row>
    <row r="4707">
      <c r="A4707" s="2" t="s">
        <v>4158</v>
      </c>
      <c r="B4707" s="2" t="s">
        <v>4180</v>
      </c>
      <c r="C4707" s="2" t="s">
        <v>4184</v>
      </c>
      <c r="D4707" s="3" t="str">
        <f t="shared" si="838"/>
        <v>12Go Link</v>
      </c>
      <c r="E4707" s="2" t="s">
        <v>4165</v>
      </c>
    </row>
    <row r="4708">
      <c r="A4708" s="2" t="s">
        <v>4158</v>
      </c>
      <c r="B4708" s="2" t="s">
        <v>4180</v>
      </c>
      <c r="C4708" s="2" t="s">
        <v>4184</v>
      </c>
      <c r="D4708" s="3" t="str">
        <f t="shared" si="838"/>
        <v>12Go Link</v>
      </c>
      <c r="E4708" s="2" t="s">
        <v>4166</v>
      </c>
    </row>
    <row r="4709">
      <c r="A4709" s="2" t="s">
        <v>4158</v>
      </c>
      <c r="B4709" s="2" t="s">
        <v>4180</v>
      </c>
      <c r="C4709" s="2" t="s">
        <v>4184</v>
      </c>
      <c r="D4709" s="3" t="str">
        <f t="shared" si="838"/>
        <v>12Go Link</v>
      </c>
      <c r="E4709" s="2" t="s">
        <v>4167</v>
      </c>
    </row>
    <row r="4710">
      <c r="A4710" s="2" t="s">
        <v>4158</v>
      </c>
      <c r="B4710" s="2" t="s">
        <v>4180</v>
      </c>
      <c r="C4710" s="2" t="s">
        <v>4184</v>
      </c>
      <c r="D4710" s="3" t="str">
        <f t="shared" si="838"/>
        <v>12Go Link</v>
      </c>
      <c r="E4710" s="2" t="s">
        <v>4168</v>
      </c>
    </row>
    <row r="4711">
      <c r="A4711" s="2" t="s">
        <v>4158</v>
      </c>
      <c r="B4711" s="2" t="s">
        <v>4180</v>
      </c>
      <c r="C4711" s="2" t="s">
        <v>4184</v>
      </c>
      <c r="D4711" s="3" t="str">
        <f t="shared" si="838"/>
        <v>12Go Link</v>
      </c>
      <c r="E4711" s="2" t="s">
        <v>4169</v>
      </c>
    </row>
    <row r="4712">
      <c r="A4712" s="2" t="s">
        <v>4158</v>
      </c>
      <c r="B4712" s="2" t="s">
        <v>4180</v>
      </c>
      <c r="C4712" s="2" t="s">
        <v>4184</v>
      </c>
      <c r="D4712" s="3" t="str">
        <f t="shared" si="838"/>
        <v>12Go Link</v>
      </c>
      <c r="E4712" s="2" t="s">
        <v>4170</v>
      </c>
    </row>
    <row r="4713">
      <c r="A4713" s="2" t="s">
        <v>4158</v>
      </c>
      <c r="B4713" s="2" t="s">
        <v>4180</v>
      </c>
      <c r="C4713" s="2" t="s">
        <v>4184</v>
      </c>
      <c r="D4713" s="3" t="str">
        <f t="shared" si="838"/>
        <v>12Go Link</v>
      </c>
      <c r="E4713" s="2" t="s">
        <v>4171</v>
      </c>
    </row>
    <row r="4714">
      <c r="A4714" s="2" t="s">
        <v>4158</v>
      </c>
      <c r="B4714" s="2" t="s">
        <v>4180</v>
      </c>
      <c r="C4714" s="2" t="s">
        <v>4184</v>
      </c>
      <c r="D4714" s="3" t="str">
        <f t="shared" si="838"/>
        <v>12Go Link</v>
      </c>
      <c r="E4714" s="2" t="s">
        <v>4172</v>
      </c>
    </row>
    <row r="4715">
      <c r="A4715" s="2" t="s">
        <v>4158</v>
      </c>
      <c r="B4715" s="2" t="s">
        <v>4180</v>
      </c>
      <c r="C4715" s="2" t="s">
        <v>4184</v>
      </c>
      <c r="D4715" s="3" t="str">
        <f t="shared" si="838"/>
        <v>12Go Link</v>
      </c>
      <c r="E4715" s="2" t="s">
        <v>4173</v>
      </c>
    </row>
    <row r="4716">
      <c r="A4716" s="2" t="s">
        <v>4158</v>
      </c>
      <c r="B4716" s="2" t="s">
        <v>4180</v>
      </c>
      <c r="C4716" s="2" t="s">
        <v>4184</v>
      </c>
      <c r="D4716" s="3" t="str">
        <f t="shared" si="838"/>
        <v>12Go Link</v>
      </c>
      <c r="E4716" s="2" t="s">
        <v>4174</v>
      </c>
    </row>
    <row r="4717">
      <c r="A4717" s="2" t="s">
        <v>4158</v>
      </c>
      <c r="B4717" s="2" t="s">
        <v>4180</v>
      </c>
      <c r="C4717" s="2" t="s">
        <v>4184</v>
      </c>
      <c r="D4717" s="3" t="str">
        <f t="shared" si="838"/>
        <v>12Go Link</v>
      </c>
      <c r="E4717" s="2" t="s">
        <v>4175</v>
      </c>
    </row>
    <row r="4718">
      <c r="A4718" s="2" t="s">
        <v>4158</v>
      </c>
      <c r="B4718" s="2" t="s">
        <v>4180</v>
      </c>
      <c r="C4718" s="2" t="s">
        <v>4185</v>
      </c>
      <c r="D4718" s="3" t="str">
        <f t="shared" ref="D4718:D4732" si="839">HYPERLINK("https://12go.asia/en/travel/Langkawi-International-Airport/Tanjung-Rhu-Beach-Transfer", "12Go Link")</f>
        <v>12Go Link</v>
      </c>
      <c r="E4718" s="2" t="s">
        <v>4161</v>
      </c>
    </row>
    <row r="4719">
      <c r="A4719" s="2" t="s">
        <v>4158</v>
      </c>
      <c r="B4719" s="2" t="s">
        <v>4180</v>
      </c>
      <c r="C4719" s="2" t="s">
        <v>4185</v>
      </c>
      <c r="D4719" s="3" t="str">
        <f t="shared" si="839"/>
        <v>12Go Link</v>
      </c>
      <c r="E4719" s="2" t="s">
        <v>4162</v>
      </c>
    </row>
    <row r="4720">
      <c r="A4720" s="2" t="s">
        <v>4158</v>
      </c>
      <c r="B4720" s="2" t="s">
        <v>4180</v>
      </c>
      <c r="C4720" s="2" t="s">
        <v>4185</v>
      </c>
      <c r="D4720" s="3" t="str">
        <f t="shared" si="839"/>
        <v>12Go Link</v>
      </c>
      <c r="E4720" s="2" t="s">
        <v>4163</v>
      </c>
    </row>
    <row r="4721">
      <c r="A4721" s="2" t="s">
        <v>4158</v>
      </c>
      <c r="B4721" s="2" t="s">
        <v>4180</v>
      </c>
      <c r="C4721" s="2" t="s">
        <v>4185</v>
      </c>
      <c r="D4721" s="3" t="str">
        <f t="shared" si="839"/>
        <v>12Go Link</v>
      </c>
      <c r="E4721" s="2" t="s">
        <v>4164</v>
      </c>
    </row>
    <row r="4722">
      <c r="A4722" s="2" t="s">
        <v>4158</v>
      </c>
      <c r="B4722" s="2" t="s">
        <v>4180</v>
      </c>
      <c r="C4722" s="2" t="s">
        <v>4185</v>
      </c>
      <c r="D4722" s="3" t="str">
        <f t="shared" si="839"/>
        <v>12Go Link</v>
      </c>
      <c r="E4722" s="2" t="s">
        <v>4165</v>
      </c>
    </row>
    <row r="4723">
      <c r="A4723" s="2" t="s">
        <v>4158</v>
      </c>
      <c r="B4723" s="2" t="s">
        <v>4180</v>
      </c>
      <c r="C4723" s="2" t="s">
        <v>4185</v>
      </c>
      <c r="D4723" s="3" t="str">
        <f t="shared" si="839"/>
        <v>12Go Link</v>
      </c>
      <c r="E4723" s="2" t="s">
        <v>4166</v>
      </c>
    </row>
    <row r="4724">
      <c r="A4724" s="2" t="s">
        <v>4158</v>
      </c>
      <c r="B4724" s="2" t="s">
        <v>4180</v>
      </c>
      <c r="C4724" s="2" t="s">
        <v>4185</v>
      </c>
      <c r="D4724" s="3" t="str">
        <f t="shared" si="839"/>
        <v>12Go Link</v>
      </c>
      <c r="E4724" s="2" t="s">
        <v>4167</v>
      </c>
    </row>
    <row r="4725">
      <c r="A4725" s="2" t="s">
        <v>4158</v>
      </c>
      <c r="B4725" s="2" t="s">
        <v>4180</v>
      </c>
      <c r="C4725" s="2" t="s">
        <v>4185</v>
      </c>
      <c r="D4725" s="3" t="str">
        <f t="shared" si="839"/>
        <v>12Go Link</v>
      </c>
      <c r="E4725" s="2" t="s">
        <v>4168</v>
      </c>
    </row>
    <row r="4726">
      <c r="A4726" s="2" t="s">
        <v>4158</v>
      </c>
      <c r="B4726" s="2" t="s">
        <v>4180</v>
      </c>
      <c r="C4726" s="2" t="s">
        <v>4185</v>
      </c>
      <c r="D4726" s="3" t="str">
        <f t="shared" si="839"/>
        <v>12Go Link</v>
      </c>
      <c r="E4726" s="2" t="s">
        <v>4169</v>
      </c>
    </row>
    <row r="4727">
      <c r="A4727" s="2" t="s">
        <v>4158</v>
      </c>
      <c r="B4727" s="2" t="s">
        <v>4180</v>
      </c>
      <c r="C4727" s="2" t="s">
        <v>4185</v>
      </c>
      <c r="D4727" s="3" t="str">
        <f t="shared" si="839"/>
        <v>12Go Link</v>
      </c>
      <c r="E4727" s="2" t="s">
        <v>4170</v>
      </c>
    </row>
    <row r="4728">
      <c r="A4728" s="2" t="s">
        <v>4158</v>
      </c>
      <c r="B4728" s="2" t="s">
        <v>4180</v>
      </c>
      <c r="C4728" s="2" t="s">
        <v>4185</v>
      </c>
      <c r="D4728" s="3" t="str">
        <f t="shared" si="839"/>
        <v>12Go Link</v>
      </c>
      <c r="E4728" s="2" t="s">
        <v>4171</v>
      </c>
    </row>
    <row r="4729">
      <c r="A4729" s="2" t="s">
        <v>4158</v>
      </c>
      <c r="B4729" s="2" t="s">
        <v>4180</v>
      </c>
      <c r="C4729" s="2" t="s">
        <v>4185</v>
      </c>
      <c r="D4729" s="3" t="str">
        <f t="shared" si="839"/>
        <v>12Go Link</v>
      </c>
      <c r="E4729" s="2" t="s">
        <v>4172</v>
      </c>
    </row>
    <row r="4730">
      <c r="A4730" s="2" t="s">
        <v>4158</v>
      </c>
      <c r="B4730" s="2" t="s">
        <v>4180</v>
      </c>
      <c r="C4730" s="2" t="s">
        <v>4185</v>
      </c>
      <c r="D4730" s="3" t="str">
        <f t="shared" si="839"/>
        <v>12Go Link</v>
      </c>
      <c r="E4730" s="2" t="s">
        <v>4173</v>
      </c>
    </row>
    <row r="4731">
      <c r="A4731" s="2" t="s">
        <v>4158</v>
      </c>
      <c r="B4731" s="2" t="s">
        <v>4180</v>
      </c>
      <c r="C4731" s="2" t="s">
        <v>4185</v>
      </c>
      <c r="D4731" s="3" t="str">
        <f t="shared" si="839"/>
        <v>12Go Link</v>
      </c>
      <c r="E4731" s="2" t="s">
        <v>4174</v>
      </c>
    </row>
    <row r="4732">
      <c r="A4732" s="2" t="s">
        <v>4158</v>
      </c>
      <c r="B4732" s="2" t="s">
        <v>4180</v>
      </c>
      <c r="C4732" s="2" t="s">
        <v>4185</v>
      </c>
      <c r="D4732" s="3" t="str">
        <f t="shared" si="839"/>
        <v>12Go Link</v>
      </c>
      <c r="E4732" s="2" t="s">
        <v>4175</v>
      </c>
    </row>
    <row r="4733">
      <c r="A4733" s="2" t="s">
        <v>4158</v>
      </c>
      <c r="B4733" s="2" t="s">
        <v>4180</v>
      </c>
      <c r="C4733" s="2" t="s">
        <v>4186</v>
      </c>
      <c r="D4733" s="3" t="str">
        <f t="shared" ref="D4733:D4747" si="840">HYPERLINK("https://12go.asia/en/travel/Langkawi-International-Airport/Telaga-Harbour-Marina", "12Go Link")</f>
        <v>12Go Link</v>
      </c>
      <c r="E4733" s="2" t="s">
        <v>4161</v>
      </c>
    </row>
    <row r="4734">
      <c r="A4734" s="2" t="s">
        <v>4158</v>
      </c>
      <c r="B4734" s="2" t="s">
        <v>4180</v>
      </c>
      <c r="C4734" s="2" t="s">
        <v>4186</v>
      </c>
      <c r="D4734" s="3" t="str">
        <f t="shared" si="840"/>
        <v>12Go Link</v>
      </c>
      <c r="E4734" s="2" t="s">
        <v>4162</v>
      </c>
    </row>
    <row r="4735">
      <c r="A4735" s="2" t="s">
        <v>4158</v>
      </c>
      <c r="B4735" s="2" t="s">
        <v>4180</v>
      </c>
      <c r="C4735" s="2" t="s">
        <v>4186</v>
      </c>
      <c r="D4735" s="3" t="str">
        <f t="shared" si="840"/>
        <v>12Go Link</v>
      </c>
      <c r="E4735" s="2" t="s">
        <v>4163</v>
      </c>
    </row>
    <row r="4736">
      <c r="A4736" s="2" t="s">
        <v>4158</v>
      </c>
      <c r="B4736" s="2" t="s">
        <v>4180</v>
      </c>
      <c r="C4736" s="2" t="s">
        <v>4186</v>
      </c>
      <c r="D4736" s="3" t="str">
        <f t="shared" si="840"/>
        <v>12Go Link</v>
      </c>
      <c r="E4736" s="2" t="s">
        <v>4164</v>
      </c>
    </row>
    <row r="4737">
      <c r="A4737" s="2" t="s">
        <v>4158</v>
      </c>
      <c r="B4737" s="2" t="s">
        <v>4180</v>
      </c>
      <c r="C4737" s="2" t="s">
        <v>4186</v>
      </c>
      <c r="D4737" s="3" t="str">
        <f t="shared" si="840"/>
        <v>12Go Link</v>
      </c>
      <c r="E4737" s="2" t="s">
        <v>4165</v>
      </c>
    </row>
    <row r="4738">
      <c r="A4738" s="2" t="s">
        <v>4158</v>
      </c>
      <c r="B4738" s="2" t="s">
        <v>4180</v>
      </c>
      <c r="C4738" s="2" t="s">
        <v>4186</v>
      </c>
      <c r="D4738" s="3" t="str">
        <f t="shared" si="840"/>
        <v>12Go Link</v>
      </c>
      <c r="E4738" s="2" t="s">
        <v>4166</v>
      </c>
    </row>
    <row r="4739">
      <c r="A4739" s="2" t="s">
        <v>4158</v>
      </c>
      <c r="B4739" s="2" t="s">
        <v>4180</v>
      </c>
      <c r="C4739" s="2" t="s">
        <v>4186</v>
      </c>
      <c r="D4739" s="3" t="str">
        <f t="shared" si="840"/>
        <v>12Go Link</v>
      </c>
      <c r="E4739" s="2" t="s">
        <v>4167</v>
      </c>
    </row>
    <row r="4740">
      <c r="A4740" s="2" t="s">
        <v>4158</v>
      </c>
      <c r="B4740" s="2" t="s">
        <v>4180</v>
      </c>
      <c r="C4740" s="2" t="s">
        <v>4186</v>
      </c>
      <c r="D4740" s="3" t="str">
        <f t="shared" si="840"/>
        <v>12Go Link</v>
      </c>
      <c r="E4740" s="2" t="s">
        <v>4168</v>
      </c>
    </row>
    <row r="4741">
      <c r="A4741" s="2" t="s">
        <v>4158</v>
      </c>
      <c r="B4741" s="2" t="s">
        <v>4180</v>
      </c>
      <c r="C4741" s="2" t="s">
        <v>4186</v>
      </c>
      <c r="D4741" s="3" t="str">
        <f t="shared" si="840"/>
        <v>12Go Link</v>
      </c>
      <c r="E4741" s="2" t="s">
        <v>4169</v>
      </c>
    </row>
    <row r="4742">
      <c r="A4742" s="2" t="s">
        <v>4158</v>
      </c>
      <c r="B4742" s="2" t="s">
        <v>4180</v>
      </c>
      <c r="C4742" s="2" t="s">
        <v>4186</v>
      </c>
      <c r="D4742" s="3" t="str">
        <f t="shared" si="840"/>
        <v>12Go Link</v>
      </c>
      <c r="E4742" s="2" t="s">
        <v>4170</v>
      </c>
    </row>
    <row r="4743">
      <c r="A4743" s="2" t="s">
        <v>4158</v>
      </c>
      <c r="B4743" s="2" t="s">
        <v>4180</v>
      </c>
      <c r="C4743" s="2" t="s">
        <v>4186</v>
      </c>
      <c r="D4743" s="3" t="str">
        <f t="shared" si="840"/>
        <v>12Go Link</v>
      </c>
      <c r="E4743" s="2" t="s">
        <v>4171</v>
      </c>
    </row>
    <row r="4744">
      <c r="A4744" s="2" t="s">
        <v>4158</v>
      </c>
      <c r="B4744" s="2" t="s">
        <v>4180</v>
      </c>
      <c r="C4744" s="2" t="s">
        <v>4186</v>
      </c>
      <c r="D4744" s="3" t="str">
        <f t="shared" si="840"/>
        <v>12Go Link</v>
      </c>
      <c r="E4744" s="2" t="s">
        <v>4172</v>
      </c>
    </row>
    <row r="4745">
      <c r="A4745" s="2" t="s">
        <v>4158</v>
      </c>
      <c r="B4745" s="2" t="s">
        <v>4180</v>
      </c>
      <c r="C4745" s="2" t="s">
        <v>4186</v>
      </c>
      <c r="D4745" s="3" t="str">
        <f t="shared" si="840"/>
        <v>12Go Link</v>
      </c>
      <c r="E4745" s="2" t="s">
        <v>4173</v>
      </c>
    </row>
    <row r="4746">
      <c r="A4746" s="2" t="s">
        <v>4158</v>
      </c>
      <c r="B4746" s="2" t="s">
        <v>4180</v>
      </c>
      <c r="C4746" s="2" t="s">
        <v>4186</v>
      </c>
      <c r="D4746" s="3" t="str">
        <f t="shared" si="840"/>
        <v>12Go Link</v>
      </c>
      <c r="E4746" s="2" t="s">
        <v>4174</v>
      </c>
    </row>
    <row r="4747">
      <c r="A4747" s="2" t="s">
        <v>4158</v>
      </c>
      <c r="B4747" s="2" t="s">
        <v>4180</v>
      </c>
      <c r="C4747" s="2" t="s">
        <v>4186</v>
      </c>
      <c r="D4747" s="3" t="str">
        <f t="shared" si="840"/>
        <v>12Go Link</v>
      </c>
      <c r="E4747" s="2" t="s">
        <v>4175</v>
      </c>
    </row>
    <row r="4748">
      <c r="A4748" s="2" t="s">
        <v>4187</v>
      </c>
      <c r="B4748" s="2" t="s">
        <v>4188</v>
      </c>
      <c r="C4748" s="2" t="s">
        <v>4189</v>
      </c>
      <c r="D4748" s="3" t="str">
        <f t="shared" ref="D4748:D4749" si="841">HYPERLINK("https://12go.asia/en/travel/Kota-Bharu/Kuala-Besut-Jetty", "12Go Link")</f>
        <v>12Go Link</v>
      </c>
      <c r="E4748" s="2" t="s">
        <v>4139</v>
      </c>
    </row>
    <row r="4749">
      <c r="A4749" s="2" t="s">
        <v>4187</v>
      </c>
      <c r="B4749" s="2" t="s">
        <v>4188</v>
      </c>
      <c r="C4749" s="2" t="s">
        <v>4189</v>
      </c>
      <c r="D4749" s="3" t="str">
        <f t="shared" si="841"/>
        <v>12Go Link</v>
      </c>
      <c r="E4749" s="2" t="s">
        <v>4190</v>
      </c>
    </row>
    <row r="4750">
      <c r="A4750" s="2" t="s">
        <v>4187</v>
      </c>
      <c r="B4750" s="2" t="s">
        <v>4188</v>
      </c>
      <c r="C4750" s="2" t="s">
        <v>4191</v>
      </c>
      <c r="D4750" s="3" t="str">
        <f t="shared" ref="D4750:D4751" si="842">HYPERLINK("https://12go.asia/en/travel/Kota-Bharu-Airport/Kuala-Besut-Jetty", "12Go Link")</f>
        <v>12Go Link</v>
      </c>
      <c r="E4750" s="2" t="s">
        <v>4139</v>
      </c>
    </row>
    <row r="4751">
      <c r="A4751" s="2" t="s">
        <v>4187</v>
      </c>
      <c r="B4751" s="2" t="s">
        <v>4188</v>
      </c>
      <c r="C4751" s="2" t="s">
        <v>4191</v>
      </c>
      <c r="D4751" s="3" t="str">
        <f t="shared" si="842"/>
        <v>12Go Link</v>
      </c>
      <c r="E4751" s="2" t="s">
        <v>4190</v>
      </c>
    </row>
    <row r="4752">
      <c r="A4752" s="2" t="s">
        <v>4192</v>
      </c>
      <c r="B4752" s="2" t="s">
        <v>4192</v>
      </c>
      <c r="C4752" s="2" t="s">
        <v>4193</v>
      </c>
      <c r="D4752" s="3" t="str">
        <f t="shared" ref="D4752:D4755" si="843">HYPERLINK("https://12go.asia/en/travel/Kota-Kinabalu-Airport/Kota-Kinabalu-Transfer", "12Go Link")</f>
        <v>12Go Link</v>
      </c>
      <c r="E4752" s="2" t="s">
        <v>286</v>
      </c>
    </row>
    <row r="4753">
      <c r="A4753" s="2" t="s">
        <v>4192</v>
      </c>
      <c r="B4753" s="2" t="s">
        <v>4192</v>
      </c>
      <c r="C4753" s="2" t="s">
        <v>4193</v>
      </c>
      <c r="D4753" s="3" t="str">
        <f t="shared" si="843"/>
        <v>12Go Link</v>
      </c>
      <c r="E4753" s="2" t="s">
        <v>3407</v>
      </c>
    </row>
    <row r="4754">
      <c r="A4754" s="2" t="s">
        <v>4192</v>
      </c>
      <c r="B4754" s="2" t="s">
        <v>4192</v>
      </c>
      <c r="C4754" s="2" t="s">
        <v>4193</v>
      </c>
      <c r="D4754" s="3" t="str">
        <f t="shared" si="843"/>
        <v>12Go Link</v>
      </c>
      <c r="E4754" s="2" t="s">
        <v>4194</v>
      </c>
    </row>
    <row r="4755">
      <c r="A4755" s="2" t="s">
        <v>4192</v>
      </c>
      <c r="B4755" s="2" t="s">
        <v>4192</v>
      </c>
      <c r="C4755" s="2" t="s">
        <v>4193</v>
      </c>
      <c r="D4755" s="3" t="str">
        <f t="shared" si="843"/>
        <v>12Go Link</v>
      </c>
      <c r="E4755" s="2" t="s">
        <v>3409</v>
      </c>
    </row>
    <row r="4756">
      <c r="A4756" s="2" t="s">
        <v>4192</v>
      </c>
      <c r="B4756" s="2" t="s">
        <v>4192</v>
      </c>
      <c r="C4756" s="2" t="s">
        <v>4195</v>
      </c>
      <c r="D4756" s="3" t="str">
        <f t="shared" ref="D4756:D4759" si="844">HYPERLINK("https://12go.asia/en/travel/Kota-Kinabalu-Transfer/Kota-Kinabalu-Airport", "12Go Link")</f>
        <v>12Go Link</v>
      </c>
      <c r="E4756" s="2" t="s">
        <v>286</v>
      </c>
    </row>
    <row r="4757">
      <c r="A4757" s="2" t="s">
        <v>4192</v>
      </c>
      <c r="B4757" s="2" t="s">
        <v>4192</v>
      </c>
      <c r="C4757" s="2" t="s">
        <v>4195</v>
      </c>
      <c r="D4757" s="3" t="str">
        <f t="shared" si="844"/>
        <v>12Go Link</v>
      </c>
      <c r="E4757" s="2" t="s">
        <v>3407</v>
      </c>
    </row>
    <row r="4758">
      <c r="A4758" s="2" t="s">
        <v>4192</v>
      </c>
      <c r="B4758" s="2" t="s">
        <v>4192</v>
      </c>
      <c r="C4758" s="2" t="s">
        <v>4195</v>
      </c>
      <c r="D4758" s="3" t="str">
        <f t="shared" si="844"/>
        <v>12Go Link</v>
      </c>
      <c r="E4758" s="2" t="s">
        <v>4194</v>
      </c>
    </row>
    <row r="4759">
      <c r="A4759" s="2" t="s">
        <v>4192</v>
      </c>
      <c r="B4759" s="2" t="s">
        <v>4192</v>
      </c>
      <c r="C4759" s="2" t="s">
        <v>4195</v>
      </c>
      <c r="D4759" s="3" t="str">
        <f t="shared" si="844"/>
        <v>12Go Link</v>
      </c>
      <c r="E4759" s="2" t="s">
        <v>3409</v>
      </c>
    </row>
    <row r="4760">
      <c r="A4760" s="2" t="s">
        <v>4192</v>
      </c>
      <c r="B4760" s="2" t="s">
        <v>4196</v>
      </c>
      <c r="C4760" s="2" t="s">
        <v>4197</v>
      </c>
      <c r="D4760" s="3" t="str">
        <f>HYPERLINK("https://12go.asia/en/travel/Jesselton-Point-Ferry-Terminal/Mamutik-Island", "12Go Link")</f>
        <v>12Go Link</v>
      </c>
      <c r="E4760" s="2" t="s">
        <v>309</v>
      </c>
    </row>
    <row r="4761">
      <c r="A4761" s="2" t="s">
        <v>4192</v>
      </c>
      <c r="B4761" s="2" t="s">
        <v>4196</v>
      </c>
      <c r="C4761" s="2" t="s">
        <v>4198</v>
      </c>
      <c r="D4761" s="3" t="str">
        <f>HYPERLINK("https://12go.asia/en/travel/Jesselton-Point-Ferry-Terminal/Manukan-Island", "12Go Link")</f>
        <v>12Go Link</v>
      </c>
      <c r="E4761" s="2" t="s">
        <v>309</v>
      </c>
    </row>
    <row r="4762">
      <c r="A4762" s="2" t="s">
        <v>4192</v>
      </c>
      <c r="B4762" s="2" t="s">
        <v>4196</v>
      </c>
      <c r="C4762" s="2" t="s">
        <v>4199</v>
      </c>
      <c r="D4762" s="3" t="str">
        <f>HYPERLINK("https://12go.asia/en/travel/Jesselton-Point-Ferry-Terminal/Sapi-Island", "12Go Link")</f>
        <v>12Go Link</v>
      </c>
      <c r="E4762" s="2" t="s">
        <v>309</v>
      </c>
    </row>
    <row r="4763">
      <c r="A4763" s="2" t="s">
        <v>4130</v>
      </c>
      <c r="B4763" s="2" t="s">
        <v>4129</v>
      </c>
      <c r="C4763" s="2" t="s">
        <v>4200</v>
      </c>
      <c r="D4763" s="3" t="str">
        <f t="shared" ref="D4763:D4766" si="845">HYPERLINK("https://12go.asia/en/travel/Kuala-Lumpur-Airport/Batu-Caves", "12Go Link")</f>
        <v>12Go Link</v>
      </c>
      <c r="E4763" s="2" t="s">
        <v>286</v>
      </c>
    </row>
    <row r="4764">
      <c r="A4764" s="2" t="s">
        <v>4130</v>
      </c>
      <c r="B4764" s="2" t="s">
        <v>4129</v>
      </c>
      <c r="C4764" s="2" t="s">
        <v>4200</v>
      </c>
      <c r="D4764" s="3" t="str">
        <f t="shared" si="845"/>
        <v>12Go Link</v>
      </c>
      <c r="E4764" s="2" t="s">
        <v>3407</v>
      </c>
    </row>
    <row r="4765">
      <c r="A4765" s="2" t="s">
        <v>4130</v>
      </c>
      <c r="B4765" s="2" t="s">
        <v>4129</v>
      </c>
      <c r="C4765" s="2" t="s">
        <v>4200</v>
      </c>
      <c r="D4765" s="3" t="str">
        <f t="shared" si="845"/>
        <v>12Go Link</v>
      </c>
      <c r="E4765" s="2" t="s">
        <v>3408</v>
      </c>
    </row>
    <row r="4766">
      <c r="A4766" s="2" t="s">
        <v>4130</v>
      </c>
      <c r="B4766" s="2" t="s">
        <v>4129</v>
      </c>
      <c r="C4766" s="2" t="s">
        <v>4200</v>
      </c>
      <c r="D4766" s="3" t="str">
        <f t="shared" si="845"/>
        <v>12Go Link</v>
      </c>
      <c r="E4766" s="2" t="s">
        <v>3409</v>
      </c>
    </row>
    <row r="4767">
      <c r="A4767" s="2" t="s">
        <v>4130</v>
      </c>
      <c r="B4767" s="2" t="s">
        <v>4135</v>
      </c>
      <c r="C4767" s="2" t="s">
        <v>4201</v>
      </c>
      <c r="D4767" s="3" t="str">
        <f t="shared" ref="D4767:D4772" si="846">HYPERLINK("https://12go.asia/en/travel/Kuala-Lumpur-Hotel-Transfer/Cameron-Highlands-Hotel-Transfer", "12Go Link")</f>
        <v>12Go Link</v>
      </c>
      <c r="E4767" s="2" t="s">
        <v>4202</v>
      </c>
    </row>
    <row r="4768">
      <c r="A4768" s="2" t="s">
        <v>4130</v>
      </c>
      <c r="B4768" s="2" t="s">
        <v>4135</v>
      </c>
      <c r="C4768" s="2" t="s">
        <v>4201</v>
      </c>
      <c r="D4768" s="3" t="str">
        <f t="shared" si="846"/>
        <v>12Go Link</v>
      </c>
      <c r="E4768" s="2" t="s">
        <v>3780</v>
      </c>
    </row>
    <row r="4769">
      <c r="A4769" s="2" t="s">
        <v>4130</v>
      </c>
      <c r="B4769" s="2" t="s">
        <v>4135</v>
      </c>
      <c r="C4769" s="2" t="s">
        <v>4201</v>
      </c>
      <c r="D4769" s="3" t="str">
        <f t="shared" si="846"/>
        <v>12Go Link</v>
      </c>
      <c r="E4769" s="2" t="s">
        <v>4137</v>
      </c>
    </row>
    <row r="4770">
      <c r="A4770" s="2" t="s">
        <v>4130</v>
      </c>
      <c r="B4770" s="2" t="s">
        <v>4135</v>
      </c>
      <c r="C4770" s="2" t="s">
        <v>4201</v>
      </c>
      <c r="D4770" s="3" t="str">
        <f t="shared" si="846"/>
        <v>12Go Link</v>
      </c>
      <c r="E4770" s="2" t="s">
        <v>4138</v>
      </c>
    </row>
    <row r="4771">
      <c r="A4771" s="2" t="s">
        <v>4130</v>
      </c>
      <c r="B4771" s="2" t="s">
        <v>4135</v>
      </c>
      <c r="C4771" s="2" t="s">
        <v>4201</v>
      </c>
      <c r="D4771" s="3" t="str">
        <f t="shared" si="846"/>
        <v>12Go Link</v>
      </c>
      <c r="E4771" s="2" t="s">
        <v>4009</v>
      </c>
    </row>
    <row r="4772">
      <c r="A4772" s="2" t="s">
        <v>4130</v>
      </c>
      <c r="B4772" s="2" t="s">
        <v>4135</v>
      </c>
      <c r="C4772" s="2" t="s">
        <v>4201</v>
      </c>
      <c r="D4772" s="3" t="str">
        <f t="shared" si="846"/>
        <v>12Go Link</v>
      </c>
      <c r="E4772" s="2" t="s">
        <v>4139</v>
      </c>
    </row>
    <row r="4773">
      <c r="A4773" s="2" t="s">
        <v>4130</v>
      </c>
      <c r="B4773" s="2" t="s">
        <v>4203</v>
      </c>
      <c r="C4773" s="2" t="s">
        <v>4204</v>
      </c>
      <c r="D4773" s="3" t="str">
        <f t="shared" ref="D4773:D4775" si="847">HYPERLINK("https://12go.asia/en/travel/Kuala-Lumpur-Hotel-Transfer/Frasers-Hill", "12Go Link")</f>
        <v>12Go Link</v>
      </c>
      <c r="E4773" s="2" t="s">
        <v>4202</v>
      </c>
    </row>
    <row r="4774">
      <c r="A4774" s="2" t="s">
        <v>4130</v>
      </c>
      <c r="B4774" s="2" t="s">
        <v>4203</v>
      </c>
      <c r="C4774" s="2" t="s">
        <v>4204</v>
      </c>
      <c r="D4774" s="3" t="str">
        <f t="shared" si="847"/>
        <v>12Go Link</v>
      </c>
      <c r="E4774" s="2" t="s">
        <v>3780</v>
      </c>
    </row>
    <row r="4775">
      <c r="A4775" s="2" t="s">
        <v>4130</v>
      </c>
      <c r="B4775" s="2" t="s">
        <v>4203</v>
      </c>
      <c r="C4775" s="2" t="s">
        <v>4204</v>
      </c>
      <c r="D4775" s="3" t="str">
        <f t="shared" si="847"/>
        <v>12Go Link</v>
      </c>
      <c r="E4775" s="2" t="s">
        <v>4009</v>
      </c>
    </row>
    <row r="4776">
      <c r="A4776" s="2" t="s">
        <v>4130</v>
      </c>
      <c r="B4776" s="2" t="s">
        <v>4205</v>
      </c>
      <c r="C4776" s="2" t="s">
        <v>4206</v>
      </c>
      <c r="D4776" s="3" t="str">
        <f>HYPERLINK("https://12go.asia/en/travel/kuala-lumpur/gelang-patah", "12Go Link")</f>
        <v>12Go Link</v>
      </c>
      <c r="E4776" s="2" t="s">
        <v>59</v>
      </c>
    </row>
    <row r="4777">
      <c r="A4777" s="2" t="s">
        <v>4130</v>
      </c>
      <c r="B4777" s="2" t="s">
        <v>4205</v>
      </c>
      <c r="C4777" s="2" t="s">
        <v>4207</v>
      </c>
      <c r="D4777" s="3" t="str">
        <f>HYPERLINK("https://12go.asia/en/travel/swiss-garden-hotel/forest-city", "12Go Link")</f>
        <v>12Go Link</v>
      </c>
      <c r="E4777" s="2" t="s">
        <v>59</v>
      </c>
    </row>
    <row r="4778">
      <c r="A4778" s="2" t="s">
        <v>4130</v>
      </c>
      <c r="B4778" s="2" t="s">
        <v>4205</v>
      </c>
      <c r="C4778" s="2" t="s">
        <v>4208</v>
      </c>
      <c r="D4778" s="3" t="str">
        <f>HYPERLINK("https://12go.asia/en/travel/tbs-kuala-lumpur/forest-city", "12Go Link")</f>
        <v>12Go Link</v>
      </c>
      <c r="E4778" s="2" t="s">
        <v>59</v>
      </c>
    </row>
    <row r="4779">
      <c r="A4779" s="2" t="s">
        <v>4130</v>
      </c>
      <c r="B4779" s="2" t="s">
        <v>4209</v>
      </c>
      <c r="C4779" s="2" t="s">
        <v>4210</v>
      </c>
      <c r="D4779" s="3" t="str">
        <f t="shared" ref="D4779:D4781" si="848">HYPERLINK("https://12go.asia/en/travel/Kuala-Lumpur-Airport/Genting-Highland-Skyway", "12Go Link")</f>
        <v>12Go Link</v>
      </c>
      <c r="E4779" s="2" t="s">
        <v>4202</v>
      </c>
    </row>
    <row r="4780">
      <c r="A4780" s="2" t="s">
        <v>4130</v>
      </c>
      <c r="B4780" s="2" t="s">
        <v>4209</v>
      </c>
      <c r="C4780" s="2" t="s">
        <v>4210</v>
      </c>
      <c r="D4780" s="3" t="str">
        <f t="shared" si="848"/>
        <v>12Go Link</v>
      </c>
      <c r="E4780" s="2" t="s">
        <v>3780</v>
      </c>
    </row>
    <row r="4781">
      <c r="A4781" s="2" t="s">
        <v>4130</v>
      </c>
      <c r="B4781" s="2" t="s">
        <v>4209</v>
      </c>
      <c r="C4781" s="2" t="s">
        <v>4210</v>
      </c>
      <c r="D4781" s="3" t="str">
        <f t="shared" si="848"/>
        <v>12Go Link</v>
      </c>
      <c r="E4781" s="2" t="s">
        <v>4009</v>
      </c>
    </row>
    <row r="4782">
      <c r="A4782" s="2" t="s">
        <v>4130</v>
      </c>
      <c r="B4782" s="2" t="s">
        <v>4209</v>
      </c>
      <c r="C4782" s="2" t="s">
        <v>4211</v>
      </c>
      <c r="D4782" s="3" t="str">
        <f t="shared" ref="D4782:D4784" si="849">HYPERLINK("https://12go.asia/en/travel/Kuala-Lumpur-Hotel-Transfer/Genting-Highland-Skyway", "12Go Link")</f>
        <v>12Go Link</v>
      </c>
      <c r="E4782" s="2" t="s">
        <v>4202</v>
      </c>
    </row>
    <row r="4783">
      <c r="A4783" s="2" t="s">
        <v>4130</v>
      </c>
      <c r="B4783" s="2" t="s">
        <v>4209</v>
      </c>
      <c r="C4783" s="2" t="s">
        <v>4211</v>
      </c>
      <c r="D4783" s="3" t="str">
        <f t="shared" si="849"/>
        <v>12Go Link</v>
      </c>
      <c r="E4783" s="2" t="s">
        <v>3780</v>
      </c>
    </row>
    <row r="4784">
      <c r="A4784" s="2" t="s">
        <v>4130</v>
      </c>
      <c r="B4784" s="2" t="s">
        <v>4209</v>
      </c>
      <c r="C4784" s="2" t="s">
        <v>4211</v>
      </c>
      <c r="D4784" s="3" t="str">
        <f t="shared" si="849"/>
        <v>12Go Link</v>
      </c>
      <c r="E4784" s="2" t="s">
        <v>4009</v>
      </c>
    </row>
    <row r="4785">
      <c r="A4785" s="2" t="s">
        <v>4130</v>
      </c>
      <c r="B4785" s="2" t="s">
        <v>4142</v>
      </c>
      <c r="C4785" s="2" t="s">
        <v>4212</v>
      </c>
      <c r="D4785" s="3" t="str">
        <f t="shared" ref="D4785:D4790" si="850">HYPERLINK("https://12go.asia/en/travel/Kuala-Lumpur-Hotel-Transfer/Ipoh-Hotel-Transfer", "12Go Link")</f>
        <v>12Go Link</v>
      </c>
      <c r="E4785" s="2" t="s">
        <v>4202</v>
      </c>
    </row>
    <row r="4786">
      <c r="A4786" s="2" t="s">
        <v>4130</v>
      </c>
      <c r="B4786" s="2" t="s">
        <v>4142</v>
      </c>
      <c r="C4786" s="2" t="s">
        <v>4212</v>
      </c>
      <c r="D4786" s="3" t="str">
        <f t="shared" si="850"/>
        <v>12Go Link</v>
      </c>
      <c r="E4786" s="2" t="s">
        <v>3780</v>
      </c>
    </row>
    <row r="4787">
      <c r="A4787" s="2" t="s">
        <v>4130</v>
      </c>
      <c r="B4787" s="2" t="s">
        <v>4142</v>
      </c>
      <c r="C4787" s="2" t="s">
        <v>4212</v>
      </c>
      <c r="D4787" s="3" t="str">
        <f t="shared" si="850"/>
        <v>12Go Link</v>
      </c>
      <c r="E4787" s="2" t="s">
        <v>4137</v>
      </c>
    </row>
    <row r="4788">
      <c r="A4788" s="2" t="s">
        <v>4130</v>
      </c>
      <c r="B4788" s="2" t="s">
        <v>4142</v>
      </c>
      <c r="C4788" s="2" t="s">
        <v>4212</v>
      </c>
      <c r="D4788" s="3" t="str">
        <f t="shared" si="850"/>
        <v>12Go Link</v>
      </c>
      <c r="E4788" s="2" t="s">
        <v>4138</v>
      </c>
    </row>
    <row r="4789">
      <c r="A4789" s="2" t="s">
        <v>4130</v>
      </c>
      <c r="B4789" s="2" t="s">
        <v>4142</v>
      </c>
      <c r="C4789" s="2" t="s">
        <v>4212</v>
      </c>
      <c r="D4789" s="3" t="str">
        <f t="shared" si="850"/>
        <v>12Go Link</v>
      </c>
      <c r="E4789" s="2" t="s">
        <v>4009</v>
      </c>
    </row>
    <row r="4790">
      <c r="A4790" s="2" t="s">
        <v>4130</v>
      </c>
      <c r="B4790" s="2" t="s">
        <v>4142</v>
      </c>
      <c r="C4790" s="2" t="s">
        <v>4212</v>
      </c>
      <c r="D4790" s="3" t="str">
        <f t="shared" si="850"/>
        <v>12Go Link</v>
      </c>
      <c r="E4790" s="2" t="s">
        <v>4139</v>
      </c>
    </row>
    <row r="4791">
      <c r="A4791" s="2" t="s">
        <v>4130</v>
      </c>
      <c r="B4791" s="2" t="s">
        <v>4144</v>
      </c>
      <c r="C4791" s="2" t="s">
        <v>4213</v>
      </c>
      <c r="D4791" s="3" t="str">
        <f t="shared" ref="D4791:D4793" si="851">HYPERLINK("https://12go.asia/en/travel/Kuala-Lumpur-Hotel-Transfer/Desaru-Hotel-Transfer", "12Go Link")</f>
        <v>12Go Link</v>
      </c>
      <c r="E4791" s="2" t="s">
        <v>4202</v>
      </c>
    </row>
    <row r="4792">
      <c r="A4792" s="2" t="s">
        <v>4130</v>
      </c>
      <c r="B4792" s="2" t="s">
        <v>4144</v>
      </c>
      <c r="C4792" s="2" t="s">
        <v>4213</v>
      </c>
      <c r="D4792" s="3" t="str">
        <f t="shared" si="851"/>
        <v>12Go Link</v>
      </c>
      <c r="E4792" s="2" t="s">
        <v>3780</v>
      </c>
    </row>
    <row r="4793">
      <c r="A4793" s="2" t="s">
        <v>4130</v>
      </c>
      <c r="B4793" s="2" t="s">
        <v>4144</v>
      </c>
      <c r="C4793" s="2" t="s">
        <v>4213</v>
      </c>
      <c r="D4793" s="3" t="str">
        <f t="shared" si="851"/>
        <v>12Go Link</v>
      </c>
      <c r="E4793" s="2" t="s">
        <v>4009</v>
      </c>
    </row>
    <row r="4794">
      <c r="A4794" s="2" t="s">
        <v>4130</v>
      </c>
      <c r="B4794" s="2" t="s">
        <v>4144</v>
      </c>
      <c r="C4794" s="2" t="s">
        <v>4214</v>
      </c>
      <c r="D4794" s="3" t="str">
        <f>HYPERLINK("https://12go.asia/en/travel/swiss-garden-hotel/hotel-ramada", "12Go Link")</f>
        <v>12Go Link</v>
      </c>
      <c r="E4794" s="2" t="s">
        <v>59</v>
      </c>
    </row>
    <row r="4795">
      <c r="A4795" s="2" t="s">
        <v>4130</v>
      </c>
      <c r="B4795" s="2" t="s">
        <v>4144</v>
      </c>
      <c r="C4795" s="2" t="s">
        <v>4215</v>
      </c>
      <c r="D4795" s="3" t="str">
        <f>HYPERLINK("https://12go.asia/en/travel/tbs-kuala-lumpur/hotel-ramada", "12Go Link")</f>
        <v>12Go Link</v>
      </c>
      <c r="E4795" s="2" t="s">
        <v>59</v>
      </c>
    </row>
    <row r="4796">
      <c r="A4796" s="2" t="s">
        <v>4130</v>
      </c>
      <c r="B4796" s="2" t="s">
        <v>4144</v>
      </c>
      <c r="C4796" s="2" t="s">
        <v>4216</v>
      </c>
      <c r="D4796" s="3" t="str">
        <f>HYPERLINK("https://12go.asia/en/travel/tbs-kuala-lumpur/mall-of-medini", "12Go Link")</f>
        <v>12Go Link</v>
      </c>
      <c r="E4796" s="2" t="s">
        <v>59</v>
      </c>
    </row>
    <row r="4797">
      <c r="A4797" s="2" t="s">
        <v>4130</v>
      </c>
      <c r="B4797" s="2" t="s">
        <v>4153</v>
      </c>
      <c r="C4797" s="2" t="s">
        <v>4217</v>
      </c>
      <c r="D4797" s="3" t="str">
        <f t="shared" ref="D4797:D4802" si="852">HYPERLINK("https://12go.asia/en/travel/Kuala-Lumpur-Hotel-Transfer/Johor-Bahru", "12Go Link")</f>
        <v>12Go Link</v>
      </c>
      <c r="E4797" s="2" t="s">
        <v>4202</v>
      </c>
    </row>
    <row r="4798">
      <c r="A4798" s="2" t="s">
        <v>4130</v>
      </c>
      <c r="B4798" s="2" t="s">
        <v>4153</v>
      </c>
      <c r="C4798" s="2" t="s">
        <v>4217</v>
      </c>
      <c r="D4798" s="3" t="str">
        <f t="shared" si="852"/>
        <v>12Go Link</v>
      </c>
      <c r="E4798" s="2" t="s">
        <v>3780</v>
      </c>
    </row>
    <row r="4799">
      <c r="A4799" s="2" t="s">
        <v>4130</v>
      </c>
      <c r="B4799" s="2" t="s">
        <v>4153</v>
      </c>
      <c r="C4799" s="2" t="s">
        <v>4217</v>
      </c>
      <c r="D4799" s="3" t="str">
        <f t="shared" si="852"/>
        <v>12Go Link</v>
      </c>
      <c r="E4799" s="2" t="s">
        <v>4137</v>
      </c>
    </row>
    <row r="4800">
      <c r="A4800" s="2" t="s">
        <v>4130</v>
      </c>
      <c r="B4800" s="2" t="s">
        <v>4153</v>
      </c>
      <c r="C4800" s="2" t="s">
        <v>4217</v>
      </c>
      <c r="D4800" s="3" t="str">
        <f t="shared" si="852"/>
        <v>12Go Link</v>
      </c>
      <c r="E4800" s="2" t="s">
        <v>4138</v>
      </c>
    </row>
    <row r="4801">
      <c r="A4801" s="2" t="s">
        <v>4130</v>
      </c>
      <c r="B4801" s="2" t="s">
        <v>4153</v>
      </c>
      <c r="C4801" s="2" t="s">
        <v>4217</v>
      </c>
      <c r="D4801" s="3" t="str">
        <f t="shared" si="852"/>
        <v>12Go Link</v>
      </c>
      <c r="E4801" s="2" t="s">
        <v>4009</v>
      </c>
    </row>
    <row r="4802">
      <c r="A4802" s="2" t="s">
        <v>4130</v>
      </c>
      <c r="B4802" s="2" t="s">
        <v>4153</v>
      </c>
      <c r="C4802" s="2" t="s">
        <v>4217</v>
      </c>
      <c r="D4802" s="3" t="str">
        <f t="shared" si="852"/>
        <v>12Go Link</v>
      </c>
      <c r="E4802" s="2" t="s">
        <v>4139</v>
      </c>
    </row>
    <row r="4803">
      <c r="A4803" s="2" t="s">
        <v>4130</v>
      </c>
      <c r="B4803" s="2" t="s">
        <v>4158</v>
      </c>
      <c r="C4803" s="2" t="s">
        <v>4218</v>
      </c>
      <c r="D4803" s="3" t="str">
        <f t="shared" ref="D4803:D4805" si="853">HYPERLINK("https://12go.asia/en/travel/Kuala-Lumpur-Hotel-Transfer/Alor-Setar-Hotel-Transfer", "12Go Link")</f>
        <v>12Go Link</v>
      </c>
      <c r="E4803" s="2" t="s">
        <v>4202</v>
      </c>
    </row>
    <row r="4804">
      <c r="A4804" s="2" t="s">
        <v>4130</v>
      </c>
      <c r="B4804" s="2" t="s">
        <v>4158</v>
      </c>
      <c r="C4804" s="2" t="s">
        <v>4218</v>
      </c>
      <c r="D4804" s="3" t="str">
        <f t="shared" si="853"/>
        <v>12Go Link</v>
      </c>
      <c r="E4804" s="2" t="s">
        <v>3780</v>
      </c>
    </row>
    <row r="4805">
      <c r="A4805" s="2" t="s">
        <v>4130</v>
      </c>
      <c r="B4805" s="2" t="s">
        <v>4158</v>
      </c>
      <c r="C4805" s="2" t="s">
        <v>4218</v>
      </c>
      <c r="D4805" s="3" t="str">
        <f t="shared" si="853"/>
        <v>12Go Link</v>
      </c>
      <c r="E4805" s="2" t="s">
        <v>4009</v>
      </c>
    </row>
    <row r="4806">
      <c r="A4806" s="2" t="s">
        <v>4130</v>
      </c>
      <c r="B4806" s="2" t="s">
        <v>4158</v>
      </c>
      <c r="C4806" s="2" t="s">
        <v>4219</v>
      </c>
      <c r="D4806" s="3" t="str">
        <f t="shared" ref="D4806:D4808" si="854">HYPERLINK("https://12go.asia/en/travel/Kuala-Lumpur-Hotel-Transfer/Kuala-Kedah-Hotel-Transfer", "12Go Link")</f>
        <v>12Go Link</v>
      </c>
      <c r="E4806" s="2" t="s">
        <v>4202</v>
      </c>
    </row>
    <row r="4807">
      <c r="A4807" s="2" t="s">
        <v>4130</v>
      </c>
      <c r="B4807" s="2" t="s">
        <v>4158</v>
      </c>
      <c r="C4807" s="2" t="s">
        <v>4219</v>
      </c>
      <c r="D4807" s="3" t="str">
        <f t="shared" si="854"/>
        <v>12Go Link</v>
      </c>
      <c r="E4807" s="2" t="s">
        <v>3780</v>
      </c>
    </row>
    <row r="4808">
      <c r="A4808" s="2" t="s">
        <v>4130</v>
      </c>
      <c r="B4808" s="2" t="s">
        <v>4158</v>
      </c>
      <c r="C4808" s="2" t="s">
        <v>4219</v>
      </c>
      <c r="D4808" s="3" t="str">
        <f t="shared" si="854"/>
        <v>12Go Link</v>
      </c>
      <c r="E4808" s="2" t="s">
        <v>4009</v>
      </c>
    </row>
    <row r="4809">
      <c r="A4809" s="2" t="s">
        <v>4130</v>
      </c>
      <c r="B4809" s="2" t="s">
        <v>4187</v>
      </c>
      <c r="C4809" s="2" t="s">
        <v>4220</v>
      </c>
      <c r="D4809" s="3" t="str">
        <f t="shared" ref="D4809:D4811" si="855">HYPERLINK("https://12go.asia/en/travel/Kuala-Lumpur-Hotel-Transfer/Kota-Bharu", "12Go Link")</f>
        <v>12Go Link</v>
      </c>
      <c r="E4809" s="2" t="s">
        <v>4202</v>
      </c>
    </row>
    <row r="4810">
      <c r="A4810" s="2" t="s">
        <v>4130</v>
      </c>
      <c r="B4810" s="2" t="s">
        <v>4187</v>
      </c>
      <c r="C4810" s="2" t="s">
        <v>4220</v>
      </c>
      <c r="D4810" s="3" t="str">
        <f t="shared" si="855"/>
        <v>12Go Link</v>
      </c>
      <c r="E4810" s="2" t="s">
        <v>3780</v>
      </c>
    </row>
    <row r="4811">
      <c r="A4811" s="2" t="s">
        <v>4130</v>
      </c>
      <c r="B4811" s="2" t="s">
        <v>4187</v>
      </c>
      <c r="C4811" s="2" t="s">
        <v>4220</v>
      </c>
      <c r="D4811" s="3" t="str">
        <f t="shared" si="855"/>
        <v>12Go Link</v>
      </c>
      <c r="E4811" s="2" t="s">
        <v>4009</v>
      </c>
    </row>
    <row r="4812">
      <c r="A4812" s="2" t="s">
        <v>4130</v>
      </c>
      <c r="B4812" s="2" t="s">
        <v>4130</v>
      </c>
      <c r="C4812" s="2" t="s">
        <v>4221</v>
      </c>
      <c r="D4812" s="3" t="str">
        <f t="shared" ref="D4812:D4814" si="856">HYPERLINK("https://12go.asia/en/travel/KL-Sentral/Kuala-Lumpur-Hotel-Transfer", "12Go Link")</f>
        <v>12Go Link</v>
      </c>
      <c r="E4812" s="2" t="s">
        <v>4202</v>
      </c>
    </row>
    <row r="4813">
      <c r="A4813" s="2" t="s">
        <v>4130</v>
      </c>
      <c r="B4813" s="2" t="s">
        <v>4130</v>
      </c>
      <c r="C4813" s="2" t="s">
        <v>4221</v>
      </c>
      <c r="D4813" s="3" t="str">
        <f t="shared" si="856"/>
        <v>12Go Link</v>
      </c>
      <c r="E4813" s="2" t="s">
        <v>3780</v>
      </c>
    </row>
    <row r="4814">
      <c r="A4814" s="2" t="s">
        <v>4130</v>
      </c>
      <c r="B4814" s="2" t="s">
        <v>4130</v>
      </c>
      <c r="C4814" s="2" t="s">
        <v>4221</v>
      </c>
      <c r="D4814" s="3" t="str">
        <f t="shared" si="856"/>
        <v>12Go Link</v>
      </c>
      <c r="E4814" s="2" t="s">
        <v>4009</v>
      </c>
    </row>
    <row r="4815">
      <c r="A4815" s="2" t="s">
        <v>4130</v>
      </c>
      <c r="B4815" s="2" t="s">
        <v>4130</v>
      </c>
      <c r="C4815" s="2" t="s">
        <v>4222</v>
      </c>
      <c r="D4815" s="3" t="str">
        <f t="shared" ref="D4815:D4820" si="857">HYPERLINK("https://12go.asia/en/travel/Kuala-Lumpur-Airport/Kuala-Lumpur-Hotel-Transfer", "12Go Link")</f>
        <v>12Go Link</v>
      </c>
      <c r="E4815" s="2" t="s">
        <v>4202</v>
      </c>
    </row>
    <row r="4816">
      <c r="A4816" s="2" t="s">
        <v>4130</v>
      </c>
      <c r="B4816" s="2" t="s">
        <v>4130</v>
      </c>
      <c r="C4816" s="2" t="s">
        <v>4222</v>
      </c>
      <c r="D4816" s="3" t="str">
        <f t="shared" si="857"/>
        <v>12Go Link</v>
      </c>
      <c r="E4816" s="2" t="s">
        <v>3780</v>
      </c>
    </row>
    <row r="4817">
      <c r="A4817" s="2" t="s">
        <v>4130</v>
      </c>
      <c r="B4817" s="2" t="s">
        <v>4130</v>
      </c>
      <c r="C4817" s="2" t="s">
        <v>4222</v>
      </c>
      <c r="D4817" s="3" t="str">
        <f t="shared" si="857"/>
        <v>12Go Link</v>
      </c>
      <c r="E4817" s="2" t="s">
        <v>4137</v>
      </c>
    </row>
    <row r="4818">
      <c r="A4818" s="2" t="s">
        <v>4130</v>
      </c>
      <c r="B4818" s="2" t="s">
        <v>4130</v>
      </c>
      <c r="C4818" s="2" t="s">
        <v>4222</v>
      </c>
      <c r="D4818" s="3" t="str">
        <f t="shared" si="857"/>
        <v>12Go Link</v>
      </c>
      <c r="E4818" s="2" t="s">
        <v>4138</v>
      </c>
    </row>
    <row r="4819">
      <c r="A4819" s="2" t="s">
        <v>4130</v>
      </c>
      <c r="B4819" s="2" t="s">
        <v>4130</v>
      </c>
      <c r="C4819" s="2" t="s">
        <v>4222</v>
      </c>
      <c r="D4819" s="3" t="str">
        <f t="shared" si="857"/>
        <v>12Go Link</v>
      </c>
      <c r="E4819" s="2" t="s">
        <v>4009</v>
      </c>
    </row>
    <row r="4820">
      <c r="A4820" s="2" t="s">
        <v>4130</v>
      </c>
      <c r="B4820" s="2" t="s">
        <v>4130</v>
      </c>
      <c r="C4820" s="2" t="s">
        <v>4222</v>
      </c>
      <c r="D4820" s="3" t="str">
        <f t="shared" si="857"/>
        <v>12Go Link</v>
      </c>
      <c r="E4820" s="2" t="s">
        <v>4139</v>
      </c>
    </row>
    <row r="4821">
      <c r="A4821" s="2" t="s">
        <v>4130</v>
      </c>
      <c r="B4821" s="2" t="s">
        <v>4130</v>
      </c>
      <c r="C4821" s="2" t="s">
        <v>4223</v>
      </c>
      <c r="D4821" s="3" t="str">
        <f t="shared" ref="D4821:D4823" si="858">HYPERLINK("https://12go.asia/en/travel/Kuala-Lumpur-Hotel-Transfer/Kuala-Lumpur-Airport", "12Go Link")</f>
        <v>12Go Link</v>
      </c>
      <c r="E4821" s="2" t="s">
        <v>4137</v>
      </c>
    </row>
    <row r="4822">
      <c r="A4822" s="2" t="s">
        <v>4130</v>
      </c>
      <c r="B4822" s="2" t="s">
        <v>4130</v>
      </c>
      <c r="C4822" s="2" t="s">
        <v>4223</v>
      </c>
      <c r="D4822" s="3" t="str">
        <f t="shared" si="858"/>
        <v>12Go Link</v>
      </c>
      <c r="E4822" s="2" t="s">
        <v>4138</v>
      </c>
    </row>
    <row r="4823">
      <c r="A4823" s="2" t="s">
        <v>4130</v>
      </c>
      <c r="B4823" s="2" t="s">
        <v>4130</v>
      </c>
      <c r="C4823" s="2" t="s">
        <v>4223</v>
      </c>
      <c r="D4823" s="3" t="str">
        <f t="shared" si="858"/>
        <v>12Go Link</v>
      </c>
      <c r="E4823" s="2" t="s">
        <v>4139</v>
      </c>
    </row>
    <row r="4824">
      <c r="A4824" s="2" t="s">
        <v>4130</v>
      </c>
      <c r="B4824" s="2" t="s">
        <v>4224</v>
      </c>
      <c r="C4824" s="2" t="s">
        <v>4225</v>
      </c>
      <c r="D4824" s="3" t="str">
        <f t="shared" ref="D4824:D4826" si="859">HYPERLINK("https://12go.asia/en/travel/Kuala-Lumpur-Hotel-Transfer/Kuala-Perlis-Hotel-Transfer", "12Go Link")</f>
        <v>12Go Link</v>
      </c>
      <c r="E4824" s="2" t="s">
        <v>4202</v>
      </c>
    </row>
    <row r="4825">
      <c r="A4825" s="2" t="s">
        <v>4130</v>
      </c>
      <c r="B4825" s="2" t="s">
        <v>4224</v>
      </c>
      <c r="C4825" s="2" t="s">
        <v>4225</v>
      </c>
      <c r="D4825" s="3" t="str">
        <f t="shared" si="859"/>
        <v>12Go Link</v>
      </c>
      <c r="E4825" s="2" t="s">
        <v>3780</v>
      </c>
    </row>
    <row r="4826">
      <c r="A4826" s="2" t="s">
        <v>4130</v>
      </c>
      <c r="B4826" s="2" t="s">
        <v>4224</v>
      </c>
      <c r="C4826" s="2" t="s">
        <v>4225</v>
      </c>
      <c r="D4826" s="3" t="str">
        <f t="shared" si="859"/>
        <v>12Go Link</v>
      </c>
      <c r="E4826" s="2" t="s">
        <v>4009</v>
      </c>
    </row>
    <row r="4827">
      <c r="A4827" s="2" t="s">
        <v>4130</v>
      </c>
      <c r="B4827" s="2" t="s">
        <v>4226</v>
      </c>
      <c r="C4827" s="2" t="s">
        <v>4227</v>
      </c>
      <c r="D4827" s="3" t="str">
        <f t="shared" ref="D4827:D4829" si="860">HYPERLINK("https://12go.asia/en/travel/Kuala-Lumpur-Hotel-Transfer/Kuantan-Hotel-Transfer", "12Go Link")</f>
        <v>12Go Link</v>
      </c>
      <c r="E4827" s="2" t="s">
        <v>4202</v>
      </c>
    </row>
    <row r="4828">
      <c r="A4828" s="2" t="s">
        <v>4130</v>
      </c>
      <c r="B4828" s="2" t="s">
        <v>4226</v>
      </c>
      <c r="C4828" s="2" t="s">
        <v>4227</v>
      </c>
      <c r="D4828" s="3" t="str">
        <f t="shared" si="860"/>
        <v>12Go Link</v>
      </c>
      <c r="E4828" s="2" t="s">
        <v>3780</v>
      </c>
    </row>
    <row r="4829">
      <c r="A4829" s="2" t="s">
        <v>4130</v>
      </c>
      <c r="B4829" s="2" t="s">
        <v>4226</v>
      </c>
      <c r="C4829" s="2" t="s">
        <v>4227</v>
      </c>
      <c r="D4829" s="3" t="str">
        <f t="shared" si="860"/>
        <v>12Go Link</v>
      </c>
      <c r="E4829" s="2" t="s">
        <v>4009</v>
      </c>
    </row>
    <row r="4830">
      <c r="A4830" s="2" t="s">
        <v>4130</v>
      </c>
      <c r="B4830" s="2" t="s">
        <v>4228</v>
      </c>
      <c r="C4830" s="2" t="s">
        <v>4229</v>
      </c>
      <c r="D4830" s="3" t="str">
        <f t="shared" ref="D4830:D4832" si="861">HYPERLINK("https://12go.asia/en/travel/Kuala-Lumpur-Hotel-Transfer/Lumut-Hotel-Transfer", "12Go Link")</f>
        <v>12Go Link</v>
      </c>
      <c r="E4830" s="2" t="s">
        <v>4202</v>
      </c>
    </row>
    <row r="4831">
      <c r="A4831" s="2" t="s">
        <v>4130</v>
      </c>
      <c r="B4831" s="2" t="s">
        <v>4228</v>
      </c>
      <c r="C4831" s="2" t="s">
        <v>4229</v>
      </c>
      <c r="D4831" s="3" t="str">
        <f t="shared" si="861"/>
        <v>12Go Link</v>
      </c>
      <c r="E4831" s="2" t="s">
        <v>3780</v>
      </c>
    </row>
    <row r="4832">
      <c r="A4832" s="2" t="s">
        <v>4130</v>
      </c>
      <c r="B4832" s="2" t="s">
        <v>4228</v>
      </c>
      <c r="C4832" s="2" t="s">
        <v>4229</v>
      </c>
      <c r="D4832" s="3" t="str">
        <f t="shared" si="861"/>
        <v>12Go Link</v>
      </c>
      <c r="E4832" s="2" t="s">
        <v>4009</v>
      </c>
    </row>
    <row r="4833">
      <c r="A4833" s="2" t="s">
        <v>4130</v>
      </c>
      <c r="B4833" s="2" t="s">
        <v>4230</v>
      </c>
      <c r="C4833" s="2" t="s">
        <v>4231</v>
      </c>
      <c r="D4833" s="3" t="str">
        <f t="shared" ref="D4833:D4838" si="862">HYPERLINK("https://12go.asia/en/travel/Kuala-Lumpur-Hotel-Transfer/Malacca-Hotel-Transfer", "12Go Link")</f>
        <v>12Go Link</v>
      </c>
      <c r="E4833" s="2" t="s">
        <v>4202</v>
      </c>
    </row>
    <row r="4834">
      <c r="A4834" s="2" t="s">
        <v>4130</v>
      </c>
      <c r="B4834" s="2" t="s">
        <v>4230</v>
      </c>
      <c r="C4834" s="2" t="s">
        <v>4231</v>
      </c>
      <c r="D4834" s="3" t="str">
        <f t="shared" si="862"/>
        <v>12Go Link</v>
      </c>
      <c r="E4834" s="2" t="s">
        <v>3780</v>
      </c>
    </row>
    <row r="4835">
      <c r="A4835" s="2" t="s">
        <v>4130</v>
      </c>
      <c r="B4835" s="2" t="s">
        <v>4230</v>
      </c>
      <c r="C4835" s="2" t="s">
        <v>4231</v>
      </c>
      <c r="D4835" s="3" t="str">
        <f t="shared" si="862"/>
        <v>12Go Link</v>
      </c>
      <c r="E4835" s="2" t="s">
        <v>4137</v>
      </c>
    </row>
    <row r="4836">
      <c r="A4836" s="2" t="s">
        <v>4130</v>
      </c>
      <c r="B4836" s="2" t="s">
        <v>4230</v>
      </c>
      <c r="C4836" s="2" t="s">
        <v>4231</v>
      </c>
      <c r="D4836" s="3" t="str">
        <f t="shared" si="862"/>
        <v>12Go Link</v>
      </c>
      <c r="E4836" s="2" t="s">
        <v>4138</v>
      </c>
    </row>
    <row r="4837">
      <c r="A4837" s="2" t="s">
        <v>4130</v>
      </c>
      <c r="B4837" s="2" t="s">
        <v>4230</v>
      </c>
      <c r="C4837" s="2" t="s">
        <v>4231</v>
      </c>
      <c r="D4837" s="3" t="str">
        <f t="shared" si="862"/>
        <v>12Go Link</v>
      </c>
      <c r="E4837" s="2" t="s">
        <v>4009</v>
      </c>
    </row>
    <row r="4838">
      <c r="A4838" s="2" t="s">
        <v>4130</v>
      </c>
      <c r="B4838" s="2" t="s">
        <v>4230</v>
      </c>
      <c r="C4838" s="2" t="s">
        <v>4231</v>
      </c>
      <c r="D4838" s="3" t="str">
        <f t="shared" si="862"/>
        <v>12Go Link</v>
      </c>
      <c r="E4838" s="2" t="s">
        <v>4139</v>
      </c>
    </row>
    <row r="4839">
      <c r="A4839" s="2" t="s">
        <v>4130</v>
      </c>
      <c r="B4839" s="2" t="s">
        <v>4232</v>
      </c>
      <c r="C4839" s="2" t="s">
        <v>4233</v>
      </c>
      <c r="D4839" s="3" t="str">
        <f t="shared" ref="D4839:D4841" si="863">HYPERLINK("https://12go.asia/en/travel/Kuala-Lumpur-Hotel-Transfer/Mersing-Hotel-Transfer", "12Go Link")</f>
        <v>12Go Link</v>
      </c>
      <c r="E4839" s="2" t="s">
        <v>4202</v>
      </c>
    </row>
    <row r="4840">
      <c r="A4840" s="2" t="s">
        <v>4130</v>
      </c>
      <c r="B4840" s="2" t="s">
        <v>4232</v>
      </c>
      <c r="C4840" s="2" t="s">
        <v>4233</v>
      </c>
      <c r="D4840" s="3" t="str">
        <f t="shared" si="863"/>
        <v>12Go Link</v>
      </c>
      <c r="E4840" s="2" t="s">
        <v>3780</v>
      </c>
    </row>
    <row r="4841">
      <c r="A4841" s="2" t="s">
        <v>4130</v>
      </c>
      <c r="B4841" s="2" t="s">
        <v>4232</v>
      </c>
      <c r="C4841" s="2" t="s">
        <v>4233</v>
      </c>
      <c r="D4841" s="3" t="str">
        <f t="shared" si="863"/>
        <v>12Go Link</v>
      </c>
      <c r="E4841" s="2" t="s">
        <v>4009</v>
      </c>
    </row>
    <row r="4842">
      <c r="A4842" s="2" t="s">
        <v>4130</v>
      </c>
      <c r="B4842" s="2" t="s">
        <v>4234</v>
      </c>
      <c r="C4842" s="2" t="s">
        <v>4235</v>
      </c>
      <c r="D4842" s="3" t="str">
        <f t="shared" ref="D4842:D4844" si="864">HYPERLINK("https://12go.asia/en/travel/Kuala-Lumpur-Hotel-Transfer/Tampin-Hotel-Transfer", "12Go Link")</f>
        <v>12Go Link</v>
      </c>
      <c r="E4842" s="2" t="s">
        <v>4202</v>
      </c>
    </row>
    <row r="4843">
      <c r="A4843" s="2" t="s">
        <v>4130</v>
      </c>
      <c r="B4843" s="2" t="s">
        <v>4234</v>
      </c>
      <c r="C4843" s="2" t="s">
        <v>4235</v>
      </c>
      <c r="D4843" s="3" t="str">
        <f t="shared" si="864"/>
        <v>12Go Link</v>
      </c>
      <c r="E4843" s="2" t="s">
        <v>3780</v>
      </c>
    </row>
    <row r="4844">
      <c r="A4844" s="2" t="s">
        <v>4130</v>
      </c>
      <c r="B4844" s="2" t="s">
        <v>4234</v>
      </c>
      <c r="C4844" s="2" t="s">
        <v>4235</v>
      </c>
      <c r="D4844" s="3" t="str">
        <f t="shared" si="864"/>
        <v>12Go Link</v>
      </c>
      <c r="E4844" s="2" t="s">
        <v>4009</v>
      </c>
    </row>
    <row r="4845">
      <c r="A4845" s="2" t="s">
        <v>4130</v>
      </c>
      <c r="B4845" s="2" t="s">
        <v>4236</v>
      </c>
      <c r="C4845" s="2" t="s">
        <v>4237</v>
      </c>
      <c r="D4845" s="3" t="str">
        <f t="shared" ref="D4845:D4847" si="865">HYPERLINK("https://12go.asia/en/travel/Kuala-Lumpur-Hotel-Transfer/Cherating-Hotel-Transfer", "12Go Link")</f>
        <v>12Go Link</v>
      </c>
      <c r="E4845" s="2" t="s">
        <v>4202</v>
      </c>
    </row>
    <row r="4846">
      <c r="A4846" s="2" t="s">
        <v>4130</v>
      </c>
      <c r="B4846" s="2" t="s">
        <v>4236</v>
      </c>
      <c r="C4846" s="2" t="s">
        <v>4237</v>
      </c>
      <c r="D4846" s="3" t="str">
        <f t="shared" si="865"/>
        <v>12Go Link</v>
      </c>
      <c r="E4846" s="2" t="s">
        <v>3780</v>
      </c>
    </row>
    <row r="4847">
      <c r="A4847" s="2" t="s">
        <v>4130</v>
      </c>
      <c r="B4847" s="2" t="s">
        <v>4236</v>
      </c>
      <c r="C4847" s="2" t="s">
        <v>4237</v>
      </c>
      <c r="D4847" s="3" t="str">
        <f t="shared" si="865"/>
        <v>12Go Link</v>
      </c>
      <c r="E4847" s="2" t="s">
        <v>4009</v>
      </c>
    </row>
    <row r="4848">
      <c r="A4848" s="2" t="s">
        <v>4130</v>
      </c>
      <c r="B4848" s="2" t="s">
        <v>4236</v>
      </c>
      <c r="C4848" s="2" t="s">
        <v>4238</v>
      </c>
      <c r="D4848" s="3" t="str">
        <f t="shared" ref="D4848:D4850" si="866">HYPERLINK("https://12go.asia/en/travel/Kuala-Lumpur-Hotel-Transfer/Kuala-Tembeling", "12Go Link")</f>
        <v>12Go Link</v>
      </c>
      <c r="E4848" s="2" t="s">
        <v>4202</v>
      </c>
    </row>
    <row r="4849">
      <c r="A4849" s="2" t="s">
        <v>4130</v>
      </c>
      <c r="B4849" s="2" t="s">
        <v>4236</v>
      </c>
      <c r="C4849" s="2" t="s">
        <v>4238</v>
      </c>
      <c r="D4849" s="3" t="str">
        <f t="shared" si="866"/>
        <v>12Go Link</v>
      </c>
      <c r="E4849" s="2" t="s">
        <v>3780</v>
      </c>
    </row>
    <row r="4850">
      <c r="A4850" s="2" t="s">
        <v>4130</v>
      </c>
      <c r="B4850" s="2" t="s">
        <v>4236</v>
      </c>
      <c r="C4850" s="2" t="s">
        <v>4238</v>
      </c>
      <c r="D4850" s="3" t="str">
        <f t="shared" si="866"/>
        <v>12Go Link</v>
      </c>
      <c r="E4850" s="2" t="s">
        <v>4009</v>
      </c>
    </row>
    <row r="4851">
      <c r="A4851" s="2" t="s">
        <v>4130</v>
      </c>
      <c r="B4851" s="2" t="s">
        <v>4236</v>
      </c>
      <c r="C4851" s="2" t="s">
        <v>4239</v>
      </c>
      <c r="D4851" s="3" t="str">
        <f t="shared" ref="D4851:D4853" si="867">HYPERLINK("https://12go.asia/en/travel/Kuala-Lumpur-Hotel-Transfer/Taman-Negeri-Rompin", "12Go Link")</f>
        <v>12Go Link</v>
      </c>
      <c r="E4851" s="2" t="s">
        <v>4202</v>
      </c>
    </row>
    <row r="4852">
      <c r="A4852" s="2" t="s">
        <v>4130</v>
      </c>
      <c r="B4852" s="2" t="s">
        <v>4236</v>
      </c>
      <c r="C4852" s="2" t="s">
        <v>4239</v>
      </c>
      <c r="D4852" s="3" t="str">
        <f t="shared" si="867"/>
        <v>12Go Link</v>
      </c>
      <c r="E4852" s="2" t="s">
        <v>3780</v>
      </c>
    </row>
    <row r="4853">
      <c r="A4853" s="2" t="s">
        <v>4130</v>
      </c>
      <c r="B4853" s="2" t="s">
        <v>4236</v>
      </c>
      <c r="C4853" s="2" t="s">
        <v>4239</v>
      </c>
      <c r="D4853" s="3" t="str">
        <f t="shared" si="867"/>
        <v>12Go Link</v>
      </c>
      <c r="E4853" s="2" t="s">
        <v>4009</v>
      </c>
    </row>
    <row r="4854">
      <c r="A4854" s="2" t="s">
        <v>4130</v>
      </c>
      <c r="B4854" s="2" t="s">
        <v>4133</v>
      </c>
      <c r="C4854" s="2" t="s">
        <v>4240</v>
      </c>
      <c r="D4854" s="3" t="str">
        <f t="shared" ref="D4854:D4859" si="868">HYPERLINK("https://12go.asia/en/travel/Kuala-Lumpur-Hotel-Transfer/Penang-Hotel-Transfer", "12Go Link")</f>
        <v>12Go Link</v>
      </c>
      <c r="E4854" s="2" t="s">
        <v>4202</v>
      </c>
    </row>
    <row r="4855">
      <c r="A4855" s="2" t="s">
        <v>4130</v>
      </c>
      <c r="B4855" s="2" t="s">
        <v>4133</v>
      </c>
      <c r="C4855" s="2" t="s">
        <v>4240</v>
      </c>
      <c r="D4855" s="3" t="str">
        <f t="shared" si="868"/>
        <v>12Go Link</v>
      </c>
      <c r="E4855" s="2" t="s">
        <v>3780</v>
      </c>
    </row>
    <row r="4856">
      <c r="A4856" s="2" t="s">
        <v>4130</v>
      </c>
      <c r="B4856" s="2" t="s">
        <v>4133</v>
      </c>
      <c r="C4856" s="2" t="s">
        <v>4240</v>
      </c>
      <c r="D4856" s="3" t="str">
        <f t="shared" si="868"/>
        <v>12Go Link</v>
      </c>
      <c r="E4856" s="2" t="s">
        <v>4137</v>
      </c>
    </row>
    <row r="4857">
      <c r="A4857" s="2" t="s">
        <v>4130</v>
      </c>
      <c r="B4857" s="2" t="s">
        <v>4133</v>
      </c>
      <c r="C4857" s="2" t="s">
        <v>4240</v>
      </c>
      <c r="D4857" s="3" t="str">
        <f t="shared" si="868"/>
        <v>12Go Link</v>
      </c>
      <c r="E4857" s="2" t="s">
        <v>4138</v>
      </c>
    </row>
    <row r="4858">
      <c r="A4858" s="2" t="s">
        <v>4130</v>
      </c>
      <c r="B4858" s="2" t="s">
        <v>4133</v>
      </c>
      <c r="C4858" s="2" t="s">
        <v>4240</v>
      </c>
      <c r="D4858" s="3" t="str">
        <f t="shared" si="868"/>
        <v>12Go Link</v>
      </c>
      <c r="E4858" s="2" t="s">
        <v>4009</v>
      </c>
    </row>
    <row r="4859">
      <c r="A4859" s="2" t="s">
        <v>4130</v>
      </c>
      <c r="B4859" s="2" t="s">
        <v>4133</v>
      </c>
      <c r="C4859" s="2" t="s">
        <v>4240</v>
      </c>
      <c r="D4859" s="3" t="str">
        <f t="shared" si="868"/>
        <v>12Go Link</v>
      </c>
      <c r="E4859" s="2" t="s">
        <v>4139</v>
      </c>
    </row>
    <row r="4860">
      <c r="A4860" s="2" t="s">
        <v>4130</v>
      </c>
      <c r="B4860" s="2" t="s">
        <v>4241</v>
      </c>
      <c r="C4860" s="2" t="s">
        <v>4242</v>
      </c>
      <c r="D4860" s="3" t="str">
        <f t="shared" ref="D4860:D4862" si="869">HYPERLINK("https://12go.asia/en/travel/Kuala-Lumpur-Hotel-Transfer/Belum-Banding", "12Go Link")</f>
        <v>12Go Link</v>
      </c>
      <c r="E4860" s="2" t="s">
        <v>4202</v>
      </c>
    </row>
    <row r="4861">
      <c r="A4861" s="2" t="s">
        <v>4130</v>
      </c>
      <c r="B4861" s="2" t="s">
        <v>4241</v>
      </c>
      <c r="C4861" s="2" t="s">
        <v>4242</v>
      </c>
      <c r="D4861" s="3" t="str">
        <f t="shared" si="869"/>
        <v>12Go Link</v>
      </c>
      <c r="E4861" s="2" t="s">
        <v>3780</v>
      </c>
    </row>
    <row r="4862">
      <c r="A4862" s="2" t="s">
        <v>4130</v>
      </c>
      <c r="B4862" s="2" t="s">
        <v>4241</v>
      </c>
      <c r="C4862" s="2" t="s">
        <v>4242</v>
      </c>
      <c r="D4862" s="3" t="str">
        <f t="shared" si="869"/>
        <v>12Go Link</v>
      </c>
      <c r="E4862" s="2" t="s">
        <v>4009</v>
      </c>
    </row>
    <row r="4863">
      <c r="A4863" s="2" t="s">
        <v>4130</v>
      </c>
      <c r="B4863" s="2" t="s">
        <v>4243</v>
      </c>
      <c r="C4863" s="2" t="s">
        <v>4244</v>
      </c>
      <c r="D4863" s="3" t="str">
        <f t="shared" ref="D4863:D4865" si="870">HYPERLINK("https://12go.asia/en/travel/Kuala-Lumpur-Hotel-Transfer/Kangar-Hotel-Transfer", "12Go Link")</f>
        <v>12Go Link</v>
      </c>
      <c r="E4863" s="2" t="s">
        <v>4202</v>
      </c>
    </row>
    <row r="4864">
      <c r="A4864" s="2" t="s">
        <v>4130</v>
      </c>
      <c r="B4864" s="2" t="s">
        <v>4243</v>
      </c>
      <c r="C4864" s="2" t="s">
        <v>4244</v>
      </c>
      <c r="D4864" s="3" t="str">
        <f t="shared" si="870"/>
        <v>12Go Link</v>
      </c>
      <c r="E4864" s="2" t="s">
        <v>3780</v>
      </c>
    </row>
    <row r="4865">
      <c r="A4865" s="2" t="s">
        <v>4130</v>
      </c>
      <c r="B4865" s="2" t="s">
        <v>4243</v>
      </c>
      <c r="C4865" s="2" t="s">
        <v>4244</v>
      </c>
      <c r="D4865" s="3" t="str">
        <f t="shared" si="870"/>
        <v>12Go Link</v>
      </c>
      <c r="E4865" s="2" t="s">
        <v>4009</v>
      </c>
    </row>
    <row r="4866">
      <c r="A4866" s="2" t="s">
        <v>4130</v>
      </c>
      <c r="B4866" s="2" t="s">
        <v>4245</v>
      </c>
      <c r="C4866" s="2" t="s">
        <v>4246</v>
      </c>
      <c r="D4866" s="3" t="str">
        <f t="shared" ref="D4866:D4868" si="871">HYPERLINK("https://12go.asia/en/travel/Kuala-Lumpur-Hotel-Transfer/Port-Dickson", "12Go Link")</f>
        <v>12Go Link</v>
      </c>
      <c r="E4866" s="2" t="s">
        <v>4202</v>
      </c>
    </row>
    <row r="4867">
      <c r="A4867" s="2" t="s">
        <v>4130</v>
      </c>
      <c r="B4867" s="2" t="s">
        <v>4245</v>
      </c>
      <c r="C4867" s="2" t="s">
        <v>4246</v>
      </c>
      <c r="D4867" s="3" t="str">
        <f t="shared" si="871"/>
        <v>12Go Link</v>
      </c>
      <c r="E4867" s="2" t="s">
        <v>3780</v>
      </c>
    </row>
    <row r="4868">
      <c r="A4868" s="2" t="s">
        <v>4130</v>
      </c>
      <c r="B4868" s="2" t="s">
        <v>4245</v>
      </c>
      <c r="C4868" s="2" t="s">
        <v>4246</v>
      </c>
      <c r="D4868" s="3" t="str">
        <f t="shared" si="871"/>
        <v>12Go Link</v>
      </c>
      <c r="E4868" s="2" t="s">
        <v>4009</v>
      </c>
    </row>
    <row r="4869">
      <c r="A4869" s="2" t="s">
        <v>4130</v>
      </c>
      <c r="B4869" s="2" t="s">
        <v>4151</v>
      </c>
      <c r="C4869" s="2" t="s">
        <v>4247</v>
      </c>
      <c r="D4869" s="3" t="str">
        <f t="shared" ref="D4869:D4871" si="872">HYPERLINK("https://12go.asia/en/travel/Kuala-Lumpur-Hotel-Transfer/Bangi-Hotel-Transfer", "12Go Link")</f>
        <v>12Go Link</v>
      </c>
      <c r="E4869" s="2" t="s">
        <v>4202</v>
      </c>
    </row>
    <row r="4870">
      <c r="A4870" s="2" t="s">
        <v>4130</v>
      </c>
      <c r="B4870" s="2" t="s">
        <v>4151</v>
      </c>
      <c r="C4870" s="2" t="s">
        <v>4247</v>
      </c>
      <c r="D4870" s="3" t="str">
        <f t="shared" si="872"/>
        <v>12Go Link</v>
      </c>
      <c r="E4870" s="2" t="s">
        <v>3780</v>
      </c>
    </row>
    <row r="4871">
      <c r="A4871" s="2" t="s">
        <v>4130</v>
      </c>
      <c r="B4871" s="2" t="s">
        <v>4151</v>
      </c>
      <c r="C4871" s="2" t="s">
        <v>4247</v>
      </c>
      <c r="D4871" s="3" t="str">
        <f t="shared" si="872"/>
        <v>12Go Link</v>
      </c>
      <c r="E4871" s="2" t="s">
        <v>4009</v>
      </c>
    </row>
    <row r="4872">
      <c r="A4872" s="2" t="s">
        <v>4130</v>
      </c>
      <c r="B4872" s="2" t="s">
        <v>4151</v>
      </c>
      <c r="C4872" s="2" t="s">
        <v>4248</v>
      </c>
      <c r="D4872" s="3" t="str">
        <f t="shared" ref="D4872:D4874" si="873">HYPERLINK("https://12go.asia/en/travel/Kuala-Lumpur-Hotel-Transfer/Kuala-Selangor", "12Go Link")</f>
        <v>12Go Link</v>
      </c>
      <c r="E4872" s="2" t="s">
        <v>4202</v>
      </c>
    </row>
    <row r="4873">
      <c r="A4873" s="2" t="s">
        <v>4130</v>
      </c>
      <c r="B4873" s="2" t="s">
        <v>4151</v>
      </c>
      <c r="C4873" s="2" t="s">
        <v>4248</v>
      </c>
      <c r="D4873" s="3" t="str">
        <f t="shared" si="873"/>
        <v>12Go Link</v>
      </c>
      <c r="E4873" s="2" t="s">
        <v>3780</v>
      </c>
    </row>
    <row r="4874">
      <c r="A4874" s="2" t="s">
        <v>4130</v>
      </c>
      <c r="B4874" s="2" t="s">
        <v>4151</v>
      </c>
      <c r="C4874" s="2" t="s">
        <v>4248</v>
      </c>
      <c r="D4874" s="3" t="str">
        <f t="shared" si="873"/>
        <v>12Go Link</v>
      </c>
      <c r="E4874" s="2" t="s">
        <v>4009</v>
      </c>
    </row>
    <row r="4875">
      <c r="A4875" s="2" t="s">
        <v>4130</v>
      </c>
      <c r="B4875" s="2" t="s">
        <v>4151</v>
      </c>
      <c r="C4875" s="2" t="s">
        <v>4249</v>
      </c>
      <c r="D4875" s="3" t="str">
        <f t="shared" ref="D4875:D4877" si="874">HYPERLINK("https://12go.asia/en/travel/Kuala-Lumpur-Hotel-Transfer/Port-Klang", "12Go Link")</f>
        <v>12Go Link</v>
      </c>
      <c r="E4875" s="2" t="s">
        <v>4202</v>
      </c>
    </row>
    <row r="4876">
      <c r="A4876" s="2" t="s">
        <v>4130</v>
      </c>
      <c r="B4876" s="2" t="s">
        <v>4151</v>
      </c>
      <c r="C4876" s="2" t="s">
        <v>4249</v>
      </c>
      <c r="D4876" s="3" t="str">
        <f t="shared" si="874"/>
        <v>12Go Link</v>
      </c>
      <c r="E4876" s="2" t="s">
        <v>3780</v>
      </c>
    </row>
    <row r="4877">
      <c r="A4877" s="2" t="s">
        <v>4130</v>
      </c>
      <c r="B4877" s="2" t="s">
        <v>4151</v>
      </c>
      <c r="C4877" s="2" t="s">
        <v>4249</v>
      </c>
      <c r="D4877" s="3" t="str">
        <f t="shared" si="874"/>
        <v>12Go Link</v>
      </c>
      <c r="E4877" s="2" t="s">
        <v>4009</v>
      </c>
    </row>
    <row r="4878">
      <c r="A4878" s="2" t="s">
        <v>4130</v>
      </c>
      <c r="B4878" s="2" t="s">
        <v>4151</v>
      </c>
      <c r="C4878" s="2" t="s">
        <v>4250</v>
      </c>
      <c r="D4878" s="3" t="str">
        <f t="shared" ref="D4878:D4880" si="875">HYPERLINK("https://12go.asia/en/travel/Kuala-Lumpur-Hotel-Transfer/Sultan-Abdul-Aziz-Shah-Airport", "12Go Link")</f>
        <v>12Go Link</v>
      </c>
      <c r="E4878" s="2" t="s">
        <v>4202</v>
      </c>
    </row>
    <row r="4879">
      <c r="A4879" s="2" t="s">
        <v>4130</v>
      </c>
      <c r="B4879" s="2" t="s">
        <v>4151</v>
      </c>
      <c r="C4879" s="2" t="s">
        <v>4250</v>
      </c>
      <c r="D4879" s="3" t="str">
        <f t="shared" si="875"/>
        <v>12Go Link</v>
      </c>
      <c r="E4879" s="2" t="s">
        <v>3780</v>
      </c>
    </row>
    <row r="4880">
      <c r="A4880" s="2" t="s">
        <v>4130</v>
      </c>
      <c r="B4880" s="2" t="s">
        <v>4151</v>
      </c>
      <c r="C4880" s="2" t="s">
        <v>4250</v>
      </c>
      <c r="D4880" s="3" t="str">
        <f t="shared" si="875"/>
        <v>12Go Link</v>
      </c>
      <c r="E4880" s="2" t="s">
        <v>4009</v>
      </c>
    </row>
    <row r="4881">
      <c r="A4881" s="2" t="s">
        <v>4130</v>
      </c>
      <c r="B4881" s="2" t="s">
        <v>3441</v>
      </c>
      <c r="C4881" s="2" t="s">
        <v>4251</v>
      </c>
      <c r="D4881" s="3" t="str">
        <f t="shared" ref="D4881:D4883" si="876">HYPERLINK("https://12go.asia/en/travel/Kuala-Lumpur-Hotel-Transfer/Seremban-Hotel-Transfer", "12Go Link")</f>
        <v>12Go Link</v>
      </c>
      <c r="E4881" s="2" t="s">
        <v>4202</v>
      </c>
    </row>
    <row r="4882">
      <c r="A4882" s="2" t="s">
        <v>4130</v>
      </c>
      <c r="B4882" s="2" t="s">
        <v>3441</v>
      </c>
      <c r="C4882" s="2" t="s">
        <v>4251</v>
      </c>
      <c r="D4882" s="3" t="str">
        <f t="shared" si="876"/>
        <v>12Go Link</v>
      </c>
      <c r="E4882" s="2" t="s">
        <v>3780</v>
      </c>
    </row>
    <row r="4883">
      <c r="A4883" s="2" t="s">
        <v>4130</v>
      </c>
      <c r="B4883" s="2" t="s">
        <v>3441</v>
      </c>
      <c r="C4883" s="2" t="s">
        <v>4251</v>
      </c>
      <c r="D4883" s="3" t="str">
        <f t="shared" si="876"/>
        <v>12Go Link</v>
      </c>
      <c r="E4883" s="2" t="s">
        <v>4009</v>
      </c>
    </row>
    <row r="4884">
      <c r="A4884" s="2" t="s">
        <v>4130</v>
      </c>
      <c r="B4884" s="2" t="s">
        <v>4252</v>
      </c>
      <c r="C4884" s="2" t="s">
        <v>4253</v>
      </c>
      <c r="D4884" s="3" t="str">
        <f t="shared" ref="D4884:D4886" si="877">HYPERLINK("https://12go.asia/en/travel/Kuala-Lumpur-Hotel-Transfer/Shah-Alam-Hotel-Transfer", "12Go Link")</f>
        <v>12Go Link</v>
      </c>
      <c r="E4884" s="2" t="s">
        <v>4202</v>
      </c>
    </row>
    <row r="4885">
      <c r="A4885" s="2" t="s">
        <v>4130</v>
      </c>
      <c r="B4885" s="2" t="s">
        <v>4252</v>
      </c>
      <c r="C4885" s="2" t="s">
        <v>4253</v>
      </c>
      <c r="D4885" s="3" t="str">
        <f t="shared" si="877"/>
        <v>12Go Link</v>
      </c>
      <c r="E4885" s="2" t="s">
        <v>3780</v>
      </c>
    </row>
    <row r="4886">
      <c r="A4886" s="2" t="s">
        <v>4130</v>
      </c>
      <c r="B4886" s="2" t="s">
        <v>4252</v>
      </c>
      <c r="C4886" s="2" t="s">
        <v>4253</v>
      </c>
      <c r="D4886" s="3" t="str">
        <f t="shared" si="877"/>
        <v>12Go Link</v>
      </c>
      <c r="E4886" s="2" t="s">
        <v>4009</v>
      </c>
    </row>
    <row r="4887">
      <c r="A4887" s="2" t="s">
        <v>4130</v>
      </c>
      <c r="B4887" s="2" t="s">
        <v>4254</v>
      </c>
      <c r="C4887" s="2" t="s">
        <v>4255</v>
      </c>
      <c r="D4887" s="3" t="str">
        <f t="shared" ref="D4887:D4889" si="878">HYPERLINK("https://12go.asia/en/travel/Kuala-Lumpur-Hotel-Transfer/Kuala-Tahan-Taman-Negara", "12Go Link")</f>
        <v>12Go Link</v>
      </c>
      <c r="E4887" s="2" t="s">
        <v>4202</v>
      </c>
    </row>
    <row r="4888">
      <c r="A4888" s="2" t="s">
        <v>4130</v>
      </c>
      <c r="B4888" s="2" t="s">
        <v>4254</v>
      </c>
      <c r="C4888" s="2" t="s">
        <v>4255</v>
      </c>
      <c r="D4888" s="3" t="str">
        <f t="shared" si="878"/>
        <v>12Go Link</v>
      </c>
      <c r="E4888" s="2" t="s">
        <v>3780</v>
      </c>
    </row>
    <row r="4889">
      <c r="A4889" s="2" t="s">
        <v>4130</v>
      </c>
      <c r="B4889" s="2" t="s">
        <v>4254</v>
      </c>
      <c r="C4889" s="2" t="s">
        <v>4255</v>
      </c>
      <c r="D4889" s="3" t="str">
        <f t="shared" si="878"/>
        <v>12Go Link</v>
      </c>
      <c r="E4889" s="2" t="s">
        <v>4009</v>
      </c>
    </row>
    <row r="4890">
      <c r="A4890" s="2" t="s">
        <v>4130</v>
      </c>
      <c r="B4890" s="2" t="s">
        <v>4188</v>
      </c>
      <c r="C4890" s="2" t="s">
        <v>4256</v>
      </c>
      <c r="D4890" s="3" t="str">
        <f t="shared" ref="D4890:D4892" si="879">HYPERLINK("https://12go.asia/en/travel/Kuala-Lumpur-Hotel-Transfer/Kuala-Terengganu", "12Go Link")</f>
        <v>12Go Link</v>
      </c>
      <c r="E4890" s="2" t="s">
        <v>4202</v>
      </c>
    </row>
    <row r="4891">
      <c r="A4891" s="2" t="s">
        <v>4130</v>
      </c>
      <c r="B4891" s="2" t="s">
        <v>4188</v>
      </c>
      <c r="C4891" s="2" t="s">
        <v>4256</v>
      </c>
      <c r="D4891" s="3" t="str">
        <f t="shared" si="879"/>
        <v>12Go Link</v>
      </c>
      <c r="E4891" s="2" t="s">
        <v>3780</v>
      </c>
    </row>
    <row r="4892">
      <c r="A4892" s="2" t="s">
        <v>4130</v>
      </c>
      <c r="B4892" s="2" t="s">
        <v>4188</v>
      </c>
      <c r="C4892" s="2" t="s">
        <v>4256</v>
      </c>
      <c r="D4892" s="3" t="str">
        <f t="shared" si="879"/>
        <v>12Go Link</v>
      </c>
      <c r="E4892" s="2" t="s">
        <v>4009</v>
      </c>
    </row>
    <row r="4893">
      <c r="A4893" s="2" t="s">
        <v>4130</v>
      </c>
      <c r="B4893" s="2" t="s">
        <v>4188</v>
      </c>
      <c r="C4893" s="2" t="s">
        <v>4257</v>
      </c>
      <c r="D4893" s="3" t="str">
        <f t="shared" ref="D4893:D4895" si="880">HYPERLINK("https://12go.asia/en/travel/Kuala-Lumpur-Hotel-Transfer/Tanjong-Jara", "12Go Link")</f>
        <v>12Go Link</v>
      </c>
      <c r="E4893" s="2" t="s">
        <v>4202</v>
      </c>
    </row>
    <row r="4894">
      <c r="A4894" s="2" t="s">
        <v>4130</v>
      </c>
      <c r="B4894" s="2" t="s">
        <v>4188</v>
      </c>
      <c r="C4894" s="2" t="s">
        <v>4257</v>
      </c>
      <c r="D4894" s="3" t="str">
        <f t="shared" si="880"/>
        <v>12Go Link</v>
      </c>
      <c r="E4894" s="2" t="s">
        <v>3780</v>
      </c>
    </row>
    <row r="4895">
      <c r="A4895" s="2" t="s">
        <v>4130</v>
      </c>
      <c r="B4895" s="2" t="s">
        <v>4188</v>
      </c>
      <c r="C4895" s="2" t="s">
        <v>4257</v>
      </c>
      <c r="D4895" s="3" t="str">
        <f t="shared" si="880"/>
        <v>12Go Link</v>
      </c>
      <c r="E4895" s="2" t="s">
        <v>4009</v>
      </c>
    </row>
    <row r="4896">
      <c r="A4896" s="2" t="s">
        <v>4130</v>
      </c>
      <c r="B4896" s="2" t="s">
        <v>4188</v>
      </c>
      <c r="C4896" s="2" t="s">
        <v>4258</v>
      </c>
      <c r="D4896" s="3" t="str">
        <f t="shared" ref="D4896:D4898" si="881">HYPERLINK("https://12go.asia/en/travel/Kuala-Lumpur-Hotel-Transfer/Tasik-Kenyir", "12Go Link")</f>
        <v>12Go Link</v>
      </c>
      <c r="E4896" s="2" t="s">
        <v>4202</v>
      </c>
    </row>
    <row r="4897">
      <c r="A4897" s="2" t="s">
        <v>4130</v>
      </c>
      <c r="B4897" s="2" t="s">
        <v>4188</v>
      </c>
      <c r="C4897" s="2" t="s">
        <v>4258</v>
      </c>
      <c r="D4897" s="3" t="str">
        <f t="shared" si="881"/>
        <v>12Go Link</v>
      </c>
      <c r="E4897" s="2" t="s">
        <v>3780</v>
      </c>
    </row>
    <row r="4898">
      <c r="A4898" s="2" t="s">
        <v>4130</v>
      </c>
      <c r="B4898" s="2" t="s">
        <v>4188</v>
      </c>
      <c r="C4898" s="2" t="s">
        <v>4258</v>
      </c>
      <c r="D4898" s="3" t="str">
        <f t="shared" si="881"/>
        <v>12Go Link</v>
      </c>
      <c r="E4898" s="2" t="s">
        <v>4009</v>
      </c>
    </row>
    <row r="4899">
      <c r="A4899" s="2" t="s">
        <v>4130</v>
      </c>
      <c r="B4899" s="2" t="s">
        <v>4156</v>
      </c>
      <c r="C4899" s="2" t="s">
        <v>4259</v>
      </c>
      <c r="D4899" s="3" t="str">
        <f t="shared" ref="D4899:D4904" si="882">HYPERLINK("https://12go.asia/en/travel/Kuala-Lumpur-Hotel-Transfer/Singapore-Hotel-Transfer", "12Go Link")</f>
        <v>12Go Link</v>
      </c>
      <c r="E4899" s="2" t="s">
        <v>4202</v>
      </c>
    </row>
    <row r="4900">
      <c r="A4900" s="2" t="s">
        <v>4130</v>
      </c>
      <c r="B4900" s="2" t="s">
        <v>4156</v>
      </c>
      <c r="C4900" s="2" t="s">
        <v>4259</v>
      </c>
      <c r="D4900" s="3" t="str">
        <f t="shared" si="882"/>
        <v>12Go Link</v>
      </c>
      <c r="E4900" s="2" t="s">
        <v>3780</v>
      </c>
    </row>
    <row r="4901">
      <c r="A4901" s="2" t="s">
        <v>4130</v>
      </c>
      <c r="B4901" s="2" t="s">
        <v>4156</v>
      </c>
      <c r="C4901" s="2" t="s">
        <v>4259</v>
      </c>
      <c r="D4901" s="3" t="str">
        <f t="shared" si="882"/>
        <v>12Go Link</v>
      </c>
      <c r="E4901" s="2" t="s">
        <v>4137</v>
      </c>
    </row>
    <row r="4902">
      <c r="A4902" s="2" t="s">
        <v>4130</v>
      </c>
      <c r="B4902" s="2" t="s">
        <v>4156</v>
      </c>
      <c r="C4902" s="2" t="s">
        <v>4259</v>
      </c>
      <c r="D4902" s="3" t="str">
        <f t="shared" si="882"/>
        <v>12Go Link</v>
      </c>
      <c r="E4902" s="2" t="s">
        <v>4138</v>
      </c>
    </row>
    <row r="4903">
      <c r="A4903" s="2" t="s">
        <v>4130</v>
      </c>
      <c r="B4903" s="2" t="s">
        <v>4156</v>
      </c>
      <c r="C4903" s="2" t="s">
        <v>4259</v>
      </c>
      <c r="D4903" s="3" t="str">
        <f t="shared" si="882"/>
        <v>12Go Link</v>
      </c>
      <c r="E4903" s="2" t="s">
        <v>4009</v>
      </c>
    </row>
    <row r="4904">
      <c r="A4904" s="2" t="s">
        <v>4130</v>
      </c>
      <c r="B4904" s="2" t="s">
        <v>4156</v>
      </c>
      <c r="C4904" s="2" t="s">
        <v>4259</v>
      </c>
      <c r="D4904" s="3" t="str">
        <f t="shared" si="882"/>
        <v>12Go Link</v>
      </c>
      <c r="E4904" s="2" t="s">
        <v>4139</v>
      </c>
    </row>
    <row r="4905">
      <c r="A4905" s="2" t="s">
        <v>4130</v>
      </c>
      <c r="B4905" s="2" t="s">
        <v>4156</v>
      </c>
      <c r="C4905" s="2" t="s">
        <v>4260</v>
      </c>
      <c r="D4905" s="3" t="str">
        <f>HYPERLINK("https://12go.asia/en/travel/berjaya-times-square/the-plaza", "12Go Link")</f>
        <v>12Go Link</v>
      </c>
      <c r="E4905" s="2" t="s">
        <v>59</v>
      </c>
    </row>
    <row r="4906">
      <c r="A4906" s="2" t="s">
        <v>4130</v>
      </c>
      <c r="B4906" s="2" t="s">
        <v>4156</v>
      </c>
      <c r="C4906" s="2" t="s">
        <v>4261</v>
      </c>
      <c r="D4906" s="3" t="str">
        <f>HYPERLINK("https://12go.asia/en/travel/tbs-kuala-lumpur/jurong-east-bus-mrt-interchange", "12Go Link")</f>
        <v>12Go Link</v>
      </c>
      <c r="E4906" s="2" t="s">
        <v>59</v>
      </c>
    </row>
    <row r="4907">
      <c r="A4907" s="2" t="s">
        <v>4130</v>
      </c>
      <c r="B4907" s="2" t="s">
        <v>4156</v>
      </c>
      <c r="C4907" s="2" t="s">
        <v>4262</v>
      </c>
      <c r="D4907" s="3" t="str">
        <f>HYPERLINK("https://12go.asia/en/travel/tbs-kuala-lumpur/kovan-hub-206", "12Go Link")</f>
        <v>12Go Link</v>
      </c>
      <c r="E4907" s="2" t="s">
        <v>59</v>
      </c>
    </row>
    <row r="4908">
      <c r="A4908" s="2" t="s">
        <v>4130</v>
      </c>
      <c r="B4908" s="2" t="s">
        <v>4156</v>
      </c>
      <c r="C4908" s="2" t="s">
        <v>4263</v>
      </c>
      <c r="D4908" s="3" t="str">
        <f>HYPERLINK("https://12go.asia/en/travel/tbs-kuala-lumpur/the-plaza", "12Go Link")</f>
        <v>12Go Link</v>
      </c>
      <c r="E4908" s="2" t="s">
        <v>59</v>
      </c>
    </row>
    <row r="4909">
      <c r="A4909" s="2" t="s">
        <v>4264</v>
      </c>
      <c r="B4909" s="2" t="s">
        <v>4265</v>
      </c>
      <c r="C4909" s="2" t="s">
        <v>4266</v>
      </c>
      <c r="D4909" s="3" t="str">
        <f>HYPERLINK("https://12go.asia/en/travel/kuala-lumpur-sentral/lantau-island", "12Go Link")</f>
        <v>12Go Link</v>
      </c>
      <c r="E4909" s="2" t="s">
        <v>155</v>
      </c>
    </row>
    <row r="4910">
      <c r="A4910" s="2" t="s">
        <v>4264</v>
      </c>
      <c r="B4910" s="2" t="s">
        <v>2184</v>
      </c>
      <c r="C4910" s="2" t="s">
        <v>4267</v>
      </c>
      <c r="D4910" s="3" t="str">
        <f>HYPERLINK("https://12go.asia/en/travel/kuala-lumpur-sentral/hong-kong", "12Go Link")</f>
        <v>12Go Link</v>
      </c>
      <c r="E4910" s="2" t="s">
        <v>155</v>
      </c>
    </row>
    <row r="4911">
      <c r="A4911" s="2" t="s">
        <v>4264</v>
      </c>
      <c r="B4911" s="2" t="s">
        <v>4268</v>
      </c>
      <c r="C4911" s="2" t="s">
        <v>4269</v>
      </c>
      <c r="D4911" s="3" t="str">
        <f>HYPERLINK("https://12go.asia/en/travel/kuala-lumpur-sentral/hong-kong-airport", "12Go Link")</f>
        <v>12Go Link</v>
      </c>
      <c r="E4911" s="2" t="s">
        <v>155</v>
      </c>
    </row>
    <row r="4912">
      <c r="A4912" s="2" t="s">
        <v>4264</v>
      </c>
      <c r="B4912" s="2" t="s">
        <v>669</v>
      </c>
      <c r="C4912" s="2" t="s">
        <v>4270</v>
      </c>
      <c r="D4912" s="3" t="str">
        <f>HYPERLINK("https://12go.asia/en/travel/kuala-lumpur-sentral/kowloon", "12Go Link")</f>
        <v>12Go Link</v>
      </c>
      <c r="E4912" s="2" t="s">
        <v>155</v>
      </c>
    </row>
    <row r="4913">
      <c r="A4913" s="2" t="s">
        <v>4264</v>
      </c>
      <c r="B4913" s="2" t="s">
        <v>4271</v>
      </c>
      <c r="C4913" s="2" t="s">
        <v>4272</v>
      </c>
      <c r="D4913" s="3" t="str">
        <f>HYPERLINK("https://12go.asia/en/travel/kuala-lumpur-sentral/tuen-mun-hong-kong", "12Go Link")</f>
        <v>12Go Link</v>
      </c>
      <c r="E4913" s="2" t="s">
        <v>155</v>
      </c>
    </row>
    <row r="4914">
      <c r="A4914" s="2" t="s">
        <v>4264</v>
      </c>
      <c r="B4914" s="2" t="s">
        <v>4273</v>
      </c>
      <c r="C4914" s="2" t="s">
        <v>4274</v>
      </c>
      <c r="D4914" s="3" t="str">
        <f>HYPERLINK("https://12go.asia/en/travel/kuala-lumpur-sentral/delhi-airport", "12Go Link")</f>
        <v>12Go Link</v>
      </c>
      <c r="E4914" s="2" t="s">
        <v>155</v>
      </c>
    </row>
    <row r="4915">
      <c r="A4915" s="2" t="s">
        <v>4264</v>
      </c>
      <c r="B4915" s="2" t="s">
        <v>4275</v>
      </c>
      <c r="C4915" s="2" t="s">
        <v>4276</v>
      </c>
      <c r="D4915" s="3" t="str">
        <f>HYPERLINK("https://12go.asia/en/travel/kuala-lumpur-sentral/gurgaon", "12Go Link")</f>
        <v>12Go Link</v>
      </c>
      <c r="E4915" s="2" t="s">
        <v>155</v>
      </c>
    </row>
    <row r="4916">
      <c r="A4916" s="2" t="s">
        <v>4264</v>
      </c>
      <c r="B4916" s="2" t="s">
        <v>2405</v>
      </c>
      <c r="C4916" s="2" t="s">
        <v>4277</v>
      </c>
      <c r="D4916" s="3" t="str">
        <f>HYPERLINK("https://12go.asia/en/travel/kuala-lumpur-sentral/new-delhi", "12Go Link")</f>
        <v>12Go Link</v>
      </c>
      <c r="E4916" s="2" t="s">
        <v>155</v>
      </c>
    </row>
    <row r="4917">
      <c r="A4917" s="2" t="s">
        <v>4264</v>
      </c>
      <c r="B4917" s="2" t="s">
        <v>2286</v>
      </c>
      <c r="C4917" s="2" t="s">
        <v>4278</v>
      </c>
      <c r="D4917" s="3" t="str">
        <f>HYPERLINK("https://12go.asia/en/travel/kuala-lumpur-sentral/srirangam", "12Go Link")</f>
        <v>12Go Link</v>
      </c>
      <c r="E4917" s="2" t="s">
        <v>155</v>
      </c>
    </row>
    <row r="4918">
      <c r="A4918" s="2" t="s">
        <v>4264</v>
      </c>
      <c r="B4918" s="2" t="s">
        <v>2217</v>
      </c>
      <c r="C4918" s="2" t="s">
        <v>4279</v>
      </c>
      <c r="D4918" s="3" t="str">
        <f>HYPERLINK("https://12go.asia/en/travel/kuala-lumpur-sentral/tiruchirappalli", "12Go Link")</f>
        <v>12Go Link</v>
      </c>
      <c r="E4918" s="2" t="s">
        <v>155</v>
      </c>
    </row>
    <row r="4919">
      <c r="A4919" s="2" t="s">
        <v>4264</v>
      </c>
      <c r="B4919" s="2" t="s">
        <v>4280</v>
      </c>
      <c r="C4919" s="2" t="s">
        <v>4281</v>
      </c>
      <c r="D4919" s="3" t="str">
        <f>HYPERLINK("https://12go.asia/en/travel/kuala-lumpur-sentral/lahore", "12Go Link")</f>
        <v>12Go Link</v>
      </c>
      <c r="E4919" s="2" t="s">
        <v>155</v>
      </c>
    </row>
    <row r="4920">
      <c r="A4920" s="2" t="s">
        <v>4264</v>
      </c>
      <c r="B4920" s="2" t="s">
        <v>4282</v>
      </c>
      <c r="C4920" s="2" t="s">
        <v>4283</v>
      </c>
      <c r="D4920" s="3" t="str">
        <f>HYPERLINK("https://12go.asia/en/travel/kuala-lumpur-sentral/rangsit", "12Go Link")</f>
        <v>12Go Link</v>
      </c>
      <c r="E4920" s="2" t="s">
        <v>155</v>
      </c>
    </row>
    <row r="4921">
      <c r="A4921" s="2" t="s">
        <v>4264</v>
      </c>
      <c r="B4921" s="2" t="s">
        <v>4284</v>
      </c>
      <c r="C4921" s="2" t="s">
        <v>4285</v>
      </c>
      <c r="D4921" s="3" t="str">
        <f>HYPERLINK("https://12go.asia/en/travel/kuala-lumpur-sentral/thale-ban-national-park", "12Go Link")</f>
        <v>12Go Link</v>
      </c>
      <c r="E4921" s="2" t="s">
        <v>155</v>
      </c>
    </row>
    <row r="4922">
      <c r="A4922" s="2" t="s">
        <v>4180</v>
      </c>
      <c r="B4922" s="2" t="s">
        <v>4158</v>
      </c>
      <c r="C4922" s="2" t="s">
        <v>4286</v>
      </c>
      <c r="D4922" s="3" t="str">
        <f t="shared" ref="D4922:D4936" si="883">HYPERLINK("https://12go.asia/en/travel/Langkawi-Kuah-Jetty/Cenang-Beach", "12Go Link")</f>
        <v>12Go Link</v>
      </c>
      <c r="E4922" s="2" t="s">
        <v>4161</v>
      </c>
    </row>
    <row r="4923">
      <c r="A4923" s="2" t="s">
        <v>4180</v>
      </c>
      <c r="B4923" s="2" t="s">
        <v>4158</v>
      </c>
      <c r="C4923" s="2" t="s">
        <v>4286</v>
      </c>
      <c r="D4923" s="3" t="str">
        <f t="shared" si="883"/>
        <v>12Go Link</v>
      </c>
      <c r="E4923" s="2" t="s">
        <v>4162</v>
      </c>
    </row>
    <row r="4924">
      <c r="A4924" s="2" t="s">
        <v>4180</v>
      </c>
      <c r="B4924" s="2" t="s">
        <v>4158</v>
      </c>
      <c r="C4924" s="2" t="s">
        <v>4286</v>
      </c>
      <c r="D4924" s="3" t="str">
        <f t="shared" si="883"/>
        <v>12Go Link</v>
      </c>
      <c r="E4924" s="2" t="s">
        <v>4163</v>
      </c>
    </row>
    <row r="4925">
      <c r="A4925" s="2" t="s">
        <v>4180</v>
      </c>
      <c r="B4925" s="2" t="s">
        <v>4158</v>
      </c>
      <c r="C4925" s="2" t="s">
        <v>4286</v>
      </c>
      <c r="D4925" s="3" t="str">
        <f t="shared" si="883"/>
        <v>12Go Link</v>
      </c>
      <c r="E4925" s="2" t="s">
        <v>4164</v>
      </c>
    </row>
    <row r="4926">
      <c r="A4926" s="2" t="s">
        <v>4180</v>
      </c>
      <c r="B4926" s="2" t="s">
        <v>4158</v>
      </c>
      <c r="C4926" s="2" t="s">
        <v>4286</v>
      </c>
      <c r="D4926" s="3" t="str">
        <f t="shared" si="883"/>
        <v>12Go Link</v>
      </c>
      <c r="E4926" s="2" t="s">
        <v>4165</v>
      </c>
    </row>
    <row r="4927">
      <c r="A4927" s="2" t="s">
        <v>4180</v>
      </c>
      <c r="B4927" s="2" t="s">
        <v>4158</v>
      </c>
      <c r="C4927" s="2" t="s">
        <v>4286</v>
      </c>
      <c r="D4927" s="3" t="str">
        <f t="shared" si="883"/>
        <v>12Go Link</v>
      </c>
      <c r="E4927" s="2" t="s">
        <v>4166</v>
      </c>
    </row>
    <row r="4928">
      <c r="A4928" s="2" t="s">
        <v>4180</v>
      </c>
      <c r="B4928" s="2" t="s">
        <v>4158</v>
      </c>
      <c r="C4928" s="2" t="s">
        <v>4286</v>
      </c>
      <c r="D4928" s="3" t="str">
        <f t="shared" si="883"/>
        <v>12Go Link</v>
      </c>
      <c r="E4928" s="2" t="s">
        <v>4167</v>
      </c>
    </row>
    <row r="4929">
      <c r="A4929" s="2" t="s">
        <v>4180</v>
      </c>
      <c r="B4929" s="2" t="s">
        <v>4158</v>
      </c>
      <c r="C4929" s="2" t="s">
        <v>4286</v>
      </c>
      <c r="D4929" s="3" t="str">
        <f t="shared" si="883"/>
        <v>12Go Link</v>
      </c>
      <c r="E4929" s="2" t="s">
        <v>4168</v>
      </c>
    </row>
    <row r="4930">
      <c r="A4930" s="2" t="s">
        <v>4180</v>
      </c>
      <c r="B4930" s="2" t="s">
        <v>4158</v>
      </c>
      <c r="C4930" s="2" t="s">
        <v>4286</v>
      </c>
      <c r="D4930" s="3" t="str">
        <f t="shared" si="883"/>
        <v>12Go Link</v>
      </c>
      <c r="E4930" s="2" t="s">
        <v>4169</v>
      </c>
    </row>
    <row r="4931">
      <c r="A4931" s="2" t="s">
        <v>4180</v>
      </c>
      <c r="B4931" s="2" t="s">
        <v>4158</v>
      </c>
      <c r="C4931" s="2" t="s">
        <v>4286</v>
      </c>
      <c r="D4931" s="3" t="str">
        <f t="shared" si="883"/>
        <v>12Go Link</v>
      </c>
      <c r="E4931" s="2" t="s">
        <v>4170</v>
      </c>
    </row>
    <row r="4932">
      <c r="A4932" s="2" t="s">
        <v>4180</v>
      </c>
      <c r="B4932" s="2" t="s">
        <v>4158</v>
      </c>
      <c r="C4932" s="2" t="s">
        <v>4286</v>
      </c>
      <c r="D4932" s="3" t="str">
        <f t="shared" si="883"/>
        <v>12Go Link</v>
      </c>
      <c r="E4932" s="2" t="s">
        <v>4171</v>
      </c>
    </row>
    <row r="4933">
      <c r="A4933" s="2" t="s">
        <v>4180</v>
      </c>
      <c r="B4933" s="2" t="s">
        <v>4158</v>
      </c>
      <c r="C4933" s="2" t="s">
        <v>4286</v>
      </c>
      <c r="D4933" s="3" t="str">
        <f t="shared" si="883"/>
        <v>12Go Link</v>
      </c>
      <c r="E4933" s="2" t="s">
        <v>4172</v>
      </c>
    </row>
    <row r="4934">
      <c r="A4934" s="2" t="s">
        <v>4180</v>
      </c>
      <c r="B4934" s="2" t="s">
        <v>4158</v>
      </c>
      <c r="C4934" s="2" t="s">
        <v>4286</v>
      </c>
      <c r="D4934" s="3" t="str">
        <f t="shared" si="883"/>
        <v>12Go Link</v>
      </c>
      <c r="E4934" s="2" t="s">
        <v>4173</v>
      </c>
    </row>
    <row r="4935">
      <c r="A4935" s="2" t="s">
        <v>4180</v>
      </c>
      <c r="B4935" s="2" t="s">
        <v>4158</v>
      </c>
      <c r="C4935" s="2" t="s">
        <v>4286</v>
      </c>
      <c r="D4935" s="3" t="str">
        <f t="shared" si="883"/>
        <v>12Go Link</v>
      </c>
      <c r="E4935" s="2" t="s">
        <v>4287</v>
      </c>
    </row>
    <row r="4936">
      <c r="A4936" s="2" t="s">
        <v>4180</v>
      </c>
      <c r="B4936" s="2" t="s">
        <v>4158</v>
      </c>
      <c r="C4936" s="2" t="s">
        <v>4286</v>
      </c>
      <c r="D4936" s="3" t="str">
        <f t="shared" si="883"/>
        <v>12Go Link</v>
      </c>
      <c r="E4936" s="2" t="s">
        <v>4175</v>
      </c>
    </row>
    <row r="4937">
      <c r="A4937" s="2" t="s">
        <v>4180</v>
      </c>
      <c r="B4937" s="2" t="s">
        <v>4158</v>
      </c>
      <c r="C4937" s="2" t="s">
        <v>4288</v>
      </c>
      <c r="D4937" s="3" t="str">
        <f t="shared" ref="D4937:D4951" si="884">HYPERLINK("https://12go.asia/en/travel/Langkawi-Kuah-Jetty/Tengah-Beach", "12Go Link")</f>
        <v>12Go Link</v>
      </c>
      <c r="E4937" s="2" t="s">
        <v>4161</v>
      </c>
    </row>
    <row r="4938">
      <c r="A4938" s="2" t="s">
        <v>4180</v>
      </c>
      <c r="B4938" s="2" t="s">
        <v>4158</v>
      </c>
      <c r="C4938" s="2" t="s">
        <v>4288</v>
      </c>
      <c r="D4938" s="3" t="str">
        <f t="shared" si="884"/>
        <v>12Go Link</v>
      </c>
      <c r="E4938" s="2" t="s">
        <v>4162</v>
      </c>
    </row>
    <row r="4939">
      <c r="A4939" s="2" t="s">
        <v>4180</v>
      </c>
      <c r="B4939" s="2" t="s">
        <v>4158</v>
      </c>
      <c r="C4939" s="2" t="s">
        <v>4288</v>
      </c>
      <c r="D4939" s="3" t="str">
        <f t="shared" si="884"/>
        <v>12Go Link</v>
      </c>
      <c r="E4939" s="2" t="s">
        <v>4163</v>
      </c>
    </row>
    <row r="4940">
      <c r="A4940" s="2" t="s">
        <v>4180</v>
      </c>
      <c r="B4940" s="2" t="s">
        <v>4158</v>
      </c>
      <c r="C4940" s="2" t="s">
        <v>4288</v>
      </c>
      <c r="D4940" s="3" t="str">
        <f t="shared" si="884"/>
        <v>12Go Link</v>
      </c>
      <c r="E4940" s="2" t="s">
        <v>4164</v>
      </c>
    </row>
    <row r="4941">
      <c r="A4941" s="2" t="s">
        <v>4180</v>
      </c>
      <c r="B4941" s="2" t="s">
        <v>4158</v>
      </c>
      <c r="C4941" s="2" t="s">
        <v>4288</v>
      </c>
      <c r="D4941" s="3" t="str">
        <f t="shared" si="884"/>
        <v>12Go Link</v>
      </c>
      <c r="E4941" s="2" t="s">
        <v>4165</v>
      </c>
    </row>
    <row r="4942">
      <c r="A4942" s="2" t="s">
        <v>4180</v>
      </c>
      <c r="B4942" s="2" t="s">
        <v>4158</v>
      </c>
      <c r="C4942" s="2" t="s">
        <v>4288</v>
      </c>
      <c r="D4942" s="3" t="str">
        <f t="shared" si="884"/>
        <v>12Go Link</v>
      </c>
      <c r="E4942" s="2" t="s">
        <v>4166</v>
      </c>
    </row>
    <row r="4943">
      <c r="A4943" s="2" t="s">
        <v>4180</v>
      </c>
      <c r="B4943" s="2" t="s">
        <v>4158</v>
      </c>
      <c r="C4943" s="2" t="s">
        <v>4288</v>
      </c>
      <c r="D4943" s="3" t="str">
        <f t="shared" si="884"/>
        <v>12Go Link</v>
      </c>
      <c r="E4943" s="2" t="s">
        <v>4167</v>
      </c>
    </row>
    <row r="4944">
      <c r="A4944" s="2" t="s">
        <v>4180</v>
      </c>
      <c r="B4944" s="2" t="s">
        <v>4158</v>
      </c>
      <c r="C4944" s="2" t="s">
        <v>4288</v>
      </c>
      <c r="D4944" s="3" t="str">
        <f t="shared" si="884"/>
        <v>12Go Link</v>
      </c>
      <c r="E4944" s="2" t="s">
        <v>4168</v>
      </c>
    </row>
    <row r="4945">
      <c r="A4945" s="2" t="s">
        <v>4180</v>
      </c>
      <c r="B4945" s="2" t="s">
        <v>4158</v>
      </c>
      <c r="C4945" s="2" t="s">
        <v>4288</v>
      </c>
      <c r="D4945" s="3" t="str">
        <f t="shared" si="884"/>
        <v>12Go Link</v>
      </c>
      <c r="E4945" s="2" t="s">
        <v>4169</v>
      </c>
    </row>
    <row r="4946">
      <c r="A4946" s="2" t="s">
        <v>4180</v>
      </c>
      <c r="B4946" s="2" t="s">
        <v>4158</v>
      </c>
      <c r="C4946" s="2" t="s">
        <v>4288</v>
      </c>
      <c r="D4946" s="3" t="str">
        <f t="shared" si="884"/>
        <v>12Go Link</v>
      </c>
      <c r="E4946" s="2" t="s">
        <v>4170</v>
      </c>
    </row>
    <row r="4947">
      <c r="A4947" s="2" t="s">
        <v>4180</v>
      </c>
      <c r="B4947" s="2" t="s">
        <v>4158</v>
      </c>
      <c r="C4947" s="2" t="s">
        <v>4288</v>
      </c>
      <c r="D4947" s="3" t="str">
        <f t="shared" si="884"/>
        <v>12Go Link</v>
      </c>
      <c r="E4947" s="2" t="s">
        <v>4171</v>
      </c>
    </row>
    <row r="4948">
      <c r="A4948" s="2" t="s">
        <v>4180</v>
      </c>
      <c r="B4948" s="2" t="s">
        <v>4158</v>
      </c>
      <c r="C4948" s="2" t="s">
        <v>4288</v>
      </c>
      <c r="D4948" s="3" t="str">
        <f t="shared" si="884"/>
        <v>12Go Link</v>
      </c>
      <c r="E4948" s="2" t="s">
        <v>4172</v>
      </c>
    </row>
    <row r="4949">
      <c r="A4949" s="2" t="s">
        <v>4180</v>
      </c>
      <c r="B4949" s="2" t="s">
        <v>4158</v>
      </c>
      <c r="C4949" s="2" t="s">
        <v>4288</v>
      </c>
      <c r="D4949" s="3" t="str">
        <f t="shared" si="884"/>
        <v>12Go Link</v>
      </c>
      <c r="E4949" s="2" t="s">
        <v>4173</v>
      </c>
    </row>
    <row r="4950">
      <c r="A4950" s="2" t="s">
        <v>4180</v>
      </c>
      <c r="B4950" s="2" t="s">
        <v>4158</v>
      </c>
      <c r="C4950" s="2" t="s">
        <v>4288</v>
      </c>
      <c r="D4950" s="3" t="str">
        <f t="shared" si="884"/>
        <v>12Go Link</v>
      </c>
      <c r="E4950" s="2" t="s">
        <v>4287</v>
      </c>
    </row>
    <row r="4951">
      <c r="A4951" s="2" t="s">
        <v>4180</v>
      </c>
      <c r="B4951" s="2" t="s">
        <v>4158</v>
      </c>
      <c r="C4951" s="2" t="s">
        <v>4288</v>
      </c>
      <c r="D4951" s="3" t="str">
        <f t="shared" si="884"/>
        <v>12Go Link</v>
      </c>
      <c r="E4951" s="2" t="s">
        <v>4175</v>
      </c>
    </row>
    <row r="4952">
      <c r="A4952" s="2" t="s">
        <v>4180</v>
      </c>
      <c r="B4952" s="2" t="s">
        <v>4180</v>
      </c>
      <c r="C4952" s="2" t="s">
        <v>4289</v>
      </c>
      <c r="D4952" s="3" t="str">
        <f t="shared" ref="D4952:D4966" si="885">HYPERLINK("https://12go.asia/en/travel/Langkawi-Kuah-Jetty/Andaman", "12Go Link")</f>
        <v>12Go Link</v>
      </c>
      <c r="E4952" s="2" t="s">
        <v>4161</v>
      </c>
    </row>
    <row r="4953">
      <c r="A4953" s="2" t="s">
        <v>4180</v>
      </c>
      <c r="B4953" s="2" t="s">
        <v>4180</v>
      </c>
      <c r="C4953" s="2" t="s">
        <v>4289</v>
      </c>
      <c r="D4953" s="3" t="str">
        <f t="shared" si="885"/>
        <v>12Go Link</v>
      </c>
      <c r="E4953" s="2" t="s">
        <v>4162</v>
      </c>
    </row>
    <row r="4954">
      <c r="A4954" s="2" t="s">
        <v>4180</v>
      </c>
      <c r="B4954" s="2" t="s">
        <v>4180</v>
      </c>
      <c r="C4954" s="2" t="s">
        <v>4289</v>
      </c>
      <c r="D4954" s="3" t="str">
        <f t="shared" si="885"/>
        <v>12Go Link</v>
      </c>
      <c r="E4954" s="2" t="s">
        <v>4163</v>
      </c>
    </row>
    <row r="4955">
      <c r="A4955" s="2" t="s">
        <v>4180</v>
      </c>
      <c r="B4955" s="2" t="s">
        <v>4180</v>
      </c>
      <c r="C4955" s="2" t="s">
        <v>4289</v>
      </c>
      <c r="D4955" s="3" t="str">
        <f t="shared" si="885"/>
        <v>12Go Link</v>
      </c>
      <c r="E4955" s="2" t="s">
        <v>4164</v>
      </c>
    </row>
    <row r="4956">
      <c r="A4956" s="2" t="s">
        <v>4180</v>
      </c>
      <c r="B4956" s="2" t="s">
        <v>4180</v>
      </c>
      <c r="C4956" s="2" t="s">
        <v>4289</v>
      </c>
      <c r="D4956" s="3" t="str">
        <f t="shared" si="885"/>
        <v>12Go Link</v>
      </c>
      <c r="E4956" s="2" t="s">
        <v>4165</v>
      </c>
    </row>
    <row r="4957">
      <c r="A4957" s="2" t="s">
        <v>4180</v>
      </c>
      <c r="B4957" s="2" t="s">
        <v>4180</v>
      </c>
      <c r="C4957" s="2" t="s">
        <v>4289</v>
      </c>
      <c r="D4957" s="3" t="str">
        <f t="shared" si="885"/>
        <v>12Go Link</v>
      </c>
      <c r="E4957" s="2" t="s">
        <v>4166</v>
      </c>
    </row>
    <row r="4958">
      <c r="A4958" s="2" t="s">
        <v>4180</v>
      </c>
      <c r="B4958" s="2" t="s">
        <v>4180</v>
      </c>
      <c r="C4958" s="2" t="s">
        <v>4289</v>
      </c>
      <c r="D4958" s="3" t="str">
        <f t="shared" si="885"/>
        <v>12Go Link</v>
      </c>
      <c r="E4958" s="2" t="s">
        <v>4167</v>
      </c>
    </row>
    <row r="4959">
      <c r="A4959" s="2" t="s">
        <v>4180</v>
      </c>
      <c r="B4959" s="2" t="s">
        <v>4180</v>
      </c>
      <c r="C4959" s="2" t="s">
        <v>4289</v>
      </c>
      <c r="D4959" s="3" t="str">
        <f t="shared" si="885"/>
        <v>12Go Link</v>
      </c>
      <c r="E4959" s="2" t="s">
        <v>4168</v>
      </c>
    </row>
    <row r="4960">
      <c r="A4960" s="2" t="s">
        <v>4180</v>
      </c>
      <c r="B4960" s="2" t="s">
        <v>4180</v>
      </c>
      <c r="C4960" s="2" t="s">
        <v>4289</v>
      </c>
      <c r="D4960" s="3" t="str">
        <f t="shared" si="885"/>
        <v>12Go Link</v>
      </c>
      <c r="E4960" s="2" t="s">
        <v>4169</v>
      </c>
    </row>
    <row r="4961">
      <c r="A4961" s="2" t="s">
        <v>4180</v>
      </c>
      <c r="B4961" s="2" t="s">
        <v>4180</v>
      </c>
      <c r="C4961" s="2" t="s">
        <v>4289</v>
      </c>
      <c r="D4961" s="3" t="str">
        <f t="shared" si="885"/>
        <v>12Go Link</v>
      </c>
      <c r="E4961" s="2" t="s">
        <v>4170</v>
      </c>
    </row>
    <row r="4962">
      <c r="A4962" s="2" t="s">
        <v>4180</v>
      </c>
      <c r="B4962" s="2" t="s">
        <v>4180</v>
      </c>
      <c r="C4962" s="2" t="s">
        <v>4289</v>
      </c>
      <c r="D4962" s="3" t="str">
        <f t="shared" si="885"/>
        <v>12Go Link</v>
      </c>
      <c r="E4962" s="2" t="s">
        <v>4171</v>
      </c>
    </row>
    <row r="4963">
      <c r="A4963" s="2" t="s">
        <v>4180</v>
      </c>
      <c r="B4963" s="2" t="s">
        <v>4180</v>
      </c>
      <c r="C4963" s="2" t="s">
        <v>4289</v>
      </c>
      <c r="D4963" s="3" t="str">
        <f t="shared" si="885"/>
        <v>12Go Link</v>
      </c>
      <c r="E4963" s="2" t="s">
        <v>4172</v>
      </c>
    </row>
    <row r="4964">
      <c r="A4964" s="2" t="s">
        <v>4180</v>
      </c>
      <c r="B4964" s="2" t="s">
        <v>4180</v>
      </c>
      <c r="C4964" s="2" t="s">
        <v>4289</v>
      </c>
      <c r="D4964" s="3" t="str">
        <f t="shared" si="885"/>
        <v>12Go Link</v>
      </c>
      <c r="E4964" s="2" t="s">
        <v>4173</v>
      </c>
    </row>
    <row r="4965">
      <c r="A4965" s="2" t="s">
        <v>4180</v>
      </c>
      <c r="B4965" s="2" t="s">
        <v>4180</v>
      </c>
      <c r="C4965" s="2" t="s">
        <v>4289</v>
      </c>
      <c r="D4965" s="3" t="str">
        <f t="shared" si="885"/>
        <v>12Go Link</v>
      </c>
      <c r="E4965" s="2" t="s">
        <v>4287</v>
      </c>
    </row>
    <row r="4966">
      <c r="A4966" s="2" t="s">
        <v>4180</v>
      </c>
      <c r="B4966" s="2" t="s">
        <v>4180</v>
      </c>
      <c r="C4966" s="2" t="s">
        <v>4289</v>
      </c>
      <c r="D4966" s="3" t="str">
        <f t="shared" si="885"/>
        <v>12Go Link</v>
      </c>
      <c r="E4966" s="2" t="s">
        <v>4175</v>
      </c>
    </row>
    <row r="4967">
      <c r="A4967" s="2" t="s">
        <v>4180</v>
      </c>
      <c r="B4967" s="2" t="s">
        <v>4180</v>
      </c>
      <c r="C4967" s="2" t="s">
        <v>4290</v>
      </c>
      <c r="D4967" s="3" t="str">
        <f t="shared" ref="D4967:D4981" si="886">HYPERLINK("https://12go.asia/en/travel/Langkawi-Kuah-Jetty/Datai", "12Go Link")</f>
        <v>12Go Link</v>
      </c>
      <c r="E4967" s="2" t="s">
        <v>4161</v>
      </c>
    </row>
    <row r="4968">
      <c r="A4968" s="2" t="s">
        <v>4180</v>
      </c>
      <c r="B4968" s="2" t="s">
        <v>4180</v>
      </c>
      <c r="C4968" s="2" t="s">
        <v>4290</v>
      </c>
      <c r="D4968" s="3" t="str">
        <f t="shared" si="886"/>
        <v>12Go Link</v>
      </c>
      <c r="E4968" s="2" t="s">
        <v>4162</v>
      </c>
    </row>
    <row r="4969">
      <c r="A4969" s="2" t="s">
        <v>4180</v>
      </c>
      <c r="B4969" s="2" t="s">
        <v>4180</v>
      </c>
      <c r="C4969" s="2" t="s">
        <v>4290</v>
      </c>
      <c r="D4969" s="3" t="str">
        <f t="shared" si="886"/>
        <v>12Go Link</v>
      </c>
      <c r="E4969" s="2" t="s">
        <v>4163</v>
      </c>
    </row>
    <row r="4970">
      <c r="A4970" s="2" t="s">
        <v>4180</v>
      </c>
      <c r="B4970" s="2" t="s">
        <v>4180</v>
      </c>
      <c r="C4970" s="2" t="s">
        <v>4290</v>
      </c>
      <c r="D4970" s="3" t="str">
        <f t="shared" si="886"/>
        <v>12Go Link</v>
      </c>
      <c r="E4970" s="2" t="s">
        <v>4164</v>
      </c>
    </row>
    <row r="4971">
      <c r="A4971" s="2" t="s">
        <v>4180</v>
      </c>
      <c r="B4971" s="2" t="s">
        <v>4180</v>
      </c>
      <c r="C4971" s="2" t="s">
        <v>4290</v>
      </c>
      <c r="D4971" s="3" t="str">
        <f t="shared" si="886"/>
        <v>12Go Link</v>
      </c>
      <c r="E4971" s="2" t="s">
        <v>4165</v>
      </c>
    </row>
    <row r="4972">
      <c r="A4972" s="2" t="s">
        <v>4180</v>
      </c>
      <c r="B4972" s="2" t="s">
        <v>4180</v>
      </c>
      <c r="C4972" s="2" t="s">
        <v>4290</v>
      </c>
      <c r="D4972" s="3" t="str">
        <f t="shared" si="886"/>
        <v>12Go Link</v>
      </c>
      <c r="E4972" s="2" t="s">
        <v>4166</v>
      </c>
    </row>
    <row r="4973">
      <c r="A4973" s="2" t="s">
        <v>4180</v>
      </c>
      <c r="B4973" s="2" t="s">
        <v>4180</v>
      </c>
      <c r="C4973" s="2" t="s">
        <v>4290</v>
      </c>
      <c r="D4973" s="3" t="str">
        <f t="shared" si="886"/>
        <v>12Go Link</v>
      </c>
      <c r="E4973" s="2" t="s">
        <v>4167</v>
      </c>
    </row>
    <row r="4974">
      <c r="A4974" s="2" t="s">
        <v>4180</v>
      </c>
      <c r="B4974" s="2" t="s">
        <v>4180</v>
      </c>
      <c r="C4974" s="2" t="s">
        <v>4290</v>
      </c>
      <c r="D4974" s="3" t="str">
        <f t="shared" si="886"/>
        <v>12Go Link</v>
      </c>
      <c r="E4974" s="2" t="s">
        <v>4168</v>
      </c>
    </row>
    <row r="4975">
      <c r="A4975" s="2" t="s">
        <v>4180</v>
      </c>
      <c r="B4975" s="2" t="s">
        <v>4180</v>
      </c>
      <c r="C4975" s="2" t="s">
        <v>4290</v>
      </c>
      <c r="D4975" s="3" t="str">
        <f t="shared" si="886"/>
        <v>12Go Link</v>
      </c>
      <c r="E4975" s="2" t="s">
        <v>4169</v>
      </c>
    </row>
    <row r="4976">
      <c r="A4976" s="2" t="s">
        <v>4180</v>
      </c>
      <c r="B4976" s="2" t="s">
        <v>4180</v>
      </c>
      <c r="C4976" s="2" t="s">
        <v>4290</v>
      </c>
      <c r="D4976" s="3" t="str">
        <f t="shared" si="886"/>
        <v>12Go Link</v>
      </c>
      <c r="E4976" s="2" t="s">
        <v>4170</v>
      </c>
    </row>
    <row r="4977">
      <c r="A4977" s="2" t="s">
        <v>4180</v>
      </c>
      <c r="B4977" s="2" t="s">
        <v>4180</v>
      </c>
      <c r="C4977" s="2" t="s">
        <v>4290</v>
      </c>
      <c r="D4977" s="3" t="str">
        <f t="shared" si="886"/>
        <v>12Go Link</v>
      </c>
      <c r="E4977" s="2" t="s">
        <v>4171</v>
      </c>
    </row>
    <row r="4978">
      <c r="A4978" s="2" t="s">
        <v>4180</v>
      </c>
      <c r="B4978" s="2" t="s">
        <v>4180</v>
      </c>
      <c r="C4978" s="2" t="s">
        <v>4290</v>
      </c>
      <c r="D4978" s="3" t="str">
        <f t="shared" si="886"/>
        <v>12Go Link</v>
      </c>
      <c r="E4978" s="2" t="s">
        <v>4172</v>
      </c>
    </row>
    <row r="4979">
      <c r="A4979" s="2" t="s">
        <v>4180</v>
      </c>
      <c r="B4979" s="2" t="s">
        <v>4180</v>
      </c>
      <c r="C4979" s="2" t="s">
        <v>4290</v>
      </c>
      <c r="D4979" s="3" t="str">
        <f t="shared" si="886"/>
        <v>12Go Link</v>
      </c>
      <c r="E4979" s="2" t="s">
        <v>4173</v>
      </c>
    </row>
    <row r="4980">
      <c r="A4980" s="2" t="s">
        <v>4180</v>
      </c>
      <c r="B4980" s="2" t="s">
        <v>4180</v>
      </c>
      <c r="C4980" s="2" t="s">
        <v>4290</v>
      </c>
      <c r="D4980" s="3" t="str">
        <f t="shared" si="886"/>
        <v>12Go Link</v>
      </c>
      <c r="E4980" s="2" t="s">
        <v>4287</v>
      </c>
    </row>
    <row r="4981">
      <c r="A4981" s="2" t="s">
        <v>4180</v>
      </c>
      <c r="B4981" s="2" t="s">
        <v>4180</v>
      </c>
      <c r="C4981" s="2" t="s">
        <v>4290</v>
      </c>
      <c r="D4981" s="3" t="str">
        <f t="shared" si="886"/>
        <v>12Go Link</v>
      </c>
      <c r="E4981" s="2" t="s">
        <v>4175</v>
      </c>
    </row>
    <row r="4982">
      <c r="A4982" s="2" t="s">
        <v>4180</v>
      </c>
      <c r="B4982" s="2" t="s">
        <v>4180</v>
      </c>
      <c r="C4982" s="2" t="s">
        <v>4291</v>
      </c>
      <c r="D4982" s="3" t="str">
        <f t="shared" ref="D4982:D4996" si="887">HYPERLINK("https://12go.asia/en/travel/Langkawi-Kuah-Jetty/Kuah-Transfer", "12Go Link")</f>
        <v>12Go Link</v>
      </c>
      <c r="E4982" s="2" t="s">
        <v>4161</v>
      </c>
    </row>
    <row r="4983">
      <c r="A4983" s="2" t="s">
        <v>4180</v>
      </c>
      <c r="B4983" s="2" t="s">
        <v>4180</v>
      </c>
      <c r="C4983" s="2" t="s">
        <v>4291</v>
      </c>
      <c r="D4983" s="3" t="str">
        <f t="shared" si="887"/>
        <v>12Go Link</v>
      </c>
      <c r="E4983" s="2" t="s">
        <v>4162</v>
      </c>
    </row>
    <row r="4984">
      <c r="A4984" s="2" t="s">
        <v>4180</v>
      </c>
      <c r="B4984" s="2" t="s">
        <v>4180</v>
      </c>
      <c r="C4984" s="2" t="s">
        <v>4291</v>
      </c>
      <c r="D4984" s="3" t="str">
        <f t="shared" si="887"/>
        <v>12Go Link</v>
      </c>
      <c r="E4984" s="2" t="s">
        <v>4163</v>
      </c>
    </row>
    <row r="4985">
      <c r="A4985" s="2" t="s">
        <v>4180</v>
      </c>
      <c r="B4985" s="2" t="s">
        <v>4180</v>
      </c>
      <c r="C4985" s="2" t="s">
        <v>4291</v>
      </c>
      <c r="D4985" s="3" t="str">
        <f t="shared" si="887"/>
        <v>12Go Link</v>
      </c>
      <c r="E4985" s="2" t="s">
        <v>4164</v>
      </c>
    </row>
    <row r="4986">
      <c r="A4986" s="2" t="s">
        <v>4180</v>
      </c>
      <c r="B4986" s="2" t="s">
        <v>4180</v>
      </c>
      <c r="C4986" s="2" t="s">
        <v>4291</v>
      </c>
      <c r="D4986" s="3" t="str">
        <f t="shared" si="887"/>
        <v>12Go Link</v>
      </c>
      <c r="E4986" s="2" t="s">
        <v>4165</v>
      </c>
    </row>
    <row r="4987">
      <c r="A4987" s="2" t="s">
        <v>4180</v>
      </c>
      <c r="B4987" s="2" t="s">
        <v>4180</v>
      </c>
      <c r="C4987" s="2" t="s">
        <v>4291</v>
      </c>
      <c r="D4987" s="3" t="str">
        <f t="shared" si="887"/>
        <v>12Go Link</v>
      </c>
      <c r="E4987" s="2" t="s">
        <v>4166</v>
      </c>
    </row>
    <row r="4988">
      <c r="A4988" s="2" t="s">
        <v>4180</v>
      </c>
      <c r="B4988" s="2" t="s">
        <v>4180</v>
      </c>
      <c r="C4988" s="2" t="s">
        <v>4291</v>
      </c>
      <c r="D4988" s="3" t="str">
        <f t="shared" si="887"/>
        <v>12Go Link</v>
      </c>
      <c r="E4988" s="2" t="s">
        <v>4167</v>
      </c>
    </row>
    <row r="4989">
      <c r="A4989" s="2" t="s">
        <v>4180</v>
      </c>
      <c r="B4989" s="2" t="s">
        <v>4180</v>
      </c>
      <c r="C4989" s="2" t="s">
        <v>4291</v>
      </c>
      <c r="D4989" s="3" t="str">
        <f t="shared" si="887"/>
        <v>12Go Link</v>
      </c>
      <c r="E4989" s="2" t="s">
        <v>4168</v>
      </c>
    </row>
    <row r="4990">
      <c r="A4990" s="2" t="s">
        <v>4180</v>
      </c>
      <c r="B4990" s="2" t="s">
        <v>4180</v>
      </c>
      <c r="C4990" s="2" t="s">
        <v>4291</v>
      </c>
      <c r="D4990" s="3" t="str">
        <f t="shared" si="887"/>
        <v>12Go Link</v>
      </c>
      <c r="E4990" s="2" t="s">
        <v>4169</v>
      </c>
    </row>
    <row r="4991">
      <c r="A4991" s="2" t="s">
        <v>4180</v>
      </c>
      <c r="B4991" s="2" t="s">
        <v>4180</v>
      </c>
      <c r="C4991" s="2" t="s">
        <v>4291</v>
      </c>
      <c r="D4991" s="3" t="str">
        <f t="shared" si="887"/>
        <v>12Go Link</v>
      </c>
      <c r="E4991" s="2" t="s">
        <v>4170</v>
      </c>
    </row>
    <row r="4992">
      <c r="A4992" s="2" t="s">
        <v>4180</v>
      </c>
      <c r="B4992" s="2" t="s">
        <v>4180</v>
      </c>
      <c r="C4992" s="2" t="s">
        <v>4291</v>
      </c>
      <c r="D4992" s="3" t="str">
        <f t="shared" si="887"/>
        <v>12Go Link</v>
      </c>
      <c r="E4992" s="2" t="s">
        <v>4171</v>
      </c>
    </row>
    <row r="4993">
      <c r="A4993" s="2" t="s">
        <v>4180</v>
      </c>
      <c r="B4993" s="2" t="s">
        <v>4180</v>
      </c>
      <c r="C4993" s="2" t="s">
        <v>4291</v>
      </c>
      <c r="D4993" s="3" t="str">
        <f t="shared" si="887"/>
        <v>12Go Link</v>
      </c>
      <c r="E4993" s="2" t="s">
        <v>4172</v>
      </c>
    </row>
    <row r="4994">
      <c r="A4994" s="2" t="s">
        <v>4180</v>
      </c>
      <c r="B4994" s="2" t="s">
        <v>4180</v>
      </c>
      <c r="C4994" s="2" t="s">
        <v>4291</v>
      </c>
      <c r="D4994" s="3" t="str">
        <f t="shared" si="887"/>
        <v>12Go Link</v>
      </c>
      <c r="E4994" s="2" t="s">
        <v>4173</v>
      </c>
    </row>
    <row r="4995">
      <c r="A4995" s="2" t="s">
        <v>4180</v>
      </c>
      <c r="B4995" s="2" t="s">
        <v>4180</v>
      </c>
      <c r="C4995" s="2" t="s">
        <v>4291</v>
      </c>
      <c r="D4995" s="3" t="str">
        <f t="shared" si="887"/>
        <v>12Go Link</v>
      </c>
      <c r="E4995" s="2" t="s">
        <v>4287</v>
      </c>
    </row>
    <row r="4996">
      <c r="A4996" s="2" t="s">
        <v>4180</v>
      </c>
      <c r="B4996" s="2" t="s">
        <v>4180</v>
      </c>
      <c r="C4996" s="2" t="s">
        <v>4291</v>
      </c>
      <c r="D4996" s="3" t="str">
        <f t="shared" si="887"/>
        <v>12Go Link</v>
      </c>
      <c r="E4996" s="2" t="s">
        <v>4175</v>
      </c>
    </row>
    <row r="4997">
      <c r="A4997" s="2" t="s">
        <v>4180</v>
      </c>
      <c r="B4997" s="2" t="s">
        <v>4180</v>
      </c>
      <c r="C4997" s="2" t="s">
        <v>4292</v>
      </c>
      <c r="D4997" s="3" t="str">
        <f t="shared" ref="D4997:D5011" si="888">HYPERLINK("https://12go.asia/en/travel/Langkawi-Kuah-Jetty/Pantai-Kok-Beach", "12Go Link")</f>
        <v>12Go Link</v>
      </c>
      <c r="E4997" s="2" t="s">
        <v>4161</v>
      </c>
    </row>
    <row r="4998">
      <c r="A4998" s="2" t="s">
        <v>4180</v>
      </c>
      <c r="B4998" s="2" t="s">
        <v>4180</v>
      </c>
      <c r="C4998" s="2" t="s">
        <v>4292</v>
      </c>
      <c r="D4998" s="3" t="str">
        <f t="shared" si="888"/>
        <v>12Go Link</v>
      </c>
      <c r="E4998" s="2" t="s">
        <v>4162</v>
      </c>
    </row>
    <row r="4999">
      <c r="A4999" s="2" t="s">
        <v>4180</v>
      </c>
      <c r="B4999" s="2" t="s">
        <v>4180</v>
      </c>
      <c r="C4999" s="2" t="s">
        <v>4292</v>
      </c>
      <c r="D4999" s="3" t="str">
        <f t="shared" si="888"/>
        <v>12Go Link</v>
      </c>
      <c r="E4999" s="2" t="s">
        <v>4163</v>
      </c>
    </row>
    <row r="5000">
      <c r="A5000" s="2" t="s">
        <v>4180</v>
      </c>
      <c r="B5000" s="2" t="s">
        <v>4180</v>
      </c>
      <c r="C5000" s="2" t="s">
        <v>4292</v>
      </c>
      <c r="D5000" s="3" t="str">
        <f t="shared" si="888"/>
        <v>12Go Link</v>
      </c>
      <c r="E5000" s="2" t="s">
        <v>4164</v>
      </c>
    </row>
    <row r="5001">
      <c r="A5001" s="2" t="s">
        <v>4180</v>
      </c>
      <c r="B5001" s="2" t="s">
        <v>4180</v>
      </c>
      <c r="C5001" s="2" t="s">
        <v>4292</v>
      </c>
      <c r="D5001" s="3" t="str">
        <f t="shared" si="888"/>
        <v>12Go Link</v>
      </c>
      <c r="E5001" s="2" t="s">
        <v>4165</v>
      </c>
    </row>
    <row r="5002">
      <c r="A5002" s="2" t="s">
        <v>4180</v>
      </c>
      <c r="B5002" s="2" t="s">
        <v>4180</v>
      </c>
      <c r="C5002" s="2" t="s">
        <v>4292</v>
      </c>
      <c r="D5002" s="3" t="str">
        <f t="shared" si="888"/>
        <v>12Go Link</v>
      </c>
      <c r="E5002" s="2" t="s">
        <v>4166</v>
      </c>
    </row>
    <row r="5003">
      <c r="A5003" s="2" t="s">
        <v>4180</v>
      </c>
      <c r="B5003" s="2" t="s">
        <v>4180</v>
      </c>
      <c r="C5003" s="2" t="s">
        <v>4292</v>
      </c>
      <c r="D5003" s="3" t="str">
        <f t="shared" si="888"/>
        <v>12Go Link</v>
      </c>
      <c r="E5003" s="2" t="s">
        <v>4167</v>
      </c>
    </row>
    <row r="5004">
      <c r="A5004" s="2" t="s">
        <v>4180</v>
      </c>
      <c r="B5004" s="2" t="s">
        <v>4180</v>
      </c>
      <c r="C5004" s="2" t="s">
        <v>4292</v>
      </c>
      <c r="D5004" s="3" t="str">
        <f t="shared" si="888"/>
        <v>12Go Link</v>
      </c>
      <c r="E5004" s="2" t="s">
        <v>4168</v>
      </c>
    </row>
    <row r="5005">
      <c r="A5005" s="2" t="s">
        <v>4180</v>
      </c>
      <c r="B5005" s="2" t="s">
        <v>4180</v>
      </c>
      <c r="C5005" s="2" t="s">
        <v>4292</v>
      </c>
      <c r="D5005" s="3" t="str">
        <f t="shared" si="888"/>
        <v>12Go Link</v>
      </c>
      <c r="E5005" s="2" t="s">
        <v>4169</v>
      </c>
    </row>
    <row r="5006">
      <c r="A5006" s="2" t="s">
        <v>4180</v>
      </c>
      <c r="B5006" s="2" t="s">
        <v>4180</v>
      </c>
      <c r="C5006" s="2" t="s">
        <v>4292</v>
      </c>
      <c r="D5006" s="3" t="str">
        <f t="shared" si="888"/>
        <v>12Go Link</v>
      </c>
      <c r="E5006" s="2" t="s">
        <v>4170</v>
      </c>
    </row>
    <row r="5007">
      <c r="A5007" s="2" t="s">
        <v>4180</v>
      </c>
      <c r="B5007" s="2" t="s">
        <v>4180</v>
      </c>
      <c r="C5007" s="2" t="s">
        <v>4292</v>
      </c>
      <c r="D5007" s="3" t="str">
        <f t="shared" si="888"/>
        <v>12Go Link</v>
      </c>
      <c r="E5007" s="2" t="s">
        <v>4171</v>
      </c>
    </row>
    <row r="5008">
      <c r="A5008" s="2" t="s">
        <v>4180</v>
      </c>
      <c r="B5008" s="2" t="s">
        <v>4180</v>
      </c>
      <c r="C5008" s="2" t="s">
        <v>4292</v>
      </c>
      <c r="D5008" s="3" t="str">
        <f t="shared" si="888"/>
        <v>12Go Link</v>
      </c>
      <c r="E5008" s="2" t="s">
        <v>4172</v>
      </c>
    </row>
    <row r="5009">
      <c r="A5009" s="2" t="s">
        <v>4180</v>
      </c>
      <c r="B5009" s="2" t="s">
        <v>4180</v>
      </c>
      <c r="C5009" s="2" t="s">
        <v>4292</v>
      </c>
      <c r="D5009" s="3" t="str">
        <f t="shared" si="888"/>
        <v>12Go Link</v>
      </c>
      <c r="E5009" s="2" t="s">
        <v>4173</v>
      </c>
    </row>
    <row r="5010">
      <c r="A5010" s="2" t="s">
        <v>4180</v>
      </c>
      <c r="B5010" s="2" t="s">
        <v>4180</v>
      </c>
      <c r="C5010" s="2" t="s">
        <v>4292</v>
      </c>
      <c r="D5010" s="3" t="str">
        <f t="shared" si="888"/>
        <v>12Go Link</v>
      </c>
      <c r="E5010" s="2" t="s">
        <v>4287</v>
      </c>
    </row>
    <row r="5011">
      <c r="A5011" s="2" t="s">
        <v>4180</v>
      </c>
      <c r="B5011" s="2" t="s">
        <v>4180</v>
      </c>
      <c r="C5011" s="2" t="s">
        <v>4292</v>
      </c>
      <c r="D5011" s="3" t="str">
        <f t="shared" si="888"/>
        <v>12Go Link</v>
      </c>
      <c r="E5011" s="2" t="s">
        <v>4175</v>
      </c>
    </row>
    <row r="5012">
      <c r="A5012" s="2" t="s">
        <v>4180</v>
      </c>
      <c r="B5012" s="2" t="s">
        <v>4180</v>
      </c>
      <c r="C5012" s="2" t="s">
        <v>4293</v>
      </c>
      <c r="D5012" s="3" t="str">
        <f t="shared" ref="D5012:D5026" si="889">HYPERLINK("https://12go.asia/en/travel/Langkawi-Kuah-Jetty/Tanjung-Rhu-Beach-Transfer", "12Go Link")</f>
        <v>12Go Link</v>
      </c>
      <c r="E5012" s="2" t="s">
        <v>4161</v>
      </c>
    </row>
    <row r="5013">
      <c r="A5013" s="2" t="s">
        <v>4180</v>
      </c>
      <c r="B5013" s="2" t="s">
        <v>4180</v>
      </c>
      <c r="C5013" s="2" t="s">
        <v>4293</v>
      </c>
      <c r="D5013" s="3" t="str">
        <f t="shared" si="889"/>
        <v>12Go Link</v>
      </c>
      <c r="E5013" s="2" t="s">
        <v>4162</v>
      </c>
    </row>
    <row r="5014">
      <c r="A5014" s="2" t="s">
        <v>4180</v>
      </c>
      <c r="B5014" s="2" t="s">
        <v>4180</v>
      </c>
      <c r="C5014" s="2" t="s">
        <v>4293</v>
      </c>
      <c r="D5014" s="3" t="str">
        <f t="shared" si="889"/>
        <v>12Go Link</v>
      </c>
      <c r="E5014" s="2" t="s">
        <v>4163</v>
      </c>
    </row>
    <row r="5015">
      <c r="A5015" s="2" t="s">
        <v>4180</v>
      </c>
      <c r="B5015" s="2" t="s">
        <v>4180</v>
      </c>
      <c r="C5015" s="2" t="s">
        <v>4293</v>
      </c>
      <c r="D5015" s="3" t="str">
        <f t="shared" si="889"/>
        <v>12Go Link</v>
      </c>
      <c r="E5015" s="2" t="s">
        <v>4164</v>
      </c>
    </row>
    <row r="5016">
      <c r="A5016" s="2" t="s">
        <v>4180</v>
      </c>
      <c r="B5016" s="2" t="s">
        <v>4180</v>
      </c>
      <c r="C5016" s="2" t="s">
        <v>4293</v>
      </c>
      <c r="D5016" s="3" t="str">
        <f t="shared" si="889"/>
        <v>12Go Link</v>
      </c>
      <c r="E5016" s="2" t="s">
        <v>4165</v>
      </c>
    </row>
    <row r="5017">
      <c r="A5017" s="2" t="s">
        <v>4180</v>
      </c>
      <c r="B5017" s="2" t="s">
        <v>4180</v>
      </c>
      <c r="C5017" s="2" t="s">
        <v>4293</v>
      </c>
      <c r="D5017" s="3" t="str">
        <f t="shared" si="889"/>
        <v>12Go Link</v>
      </c>
      <c r="E5017" s="2" t="s">
        <v>4166</v>
      </c>
    </row>
    <row r="5018">
      <c r="A5018" s="2" t="s">
        <v>4180</v>
      </c>
      <c r="B5018" s="2" t="s">
        <v>4180</v>
      </c>
      <c r="C5018" s="2" t="s">
        <v>4293</v>
      </c>
      <c r="D5018" s="3" t="str">
        <f t="shared" si="889"/>
        <v>12Go Link</v>
      </c>
      <c r="E5018" s="2" t="s">
        <v>4167</v>
      </c>
    </row>
    <row r="5019">
      <c r="A5019" s="2" t="s">
        <v>4180</v>
      </c>
      <c r="B5019" s="2" t="s">
        <v>4180</v>
      </c>
      <c r="C5019" s="2" t="s">
        <v>4293</v>
      </c>
      <c r="D5019" s="3" t="str">
        <f t="shared" si="889"/>
        <v>12Go Link</v>
      </c>
      <c r="E5019" s="2" t="s">
        <v>4168</v>
      </c>
    </row>
    <row r="5020">
      <c r="A5020" s="2" t="s">
        <v>4180</v>
      </c>
      <c r="B5020" s="2" t="s">
        <v>4180</v>
      </c>
      <c r="C5020" s="2" t="s">
        <v>4293</v>
      </c>
      <c r="D5020" s="3" t="str">
        <f t="shared" si="889"/>
        <v>12Go Link</v>
      </c>
      <c r="E5020" s="2" t="s">
        <v>4169</v>
      </c>
    </row>
    <row r="5021">
      <c r="A5021" s="2" t="s">
        <v>4180</v>
      </c>
      <c r="B5021" s="2" t="s">
        <v>4180</v>
      </c>
      <c r="C5021" s="2" t="s">
        <v>4293</v>
      </c>
      <c r="D5021" s="3" t="str">
        <f t="shared" si="889"/>
        <v>12Go Link</v>
      </c>
      <c r="E5021" s="2" t="s">
        <v>4170</v>
      </c>
    </row>
    <row r="5022">
      <c r="A5022" s="2" t="s">
        <v>4180</v>
      </c>
      <c r="B5022" s="2" t="s">
        <v>4180</v>
      </c>
      <c r="C5022" s="2" t="s">
        <v>4293</v>
      </c>
      <c r="D5022" s="3" t="str">
        <f t="shared" si="889"/>
        <v>12Go Link</v>
      </c>
      <c r="E5022" s="2" t="s">
        <v>4171</v>
      </c>
    </row>
    <row r="5023">
      <c r="A5023" s="2" t="s">
        <v>4180</v>
      </c>
      <c r="B5023" s="2" t="s">
        <v>4180</v>
      </c>
      <c r="C5023" s="2" t="s">
        <v>4293</v>
      </c>
      <c r="D5023" s="3" t="str">
        <f t="shared" si="889"/>
        <v>12Go Link</v>
      </c>
      <c r="E5023" s="2" t="s">
        <v>4172</v>
      </c>
    </row>
    <row r="5024">
      <c r="A5024" s="2" t="s">
        <v>4180</v>
      </c>
      <c r="B5024" s="2" t="s">
        <v>4180</v>
      </c>
      <c r="C5024" s="2" t="s">
        <v>4293</v>
      </c>
      <c r="D5024" s="3" t="str">
        <f t="shared" si="889"/>
        <v>12Go Link</v>
      </c>
      <c r="E5024" s="2" t="s">
        <v>4173</v>
      </c>
    </row>
    <row r="5025">
      <c r="A5025" s="2" t="s">
        <v>4180</v>
      </c>
      <c r="B5025" s="2" t="s">
        <v>4180</v>
      </c>
      <c r="C5025" s="2" t="s">
        <v>4293</v>
      </c>
      <c r="D5025" s="3" t="str">
        <f t="shared" si="889"/>
        <v>12Go Link</v>
      </c>
      <c r="E5025" s="2" t="s">
        <v>4287</v>
      </c>
    </row>
    <row r="5026">
      <c r="A5026" s="2" t="s">
        <v>4180</v>
      </c>
      <c r="B5026" s="2" t="s">
        <v>4180</v>
      </c>
      <c r="C5026" s="2" t="s">
        <v>4293</v>
      </c>
      <c r="D5026" s="3" t="str">
        <f t="shared" si="889"/>
        <v>12Go Link</v>
      </c>
      <c r="E5026" s="2" t="s">
        <v>4175</v>
      </c>
    </row>
    <row r="5027">
      <c r="A5027" s="2" t="s">
        <v>4180</v>
      </c>
      <c r="B5027" s="2" t="s">
        <v>4180</v>
      </c>
      <c r="C5027" s="2" t="s">
        <v>4294</v>
      </c>
      <c r="D5027" s="3" t="str">
        <f t="shared" ref="D5027:D5041" si="890">HYPERLINK("https://12go.asia/en/travel/Langkawi-Kuah-Jetty/Telaga-Harbour-Marina", "12Go Link")</f>
        <v>12Go Link</v>
      </c>
      <c r="E5027" s="2" t="s">
        <v>4161</v>
      </c>
    </row>
    <row r="5028">
      <c r="A5028" s="2" t="s">
        <v>4180</v>
      </c>
      <c r="B5028" s="2" t="s">
        <v>4180</v>
      </c>
      <c r="C5028" s="2" t="s">
        <v>4294</v>
      </c>
      <c r="D5028" s="3" t="str">
        <f t="shared" si="890"/>
        <v>12Go Link</v>
      </c>
      <c r="E5028" s="2" t="s">
        <v>4162</v>
      </c>
    </row>
    <row r="5029">
      <c r="A5029" s="2" t="s">
        <v>4180</v>
      </c>
      <c r="B5029" s="2" t="s">
        <v>4180</v>
      </c>
      <c r="C5029" s="2" t="s">
        <v>4294</v>
      </c>
      <c r="D5029" s="3" t="str">
        <f t="shared" si="890"/>
        <v>12Go Link</v>
      </c>
      <c r="E5029" s="2" t="s">
        <v>4163</v>
      </c>
    </row>
    <row r="5030">
      <c r="A5030" s="2" t="s">
        <v>4180</v>
      </c>
      <c r="B5030" s="2" t="s">
        <v>4180</v>
      </c>
      <c r="C5030" s="2" t="s">
        <v>4294</v>
      </c>
      <c r="D5030" s="3" t="str">
        <f t="shared" si="890"/>
        <v>12Go Link</v>
      </c>
      <c r="E5030" s="2" t="s">
        <v>4164</v>
      </c>
    </row>
    <row r="5031">
      <c r="A5031" s="2" t="s">
        <v>4180</v>
      </c>
      <c r="B5031" s="2" t="s">
        <v>4180</v>
      </c>
      <c r="C5031" s="2" t="s">
        <v>4294</v>
      </c>
      <c r="D5031" s="3" t="str">
        <f t="shared" si="890"/>
        <v>12Go Link</v>
      </c>
      <c r="E5031" s="2" t="s">
        <v>4165</v>
      </c>
    </row>
    <row r="5032">
      <c r="A5032" s="2" t="s">
        <v>4180</v>
      </c>
      <c r="B5032" s="2" t="s">
        <v>4180</v>
      </c>
      <c r="C5032" s="2" t="s">
        <v>4294</v>
      </c>
      <c r="D5032" s="3" t="str">
        <f t="shared" si="890"/>
        <v>12Go Link</v>
      </c>
      <c r="E5032" s="2" t="s">
        <v>4166</v>
      </c>
    </row>
    <row r="5033">
      <c r="A5033" s="2" t="s">
        <v>4180</v>
      </c>
      <c r="B5033" s="2" t="s">
        <v>4180</v>
      </c>
      <c r="C5033" s="2" t="s">
        <v>4294</v>
      </c>
      <c r="D5033" s="3" t="str">
        <f t="shared" si="890"/>
        <v>12Go Link</v>
      </c>
      <c r="E5033" s="2" t="s">
        <v>4167</v>
      </c>
    </row>
    <row r="5034">
      <c r="A5034" s="2" t="s">
        <v>4180</v>
      </c>
      <c r="B5034" s="2" t="s">
        <v>4180</v>
      </c>
      <c r="C5034" s="2" t="s">
        <v>4294</v>
      </c>
      <c r="D5034" s="3" t="str">
        <f t="shared" si="890"/>
        <v>12Go Link</v>
      </c>
      <c r="E5034" s="2" t="s">
        <v>4168</v>
      </c>
    </row>
    <row r="5035">
      <c r="A5035" s="2" t="s">
        <v>4180</v>
      </c>
      <c r="B5035" s="2" t="s">
        <v>4180</v>
      </c>
      <c r="C5035" s="2" t="s">
        <v>4294</v>
      </c>
      <c r="D5035" s="3" t="str">
        <f t="shared" si="890"/>
        <v>12Go Link</v>
      </c>
      <c r="E5035" s="2" t="s">
        <v>4169</v>
      </c>
    </row>
    <row r="5036">
      <c r="A5036" s="2" t="s">
        <v>4180</v>
      </c>
      <c r="B5036" s="2" t="s">
        <v>4180</v>
      </c>
      <c r="C5036" s="2" t="s">
        <v>4294</v>
      </c>
      <c r="D5036" s="3" t="str">
        <f t="shared" si="890"/>
        <v>12Go Link</v>
      </c>
      <c r="E5036" s="2" t="s">
        <v>4170</v>
      </c>
    </row>
    <row r="5037">
      <c r="A5037" s="2" t="s">
        <v>4180</v>
      </c>
      <c r="B5037" s="2" t="s">
        <v>4180</v>
      </c>
      <c r="C5037" s="2" t="s">
        <v>4294</v>
      </c>
      <c r="D5037" s="3" t="str">
        <f t="shared" si="890"/>
        <v>12Go Link</v>
      </c>
      <c r="E5037" s="2" t="s">
        <v>4171</v>
      </c>
    </row>
    <row r="5038">
      <c r="A5038" s="2" t="s">
        <v>4180</v>
      </c>
      <c r="B5038" s="2" t="s">
        <v>4180</v>
      </c>
      <c r="C5038" s="2" t="s">
        <v>4294</v>
      </c>
      <c r="D5038" s="3" t="str">
        <f t="shared" si="890"/>
        <v>12Go Link</v>
      </c>
      <c r="E5038" s="2" t="s">
        <v>4172</v>
      </c>
    </row>
    <row r="5039">
      <c r="A5039" s="2" t="s">
        <v>4180</v>
      </c>
      <c r="B5039" s="2" t="s">
        <v>4180</v>
      </c>
      <c r="C5039" s="2" t="s">
        <v>4294</v>
      </c>
      <c r="D5039" s="3" t="str">
        <f t="shared" si="890"/>
        <v>12Go Link</v>
      </c>
      <c r="E5039" s="2" t="s">
        <v>4173</v>
      </c>
    </row>
    <row r="5040">
      <c r="A5040" s="2" t="s">
        <v>4180</v>
      </c>
      <c r="B5040" s="2" t="s">
        <v>4180</v>
      </c>
      <c r="C5040" s="2" t="s">
        <v>4294</v>
      </c>
      <c r="D5040" s="3" t="str">
        <f t="shared" si="890"/>
        <v>12Go Link</v>
      </c>
      <c r="E5040" s="2" t="s">
        <v>4287</v>
      </c>
    </row>
    <row r="5041">
      <c r="A5041" s="2" t="s">
        <v>4180</v>
      </c>
      <c r="B5041" s="2" t="s">
        <v>4180</v>
      </c>
      <c r="C5041" s="2" t="s">
        <v>4294</v>
      </c>
      <c r="D5041" s="3" t="str">
        <f t="shared" si="890"/>
        <v>12Go Link</v>
      </c>
      <c r="E5041" s="2" t="s">
        <v>4175</v>
      </c>
    </row>
    <row r="5042">
      <c r="A5042" s="2" t="s">
        <v>4230</v>
      </c>
      <c r="B5042" s="2" t="s">
        <v>4130</v>
      </c>
      <c r="C5042" s="2" t="s">
        <v>4295</v>
      </c>
      <c r="D5042" s="3" t="str">
        <f t="shared" ref="D5042:D5044" si="891">HYPERLINK("https://12go.asia/en/travel/Malacca-Hotel-Transfer/Kuala-Lumpur-Hotel-Transfer", "12Go Link")</f>
        <v>12Go Link</v>
      </c>
      <c r="E5042" s="2" t="s">
        <v>4137</v>
      </c>
    </row>
    <row r="5043">
      <c r="A5043" s="2" t="s">
        <v>4230</v>
      </c>
      <c r="B5043" s="2" t="s">
        <v>4130</v>
      </c>
      <c r="C5043" s="2" t="s">
        <v>4295</v>
      </c>
      <c r="D5043" s="3" t="str">
        <f t="shared" si="891"/>
        <v>12Go Link</v>
      </c>
      <c r="E5043" s="2" t="s">
        <v>4138</v>
      </c>
    </row>
    <row r="5044">
      <c r="A5044" s="2" t="s">
        <v>4230</v>
      </c>
      <c r="B5044" s="2" t="s">
        <v>4130</v>
      </c>
      <c r="C5044" s="2" t="s">
        <v>4295</v>
      </c>
      <c r="D5044" s="3" t="str">
        <f t="shared" si="891"/>
        <v>12Go Link</v>
      </c>
      <c r="E5044" s="2" t="s">
        <v>4139</v>
      </c>
    </row>
    <row r="5045">
      <c r="A5045" s="2" t="s">
        <v>4133</v>
      </c>
      <c r="B5045" s="2" t="s">
        <v>4132</v>
      </c>
      <c r="C5045" s="2" t="s">
        <v>4296</v>
      </c>
      <c r="D5045" s="3" t="str">
        <f t="shared" ref="D5045:D5048" si="892">HYPERLINK("https://12go.asia/en/travel/Penang-International-Airport/Butterworth-Hotel-Transfer", "12Go Link")</f>
        <v>12Go Link</v>
      </c>
      <c r="E5045" s="2" t="s">
        <v>286</v>
      </c>
    </row>
    <row r="5046">
      <c r="A5046" s="2" t="s">
        <v>4133</v>
      </c>
      <c r="B5046" s="2" t="s">
        <v>4132</v>
      </c>
      <c r="C5046" s="2" t="s">
        <v>4296</v>
      </c>
      <c r="D5046" s="3" t="str">
        <f t="shared" si="892"/>
        <v>12Go Link</v>
      </c>
      <c r="E5046" s="2" t="s">
        <v>3407</v>
      </c>
    </row>
    <row r="5047">
      <c r="A5047" s="2" t="s">
        <v>4133</v>
      </c>
      <c r="B5047" s="2" t="s">
        <v>4132</v>
      </c>
      <c r="C5047" s="2" t="s">
        <v>4296</v>
      </c>
      <c r="D5047" s="3" t="str">
        <f t="shared" si="892"/>
        <v>12Go Link</v>
      </c>
      <c r="E5047" s="2" t="s">
        <v>3408</v>
      </c>
    </row>
    <row r="5048">
      <c r="A5048" s="2" t="s">
        <v>4133</v>
      </c>
      <c r="B5048" s="2" t="s">
        <v>4132</v>
      </c>
      <c r="C5048" s="2" t="s">
        <v>4296</v>
      </c>
      <c r="D5048" s="3" t="str">
        <f t="shared" si="892"/>
        <v>12Go Link</v>
      </c>
      <c r="E5048" s="2" t="s">
        <v>3409</v>
      </c>
    </row>
    <row r="5049">
      <c r="A5049" s="2" t="s">
        <v>4133</v>
      </c>
      <c r="B5049" s="2" t="s">
        <v>4140</v>
      </c>
      <c r="C5049" s="2" t="s">
        <v>4297</v>
      </c>
      <c r="D5049" s="3" t="str">
        <f t="shared" ref="D5049:D5052" si="893">HYPERLINK("https://12go.asia/en/travel/Penang-International-Airport/George-Town", "12Go Link")</f>
        <v>12Go Link</v>
      </c>
      <c r="E5049" s="2" t="s">
        <v>286</v>
      </c>
    </row>
    <row r="5050">
      <c r="A5050" s="2" t="s">
        <v>4133</v>
      </c>
      <c r="B5050" s="2" t="s">
        <v>4140</v>
      </c>
      <c r="C5050" s="2" t="s">
        <v>4297</v>
      </c>
      <c r="D5050" s="3" t="str">
        <f t="shared" si="893"/>
        <v>12Go Link</v>
      </c>
      <c r="E5050" s="2" t="s">
        <v>3407</v>
      </c>
    </row>
    <row r="5051">
      <c r="A5051" s="2" t="s">
        <v>4133</v>
      </c>
      <c r="B5051" s="2" t="s">
        <v>4140</v>
      </c>
      <c r="C5051" s="2" t="s">
        <v>4297</v>
      </c>
      <c r="D5051" s="3" t="str">
        <f t="shared" si="893"/>
        <v>12Go Link</v>
      </c>
      <c r="E5051" s="2" t="s">
        <v>3408</v>
      </c>
    </row>
    <row r="5052">
      <c r="A5052" s="2" t="s">
        <v>4133</v>
      </c>
      <c r="B5052" s="2" t="s">
        <v>4140</v>
      </c>
      <c r="C5052" s="2" t="s">
        <v>4297</v>
      </c>
      <c r="D5052" s="3" t="str">
        <f t="shared" si="893"/>
        <v>12Go Link</v>
      </c>
      <c r="E5052" s="2" t="s">
        <v>3409</v>
      </c>
    </row>
    <row r="5053">
      <c r="A5053" s="2" t="s">
        <v>4133</v>
      </c>
      <c r="B5053" s="2" t="s">
        <v>4130</v>
      </c>
      <c r="C5053" s="2" t="s">
        <v>4298</v>
      </c>
      <c r="D5053" s="3" t="str">
        <f t="shared" ref="D5053:D5055" si="894">HYPERLINK("https://12go.asia/en/travel/Penang-Hotel-Transfer/Kuala-Lumpur-Hotel-Transfer", "12Go Link")</f>
        <v>12Go Link</v>
      </c>
      <c r="E5053" s="2" t="s">
        <v>4137</v>
      </c>
    </row>
    <row r="5054">
      <c r="A5054" s="2" t="s">
        <v>4133</v>
      </c>
      <c r="B5054" s="2" t="s">
        <v>4130</v>
      </c>
      <c r="C5054" s="2" t="s">
        <v>4298</v>
      </c>
      <c r="D5054" s="3" t="str">
        <f t="shared" si="894"/>
        <v>12Go Link</v>
      </c>
      <c r="E5054" s="2" t="s">
        <v>4138</v>
      </c>
    </row>
    <row r="5055">
      <c r="A5055" s="2" t="s">
        <v>4133</v>
      </c>
      <c r="B5055" s="2" t="s">
        <v>4130</v>
      </c>
      <c r="C5055" s="2" t="s">
        <v>4298</v>
      </c>
      <c r="D5055" s="3" t="str">
        <f t="shared" si="894"/>
        <v>12Go Link</v>
      </c>
      <c r="E5055" s="2" t="s">
        <v>4139</v>
      </c>
    </row>
    <row r="5056">
      <c r="A5056" s="2" t="s">
        <v>4133</v>
      </c>
      <c r="B5056" s="2" t="s">
        <v>4133</v>
      </c>
      <c r="C5056" s="2" t="s">
        <v>4299</v>
      </c>
      <c r="D5056" s="3" t="str">
        <f t="shared" ref="D5056:D5059" si="895">HYPERLINK("https://12go.asia/en/travel/Penang-beach/Penang-International-Airport", "12Go Link")</f>
        <v>12Go Link</v>
      </c>
      <c r="E5056" s="2" t="s">
        <v>286</v>
      </c>
    </row>
    <row r="5057">
      <c r="A5057" s="2" t="s">
        <v>4133</v>
      </c>
      <c r="B5057" s="2" t="s">
        <v>4133</v>
      </c>
      <c r="C5057" s="2" t="s">
        <v>4299</v>
      </c>
      <c r="D5057" s="3" t="str">
        <f t="shared" si="895"/>
        <v>12Go Link</v>
      </c>
      <c r="E5057" s="2" t="s">
        <v>3407</v>
      </c>
    </row>
    <row r="5058">
      <c r="A5058" s="2" t="s">
        <v>4133</v>
      </c>
      <c r="B5058" s="2" t="s">
        <v>4133</v>
      </c>
      <c r="C5058" s="2" t="s">
        <v>4299</v>
      </c>
      <c r="D5058" s="3" t="str">
        <f t="shared" si="895"/>
        <v>12Go Link</v>
      </c>
      <c r="E5058" s="2" t="s">
        <v>3408</v>
      </c>
    </row>
    <row r="5059">
      <c r="A5059" s="2" t="s">
        <v>4133</v>
      </c>
      <c r="B5059" s="2" t="s">
        <v>4133</v>
      </c>
      <c r="C5059" s="2" t="s">
        <v>4299</v>
      </c>
      <c r="D5059" s="3" t="str">
        <f t="shared" si="895"/>
        <v>12Go Link</v>
      </c>
      <c r="E5059" s="2" t="s">
        <v>3409</v>
      </c>
    </row>
    <row r="5060">
      <c r="A5060" s="2" t="s">
        <v>4133</v>
      </c>
      <c r="B5060" s="2" t="s">
        <v>4133</v>
      </c>
      <c r="C5060" s="2" t="s">
        <v>4300</v>
      </c>
      <c r="D5060" s="3" t="str">
        <f t="shared" ref="D5060:D5063" si="896">HYPERLINK("https://12go.asia/en/travel/Penang-International-Airport/Penang-beach", "12Go Link")</f>
        <v>12Go Link</v>
      </c>
      <c r="E5060" s="2" t="s">
        <v>286</v>
      </c>
    </row>
    <row r="5061">
      <c r="A5061" s="2" t="s">
        <v>4133</v>
      </c>
      <c r="B5061" s="2" t="s">
        <v>4133</v>
      </c>
      <c r="C5061" s="2" t="s">
        <v>4300</v>
      </c>
      <c r="D5061" s="3" t="str">
        <f t="shared" si="896"/>
        <v>12Go Link</v>
      </c>
      <c r="E5061" s="2" t="s">
        <v>3407</v>
      </c>
    </row>
    <row r="5062">
      <c r="A5062" s="2" t="s">
        <v>4133</v>
      </c>
      <c r="B5062" s="2" t="s">
        <v>4133</v>
      </c>
      <c r="C5062" s="2" t="s">
        <v>4300</v>
      </c>
      <c r="D5062" s="3" t="str">
        <f t="shared" si="896"/>
        <v>12Go Link</v>
      </c>
      <c r="E5062" s="2" t="s">
        <v>3408</v>
      </c>
    </row>
    <row r="5063">
      <c r="A5063" s="2" t="s">
        <v>4133</v>
      </c>
      <c r="B5063" s="2" t="s">
        <v>4133</v>
      </c>
      <c r="C5063" s="2" t="s">
        <v>4300</v>
      </c>
      <c r="D5063" s="3" t="str">
        <f t="shared" si="896"/>
        <v>12Go Link</v>
      </c>
      <c r="E5063" s="2" t="s">
        <v>3409</v>
      </c>
    </row>
    <row r="5064">
      <c r="A5064" s="2" t="s">
        <v>4301</v>
      </c>
      <c r="B5064" s="2" t="s">
        <v>4188</v>
      </c>
      <c r="C5064" s="2" t="s">
        <v>4302</v>
      </c>
      <c r="D5064" s="3" t="str">
        <f>HYPERLINK("https://12go.asia/en/travel/Pulau-Perhentian-Island/Kuala-Besut-Jetty", "12Go Link")</f>
        <v>12Go Link</v>
      </c>
      <c r="E5064" s="2" t="s">
        <v>3417</v>
      </c>
    </row>
    <row r="5065">
      <c r="A5065" s="2" t="s">
        <v>4151</v>
      </c>
      <c r="B5065" s="2" t="s">
        <v>4130</v>
      </c>
      <c r="C5065" s="2" t="s">
        <v>4303</v>
      </c>
      <c r="D5065" s="3" t="str">
        <f t="shared" ref="D5065:D5067" si="897">HYPERLINK("https://12go.asia/en/travel/Sultan-Abdul-Aziz-Shah-Airport/Kuala-Lumpur-Airport", "12Go Link")</f>
        <v>12Go Link</v>
      </c>
      <c r="E5065" s="2" t="s">
        <v>4202</v>
      </c>
    </row>
    <row r="5066">
      <c r="A5066" s="2" t="s">
        <v>4151</v>
      </c>
      <c r="B5066" s="2" t="s">
        <v>4130</v>
      </c>
      <c r="C5066" s="2" t="s">
        <v>4303</v>
      </c>
      <c r="D5066" s="3" t="str">
        <f t="shared" si="897"/>
        <v>12Go Link</v>
      </c>
      <c r="E5066" s="2" t="s">
        <v>3780</v>
      </c>
    </row>
    <row r="5067">
      <c r="A5067" s="2" t="s">
        <v>4151</v>
      </c>
      <c r="B5067" s="2" t="s">
        <v>4130</v>
      </c>
      <c r="C5067" s="2" t="s">
        <v>4303</v>
      </c>
      <c r="D5067" s="3" t="str">
        <f t="shared" si="897"/>
        <v>12Go Link</v>
      </c>
      <c r="E5067" s="2" t="s">
        <v>4009</v>
      </c>
    </row>
    <row r="5068">
      <c r="A5068" s="2" t="s">
        <v>4304</v>
      </c>
      <c r="B5068" s="2" t="s">
        <v>4305</v>
      </c>
      <c r="C5068" s="2" t="s">
        <v>4306</v>
      </c>
      <c r="D5068" s="3" t="str">
        <f>HYPERLINK("https://12go.asia/en/travel/sungai-nibong/bangkok-airport", "12Go Link")</f>
        <v>12Go Link</v>
      </c>
      <c r="E5068" s="2" t="s">
        <v>155</v>
      </c>
    </row>
    <row r="5069">
      <c r="A5069" s="2" t="s">
        <v>4304</v>
      </c>
      <c r="B5069" s="2" t="s">
        <v>4307</v>
      </c>
      <c r="C5069" s="2" t="s">
        <v>4308</v>
      </c>
      <c r="D5069" s="3" t="str">
        <f>HYPERLINK("https://12go.asia/en/travel/sungai-nibong/don-mueang-airport", "12Go Link")</f>
        <v>12Go Link</v>
      </c>
      <c r="E5069" s="2" t="s">
        <v>155</v>
      </c>
    </row>
    <row r="5070">
      <c r="A5070" s="2" t="s">
        <v>4304</v>
      </c>
      <c r="B5070" s="2" t="s">
        <v>4282</v>
      </c>
      <c r="C5070" s="2" t="s">
        <v>4309</v>
      </c>
      <c r="D5070" s="3" t="str">
        <f>HYPERLINK("https://12go.asia/en/travel/sungai-nibong/rangsit", "12Go Link")</f>
        <v>12Go Link</v>
      </c>
      <c r="E5070" s="2" t="s">
        <v>155</v>
      </c>
    </row>
    <row r="5071">
      <c r="A5071" s="2" t="s">
        <v>4188</v>
      </c>
      <c r="B5071" s="2" t="s">
        <v>4187</v>
      </c>
      <c r="C5071" s="2" t="s">
        <v>4310</v>
      </c>
      <c r="D5071" s="3" t="str">
        <f t="shared" ref="D5071:D5072" si="898">HYPERLINK("https://12go.asia/en/travel/Kuala-Besut-Jetty/Kota-Bharu", "12Go Link")</f>
        <v>12Go Link</v>
      </c>
      <c r="E5071" s="2" t="s">
        <v>4139</v>
      </c>
    </row>
    <row r="5072">
      <c r="A5072" s="2" t="s">
        <v>4188</v>
      </c>
      <c r="B5072" s="2" t="s">
        <v>4187</v>
      </c>
      <c r="C5072" s="2" t="s">
        <v>4310</v>
      </c>
      <c r="D5072" s="3" t="str">
        <f t="shared" si="898"/>
        <v>12Go Link</v>
      </c>
      <c r="E5072" s="2" t="s">
        <v>4190</v>
      </c>
    </row>
    <row r="5073">
      <c r="A5073" s="2" t="s">
        <v>4188</v>
      </c>
      <c r="B5073" s="2" t="s">
        <v>4187</v>
      </c>
      <c r="C5073" s="2" t="s">
        <v>4311</v>
      </c>
      <c r="D5073" s="3" t="str">
        <f t="shared" ref="D5073:D5074" si="899">HYPERLINK("https://12go.asia/en/travel/Kuala-Besut-Jetty/Kota-Bharu-Airport", "12Go Link")</f>
        <v>12Go Link</v>
      </c>
      <c r="E5073" s="2" t="s">
        <v>4139</v>
      </c>
    </row>
    <row r="5074">
      <c r="A5074" s="2" t="s">
        <v>4188</v>
      </c>
      <c r="B5074" s="2" t="s">
        <v>4187</v>
      </c>
      <c r="C5074" s="2" t="s">
        <v>4311</v>
      </c>
      <c r="D5074" s="3" t="str">
        <f t="shared" si="899"/>
        <v>12Go Link</v>
      </c>
      <c r="E5074" s="2" t="s">
        <v>4190</v>
      </c>
    </row>
    <row r="5075">
      <c r="A5075" s="2" t="s">
        <v>4188</v>
      </c>
      <c r="B5075" s="2" t="s">
        <v>4301</v>
      </c>
      <c r="C5075" s="2" t="s">
        <v>4312</v>
      </c>
      <c r="D5075" s="3" t="str">
        <f t="shared" ref="D5075:D5076" si="900">HYPERLINK("https://12go.asia/en/travel/Kuala-Besut-Jetty/Pulau-Perhentian-Island", "12Go Link")</f>
        <v>12Go Link</v>
      </c>
      <c r="E5075" s="2" t="s">
        <v>3417</v>
      </c>
    </row>
    <row r="5076">
      <c r="A5076" s="2" t="s">
        <v>4188</v>
      </c>
      <c r="B5076" s="2" t="s">
        <v>4188</v>
      </c>
      <c r="C5076" s="2" t="s">
        <v>4312</v>
      </c>
      <c r="D5076" s="3" t="str">
        <f t="shared" si="900"/>
        <v>12Go Link</v>
      </c>
      <c r="E5076" s="2" t="s">
        <v>4313</v>
      </c>
    </row>
    <row r="5077">
      <c r="A5077" s="2" t="s">
        <v>4188</v>
      </c>
      <c r="B5077" s="2" t="s">
        <v>4188</v>
      </c>
      <c r="C5077" s="2" t="s">
        <v>4302</v>
      </c>
      <c r="D5077" s="3" t="str">
        <f>HYPERLINK("https://12go.asia/en/travel/Pulau-Perhentian-Island/Kuala-Besut-Jetty", "12Go Link")</f>
        <v>12Go Link</v>
      </c>
      <c r="E5077" s="2" t="s">
        <v>4313</v>
      </c>
    </row>
    <row r="5078">
      <c r="A5078" s="2" t="s">
        <v>4314</v>
      </c>
      <c r="B5078" s="2" t="s">
        <v>4315</v>
      </c>
      <c r="C5078" s="2" t="s">
        <v>4316</v>
      </c>
      <c r="D5078" s="3" t="str">
        <f>HYPERLINK("https://12go.asia/en/travel/Dhiffushi/Male-Airport", "12Go Link")</f>
        <v>12Go Link</v>
      </c>
      <c r="E5078" s="2" t="s">
        <v>309</v>
      </c>
    </row>
    <row r="5079">
      <c r="A5079" s="2" t="s">
        <v>4315</v>
      </c>
      <c r="B5079" s="2" t="s">
        <v>4314</v>
      </c>
      <c r="C5079" s="2" t="s">
        <v>4317</v>
      </c>
      <c r="D5079" s="3" t="str">
        <f>HYPERLINK("https://12go.asia/en/travel/Male-Airport/Dhiffushi", "12Go Link")</f>
        <v>12Go Link</v>
      </c>
      <c r="E5079" s="2" t="s">
        <v>309</v>
      </c>
    </row>
    <row r="5080">
      <c r="A5080" s="2" t="s">
        <v>4315</v>
      </c>
      <c r="B5080" s="2" t="s">
        <v>4318</v>
      </c>
      <c r="C5080" s="2" t="s">
        <v>4319</v>
      </c>
      <c r="D5080" s="3" t="str">
        <f>HYPERLINK("https://12go.asia/en/travel/Male/Thulusdhoo", "12Go Link")</f>
        <v>12Go Link</v>
      </c>
      <c r="E5080" s="2" t="s">
        <v>309</v>
      </c>
    </row>
    <row r="5081">
      <c r="A5081" s="2" t="s">
        <v>4315</v>
      </c>
      <c r="B5081" s="2" t="s">
        <v>4318</v>
      </c>
      <c r="C5081" s="2" t="s">
        <v>4320</v>
      </c>
      <c r="D5081" s="3" t="str">
        <f>HYPERLINK("https://12go.asia/en/travel/Male-Airport/Thulusdhoo", "12Go Link")</f>
        <v>12Go Link</v>
      </c>
      <c r="E5081" s="2" t="s">
        <v>309</v>
      </c>
    </row>
    <row r="5082">
      <c r="A5082" s="2" t="s">
        <v>4318</v>
      </c>
      <c r="B5082" s="2" t="s">
        <v>4315</v>
      </c>
      <c r="C5082" s="2" t="s">
        <v>4321</v>
      </c>
      <c r="D5082" s="3" t="str">
        <f>HYPERLINK("https://12go.asia/en/travel/Thulusdhoo/Male", "12Go Link")</f>
        <v>12Go Link</v>
      </c>
      <c r="E5082" s="2" t="s">
        <v>309</v>
      </c>
    </row>
    <row r="5083">
      <c r="A5083" s="2" t="s">
        <v>4318</v>
      </c>
      <c r="B5083" s="2" t="s">
        <v>4315</v>
      </c>
      <c r="C5083" s="2" t="s">
        <v>4322</v>
      </c>
      <c r="D5083" s="3" t="str">
        <f>HYPERLINK("https://12go.asia/en/travel/Thulusdhoo/Male-Airport", "12Go Link")</f>
        <v>12Go Link</v>
      </c>
      <c r="E5083" s="2" t="s">
        <v>309</v>
      </c>
    </row>
    <row r="5084">
      <c r="A5084" s="2" t="s">
        <v>4323</v>
      </c>
      <c r="B5084" s="2" t="s">
        <v>4324</v>
      </c>
      <c r="C5084" s="2" t="s">
        <v>4325</v>
      </c>
      <c r="D5084" s="3" t="str">
        <f>HYPERLINK("https://12go.asia/en/travel/Mgarr-Harbour-Terminal/Lascaris-Wharf-Terminal", "12Go Link")</f>
        <v>12Go Link</v>
      </c>
      <c r="E5084" s="2" t="s">
        <v>3706</v>
      </c>
    </row>
    <row r="5085">
      <c r="A5085" s="2" t="s">
        <v>4324</v>
      </c>
      <c r="B5085" s="2" t="s">
        <v>4323</v>
      </c>
      <c r="C5085" s="2" t="s">
        <v>4326</v>
      </c>
      <c r="D5085" s="3" t="str">
        <f>HYPERLINK("https://12go.asia/en/travel/Lascaris-Wharf-Terminal/Mgarr-Harbour-Terminal", "12Go Link")</f>
        <v>12Go Link</v>
      </c>
      <c r="E5085" s="2" t="s">
        <v>3706</v>
      </c>
    </row>
    <row r="5086">
      <c r="A5086" s="2" t="s">
        <v>4327</v>
      </c>
      <c r="B5086" s="2" t="s">
        <v>4328</v>
      </c>
      <c r="C5086" s="2" t="s">
        <v>4329</v>
      </c>
      <c r="D5086" s="3" t="str">
        <f>HYPERLINK("https://12go.asia/en/travel/empalme/phoenix", "12Go Link")</f>
        <v>12Go Link</v>
      </c>
      <c r="E5086" s="2" t="s">
        <v>59</v>
      </c>
    </row>
    <row r="5087">
      <c r="A5087" s="2" t="s">
        <v>4330</v>
      </c>
      <c r="B5087" s="2" t="s">
        <v>4331</v>
      </c>
      <c r="C5087" s="2" t="s">
        <v>4332</v>
      </c>
      <c r="D5087" s="3" t="str">
        <f>HYPERLINK("https://12go.asia/en/travel/mexicali-tufesa/cd-obregon", "12Go Link")</f>
        <v>12Go Link</v>
      </c>
      <c r="E5087" s="2" t="s">
        <v>59</v>
      </c>
    </row>
    <row r="5088">
      <c r="A5088" s="2" t="s">
        <v>4330</v>
      </c>
      <c r="B5088" s="2" t="s">
        <v>4331</v>
      </c>
      <c r="C5088" s="2" t="s">
        <v>4333</v>
      </c>
      <c r="D5088" s="3" t="str">
        <f>HYPERLINK("https://12go.asia/en/travel/mexicali/ciudad-obregon", "12Go Link")</f>
        <v>12Go Link</v>
      </c>
      <c r="E5088" s="2" t="s">
        <v>59</v>
      </c>
    </row>
    <row r="5089">
      <c r="A5089" s="2" t="s">
        <v>4334</v>
      </c>
      <c r="B5089" s="2" t="s">
        <v>4334</v>
      </c>
      <c r="C5089" s="2" t="s">
        <v>4335</v>
      </c>
      <c r="D5089" s="3" t="str">
        <f t="shared" ref="D5089:D5094" si="901">HYPERLINK("https://12go.asia/en/travel/Agadir-Al-Massira-International-Airport/Agadir-Hotel-Transfer", "12Go Link")</f>
        <v>12Go Link</v>
      </c>
      <c r="E5089" s="2" t="s">
        <v>4336</v>
      </c>
    </row>
    <row r="5090">
      <c r="A5090" s="2" t="s">
        <v>4334</v>
      </c>
      <c r="B5090" s="2" t="s">
        <v>4334</v>
      </c>
      <c r="C5090" s="2" t="s">
        <v>4335</v>
      </c>
      <c r="D5090" s="3" t="str">
        <f t="shared" si="901"/>
        <v>12Go Link</v>
      </c>
      <c r="E5090" s="2" t="s">
        <v>4337</v>
      </c>
    </row>
    <row r="5091">
      <c r="A5091" s="2" t="s">
        <v>4334</v>
      </c>
      <c r="B5091" s="2" t="s">
        <v>4334</v>
      </c>
      <c r="C5091" s="2" t="s">
        <v>4335</v>
      </c>
      <c r="D5091" s="3" t="str">
        <f t="shared" si="901"/>
        <v>12Go Link</v>
      </c>
      <c r="E5091" s="2" t="s">
        <v>4137</v>
      </c>
    </row>
    <row r="5092">
      <c r="A5092" s="2" t="s">
        <v>4334</v>
      </c>
      <c r="B5092" s="2" t="s">
        <v>4334</v>
      </c>
      <c r="C5092" s="2" t="s">
        <v>4335</v>
      </c>
      <c r="D5092" s="3" t="str">
        <f t="shared" si="901"/>
        <v>12Go Link</v>
      </c>
      <c r="E5092" s="2" t="s">
        <v>4338</v>
      </c>
    </row>
    <row r="5093">
      <c r="A5093" s="2" t="s">
        <v>4334</v>
      </c>
      <c r="B5093" s="2" t="s">
        <v>4334</v>
      </c>
      <c r="C5093" s="2" t="s">
        <v>4335</v>
      </c>
      <c r="D5093" s="3" t="str">
        <f t="shared" si="901"/>
        <v>12Go Link</v>
      </c>
      <c r="E5093" s="2" t="s">
        <v>4339</v>
      </c>
    </row>
    <row r="5094">
      <c r="A5094" s="2" t="s">
        <v>4334</v>
      </c>
      <c r="B5094" s="2" t="s">
        <v>4334</v>
      </c>
      <c r="C5094" s="2" t="s">
        <v>4335</v>
      </c>
      <c r="D5094" s="3" t="str">
        <f t="shared" si="901"/>
        <v>12Go Link</v>
      </c>
      <c r="E5094" s="2" t="s">
        <v>4340</v>
      </c>
    </row>
    <row r="5095">
      <c r="A5095" s="2" t="s">
        <v>4334</v>
      </c>
      <c r="B5095" s="2" t="s">
        <v>4334</v>
      </c>
      <c r="C5095" s="2" t="s">
        <v>4341</v>
      </c>
      <c r="D5095" s="3" t="str">
        <f t="shared" ref="D5095:D5100" si="902">HYPERLINK("https://12go.asia/en/travel/Agadir-Al-Massira-International-Airport/Founty-Hotel-Transfer", "12Go Link")</f>
        <v>12Go Link</v>
      </c>
      <c r="E5095" s="2" t="s">
        <v>4336</v>
      </c>
    </row>
    <row r="5096">
      <c r="A5096" s="2" t="s">
        <v>4334</v>
      </c>
      <c r="B5096" s="2" t="s">
        <v>4334</v>
      </c>
      <c r="C5096" s="2" t="s">
        <v>4341</v>
      </c>
      <c r="D5096" s="3" t="str">
        <f t="shared" si="902"/>
        <v>12Go Link</v>
      </c>
      <c r="E5096" s="2" t="s">
        <v>4337</v>
      </c>
    </row>
    <row r="5097">
      <c r="A5097" s="2" t="s">
        <v>4334</v>
      </c>
      <c r="B5097" s="2" t="s">
        <v>4334</v>
      </c>
      <c r="C5097" s="2" t="s">
        <v>4341</v>
      </c>
      <c r="D5097" s="3" t="str">
        <f t="shared" si="902"/>
        <v>12Go Link</v>
      </c>
      <c r="E5097" s="2" t="s">
        <v>4137</v>
      </c>
    </row>
    <row r="5098">
      <c r="A5098" s="2" t="s">
        <v>4334</v>
      </c>
      <c r="B5098" s="2" t="s">
        <v>4334</v>
      </c>
      <c r="C5098" s="2" t="s">
        <v>4341</v>
      </c>
      <c r="D5098" s="3" t="str">
        <f t="shared" si="902"/>
        <v>12Go Link</v>
      </c>
      <c r="E5098" s="2" t="s">
        <v>4338</v>
      </c>
    </row>
    <row r="5099">
      <c r="A5099" s="2" t="s">
        <v>4334</v>
      </c>
      <c r="B5099" s="2" t="s">
        <v>4334</v>
      </c>
      <c r="C5099" s="2" t="s">
        <v>4341</v>
      </c>
      <c r="D5099" s="3" t="str">
        <f t="shared" si="902"/>
        <v>12Go Link</v>
      </c>
      <c r="E5099" s="2" t="s">
        <v>4339</v>
      </c>
    </row>
    <row r="5100">
      <c r="A5100" s="2" t="s">
        <v>4334</v>
      </c>
      <c r="B5100" s="2" t="s">
        <v>4334</v>
      </c>
      <c r="C5100" s="2" t="s">
        <v>4341</v>
      </c>
      <c r="D5100" s="3" t="str">
        <f t="shared" si="902"/>
        <v>12Go Link</v>
      </c>
      <c r="E5100" s="2" t="s">
        <v>4340</v>
      </c>
    </row>
    <row r="5101">
      <c r="A5101" s="2" t="s">
        <v>4334</v>
      </c>
      <c r="B5101" s="2" t="s">
        <v>4334</v>
      </c>
      <c r="C5101" s="2" t="s">
        <v>4342</v>
      </c>
      <c r="D5101" s="3" t="str">
        <f t="shared" ref="D5101:D5106" si="903">HYPERLINK("https://12go.asia/en/travel/Agadir-Hotel-Transfer/Agadir-Al-Massira-International-Airport", "12Go Link")</f>
        <v>12Go Link</v>
      </c>
      <c r="E5101" s="2" t="s">
        <v>4336</v>
      </c>
    </row>
    <row r="5102">
      <c r="A5102" s="2" t="s">
        <v>4334</v>
      </c>
      <c r="B5102" s="2" t="s">
        <v>4334</v>
      </c>
      <c r="C5102" s="2" t="s">
        <v>4342</v>
      </c>
      <c r="D5102" s="3" t="str">
        <f t="shared" si="903"/>
        <v>12Go Link</v>
      </c>
      <c r="E5102" s="2" t="s">
        <v>4337</v>
      </c>
    </row>
    <row r="5103">
      <c r="A5103" s="2" t="s">
        <v>4334</v>
      </c>
      <c r="B5103" s="2" t="s">
        <v>4334</v>
      </c>
      <c r="C5103" s="2" t="s">
        <v>4342</v>
      </c>
      <c r="D5103" s="3" t="str">
        <f t="shared" si="903"/>
        <v>12Go Link</v>
      </c>
      <c r="E5103" s="2" t="s">
        <v>4137</v>
      </c>
    </row>
    <row r="5104">
      <c r="A5104" s="2" t="s">
        <v>4334</v>
      </c>
      <c r="B5104" s="2" t="s">
        <v>4334</v>
      </c>
      <c r="C5104" s="2" t="s">
        <v>4342</v>
      </c>
      <c r="D5104" s="3" t="str">
        <f t="shared" si="903"/>
        <v>12Go Link</v>
      </c>
      <c r="E5104" s="2" t="s">
        <v>4338</v>
      </c>
    </row>
    <row r="5105">
      <c r="A5105" s="2" t="s">
        <v>4334</v>
      </c>
      <c r="B5105" s="2" t="s">
        <v>4334</v>
      </c>
      <c r="C5105" s="2" t="s">
        <v>4342</v>
      </c>
      <c r="D5105" s="3" t="str">
        <f t="shared" si="903"/>
        <v>12Go Link</v>
      </c>
      <c r="E5105" s="2" t="s">
        <v>4339</v>
      </c>
    </row>
    <row r="5106">
      <c r="A5106" s="2" t="s">
        <v>4334</v>
      </c>
      <c r="B5106" s="2" t="s">
        <v>4334</v>
      </c>
      <c r="C5106" s="2" t="s">
        <v>4342</v>
      </c>
      <c r="D5106" s="3" t="str">
        <f t="shared" si="903"/>
        <v>12Go Link</v>
      </c>
      <c r="E5106" s="2" t="s">
        <v>4340</v>
      </c>
    </row>
    <row r="5107">
      <c r="A5107" s="2" t="s">
        <v>4334</v>
      </c>
      <c r="B5107" s="2" t="s">
        <v>4334</v>
      </c>
      <c r="C5107" s="2" t="s">
        <v>4343</v>
      </c>
      <c r="D5107" s="3" t="str">
        <f t="shared" ref="D5107:D5112" si="904">HYPERLINK("https://12go.asia/en/travel/Founty-Hotel-Transfer/Agadir-Al-Massira-International-Airport", "12Go Link")</f>
        <v>12Go Link</v>
      </c>
      <c r="E5107" s="2" t="s">
        <v>4336</v>
      </c>
    </row>
    <row r="5108">
      <c r="A5108" s="2" t="s">
        <v>4334</v>
      </c>
      <c r="B5108" s="2" t="s">
        <v>4334</v>
      </c>
      <c r="C5108" s="2" t="s">
        <v>4343</v>
      </c>
      <c r="D5108" s="3" t="str">
        <f t="shared" si="904"/>
        <v>12Go Link</v>
      </c>
      <c r="E5108" s="2" t="s">
        <v>4337</v>
      </c>
    </row>
    <row r="5109">
      <c r="A5109" s="2" t="s">
        <v>4334</v>
      </c>
      <c r="B5109" s="2" t="s">
        <v>4334</v>
      </c>
      <c r="C5109" s="2" t="s">
        <v>4343</v>
      </c>
      <c r="D5109" s="3" t="str">
        <f t="shared" si="904"/>
        <v>12Go Link</v>
      </c>
      <c r="E5109" s="2" t="s">
        <v>4137</v>
      </c>
    </row>
    <row r="5110">
      <c r="A5110" s="2" t="s">
        <v>4334</v>
      </c>
      <c r="B5110" s="2" t="s">
        <v>4334</v>
      </c>
      <c r="C5110" s="2" t="s">
        <v>4343</v>
      </c>
      <c r="D5110" s="3" t="str">
        <f t="shared" si="904"/>
        <v>12Go Link</v>
      </c>
      <c r="E5110" s="2" t="s">
        <v>4338</v>
      </c>
    </row>
    <row r="5111">
      <c r="A5111" s="2" t="s">
        <v>4334</v>
      </c>
      <c r="B5111" s="2" t="s">
        <v>4334</v>
      </c>
      <c r="C5111" s="2" t="s">
        <v>4343</v>
      </c>
      <c r="D5111" s="3" t="str">
        <f t="shared" si="904"/>
        <v>12Go Link</v>
      </c>
      <c r="E5111" s="2" t="s">
        <v>4339</v>
      </c>
    </row>
    <row r="5112">
      <c r="A5112" s="2" t="s">
        <v>4334</v>
      </c>
      <c r="B5112" s="2" t="s">
        <v>4334</v>
      </c>
      <c r="C5112" s="2" t="s">
        <v>4343</v>
      </c>
      <c r="D5112" s="3" t="str">
        <f t="shared" si="904"/>
        <v>12Go Link</v>
      </c>
      <c r="E5112" s="2" t="s">
        <v>4340</v>
      </c>
    </row>
    <row r="5113">
      <c r="A5113" s="2" t="s">
        <v>4334</v>
      </c>
      <c r="B5113" s="2" t="s">
        <v>4344</v>
      </c>
      <c r="C5113" s="2" t="s">
        <v>4345</v>
      </c>
      <c r="D5113" s="3" t="str">
        <f t="shared" ref="D5113:D5118" si="905">HYPERLINK("https://12go.asia/en/travel/Agadir-Al-Massira-International-Airport/Aourir-Hotel-Transfer", "12Go Link")</f>
        <v>12Go Link</v>
      </c>
      <c r="E5113" s="2" t="s">
        <v>4336</v>
      </c>
    </row>
    <row r="5114">
      <c r="A5114" s="2" t="s">
        <v>4334</v>
      </c>
      <c r="B5114" s="2" t="s">
        <v>4344</v>
      </c>
      <c r="C5114" s="2" t="s">
        <v>4345</v>
      </c>
      <c r="D5114" s="3" t="str">
        <f t="shared" si="905"/>
        <v>12Go Link</v>
      </c>
      <c r="E5114" s="2" t="s">
        <v>4337</v>
      </c>
    </row>
    <row r="5115">
      <c r="A5115" s="2" t="s">
        <v>4334</v>
      </c>
      <c r="B5115" s="2" t="s">
        <v>4344</v>
      </c>
      <c r="C5115" s="2" t="s">
        <v>4345</v>
      </c>
      <c r="D5115" s="3" t="str">
        <f t="shared" si="905"/>
        <v>12Go Link</v>
      </c>
      <c r="E5115" s="2" t="s">
        <v>4137</v>
      </c>
    </row>
    <row r="5116">
      <c r="A5116" s="2" t="s">
        <v>4334</v>
      </c>
      <c r="B5116" s="2" t="s">
        <v>4344</v>
      </c>
      <c r="C5116" s="2" t="s">
        <v>4345</v>
      </c>
      <c r="D5116" s="3" t="str">
        <f t="shared" si="905"/>
        <v>12Go Link</v>
      </c>
      <c r="E5116" s="2" t="s">
        <v>4338</v>
      </c>
    </row>
    <row r="5117">
      <c r="A5117" s="2" t="s">
        <v>4334</v>
      </c>
      <c r="B5117" s="2" t="s">
        <v>4344</v>
      </c>
      <c r="C5117" s="2" t="s">
        <v>4345</v>
      </c>
      <c r="D5117" s="3" t="str">
        <f t="shared" si="905"/>
        <v>12Go Link</v>
      </c>
      <c r="E5117" s="2" t="s">
        <v>4339</v>
      </c>
    </row>
    <row r="5118">
      <c r="A5118" s="2" t="s">
        <v>4334</v>
      </c>
      <c r="B5118" s="2" t="s">
        <v>4344</v>
      </c>
      <c r="C5118" s="2" t="s">
        <v>4345</v>
      </c>
      <c r="D5118" s="3" t="str">
        <f t="shared" si="905"/>
        <v>12Go Link</v>
      </c>
      <c r="E5118" s="2" t="s">
        <v>4340</v>
      </c>
    </row>
    <row r="5119">
      <c r="A5119" s="2" t="s">
        <v>4334</v>
      </c>
      <c r="B5119" s="2" t="s">
        <v>4346</v>
      </c>
      <c r="C5119" s="2" t="s">
        <v>4347</v>
      </c>
      <c r="D5119" s="3" t="str">
        <f t="shared" ref="D5119:D5124" si="906">HYPERLINK("https://12go.asia/en/travel/Agadir-Al-Massira-International-Airport/Asni-Hotel-Transfer", "12Go Link")</f>
        <v>12Go Link</v>
      </c>
      <c r="E5119" s="2" t="s">
        <v>4336</v>
      </c>
    </row>
    <row r="5120">
      <c r="A5120" s="2" t="s">
        <v>4334</v>
      </c>
      <c r="B5120" s="2" t="s">
        <v>4346</v>
      </c>
      <c r="C5120" s="2" t="s">
        <v>4347</v>
      </c>
      <c r="D5120" s="3" t="str">
        <f t="shared" si="906"/>
        <v>12Go Link</v>
      </c>
      <c r="E5120" s="2" t="s">
        <v>4337</v>
      </c>
    </row>
    <row r="5121">
      <c r="A5121" s="2" t="s">
        <v>4334</v>
      </c>
      <c r="B5121" s="2" t="s">
        <v>4346</v>
      </c>
      <c r="C5121" s="2" t="s">
        <v>4347</v>
      </c>
      <c r="D5121" s="3" t="str">
        <f t="shared" si="906"/>
        <v>12Go Link</v>
      </c>
      <c r="E5121" s="2" t="s">
        <v>4137</v>
      </c>
    </row>
    <row r="5122">
      <c r="A5122" s="2" t="s">
        <v>4334</v>
      </c>
      <c r="B5122" s="2" t="s">
        <v>4346</v>
      </c>
      <c r="C5122" s="2" t="s">
        <v>4347</v>
      </c>
      <c r="D5122" s="3" t="str">
        <f t="shared" si="906"/>
        <v>12Go Link</v>
      </c>
      <c r="E5122" s="2" t="s">
        <v>4338</v>
      </c>
    </row>
    <row r="5123">
      <c r="A5123" s="2" t="s">
        <v>4334</v>
      </c>
      <c r="B5123" s="2" t="s">
        <v>4346</v>
      </c>
      <c r="C5123" s="2" t="s">
        <v>4347</v>
      </c>
      <c r="D5123" s="3" t="str">
        <f t="shared" si="906"/>
        <v>12Go Link</v>
      </c>
      <c r="E5123" s="2" t="s">
        <v>4339</v>
      </c>
    </row>
    <row r="5124">
      <c r="A5124" s="2" t="s">
        <v>4334</v>
      </c>
      <c r="B5124" s="2" t="s">
        <v>4346</v>
      </c>
      <c r="C5124" s="2" t="s">
        <v>4347</v>
      </c>
      <c r="D5124" s="3" t="str">
        <f t="shared" si="906"/>
        <v>12Go Link</v>
      </c>
      <c r="E5124" s="2" t="s">
        <v>4340</v>
      </c>
    </row>
    <row r="5125">
      <c r="A5125" s="2" t="s">
        <v>4334</v>
      </c>
      <c r="B5125" s="2" t="s">
        <v>4348</v>
      </c>
      <c r="C5125" s="2" t="s">
        <v>4349</v>
      </c>
      <c r="D5125" s="3" t="str">
        <f t="shared" ref="D5125:D5130" si="907">HYPERLINK("https://12go.asia/en/travel/Agadir-Al-Massira-International-Airport/Beni-Mellal-Hotel-Transfer", "12Go Link")</f>
        <v>12Go Link</v>
      </c>
      <c r="E5125" s="2" t="s">
        <v>4336</v>
      </c>
    </row>
    <row r="5126">
      <c r="A5126" s="2" t="s">
        <v>4334</v>
      </c>
      <c r="B5126" s="2" t="s">
        <v>4348</v>
      </c>
      <c r="C5126" s="2" t="s">
        <v>4349</v>
      </c>
      <c r="D5126" s="3" t="str">
        <f t="shared" si="907"/>
        <v>12Go Link</v>
      </c>
      <c r="E5126" s="2" t="s">
        <v>4337</v>
      </c>
    </row>
    <row r="5127">
      <c r="A5127" s="2" t="s">
        <v>4334</v>
      </c>
      <c r="B5127" s="2" t="s">
        <v>4348</v>
      </c>
      <c r="C5127" s="2" t="s">
        <v>4349</v>
      </c>
      <c r="D5127" s="3" t="str">
        <f t="shared" si="907"/>
        <v>12Go Link</v>
      </c>
      <c r="E5127" s="2" t="s">
        <v>4137</v>
      </c>
    </row>
    <row r="5128">
      <c r="A5128" s="2" t="s">
        <v>4334</v>
      </c>
      <c r="B5128" s="2" t="s">
        <v>4348</v>
      </c>
      <c r="C5128" s="2" t="s">
        <v>4349</v>
      </c>
      <c r="D5128" s="3" t="str">
        <f t="shared" si="907"/>
        <v>12Go Link</v>
      </c>
      <c r="E5128" s="2" t="s">
        <v>4338</v>
      </c>
    </row>
    <row r="5129">
      <c r="A5129" s="2" t="s">
        <v>4334</v>
      </c>
      <c r="B5129" s="2" t="s">
        <v>4348</v>
      </c>
      <c r="C5129" s="2" t="s">
        <v>4349</v>
      </c>
      <c r="D5129" s="3" t="str">
        <f t="shared" si="907"/>
        <v>12Go Link</v>
      </c>
      <c r="E5129" s="2" t="s">
        <v>4339</v>
      </c>
    </row>
    <row r="5130">
      <c r="A5130" s="2" t="s">
        <v>4334</v>
      </c>
      <c r="B5130" s="2" t="s">
        <v>4348</v>
      </c>
      <c r="C5130" s="2" t="s">
        <v>4349</v>
      </c>
      <c r="D5130" s="3" t="str">
        <f t="shared" si="907"/>
        <v>12Go Link</v>
      </c>
      <c r="E5130" s="2" t="s">
        <v>4340</v>
      </c>
    </row>
    <row r="5131">
      <c r="A5131" s="2" t="s">
        <v>4334</v>
      </c>
      <c r="B5131" s="2" t="s">
        <v>4350</v>
      </c>
      <c r="C5131" s="2" t="s">
        <v>4351</v>
      </c>
      <c r="D5131" s="3" t="str">
        <f t="shared" ref="D5131:D5136" si="908">HYPERLINK("https://12go.asia/en/travel/Agadir-Al-Massira-International-Airport/Casablanca-Hotel-Transfer", "12Go Link")</f>
        <v>12Go Link</v>
      </c>
      <c r="E5131" s="2" t="s">
        <v>4336</v>
      </c>
    </row>
    <row r="5132">
      <c r="A5132" s="2" t="s">
        <v>4334</v>
      </c>
      <c r="B5132" s="2" t="s">
        <v>4350</v>
      </c>
      <c r="C5132" s="2" t="s">
        <v>4351</v>
      </c>
      <c r="D5132" s="3" t="str">
        <f t="shared" si="908"/>
        <v>12Go Link</v>
      </c>
      <c r="E5132" s="2" t="s">
        <v>4337</v>
      </c>
    </row>
    <row r="5133">
      <c r="A5133" s="2" t="s">
        <v>4334</v>
      </c>
      <c r="B5133" s="2" t="s">
        <v>4350</v>
      </c>
      <c r="C5133" s="2" t="s">
        <v>4351</v>
      </c>
      <c r="D5133" s="3" t="str">
        <f t="shared" si="908"/>
        <v>12Go Link</v>
      </c>
      <c r="E5133" s="2" t="s">
        <v>4137</v>
      </c>
    </row>
    <row r="5134">
      <c r="A5134" s="2" t="s">
        <v>4334</v>
      </c>
      <c r="B5134" s="2" t="s">
        <v>4350</v>
      </c>
      <c r="C5134" s="2" t="s">
        <v>4351</v>
      </c>
      <c r="D5134" s="3" t="str">
        <f t="shared" si="908"/>
        <v>12Go Link</v>
      </c>
      <c r="E5134" s="2" t="s">
        <v>4338</v>
      </c>
    </row>
    <row r="5135">
      <c r="A5135" s="2" t="s">
        <v>4334</v>
      </c>
      <c r="B5135" s="2" t="s">
        <v>4350</v>
      </c>
      <c r="C5135" s="2" t="s">
        <v>4351</v>
      </c>
      <c r="D5135" s="3" t="str">
        <f t="shared" si="908"/>
        <v>12Go Link</v>
      </c>
      <c r="E5135" s="2" t="s">
        <v>4339</v>
      </c>
    </row>
    <row r="5136">
      <c r="A5136" s="2" t="s">
        <v>4334</v>
      </c>
      <c r="B5136" s="2" t="s">
        <v>4350</v>
      </c>
      <c r="C5136" s="2" t="s">
        <v>4351</v>
      </c>
      <c r="D5136" s="3" t="str">
        <f t="shared" si="908"/>
        <v>12Go Link</v>
      </c>
      <c r="E5136" s="2" t="s">
        <v>4340</v>
      </c>
    </row>
    <row r="5137">
      <c r="A5137" s="2" t="s">
        <v>4334</v>
      </c>
      <c r="B5137" s="2" t="s">
        <v>4350</v>
      </c>
      <c r="C5137" s="2" t="s">
        <v>4352</v>
      </c>
      <c r="D5137" s="3" t="str">
        <f t="shared" ref="D5137:D5142" si="909">HYPERLINK("https://12go.asia/en/travel/Agadir-Hotel-Transfer/Mohammed-V-International-Airport", "12Go Link")</f>
        <v>12Go Link</v>
      </c>
      <c r="E5137" s="2" t="s">
        <v>4336</v>
      </c>
    </row>
    <row r="5138">
      <c r="A5138" s="2" t="s">
        <v>4334</v>
      </c>
      <c r="B5138" s="2" t="s">
        <v>4350</v>
      </c>
      <c r="C5138" s="2" t="s">
        <v>4352</v>
      </c>
      <c r="D5138" s="3" t="str">
        <f t="shared" si="909"/>
        <v>12Go Link</v>
      </c>
      <c r="E5138" s="2" t="s">
        <v>4337</v>
      </c>
    </row>
    <row r="5139">
      <c r="A5139" s="2" t="s">
        <v>4334</v>
      </c>
      <c r="B5139" s="2" t="s">
        <v>4350</v>
      </c>
      <c r="C5139" s="2" t="s">
        <v>4352</v>
      </c>
      <c r="D5139" s="3" t="str">
        <f t="shared" si="909"/>
        <v>12Go Link</v>
      </c>
      <c r="E5139" s="2" t="s">
        <v>4137</v>
      </c>
    </row>
    <row r="5140">
      <c r="A5140" s="2" t="s">
        <v>4334</v>
      </c>
      <c r="B5140" s="2" t="s">
        <v>4350</v>
      </c>
      <c r="C5140" s="2" t="s">
        <v>4352</v>
      </c>
      <c r="D5140" s="3" t="str">
        <f t="shared" si="909"/>
        <v>12Go Link</v>
      </c>
      <c r="E5140" s="2" t="s">
        <v>4338</v>
      </c>
    </row>
    <row r="5141">
      <c r="A5141" s="2" t="s">
        <v>4334</v>
      </c>
      <c r="B5141" s="2" t="s">
        <v>4350</v>
      </c>
      <c r="C5141" s="2" t="s">
        <v>4352</v>
      </c>
      <c r="D5141" s="3" t="str">
        <f t="shared" si="909"/>
        <v>12Go Link</v>
      </c>
      <c r="E5141" s="2" t="s">
        <v>4339</v>
      </c>
    </row>
    <row r="5142">
      <c r="A5142" s="2" t="s">
        <v>4334</v>
      </c>
      <c r="B5142" s="2" t="s">
        <v>4350</v>
      </c>
      <c r="C5142" s="2" t="s">
        <v>4352</v>
      </c>
      <c r="D5142" s="3" t="str">
        <f t="shared" si="909"/>
        <v>12Go Link</v>
      </c>
      <c r="E5142" s="2" t="s">
        <v>4340</v>
      </c>
    </row>
    <row r="5143">
      <c r="A5143" s="2" t="s">
        <v>4334</v>
      </c>
      <c r="B5143" s="2" t="s">
        <v>4353</v>
      </c>
      <c r="C5143" s="2" t="s">
        <v>4354</v>
      </c>
      <c r="D5143" s="3" t="str">
        <f t="shared" ref="D5143:D5148" si="910">HYPERLINK("https://12go.asia/en/travel/Agadir-Al-Massira-International-Airport/Essaouira-Hotel-Transfer", "12Go Link")</f>
        <v>12Go Link</v>
      </c>
      <c r="E5143" s="2" t="s">
        <v>4336</v>
      </c>
    </row>
    <row r="5144">
      <c r="A5144" s="2" t="s">
        <v>4334</v>
      </c>
      <c r="B5144" s="2" t="s">
        <v>4353</v>
      </c>
      <c r="C5144" s="2" t="s">
        <v>4354</v>
      </c>
      <c r="D5144" s="3" t="str">
        <f t="shared" si="910"/>
        <v>12Go Link</v>
      </c>
      <c r="E5144" s="2" t="s">
        <v>4337</v>
      </c>
    </row>
    <row r="5145">
      <c r="A5145" s="2" t="s">
        <v>4334</v>
      </c>
      <c r="B5145" s="2" t="s">
        <v>4353</v>
      </c>
      <c r="C5145" s="2" t="s">
        <v>4354</v>
      </c>
      <c r="D5145" s="3" t="str">
        <f t="shared" si="910"/>
        <v>12Go Link</v>
      </c>
      <c r="E5145" s="2" t="s">
        <v>4137</v>
      </c>
    </row>
    <row r="5146">
      <c r="A5146" s="2" t="s">
        <v>4334</v>
      </c>
      <c r="B5146" s="2" t="s">
        <v>4353</v>
      </c>
      <c r="C5146" s="2" t="s">
        <v>4354</v>
      </c>
      <c r="D5146" s="3" t="str">
        <f t="shared" si="910"/>
        <v>12Go Link</v>
      </c>
      <c r="E5146" s="2" t="s">
        <v>4338</v>
      </c>
    </row>
    <row r="5147">
      <c r="A5147" s="2" t="s">
        <v>4334</v>
      </c>
      <c r="B5147" s="2" t="s">
        <v>4353</v>
      </c>
      <c r="C5147" s="2" t="s">
        <v>4354</v>
      </c>
      <c r="D5147" s="3" t="str">
        <f t="shared" si="910"/>
        <v>12Go Link</v>
      </c>
      <c r="E5147" s="2" t="s">
        <v>4339</v>
      </c>
    </row>
    <row r="5148">
      <c r="A5148" s="2" t="s">
        <v>4334</v>
      </c>
      <c r="B5148" s="2" t="s">
        <v>4353</v>
      </c>
      <c r="C5148" s="2" t="s">
        <v>4354</v>
      </c>
      <c r="D5148" s="3" t="str">
        <f t="shared" si="910"/>
        <v>12Go Link</v>
      </c>
      <c r="E5148" s="2" t="s">
        <v>4340</v>
      </c>
    </row>
    <row r="5149">
      <c r="A5149" s="2" t="s">
        <v>4334</v>
      </c>
      <c r="B5149" s="2" t="s">
        <v>4353</v>
      </c>
      <c r="C5149" s="2" t="s">
        <v>4355</v>
      </c>
      <c r="D5149" s="3" t="str">
        <f t="shared" ref="D5149:D5154" si="911">HYPERLINK("https://12go.asia/en/travel/Agadir-Al-Massira-International-Airport/Essaouira-Mogador-Airport", "12Go Link")</f>
        <v>12Go Link</v>
      </c>
      <c r="E5149" s="2" t="s">
        <v>4336</v>
      </c>
    </row>
    <row r="5150">
      <c r="A5150" s="2" t="s">
        <v>4334</v>
      </c>
      <c r="B5150" s="2" t="s">
        <v>4353</v>
      </c>
      <c r="C5150" s="2" t="s">
        <v>4355</v>
      </c>
      <c r="D5150" s="3" t="str">
        <f t="shared" si="911"/>
        <v>12Go Link</v>
      </c>
      <c r="E5150" s="2" t="s">
        <v>4337</v>
      </c>
    </row>
    <row r="5151">
      <c r="A5151" s="2" t="s">
        <v>4334</v>
      </c>
      <c r="B5151" s="2" t="s">
        <v>4353</v>
      </c>
      <c r="C5151" s="2" t="s">
        <v>4355</v>
      </c>
      <c r="D5151" s="3" t="str">
        <f t="shared" si="911"/>
        <v>12Go Link</v>
      </c>
      <c r="E5151" s="2" t="s">
        <v>4137</v>
      </c>
    </row>
    <row r="5152">
      <c r="A5152" s="2" t="s">
        <v>4334</v>
      </c>
      <c r="B5152" s="2" t="s">
        <v>4353</v>
      </c>
      <c r="C5152" s="2" t="s">
        <v>4355</v>
      </c>
      <c r="D5152" s="3" t="str">
        <f t="shared" si="911"/>
        <v>12Go Link</v>
      </c>
      <c r="E5152" s="2" t="s">
        <v>4338</v>
      </c>
    </row>
    <row r="5153">
      <c r="A5153" s="2" t="s">
        <v>4334</v>
      </c>
      <c r="B5153" s="2" t="s">
        <v>4353</v>
      </c>
      <c r="C5153" s="2" t="s">
        <v>4355</v>
      </c>
      <c r="D5153" s="3" t="str">
        <f t="shared" si="911"/>
        <v>12Go Link</v>
      </c>
      <c r="E5153" s="2" t="s">
        <v>4339</v>
      </c>
    </row>
    <row r="5154">
      <c r="A5154" s="2" t="s">
        <v>4334</v>
      </c>
      <c r="B5154" s="2" t="s">
        <v>4353</v>
      </c>
      <c r="C5154" s="2" t="s">
        <v>4355</v>
      </c>
      <c r="D5154" s="3" t="str">
        <f t="shared" si="911"/>
        <v>12Go Link</v>
      </c>
      <c r="E5154" s="2" t="s">
        <v>4340</v>
      </c>
    </row>
    <row r="5155">
      <c r="A5155" s="2" t="s">
        <v>4334</v>
      </c>
      <c r="B5155" s="2" t="s">
        <v>4353</v>
      </c>
      <c r="C5155" s="2" t="s">
        <v>4356</v>
      </c>
      <c r="D5155" s="3" t="str">
        <f t="shared" ref="D5155:D5160" si="912">HYPERLINK("https://12go.asia/en/travel/Agadir-Hotel-Transfer/Essaouira-Mogador-Airport", "12Go Link")</f>
        <v>12Go Link</v>
      </c>
      <c r="E5155" s="2" t="s">
        <v>4336</v>
      </c>
    </row>
    <row r="5156">
      <c r="A5156" s="2" t="s">
        <v>4334</v>
      </c>
      <c r="B5156" s="2" t="s">
        <v>4353</v>
      </c>
      <c r="C5156" s="2" t="s">
        <v>4356</v>
      </c>
      <c r="D5156" s="3" t="str">
        <f t="shared" si="912"/>
        <v>12Go Link</v>
      </c>
      <c r="E5156" s="2" t="s">
        <v>4337</v>
      </c>
    </row>
    <row r="5157">
      <c r="A5157" s="2" t="s">
        <v>4334</v>
      </c>
      <c r="B5157" s="2" t="s">
        <v>4353</v>
      </c>
      <c r="C5157" s="2" t="s">
        <v>4356</v>
      </c>
      <c r="D5157" s="3" t="str">
        <f t="shared" si="912"/>
        <v>12Go Link</v>
      </c>
      <c r="E5157" s="2" t="s">
        <v>4137</v>
      </c>
    </row>
    <row r="5158">
      <c r="A5158" s="2" t="s">
        <v>4334</v>
      </c>
      <c r="B5158" s="2" t="s">
        <v>4353</v>
      </c>
      <c r="C5158" s="2" t="s">
        <v>4356</v>
      </c>
      <c r="D5158" s="3" t="str">
        <f t="shared" si="912"/>
        <v>12Go Link</v>
      </c>
      <c r="E5158" s="2" t="s">
        <v>4338</v>
      </c>
    </row>
    <row r="5159">
      <c r="A5159" s="2" t="s">
        <v>4334</v>
      </c>
      <c r="B5159" s="2" t="s">
        <v>4353</v>
      </c>
      <c r="C5159" s="2" t="s">
        <v>4356</v>
      </c>
      <c r="D5159" s="3" t="str">
        <f t="shared" si="912"/>
        <v>12Go Link</v>
      </c>
      <c r="E5159" s="2" t="s">
        <v>4339</v>
      </c>
    </row>
    <row r="5160">
      <c r="A5160" s="2" t="s">
        <v>4334</v>
      </c>
      <c r="B5160" s="2" t="s">
        <v>4353</v>
      </c>
      <c r="C5160" s="2" t="s">
        <v>4356</v>
      </c>
      <c r="D5160" s="3" t="str">
        <f t="shared" si="912"/>
        <v>12Go Link</v>
      </c>
      <c r="E5160" s="2" t="s">
        <v>4340</v>
      </c>
    </row>
    <row r="5161">
      <c r="A5161" s="2" t="s">
        <v>4334</v>
      </c>
      <c r="B5161" s="2" t="s">
        <v>4357</v>
      </c>
      <c r="C5161" s="2" t="s">
        <v>4358</v>
      </c>
      <c r="D5161" s="3" t="str">
        <f t="shared" ref="D5161:D5166" si="913">HYPERLINK("https://12go.asia/en/travel/Agadir-Al-Massira-International-Airport/Fes-Airport", "12Go Link")</f>
        <v>12Go Link</v>
      </c>
      <c r="E5161" s="2" t="s">
        <v>4336</v>
      </c>
    </row>
    <row r="5162">
      <c r="A5162" s="2" t="s">
        <v>4334</v>
      </c>
      <c r="B5162" s="2" t="s">
        <v>4357</v>
      </c>
      <c r="C5162" s="2" t="s">
        <v>4358</v>
      </c>
      <c r="D5162" s="3" t="str">
        <f t="shared" si="913"/>
        <v>12Go Link</v>
      </c>
      <c r="E5162" s="2" t="s">
        <v>4337</v>
      </c>
    </row>
    <row r="5163">
      <c r="A5163" s="2" t="s">
        <v>4334</v>
      </c>
      <c r="B5163" s="2" t="s">
        <v>4357</v>
      </c>
      <c r="C5163" s="2" t="s">
        <v>4358</v>
      </c>
      <c r="D5163" s="3" t="str">
        <f t="shared" si="913"/>
        <v>12Go Link</v>
      </c>
      <c r="E5163" s="2" t="s">
        <v>4137</v>
      </c>
    </row>
    <row r="5164">
      <c r="A5164" s="2" t="s">
        <v>4334</v>
      </c>
      <c r="B5164" s="2" t="s">
        <v>4357</v>
      </c>
      <c r="C5164" s="2" t="s">
        <v>4358</v>
      </c>
      <c r="D5164" s="3" t="str">
        <f t="shared" si="913"/>
        <v>12Go Link</v>
      </c>
      <c r="E5164" s="2" t="s">
        <v>4338</v>
      </c>
    </row>
    <row r="5165">
      <c r="A5165" s="2" t="s">
        <v>4334</v>
      </c>
      <c r="B5165" s="2" t="s">
        <v>4357</v>
      </c>
      <c r="C5165" s="2" t="s">
        <v>4358</v>
      </c>
      <c r="D5165" s="3" t="str">
        <f t="shared" si="913"/>
        <v>12Go Link</v>
      </c>
      <c r="E5165" s="2" t="s">
        <v>4339</v>
      </c>
    </row>
    <row r="5166">
      <c r="A5166" s="2" t="s">
        <v>4334</v>
      </c>
      <c r="B5166" s="2" t="s">
        <v>4357</v>
      </c>
      <c r="C5166" s="2" t="s">
        <v>4358</v>
      </c>
      <c r="D5166" s="3" t="str">
        <f t="shared" si="913"/>
        <v>12Go Link</v>
      </c>
      <c r="E5166" s="2" t="s">
        <v>4340</v>
      </c>
    </row>
    <row r="5167">
      <c r="A5167" s="2" t="s">
        <v>4334</v>
      </c>
      <c r="B5167" s="2" t="s">
        <v>4357</v>
      </c>
      <c r="C5167" s="2" t="s">
        <v>4359</v>
      </c>
      <c r="D5167" s="3" t="str">
        <f t="shared" ref="D5167:D5172" si="914">HYPERLINK("https://12go.asia/en/travel/Agadir-Al-Massira-International-Airport/Fes-Hotel-Transfer", "12Go Link")</f>
        <v>12Go Link</v>
      </c>
      <c r="E5167" s="2" t="s">
        <v>4336</v>
      </c>
    </row>
    <row r="5168">
      <c r="A5168" s="2" t="s">
        <v>4334</v>
      </c>
      <c r="B5168" s="2" t="s">
        <v>4357</v>
      </c>
      <c r="C5168" s="2" t="s">
        <v>4359</v>
      </c>
      <c r="D5168" s="3" t="str">
        <f t="shared" si="914"/>
        <v>12Go Link</v>
      </c>
      <c r="E5168" s="2" t="s">
        <v>4337</v>
      </c>
    </row>
    <row r="5169">
      <c r="A5169" s="2" t="s">
        <v>4334</v>
      </c>
      <c r="B5169" s="2" t="s">
        <v>4357</v>
      </c>
      <c r="C5169" s="2" t="s">
        <v>4359</v>
      </c>
      <c r="D5169" s="3" t="str">
        <f t="shared" si="914"/>
        <v>12Go Link</v>
      </c>
      <c r="E5169" s="2" t="s">
        <v>4137</v>
      </c>
    </row>
    <row r="5170">
      <c r="A5170" s="2" t="s">
        <v>4334</v>
      </c>
      <c r="B5170" s="2" t="s">
        <v>4357</v>
      </c>
      <c r="C5170" s="2" t="s">
        <v>4359</v>
      </c>
      <c r="D5170" s="3" t="str">
        <f t="shared" si="914"/>
        <v>12Go Link</v>
      </c>
      <c r="E5170" s="2" t="s">
        <v>4338</v>
      </c>
    </row>
    <row r="5171">
      <c r="A5171" s="2" t="s">
        <v>4334</v>
      </c>
      <c r="B5171" s="2" t="s">
        <v>4357</v>
      </c>
      <c r="C5171" s="2" t="s">
        <v>4359</v>
      </c>
      <c r="D5171" s="3" t="str">
        <f t="shared" si="914"/>
        <v>12Go Link</v>
      </c>
      <c r="E5171" s="2" t="s">
        <v>4339</v>
      </c>
    </row>
    <row r="5172">
      <c r="A5172" s="2" t="s">
        <v>4334</v>
      </c>
      <c r="B5172" s="2" t="s">
        <v>4357</v>
      </c>
      <c r="C5172" s="2" t="s">
        <v>4359</v>
      </c>
      <c r="D5172" s="3" t="str">
        <f t="shared" si="914"/>
        <v>12Go Link</v>
      </c>
      <c r="E5172" s="2" t="s">
        <v>4340</v>
      </c>
    </row>
    <row r="5173">
      <c r="A5173" s="2" t="s">
        <v>4334</v>
      </c>
      <c r="B5173" s="2" t="s">
        <v>4357</v>
      </c>
      <c r="C5173" s="2" t="s">
        <v>4360</v>
      </c>
      <c r="D5173" s="3" t="str">
        <f t="shared" ref="D5173:D5178" si="915">HYPERLINK("https://12go.asia/en/travel/Agadir-Hotel-Transfer/Fes-Airport", "12Go Link")</f>
        <v>12Go Link</v>
      </c>
      <c r="E5173" s="2" t="s">
        <v>4336</v>
      </c>
    </row>
    <row r="5174">
      <c r="A5174" s="2" t="s">
        <v>4334</v>
      </c>
      <c r="B5174" s="2" t="s">
        <v>4357</v>
      </c>
      <c r="C5174" s="2" t="s">
        <v>4360</v>
      </c>
      <c r="D5174" s="3" t="str">
        <f t="shared" si="915"/>
        <v>12Go Link</v>
      </c>
      <c r="E5174" s="2" t="s">
        <v>4337</v>
      </c>
    </row>
    <row r="5175">
      <c r="A5175" s="2" t="s">
        <v>4334</v>
      </c>
      <c r="B5175" s="2" t="s">
        <v>4357</v>
      </c>
      <c r="C5175" s="2" t="s">
        <v>4360</v>
      </c>
      <c r="D5175" s="3" t="str">
        <f t="shared" si="915"/>
        <v>12Go Link</v>
      </c>
      <c r="E5175" s="2" t="s">
        <v>4137</v>
      </c>
    </row>
    <row r="5176">
      <c r="A5176" s="2" t="s">
        <v>4334</v>
      </c>
      <c r="B5176" s="2" t="s">
        <v>4357</v>
      </c>
      <c r="C5176" s="2" t="s">
        <v>4360</v>
      </c>
      <c r="D5176" s="3" t="str">
        <f t="shared" si="915"/>
        <v>12Go Link</v>
      </c>
      <c r="E5176" s="2" t="s">
        <v>4338</v>
      </c>
    </row>
    <row r="5177">
      <c r="A5177" s="2" t="s">
        <v>4334</v>
      </c>
      <c r="B5177" s="2" t="s">
        <v>4357</v>
      </c>
      <c r="C5177" s="2" t="s">
        <v>4360</v>
      </c>
      <c r="D5177" s="3" t="str">
        <f t="shared" si="915"/>
        <v>12Go Link</v>
      </c>
      <c r="E5177" s="2" t="s">
        <v>4339</v>
      </c>
    </row>
    <row r="5178">
      <c r="A5178" s="2" t="s">
        <v>4334</v>
      </c>
      <c r="B5178" s="2" t="s">
        <v>4357</v>
      </c>
      <c r="C5178" s="2" t="s">
        <v>4360</v>
      </c>
      <c r="D5178" s="3" t="str">
        <f t="shared" si="915"/>
        <v>12Go Link</v>
      </c>
      <c r="E5178" s="2" t="s">
        <v>4340</v>
      </c>
    </row>
    <row r="5179">
      <c r="A5179" s="2" t="s">
        <v>4334</v>
      </c>
      <c r="B5179" s="2" t="s">
        <v>4357</v>
      </c>
      <c r="C5179" s="2" t="s">
        <v>4361</v>
      </c>
      <c r="D5179" s="3" t="str">
        <f t="shared" ref="D5179:D5184" si="916">HYPERLINK("https://12go.asia/en/travel/Founty-Hotel-Transfer/Fes-Airport", "12Go Link")</f>
        <v>12Go Link</v>
      </c>
      <c r="E5179" s="2" t="s">
        <v>4336</v>
      </c>
    </row>
    <row r="5180">
      <c r="A5180" s="2" t="s">
        <v>4334</v>
      </c>
      <c r="B5180" s="2" t="s">
        <v>4357</v>
      </c>
      <c r="C5180" s="2" t="s">
        <v>4361</v>
      </c>
      <c r="D5180" s="3" t="str">
        <f t="shared" si="916"/>
        <v>12Go Link</v>
      </c>
      <c r="E5180" s="2" t="s">
        <v>4337</v>
      </c>
    </row>
    <row r="5181">
      <c r="A5181" s="2" t="s">
        <v>4334</v>
      </c>
      <c r="B5181" s="2" t="s">
        <v>4357</v>
      </c>
      <c r="C5181" s="2" t="s">
        <v>4361</v>
      </c>
      <c r="D5181" s="3" t="str">
        <f t="shared" si="916"/>
        <v>12Go Link</v>
      </c>
      <c r="E5181" s="2" t="s">
        <v>4137</v>
      </c>
    </row>
    <row r="5182">
      <c r="A5182" s="2" t="s">
        <v>4334</v>
      </c>
      <c r="B5182" s="2" t="s">
        <v>4357</v>
      </c>
      <c r="C5182" s="2" t="s">
        <v>4361</v>
      </c>
      <c r="D5182" s="3" t="str">
        <f t="shared" si="916"/>
        <v>12Go Link</v>
      </c>
      <c r="E5182" s="2" t="s">
        <v>4338</v>
      </c>
    </row>
    <row r="5183">
      <c r="A5183" s="2" t="s">
        <v>4334</v>
      </c>
      <c r="B5183" s="2" t="s">
        <v>4357</v>
      </c>
      <c r="C5183" s="2" t="s">
        <v>4361</v>
      </c>
      <c r="D5183" s="3" t="str">
        <f t="shared" si="916"/>
        <v>12Go Link</v>
      </c>
      <c r="E5183" s="2" t="s">
        <v>4339</v>
      </c>
    </row>
    <row r="5184">
      <c r="A5184" s="2" t="s">
        <v>4334</v>
      </c>
      <c r="B5184" s="2" t="s">
        <v>4357</v>
      </c>
      <c r="C5184" s="2" t="s">
        <v>4361</v>
      </c>
      <c r="D5184" s="3" t="str">
        <f t="shared" si="916"/>
        <v>12Go Link</v>
      </c>
      <c r="E5184" s="2" t="s">
        <v>4340</v>
      </c>
    </row>
    <row r="5185">
      <c r="A5185" s="2" t="s">
        <v>4334</v>
      </c>
      <c r="B5185" s="2" t="s">
        <v>4362</v>
      </c>
      <c r="C5185" s="2" t="s">
        <v>4363</v>
      </c>
      <c r="D5185" s="3" t="str">
        <f t="shared" ref="D5185:D5190" si="917">HYPERLINK("https://12go.asia/en/travel/Agadir-Al-Massira-International-Airport/Guelmin-Hotel-Transfer", "12Go Link")</f>
        <v>12Go Link</v>
      </c>
      <c r="E5185" s="2" t="s">
        <v>4336</v>
      </c>
    </row>
    <row r="5186">
      <c r="A5186" s="2" t="s">
        <v>4334</v>
      </c>
      <c r="B5186" s="2" t="s">
        <v>4362</v>
      </c>
      <c r="C5186" s="2" t="s">
        <v>4363</v>
      </c>
      <c r="D5186" s="3" t="str">
        <f t="shared" si="917"/>
        <v>12Go Link</v>
      </c>
      <c r="E5186" s="2" t="s">
        <v>4337</v>
      </c>
    </row>
    <row r="5187">
      <c r="A5187" s="2" t="s">
        <v>4334</v>
      </c>
      <c r="B5187" s="2" t="s">
        <v>4362</v>
      </c>
      <c r="C5187" s="2" t="s">
        <v>4363</v>
      </c>
      <c r="D5187" s="3" t="str">
        <f t="shared" si="917"/>
        <v>12Go Link</v>
      </c>
      <c r="E5187" s="2" t="s">
        <v>4137</v>
      </c>
    </row>
    <row r="5188">
      <c r="A5188" s="2" t="s">
        <v>4334</v>
      </c>
      <c r="B5188" s="2" t="s">
        <v>4362</v>
      </c>
      <c r="C5188" s="2" t="s">
        <v>4363</v>
      </c>
      <c r="D5188" s="3" t="str">
        <f t="shared" si="917"/>
        <v>12Go Link</v>
      </c>
      <c r="E5188" s="2" t="s">
        <v>4338</v>
      </c>
    </row>
    <row r="5189">
      <c r="A5189" s="2" t="s">
        <v>4334</v>
      </c>
      <c r="B5189" s="2" t="s">
        <v>4362</v>
      </c>
      <c r="C5189" s="2" t="s">
        <v>4363</v>
      </c>
      <c r="D5189" s="3" t="str">
        <f t="shared" si="917"/>
        <v>12Go Link</v>
      </c>
      <c r="E5189" s="2" t="s">
        <v>4339</v>
      </c>
    </row>
    <row r="5190">
      <c r="A5190" s="2" t="s">
        <v>4334</v>
      </c>
      <c r="B5190" s="2" t="s">
        <v>4362</v>
      </c>
      <c r="C5190" s="2" t="s">
        <v>4363</v>
      </c>
      <c r="D5190" s="3" t="str">
        <f t="shared" si="917"/>
        <v>12Go Link</v>
      </c>
      <c r="E5190" s="2" t="s">
        <v>4340</v>
      </c>
    </row>
    <row r="5191">
      <c r="A5191" s="2" t="s">
        <v>4334</v>
      </c>
      <c r="B5191" s="2" t="s">
        <v>4364</v>
      </c>
      <c r="C5191" s="2" t="s">
        <v>4365</v>
      </c>
      <c r="D5191" s="3" t="str">
        <f t="shared" ref="D5191:D5196" si="918">HYPERLINK("https://12go.asia/en/travel/Agadir-Al-Massira-International-Airport/Imi-Ouaddar-Hotel-Transfer", "12Go Link")</f>
        <v>12Go Link</v>
      </c>
      <c r="E5191" s="2" t="s">
        <v>4336</v>
      </c>
    </row>
    <row r="5192">
      <c r="A5192" s="2" t="s">
        <v>4334</v>
      </c>
      <c r="B5192" s="2" t="s">
        <v>4364</v>
      </c>
      <c r="C5192" s="2" t="s">
        <v>4365</v>
      </c>
      <c r="D5192" s="3" t="str">
        <f t="shared" si="918"/>
        <v>12Go Link</v>
      </c>
      <c r="E5192" s="2" t="s">
        <v>4337</v>
      </c>
    </row>
    <row r="5193">
      <c r="A5193" s="2" t="s">
        <v>4334</v>
      </c>
      <c r="B5193" s="2" t="s">
        <v>4364</v>
      </c>
      <c r="C5193" s="2" t="s">
        <v>4365</v>
      </c>
      <c r="D5193" s="3" t="str">
        <f t="shared" si="918"/>
        <v>12Go Link</v>
      </c>
      <c r="E5193" s="2" t="s">
        <v>4137</v>
      </c>
    </row>
    <row r="5194">
      <c r="A5194" s="2" t="s">
        <v>4334</v>
      </c>
      <c r="B5194" s="2" t="s">
        <v>4364</v>
      </c>
      <c r="C5194" s="2" t="s">
        <v>4365</v>
      </c>
      <c r="D5194" s="3" t="str">
        <f t="shared" si="918"/>
        <v>12Go Link</v>
      </c>
      <c r="E5194" s="2" t="s">
        <v>4338</v>
      </c>
    </row>
    <row r="5195">
      <c r="A5195" s="2" t="s">
        <v>4334</v>
      </c>
      <c r="B5195" s="2" t="s">
        <v>4364</v>
      </c>
      <c r="C5195" s="2" t="s">
        <v>4365</v>
      </c>
      <c r="D5195" s="3" t="str">
        <f t="shared" si="918"/>
        <v>12Go Link</v>
      </c>
      <c r="E5195" s="2" t="s">
        <v>4339</v>
      </c>
    </row>
    <row r="5196">
      <c r="A5196" s="2" t="s">
        <v>4334</v>
      </c>
      <c r="B5196" s="2" t="s">
        <v>4364</v>
      </c>
      <c r="C5196" s="2" t="s">
        <v>4365</v>
      </c>
      <c r="D5196" s="3" t="str">
        <f t="shared" si="918"/>
        <v>12Go Link</v>
      </c>
      <c r="E5196" s="2" t="s">
        <v>4340</v>
      </c>
    </row>
    <row r="5197">
      <c r="A5197" s="2" t="s">
        <v>4334</v>
      </c>
      <c r="B5197" s="2" t="s">
        <v>4366</v>
      </c>
      <c r="C5197" s="2" t="s">
        <v>4367</v>
      </c>
      <c r="D5197" s="3" t="str">
        <f t="shared" ref="D5197:D5202" si="919">HYPERLINK("https://12go.asia/en/travel/Agadir-Al-Massira-International-Airport/Imlil-Hotel-Transfer", "12Go Link")</f>
        <v>12Go Link</v>
      </c>
      <c r="E5197" s="2" t="s">
        <v>4336</v>
      </c>
    </row>
    <row r="5198">
      <c r="A5198" s="2" t="s">
        <v>4334</v>
      </c>
      <c r="B5198" s="2" t="s">
        <v>4366</v>
      </c>
      <c r="C5198" s="2" t="s">
        <v>4367</v>
      </c>
      <c r="D5198" s="3" t="str">
        <f t="shared" si="919"/>
        <v>12Go Link</v>
      </c>
      <c r="E5198" s="2" t="s">
        <v>4337</v>
      </c>
    </row>
    <row r="5199">
      <c r="A5199" s="2" t="s">
        <v>4334</v>
      </c>
      <c r="B5199" s="2" t="s">
        <v>4366</v>
      </c>
      <c r="C5199" s="2" t="s">
        <v>4367</v>
      </c>
      <c r="D5199" s="3" t="str">
        <f t="shared" si="919"/>
        <v>12Go Link</v>
      </c>
      <c r="E5199" s="2" t="s">
        <v>4137</v>
      </c>
    </row>
    <row r="5200">
      <c r="A5200" s="2" t="s">
        <v>4334</v>
      </c>
      <c r="B5200" s="2" t="s">
        <v>4366</v>
      </c>
      <c r="C5200" s="2" t="s">
        <v>4367</v>
      </c>
      <c r="D5200" s="3" t="str">
        <f t="shared" si="919"/>
        <v>12Go Link</v>
      </c>
      <c r="E5200" s="2" t="s">
        <v>4338</v>
      </c>
    </row>
    <row r="5201">
      <c r="A5201" s="2" t="s">
        <v>4334</v>
      </c>
      <c r="B5201" s="2" t="s">
        <v>4366</v>
      </c>
      <c r="C5201" s="2" t="s">
        <v>4367</v>
      </c>
      <c r="D5201" s="3" t="str">
        <f t="shared" si="919"/>
        <v>12Go Link</v>
      </c>
      <c r="E5201" s="2" t="s">
        <v>4339</v>
      </c>
    </row>
    <row r="5202">
      <c r="A5202" s="2" t="s">
        <v>4334</v>
      </c>
      <c r="B5202" s="2" t="s">
        <v>4366</v>
      </c>
      <c r="C5202" s="2" t="s">
        <v>4367</v>
      </c>
      <c r="D5202" s="3" t="str">
        <f t="shared" si="919"/>
        <v>12Go Link</v>
      </c>
      <c r="E5202" s="2" t="s">
        <v>4340</v>
      </c>
    </row>
    <row r="5203">
      <c r="A5203" s="2" t="s">
        <v>4334</v>
      </c>
      <c r="B5203" s="2" t="s">
        <v>4368</v>
      </c>
      <c r="C5203" s="2" t="s">
        <v>4369</v>
      </c>
      <c r="D5203" s="3" t="str">
        <f t="shared" ref="D5203:D5208" si="920">HYPERLINK("https://12go.asia/en/travel/Agadir-Al-Massira-International-Airport/Imsouane-Hotel-Transfer", "12Go Link")</f>
        <v>12Go Link</v>
      </c>
      <c r="E5203" s="2" t="s">
        <v>4336</v>
      </c>
    </row>
    <row r="5204">
      <c r="A5204" s="2" t="s">
        <v>4334</v>
      </c>
      <c r="B5204" s="2" t="s">
        <v>4368</v>
      </c>
      <c r="C5204" s="2" t="s">
        <v>4369</v>
      </c>
      <c r="D5204" s="3" t="str">
        <f t="shared" si="920"/>
        <v>12Go Link</v>
      </c>
      <c r="E5204" s="2" t="s">
        <v>4337</v>
      </c>
    </row>
    <row r="5205">
      <c r="A5205" s="2" t="s">
        <v>4334</v>
      </c>
      <c r="B5205" s="2" t="s">
        <v>4368</v>
      </c>
      <c r="C5205" s="2" t="s">
        <v>4369</v>
      </c>
      <c r="D5205" s="3" t="str">
        <f t="shared" si="920"/>
        <v>12Go Link</v>
      </c>
      <c r="E5205" s="2" t="s">
        <v>4137</v>
      </c>
    </row>
    <row r="5206">
      <c r="A5206" s="2" t="s">
        <v>4334</v>
      </c>
      <c r="B5206" s="2" t="s">
        <v>4368</v>
      </c>
      <c r="C5206" s="2" t="s">
        <v>4369</v>
      </c>
      <c r="D5206" s="3" t="str">
        <f t="shared" si="920"/>
        <v>12Go Link</v>
      </c>
      <c r="E5206" s="2" t="s">
        <v>4338</v>
      </c>
    </row>
    <row r="5207">
      <c r="A5207" s="2" t="s">
        <v>4334</v>
      </c>
      <c r="B5207" s="2" t="s">
        <v>4368</v>
      </c>
      <c r="C5207" s="2" t="s">
        <v>4369</v>
      </c>
      <c r="D5207" s="3" t="str">
        <f t="shared" si="920"/>
        <v>12Go Link</v>
      </c>
      <c r="E5207" s="2" t="s">
        <v>4339</v>
      </c>
    </row>
    <row r="5208">
      <c r="A5208" s="2" t="s">
        <v>4334</v>
      </c>
      <c r="B5208" s="2" t="s">
        <v>4368</v>
      </c>
      <c r="C5208" s="2" t="s">
        <v>4369</v>
      </c>
      <c r="D5208" s="3" t="str">
        <f t="shared" si="920"/>
        <v>12Go Link</v>
      </c>
      <c r="E5208" s="2" t="s">
        <v>4340</v>
      </c>
    </row>
    <row r="5209">
      <c r="A5209" s="2" t="s">
        <v>4334</v>
      </c>
      <c r="B5209" s="2" t="s">
        <v>4370</v>
      </c>
      <c r="C5209" s="2" t="s">
        <v>4371</v>
      </c>
      <c r="D5209" s="3" t="str">
        <f t="shared" ref="D5209:D5214" si="921">HYPERLINK("https://12go.asia/en/travel/Agadir-Al-Massira-International-Airport/Inezgane-Hotel-Transfer", "12Go Link")</f>
        <v>12Go Link</v>
      </c>
      <c r="E5209" s="2" t="s">
        <v>4336</v>
      </c>
    </row>
    <row r="5210">
      <c r="A5210" s="2" t="s">
        <v>4334</v>
      </c>
      <c r="B5210" s="2" t="s">
        <v>4370</v>
      </c>
      <c r="C5210" s="2" t="s">
        <v>4371</v>
      </c>
      <c r="D5210" s="3" t="str">
        <f t="shared" si="921"/>
        <v>12Go Link</v>
      </c>
      <c r="E5210" s="2" t="s">
        <v>4337</v>
      </c>
    </row>
    <row r="5211">
      <c r="A5211" s="2" t="s">
        <v>4334</v>
      </c>
      <c r="B5211" s="2" t="s">
        <v>4370</v>
      </c>
      <c r="C5211" s="2" t="s">
        <v>4371</v>
      </c>
      <c r="D5211" s="3" t="str">
        <f t="shared" si="921"/>
        <v>12Go Link</v>
      </c>
      <c r="E5211" s="2" t="s">
        <v>4137</v>
      </c>
    </row>
    <row r="5212">
      <c r="A5212" s="2" t="s">
        <v>4334</v>
      </c>
      <c r="B5212" s="2" t="s">
        <v>4370</v>
      </c>
      <c r="C5212" s="2" t="s">
        <v>4371</v>
      </c>
      <c r="D5212" s="3" t="str">
        <f t="shared" si="921"/>
        <v>12Go Link</v>
      </c>
      <c r="E5212" s="2" t="s">
        <v>4338</v>
      </c>
    </row>
    <row r="5213">
      <c r="A5213" s="2" t="s">
        <v>4334</v>
      </c>
      <c r="B5213" s="2" t="s">
        <v>4370</v>
      </c>
      <c r="C5213" s="2" t="s">
        <v>4371</v>
      </c>
      <c r="D5213" s="3" t="str">
        <f t="shared" si="921"/>
        <v>12Go Link</v>
      </c>
      <c r="E5213" s="2" t="s">
        <v>4339</v>
      </c>
    </row>
    <row r="5214">
      <c r="A5214" s="2" t="s">
        <v>4334</v>
      </c>
      <c r="B5214" s="2" t="s">
        <v>4370</v>
      </c>
      <c r="C5214" s="2" t="s">
        <v>4371</v>
      </c>
      <c r="D5214" s="3" t="str">
        <f t="shared" si="921"/>
        <v>12Go Link</v>
      </c>
      <c r="E5214" s="2" t="s">
        <v>4340</v>
      </c>
    </row>
    <row r="5215">
      <c r="A5215" s="2" t="s">
        <v>4334</v>
      </c>
      <c r="B5215" s="2" t="s">
        <v>4372</v>
      </c>
      <c r="C5215" s="2" t="s">
        <v>4373</v>
      </c>
      <c r="D5215" s="3" t="str">
        <f t="shared" ref="D5215:D5220" si="922">HYPERLINK("https://12go.asia/en/travel/Agadir-Al-Massira-International-Airport/Marrakech-Medina-Transfer", "12Go Link")</f>
        <v>12Go Link</v>
      </c>
      <c r="E5215" s="2" t="s">
        <v>4336</v>
      </c>
    </row>
    <row r="5216">
      <c r="A5216" s="2" t="s">
        <v>4334</v>
      </c>
      <c r="B5216" s="2" t="s">
        <v>4372</v>
      </c>
      <c r="C5216" s="2" t="s">
        <v>4373</v>
      </c>
      <c r="D5216" s="3" t="str">
        <f t="shared" si="922"/>
        <v>12Go Link</v>
      </c>
      <c r="E5216" s="2" t="s">
        <v>4337</v>
      </c>
    </row>
    <row r="5217">
      <c r="A5217" s="2" t="s">
        <v>4334</v>
      </c>
      <c r="B5217" s="2" t="s">
        <v>4372</v>
      </c>
      <c r="C5217" s="2" t="s">
        <v>4373</v>
      </c>
      <c r="D5217" s="3" t="str">
        <f t="shared" si="922"/>
        <v>12Go Link</v>
      </c>
      <c r="E5217" s="2" t="s">
        <v>4137</v>
      </c>
    </row>
    <row r="5218">
      <c r="A5218" s="2" t="s">
        <v>4334</v>
      </c>
      <c r="B5218" s="2" t="s">
        <v>4372</v>
      </c>
      <c r="C5218" s="2" t="s">
        <v>4373</v>
      </c>
      <c r="D5218" s="3" t="str">
        <f t="shared" si="922"/>
        <v>12Go Link</v>
      </c>
      <c r="E5218" s="2" t="s">
        <v>4338</v>
      </c>
    </row>
    <row r="5219">
      <c r="A5219" s="2" t="s">
        <v>4334</v>
      </c>
      <c r="B5219" s="2" t="s">
        <v>4372</v>
      </c>
      <c r="C5219" s="2" t="s">
        <v>4373</v>
      </c>
      <c r="D5219" s="3" t="str">
        <f t="shared" si="922"/>
        <v>12Go Link</v>
      </c>
      <c r="E5219" s="2" t="s">
        <v>4339</v>
      </c>
    </row>
    <row r="5220">
      <c r="A5220" s="2" t="s">
        <v>4334</v>
      </c>
      <c r="B5220" s="2" t="s">
        <v>4372</v>
      </c>
      <c r="C5220" s="2" t="s">
        <v>4373</v>
      </c>
      <c r="D5220" s="3" t="str">
        <f t="shared" si="922"/>
        <v>12Go Link</v>
      </c>
      <c r="E5220" s="2" t="s">
        <v>4340</v>
      </c>
    </row>
    <row r="5221">
      <c r="A5221" s="2" t="s">
        <v>4334</v>
      </c>
      <c r="B5221" s="2" t="s">
        <v>4372</v>
      </c>
      <c r="C5221" s="2" t="s">
        <v>4374</v>
      </c>
      <c r="D5221" s="3" t="str">
        <f t="shared" ref="D5221:D5226" si="923">HYPERLINK("https://12go.asia/en/travel/Agadir-Al-Massira-International-Airport/Marrakesh-Hotel-Transfer", "12Go Link")</f>
        <v>12Go Link</v>
      </c>
      <c r="E5221" s="2" t="s">
        <v>4336</v>
      </c>
    </row>
    <row r="5222">
      <c r="A5222" s="2" t="s">
        <v>4334</v>
      </c>
      <c r="B5222" s="2" t="s">
        <v>4372</v>
      </c>
      <c r="C5222" s="2" t="s">
        <v>4374</v>
      </c>
      <c r="D5222" s="3" t="str">
        <f t="shared" si="923"/>
        <v>12Go Link</v>
      </c>
      <c r="E5222" s="2" t="s">
        <v>4337</v>
      </c>
    </row>
    <row r="5223">
      <c r="A5223" s="2" t="s">
        <v>4334</v>
      </c>
      <c r="B5223" s="2" t="s">
        <v>4372</v>
      </c>
      <c r="C5223" s="2" t="s">
        <v>4374</v>
      </c>
      <c r="D5223" s="3" t="str">
        <f t="shared" si="923"/>
        <v>12Go Link</v>
      </c>
      <c r="E5223" s="2" t="s">
        <v>4137</v>
      </c>
    </row>
    <row r="5224">
      <c r="A5224" s="2" t="s">
        <v>4334</v>
      </c>
      <c r="B5224" s="2" t="s">
        <v>4372</v>
      </c>
      <c r="C5224" s="2" t="s">
        <v>4374</v>
      </c>
      <c r="D5224" s="3" t="str">
        <f t="shared" si="923"/>
        <v>12Go Link</v>
      </c>
      <c r="E5224" s="2" t="s">
        <v>4338</v>
      </c>
    </row>
    <row r="5225">
      <c r="A5225" s="2" t="s">
        <v>4334</v>
      </c>
      <c r="B5225" s="2" t="s">
        <v>4372</v>
      </c>
      <c r="C5225" s="2" t="s">
        <v>4374</v>
      </c>
      <c r="D5225" s="3" t="str">
        <f t="shared" si="923"/>
        <v>12Go Link</v>
      </c>
      <c r="E5225" s="2" t="s">
        <v>4339</v>
      </c>
    </row>
    <row r="5226">
      <c r="A5226" s="2" t="s">
        <v>4334</v>
      </c>
      <c r="B5226" s="2" t="s">
        <v>4372</v>
      </c>
      <c r="C5226" s="2" t="s">
        <v>4374</v>
      </c>
      <c r="D5226" s="3" t="str">
        <f t="shared" si="923"/>
        <v>12Go Link</v>
      </c>
      <c r="E5226" s="2" t="s">
        <v>4340</v>
      </c>
    </row>
    <row r="5227">
      <c r="A5227" s="2" t="s">
        <v>4334</v>
      </c>
      <c r="B5227" s="2" t="s">
        <v>4372</v>
      </c>
      <c r="C5227" s="2" t="s">
        <v>4375</v>
      </c>
      <c r="D5227" s="3" t="str">
        <f t="shared" ref="D5227:D5232" si="924">HYPERLINK("https://12go.asia/en/travel/Agadir-Al-Massira-International-Airport/Marrakesh-Menara-Airport", "12Go Link")</f>
        <v>12Go Link</v>
      </c>
      <c r="E5227" s="2" t="s">
        <v>4336</v>
      </c>
    </row>
    <row r="5228">
      <c r="A5228" s="2" t="s">
        <v>4334</v>
      </c>
      <c r="B5228" s="2" t="s">
        <v>4372</v>
      </c>
      <c r="C5228" s="2" t="s">
        <v>4375</v>
      </c>
      <c r="D5228" s="3" t="str">
        <f t="shared" si="924"/>
        <v>12Go Link</v>
      </c>
      <c r="E5228" s="2" t="s">
        <v>4337</v>
      </c>
    </row>
    <row r="5229">
      <c r="A5229" s="2" t="s">
        <v>4334</v>
      </c>
      <c r="B5229" s="2" t="s">
        <v>4372</v>
      </c>
      <c r="C5229" s="2" t="s">
        <v>4375</v>
      </c>
      <c r="D5229" s="3" t="str">
        <f t="shared" si="924"/>
        <v>12Go Link</v>
      </c>
      <c r="E5229" s="2" t="s">
        <v>4137</v>
      </c>
    </row>
    <row r="5230">
      <c r="A5230" s="2" t="s">
        <v>4334</v>
      </c>
      <c r="B5230" s="2" t="s">
        <v>4372</v>
      </c>
      <c r="C5230" s="2" t="s">
        <v>4375</v>
      </c>
      <c r="D5230" s="3" t="str">
        <f t="shared" si="924"/>
        <v>12Go Link</v>
      </c>
      <c r="E5230" s="2" t="s">
        <v>4338</v>
      </c>
    </row>
    <row r="5231">
      <c r="A5231" s="2" t="s">
        <v>4334</v>
      </c>
      <c r="B5231" s="2" t="s">
        <v>4372</v>
      </c>
      <c r="C5231" s="2" t="s">
        <v>4375</v>
      </c>
      <c r="D5231" s="3" t="str">
        <f t="shared" si="924"/>
        <v>12Go Link</v>
      </c>
      <c r="E5231" s="2" t="s">
        <v>4339</v>
      </c>
    </row>
    <row r="5232">
      <c r="A5232" s="2" t="s">
        <v>4334</v>
      </c>
      <c r="B5232" s="2" t="s">
        <v>4372</v>
      </c>
      <c r="C5232" s="2" t="s">
        <v>4375</v>
      </c>
      <c r="D5232" s="3" t="str">
        <f t="shared" si="924"/>
        <v>12Go Link</v>
      </c>
      <c r="E5232" s="2" t="s">
        <v>4340</v>
      </c>
    </row>
    <row r="5233">
      <c r="A5233" s="2" t="s">
        <v>4334</v>
      </c>
      <c r="B5233" s="2" t="s">
        <v>4372</v>
      </c>
      <c r="C5233" s="2" t="s">
        <v>4376</v>
      </c>
      <c r="D5233" s="3" t="str">
        <f t="shared" ref="D5233:D5238" si="925">HYPERLINK("https://12go.asia/en/travel/Agadir-Hotel-Transfer/Marrakesh-Menara-Airport", "12Go Link")</f>
        <v>12Go Link</v>
      </c>
      <c r="E5233" s="2" t="s">
        <v>4336</v>
      </c>
    </row>
    <row r="5234">
      <c r="A5234" s="2" t="s">
        <v>4334</v>
      </c>
      <c r="B5234" s="2" t="s">
        <v>4372</v>
      </c>
      <c r="C5234" s="2" t="s">
        <v>4376</v>
      </c>
      <c r="D5234" s="3" t="str">
        <f t="shared" si="925"/>
        <v>12Go Link</v>
      </c>
      <c r="E5234" s="2" t="s">
        <v>4337</v>
      </c>
    </row>
    <row r="5235">
      <c r="A5235" s="2" t="s">
        <v>4334</v>
      </c>
      <c r="B5235" s="2" t="s">
        <v>4372</v>
      </c>
      <c r="C5235" s="2" t="s">
        <v>4376</v>
      </c>
      <c r="D5235" s="3" t="str">
        <f t="shared" si="925"/>
        <v>12Go Link</v>
      </c>
      <c r="E5235" s="2" t="s">
        <v>4137</v>
      </c>
    </row>
    <row r="5236">
      <c r="A5236" s="2" t="s">
        <v>4334</v>
      </c>
      <c r="B5236" s="2" t="s">
        <v>4372</v>
      </c>
      <c r="C5236" s="2" t="s">
        <v>4376</v>
      </c>
      <c r="D5236" s="3" t="str">
        <f t="shared" si="925"/>
        <v>12Go Link</v>
      </c>
      <c r="E5236" s="2" t="s">
        <v>4338</v>
      </c>
    </row>
    <row r="5237">
      <c r="A5237" s="2" t="s">
        <v>4334</v>
      </c>
      <c r="B5237" s="2" t="s">
        <v>4372</v>
      </c>
      <c r="C5237" s="2" t="s">
        <v>4376</v>
      </c>
      <c r="D5237" s="3" t="str">
        <f t="shared" si="925"/>
        <v>12Go Link</v>
      </c>
      <c r="E5237" s="2" t="s">
        <v>4339</v>
      </c>
    </row>
    <row r="5238">
      <c r="A5238" s="2" t="s">
        <v>4334</v>
      </c>
      <c r="B5238" s="2" t="s">
        <v>4372</v>
      </c>
      <c r="C5238" s="2" t="s">
        <v>4376</v>
      </c>
      <c r="D5238" s="3" t="str">
        <f t="shared" si="925"/>
        <v>12Go Link</v>
      </c>
      <c r="E5238" s="2" t="s">
        <v>4340</v>
      </c>
    </row>
    <row r="5239">
      <c r="A5239" s="2" t="s">
        <v>4334</v>
      </c>
      <c r="B5239" s="2" t="s">
        <v>4377</v>
      </c>
      <c r="C5239" s="2" t="s">
        <v>4378</v>
      </c>
      <c r="D5239" s="3" t="str">
        <f t="shared" ref="D5239:D5244" si="926">HYPERLINK("https://12go.asia/en/travel/Agadir-Al-Massira-International-Airport/Meknes-Hotel-Transfer", "12Go Link")</f>
        <v>12Go Link</v>
      </c>
      <c r="E5239" s="2" t="s">
        <v>4336</v>
      </c>
    </row>
    <row r="5240">
      <c r="A5240" s="2" t="s">
        <v>4334</v>
      </c>
      <c r="B5240" s="2" t="s">
        <v>4377</v>
      </c>
      <c r="C5240" s="2" t="s">
        <v>4378</v>
      </c>
      <c r="D5240" s="3" t="str">
        <f t="shared" si="926"/>
        <v>12Go Link</v>
      </c>
      <c r="E5240" s="2" t="s">
        <v>4337</v>
      </c>
    </row>
    <row r="5241">
      <c r="A5241" s="2" t="s">
        <v>4334</v>
      </c>
      <c r="B5241" s="2" t="s">
        <v>4377</v>
      </c>
      <c r="C5241" s="2" t="s">
        <v>4378</v>
      </c>
      <c r="D5241" s="3" t="str">
        <f t="shared" si="926"/>
        <v>12Go Link</v>
      </c>
      <c r="E5241" s="2" t="s">
        <v>4137</v>
      </c>
    </row>
    <row r="5242">
      <c r="A5242" s="2" t="s">
        <v>4334</v>
      </c>
      <c r="B5242" s="2" t="s">
        <v>4377</v>
      </c>
      <c r="C5242" s="2" t="s">
        <v>4378</v>
      </c>
      <c r="D5242" s="3" t="str">
        <f t="shared" si="926"/>
        <v>12Go Link</v>
      </c>
      <c r="E5242" s="2" t="s">
        <v>4338</v>
      </c>
    </row>
    <row r="5243">
      <c r="A5243" s="2" t="s">
        <v>4334</v>
      </c>
      <c r="B5243" s="2" t="s">
        <v>4377</v>
      </c>
      <c r="C5243" s="2" t="s">
        <v>4378</v>
      </c>
      <c r="D5243" s="3" t="str">
        <f t="shared" si="926"/>
        <v>12Go Link</v>
      </c>
      <c r="E5243" s="2" t="s">
        <v>4339</v>
      </c>
    </row>
    <row r="5244">
      <c r="A5244" s="2" t="s">
        <v>4334</v>
      </c>
      <c r="B5244" s="2" t="s">
        <v>4377</v>
      </c>
      <c r="C5244" s="2" t="s">
        <v>4378</v>
      </c>
      <c r="D5244" s="3" t="str">
        <f t="shared" si="926"/>
        <v>12Go Link</v>
      </c>
      <c r="E5244" s="2" t="s">
        <v>4340</v>
      </c>
    </row>
    <row r="5245">
      <c r="A5245" s="2" t="s">
        <v>4334</v>
      </c>
      <c r="B5245" s="2" t="s">
        <v>4379</v>
      </c>
      <c r="C5245" s="2" t="s">
        <v>4380</v>
      </c>
      <c r="D5245" s="3" t="str">
        <f t="shared" ref="D5245:D5250" si="927">HYPERLINK("https://12go.asia/en/travel/Agadir-Al-Massira-International-Airport/Mirleft-Hotel-Transfer", "12Go Link")</f>
        <v>12Go Link</v>
      </c>
      <c r="E5245" s="2" t="s">
        <v>4336</v>
      </c>
    </row>
    <row r="5246">
      <c r="A5246" s="2" t="s">
        <v>4334</v>
      </c>
      <c r="B5246" s="2" t="s">
        <v>4379</v>
      </c>
      <c r="C5246" s="2" t="s">
        <v>4380</v>
      </c>
      <c r="D5246" s="3" t="str">
        <f t="shared" si="927"/>
        <v>12Go Link</v>
      </c>
      <c r="E5246" s="2" t="s">
        <v>4337</v>
      </c>
    </row>
    <row r="5247">
      <c r="A5247" s="2" t="s">
        <v>4334</v>
      </c>
      <c r="B5247" s="2" t="s">
        <v>4379</v>
      </c>
      <c r="C5247" s="2" t="s">
        <v>4380</v>
      </c>
      <c r="D5247" s="3" t="str">
        <f t="shared" si="927"/>
        <v>12Go Link</v>
      </c>
      <c r="E5247" s="2" t="s">
        <v>4137</v>
      </c>
    </row>
    <row r="5248">
      <c r="A5248" s="2" t="s">
        <v>4334</v>
      </c>
      <c r="B5248" s="2" t="s">
        <v>4379</v>
      </c>
      <c r="C5248" s="2" t="s">
        <v>4380</v>
      </c>
      <c r="D5248" s="3" t="str">
        <f t="shared" si="927"/>
        <v>12Go Link</v>
      </c>
      <c r="E5248" s="2" t="s">
        <v>4338</v>
      </c>
    </row>
    <row r="5249">
      <c r="A5249" s="2" t="s">
        <v>4334</v>
      </c>
      <c r="B5249" s="2" t="s">
        <v>4379</v>
      </c>
      <c r="C5249" s="2" t="s">
        <v>4380</v>
      </c>
      <c r="D5249" s="3" t="str">
        <f t="shared" si="927"/>
        <v>12Go Link</v>
      </c>
      <c r="E5249" s="2" t="s">
        <v>4339</v>
      </c>
    </row>
    <row r="5250">
      <c r="A5250" s="2" t="s">
        <v>4334</v>
      </c>
      <c r="B5250" s="2" t="s">
        <v>4379</v>
      </c>
      <c r="C5250" s="2" t="s">
        <v>4380</v>
      </c>
      <c r="D5250" s="3" t="str">
        <f t="shared" si="927"/>
        <v>12Go Link</v>
      </c>
      <c r="E5250" s="2" t="s">
        <v>4340</v>
      </c>
    </row>
    <row r="5251">
      <c r="A5251" s="2" t="s">
        <v>4334</v>
      </c>
      <c r="B5251" s="2" t="s">
        <v>4381</v>
      </c>
      <c r="C5251" s="2" t="s">
        <v>4382</v>
      </c>
      <c r="D5251" s="3" t="str">
        <f t="shared" ref="D5251:D5256" si="928">HYPERLINK("https://12go.asia/en/travel/Agadir-Al-Massira-International-Airport/Ouarzazate-Airport", "12Go Link")</f>
        <v>12Go Link</v>
      </c>
      <c r="E5251" s="2" t="s">
        <v>4336</v>
      </c>
    </row>
    <row r="5252">
      <c r="A5252" s="2" t="s">
        <v>4334</v>
      </c>
      <c r="B5252" s="2" t="s">
        <v>4381</v>
      </c>
      <c r="C5252" s="2" t="s">
        <v>4382</v>
      </c>
      <c r="D5252" s="3" t="str">
        <f t="shared" si="928"/>
        <v>12Go Link</v>
      </c>
      <c r="E5252" s="2" t="s">
        <v>4337</v>
      </c>
    </row>
    <row r="5253">
      <c r="A5253" s="2" t="s">
        <v>4334</v>
      </c>
      <c r="B5253" s="2" t="s">
        <v>4381</v>
      </c>
      <c r="C5253" s="2" t="s">
        <v>4382</v>
      </c>
      <c r="D5253" s="3" t="str">
        <f t="shared" si="928"/>
        <v>12Go Link</v>
      </c>
      <c r="E5253" s="2" t="s">
        <v>4137</v>
      </c>
    </row>
    <row r="5254">
      <c r="A5254" s="2" t="s">
        <v>4334</v>
      </c>
      <c r="B5254" s="2" t="s">
        <v>4381</v>
      </c>
      <c r="C5254" s="2" t="s">
        <v>4382</v>
      </c>
      <c r="D5254" s="3" t="str">
        <f t="shared" si="928"/>
        <v>12Go Link</v>
      </c>
      <c r="E5254" s="2" t="s">
        <v>4338</v>
      </c>
    </row>
    <row r="5255">
      <c r="A5255" s="2" t="s">
        <v>4334</v>
      </c>
      <c r="B5255" s="2" t="s">
        <v>4381</v>
      </c>
      <c r="C5255" s="2" t="s">
        <v>4382</v>
      </c>
      <c r="D5255" s="3" t="str">
        <f t="shared" si="928"/>
        <v>12Go Link</v>
      </c>
      <c r="E5255" s="2" t="s">
        <v>4339</v>
      </c>
    </row>
    <row r="5256">
      <c r="A5256" s="2" t="s">
        <v>4334</v>
      </c>
      <c r="B5256" s="2" t="s">
        <v>4381</v>
      </c>
      <c r="C5256" s="2" t="s">
        <v>4382</v>
      </c>
      <c r="D5256" s="3" t="str">
        <f t="shared" si="928"/>
        <v>12Go Link</v>
      </c>
      <c r="E5256" s="2" t="s">
        <v>4340</v>
      </c>
    </row>
    <row r="5257">
      <c r="A5257" s="2" t="s">
        <v>4334</v>
      </c>
      <c r="B5257" s="2" t="s">
        <v>4381</v>
      </c>
      <c r="C5257" s="2" t="s">
        <v>4383</v>
      </c>
      <c r="D5257" s="3" t="str">
        <f t="shared" ref="D5257:D5262" si="929">HYPERLINK("https://12go.asia/en/travel/Agadir-Al-Massira-International-Airport/Ouarzazate-Hotel-Transfer", "12Go Link")</f>
        <v>12Go Link</v>
      </c>
      <c r="E5257" s="2" t="s">
        <v>4336</v>
      </c>
    </row>
    <row r="5258">
      <c r="A5258" s="2" t="s">
        <v>4334</v>
      </c>
      <c r="B5258" s="2" t="s">
        <v>4381</v>
      </c>
      <c r="C5258" s="2" t="s">
        <v>4383</v>
      </c>
      <c r="D5258" s="3" t="str">
        <f t="shared" si="929"/>
        <v>12Go Link</v>
      </c>
      <c r="E5258" s="2" t="s">
        <v>4337</v>
      </c>
    </row>
    <row r="5259">
      <c r="A5259" s="2" t="s">
        <v>4334</v>
      </c>
      <c r="B5259" s="2" t="s">
        <v>4381</v>
      </c>
      <c r="C5259" s="2" t="s">
        <v>4383</v>
      </c>
      <c r="D5259" s="3" t="str">
        <f t="shared" si="929"/>
        <v>12Go Link</v>
      </c>
      <c r="E5259" s="2" t="s">
        <v>4137</v>
      </c>
    </row>
    <row r="5260">
      <c r="A5260" s="2" t="s">
        <v>4334</v>
      </c>
      <c r="B5260" s="2" t="s">
        <v>4381</v>
      </c>
      <c r="C5260" s="2" t="s">
        <v>4383</v>
      </c>
      <c r="D5260" s="3" t="str">
        <f t="shared" si="929"/>
        <v>12Go Link</v>
      </c>
      <c r="E5260" s="2" t="s">
        <v>4338</v>
      </c>
    </row>
    <row r="5261">
      <c r="A5261" s="2" t="s">
        <v>4334</v>
      </c>
      <c r="B5261" s="2" t="s">
        <v>4381</v>
      </c>
      <c r="C5261" s="2" t="s">
        <v>4383</v>
      </c>
      <c r="D5261" s="3" t="str">
        <f t="shared" si="929"/>
        <v>12Go Link</v>
      </c>
      <c r="E5261" s="2" t="s">
        <v>4339</v>
      </c>
    </row>
    <row r="5262">
      <c r="A5262" s="2" t="s">
        <v>4334</v>
      </c>
      <c r="B5262" s="2" t="s">
        <v>4381</v>
      </c>
      <c r="C5262" s="2" t="s">
        <v>4383</v>
      </c>
      <c r="D5262" s="3" t="str">
        <f t="shared" si="929"/>
        <v>12Go Link</v>
      </c>
      <c r="E5262" s="2" t="s">
        <v>4340</v>
      </c>
    </row>
    <row r="5263">
      <c r="A5263" s="2" t="s">
        <v>4334</v>
      </c>
      <c r="B5263" s="2" t="s">
        <v>4384</v>
      </c>
      <c r="C5263" s="2" t="s">
        <v>4385</v>
      </c>
      <c r="D5263" s="3" t="str">
        <f t="shared" ref="D5263:D5268" si="930">HYPERLINK("https://12go.asia/en/travel/Agadir-Al-Massira-International-Airport/Ouirgane-Hotel-Transfer", "12Go Link")</f>
        <v>12Go Link</v>
      </c>
      <c r="E5263" s="2" t="s">
        <v>4336</v>
      </c>
    </row>
    <row r="5264">
      <c r="A5264" s="2" t="s">
        <v>4334</v>
      </c>
      <c r="B5264" s="2" t="s">
        <v>4384</v>
      </c>
      <c r="C5264" s="2" t="s">
        <v>4385</v>
      </c>
      <c r="D5264" s="3" t="str">
        <f t="shared" si="930"/>
        <v>12Go Link</v>
      </c>
      <c r="E5264" s="2" t="s">
        <v>4337</v>
      </c>
    </row>
    <row r="5265">
      <c r="A5265" s="2" t="s">
        <v>4334</v>
      </c>
      <c r="B5265" s="2" t="s">
        <v>4384</v>
      </c>
      <c r="C5265" s="2" t="s">
        <v>4385</v>
      </c>
      <c r="D5265" s="3" t="str">
        <f t="shared" si="930"/>
        <v>12Go Link</v>
      </c>
      <c r="E5265" s="2" t="s">
        <v>4137</v>
      </c>
    </row>
    <row r="5266">
      <c r="A5266" s="2" t="s">
        <v>4334</v>
      </c>
      <c r="B5266" s="2" t="s">
        <v>4384</v>
      </c>
      <c r="C5266" s="2" t="s">
        <v>4385</v>
      </c>
      <c r="D5266" s="3" t="str">
        <f t="shared" si="930"/>
        <v>12Go Link</v>
      </c>
      <c r="E5266" s="2" t="s">
        <v>4338</v>
      </c>
    </row>
    <row r="5267">
      <c r="A5267" s="2" t="s">
        <v>4334</v>
      </c>
      <c r="B5267" s="2" t="s">
        <v>4384</v>
      </c>
      <c r="C5267" s="2" t="s">
        <v>4385</v>
      </c>
      <c r="D5267" s="3" t="str">
        <f t="shared" si="930"/>
        <v>12Go Link</v>
      </c>
      <c r="E5267" s="2" t="s">
        <v>4339</v>
      </c>
    </row>
    <row r="5268">
      <c r="A5268" s="2" t="s">
        <v>4334</v>
      </c>
      <c r="B5268" s="2" t="s">
        <v>4384</v>
      </c>
      <c r="C5268" s="2" t="s">
        <v>4385</v>
      </c>
      <c r="D5268" s="3" t="str">
        <f t="shared" si="930"/>
        <v>12Go Link</v>
      </c>
      <c r="E5268" s="2" t="s">
        <v>4340</v>
      </c>
    </row>
    <row r="5269">
      <c r="A5269" s="2" t="s">
        <v>4334</v>
      </c>
      <c r="B5269" s="2" t="s">
        <v>4386</v>
      </c>
      <c r="C5269" s="2" t="s">
        <v>4387</v>
      </c>
      <c r="D5269" s="3" t="str">
        <f t="shared" ref="D5269:D5274" si="931">HYPERLINK("https://12go.asia/en/travel/Agadir-Al-Massira-International-Airport/Rabat-Hotel-Transfer", "12Go Link")</f>
        <v>12Go Link</v>
      </c>
      <c r="E5269" s="2" t="s">
        <v>4336</v>
      </c>
    </row>
    <row r="5270">
      <c r="A5270" s="2" t="s">
        <v>4334</v>
      </c>
      <c r="B5270" s="2" t="s">
        <v>4386</v>
      </c>
      <c r="C5270" s="2" t="s">
        <v>4387</v>
      </c>
      <c r="D5270" s="3" t="str">
        <f t="shared" si="931"/>
        <v>12Go Link</v>
      </c>
      <c r="E5270" s="2" t="s">
        <v>4337</v>
      </c>
    </row>
    <row r="5271">
      <c r="A5271" s="2" t="s">
        <v>4334</v>
      </c>
      <c r="B5271" s="2" t="s">
        <v>4386</v>
      </c>
      <c r="C5271" s="2" t="s">
        <v>4387</v>
      </c>
      <c r="D5271" s="3" t="str">
        <f t="shared" si="931"/>
        <v>12Go Link</v>
      </c>
      <c r="E5271" s="2" t="s">
        <v>4137</v>
      </c>
    </row>
    <row r="5272">
      <c r="A5272" s="2" t="s">
        <v>4334</v>
      </c>
      <c r="B5272" s="2" t="s">
        <v>4386</v>
      </c>
      <c r="C5272" s="2" t="s">
        <v>4387</v>
      </c>
      <c r="D5272" s="3" t="str">
        <f t="shared" si="931"/>
        <v>12Go Link</v>
      </c>
      <c r="E5272" s="2" t="s">
        <v>4338</v>
      </c>
    </row>
    <row r="5273">
      <c r="A5273" s="2" t="s">
        <v>4334</v>
      </c>
      <c r="B5273" s="2" t="s">
        <v>4386</v>
      </c>
      <c r="C5273" s="2" t="s">
        <v>4387</v>
      </c>
      <c r="D5273" s="3" t="str">
        <f t="shared" si="931"/>
        <v>12Go Link</v>
      </c>
      <c r="E5273" s="2" t="s">
        <v>4339</v>
      </c>
    </row>
    <row r="5274">
      <c r="A5274" s="2" t="s">
        <v>4334</v>
      </c>
      <c r="B5274" s="2" t="s">
        <v>4386</v>
      </c>
      <c r="C5274" s="2" t="s">
        <v>4387</v>
      </c>
      <c r="D5274" s="3" t="str">
        <f t="shared" si="931"/>
        <v>12Go Link</v>
      </c>
      <c r="E5274" s="2" t="s">
        <v>4340</v>
      </c>
    </row>
    <row r="5275">
      <c r="A5275" s="2" t="s">
        <v>4334</v>
      </c>
      <c r="B5275" s="2" t="s">
        <v>4386</v>
      </c>
      <c r="C5275" s="2" t="s">
        <v>4388</v>
      </c>
      <c r="D5275" s="3" t="str">
        <f t="shared" ref="D5275:D5280" si="932">HYPERLINK("https://12go.asia/en/travel/Agadir-Hotel-Transfer/Rabat-Sale-Airport", "12Go Link")</f>
        <v>12Go Link</v>
      </c>
      <c r="E5275" s="2" t="s">
        <v>4336</v>
      </c>
    </row>
    <row r="5276">
      <c r="A5276" s="2" t="s">
        <v>4334</v>
      </c>
      <c r="B5276" s="2" t="s">
        <v>4386</v>
      </c>
      <c r="C5276" s="2" t="s">
        <v>4388</v>
      </c>
      <c r="D5276" s="3" t="str">
        <f t="shared" si="932"/>
        <v>12Go Link</v>
      </c>
      <c r="E5276" s="2" t="s">
        <v>4337</v>
      </c>
    </row>
    <row r="5277">
      <c r="A5277" s="2" t="s">
        <v>4334</v>
      </c>
      <c r="B5277" s="2" t="s">
        <v>4386</v>
      </c>
      <c r="C5277" s="2" t="s">
        <v>4388</v>
      </c>
      <c r="D5277" s="3" t="str">
        <f t="shared" si="932"/>
        <v>12Go Link</v>
      </c>
      <c r="E5277" s="2" t="s">
        <v>4137</v>
      </c>
    </row>
    <row r="5278">
      <c r="A5278" s="2" t="s">
        <v>4334</v>
      </c>
      <c r="B5278" s="2" t="s">
        <v>4386</v>
      </c>
      <c r="C5278" s="2" t="s">
        <v>4388</v>
      </c>
      <c r="D5278" s="3" t="str">
        <f t="shared" si="932"/>
        <v>12Go Link</v>
      </c>
      <c r="E5278" s="2" t="s">
        <v>4338</v>
      </c>
    </row>
    <row r="5279">
      <c r="A5279" s="2" t="s">
        <v>4334</v>
      </c>
      <c r="B5279" s="2" t="s">
        <v>4386</v>
      </c>
      <c r="C5279" s="2" t="s">
        <v>4388</v>
      </c>
      <c r="D5279" s="3" t="str">
        <f t="shared" si="932"/>
        <v>12Go Link</v>
      </c>
      <c r="E5279" s="2" t="s">
        <v>4339</v>
      </c>
    </row>
    <row r="5280">
      <c r="A5280" s="2" t="s">
        <v>4334</v>
      </c>
      <c r="B5280" s="2" t="s">
        <v>4386</v>
      </c>
      <c r="C5280" s="2" t="s">
        <v>4388</v>
      </c>
      <c r="D5280" s="3" t="str">
        <f t="shared" si="932"/>
        <v>12Go Link</v>
      </c>
      <c r="E5280" s="2" t="s">
        <v>4340</v>
      </c>
    </row>
    <row r="5281">
      <c r="A5281" s="2" t="s">
        <v>4334</v>
      </c>
      <c r="B5281" s="2" t="s">
        <v>4389</v>
      </c>
      <c r="C5281" s="2" t="s">
        <v>4390</v>
      </c>
      <c r="D5281" s="3" t="str">
        <f t="shared" ref="D5281:D5286" si="933">HYPERLINK("https://12go.asia/en/travel/Agadir-Al-Massira-International-Airport/Sidi-Ifni-Hotel-Transfer", "12Go Link")</f>
        <v>12Go Link</v>
      </c>
      <c r="E5281" s="2" t="s">
        <v>4336</v>
      </c>
    </row>
    <row r="5282">
      <c r="A5282" s="2" t="s">
        <v>4334</v>
      </c>
      <c r="B5282" s="2" t="s">
        <v>4389</v>
      </c>
      <c r="C5282" s="2" t="s">
        <v>4390</v>
      </c>
      <c r="D5282" s="3" t="str">
        <f t="shared" si="933"/>
        <v>12Go Link</v>
      </c>
      <c r="E5282" s="2" t="s">
        <v>4337</v>
      </c>
    </row>
    <row r="5283">
      <c r="A5283" s="2" t="s">
        <v>4334</v>
      </c>
      <c r="B5283" s="2" t="s">
        <v>4389</v>
      </c>
      <c r="C5283" s="2" t="s">
        <v>4390</v>
      </c>
      <c r="D5283" s="3" t="str">
        <f t="shared" si="933"/>
        <v>12Go Link</v>
      </c>
      <c r="E5283" s="2" t="s">
        <v>4137</v>
      </c>
    </row>
    <row r="5284">
      <c r="A5284" s="2" t="s">
        <v>4334</v>
      </c>
      <c r="B5284" s="2" t="s">
        <v>4389</v>
      </c>
      <c r="C5284" s="2" t="s">
        <v>4390</v>
      </c>
      <c r="D5284" s="3" t="str">
        <f t="shared" si="933"/>
        <v>12Go Link</v>
      </c>
      <c r="E5284" s="2" t="s">
        <v>4338</v>
      </c>
    </row>
    <row r="5285">
      <c r="A5285" s="2" t="s">
        <v>4334</v>
      </c>
      <c r="B5285" s="2" t="s">
        <v>4389</v>
      </c>
      <c r="C5285" s="2" t="s">
        <v>4390</v>
      </c>
      <c r="D5285" s="3" t="str">
        <f t="shared" si="933"/>
        <v>12Go Link</v>
      </c>
      <c r="E5285" s="2" t="s">
        <v>4339</v>
      </c>
    </row>
    <row r="5286">
      <c r="A5286" s="2" t="s">
        <v>4334</v>
      </c>
      <c r="B5286" s="2" t="s">
        <v>4389</v>
      </c>
      <c r="C5286" s="2" t="s">
        <v>4390</v>
      </c>
      <c r="D5286" s="3" t="str">
        <f t="shared" si="933"/>
        <v>12Go Link</v>
      </c>
      <c r="E5286" s="2" t="s">
        <v>4340</v>
      </c>
    </row>
    <row r="5287">
      <c r="A5287" s="2" t="s">
        <v>4334</v>
      </c>
      <c r="B5287" s="2" t="s">
        <v>4391</v>
      </c>
      <c r="C5287" s="2" t="s">
        <v>4392</v>
      </c>
      <c r="D5287" s="3" t="str">
        <f t="shared" ref="D5287:D5292" si="934">HYPERLINK("https://12go.asia/en/travel/Agadir-Al-Massira-International-Airport/Sidi-Kaouki-Hotel-Transfer", "12Go Link")</f>
        <v>12Go Link</v>
      </c>
      <c r="E5287" s="2" t="s">
        <v>4336</v>
      </c>
    </row>
    <row r="5288">
      <c r="A5288" s="2" t="s">
        <v>4334</v>
      </c>
      <c r="B5288" s="2" t="s">
        <v>4391</v>
      </c>
      <c r="C5288" s="2" t="s">
        <v>4392</v>
      </c>
      <c r="D5288" s="3" t="str">
        <f t="shared" si="934"/>
        <v>12Go Link</v>
      </c>
      <c r="E5288" s="2" t="s">
        <v>4337</v>
      </c>
    </row>
    <row r="5289">
      <c r="A5289" s="2" t="s">
        <v>4334</v>
      </c>
      <c r="B5289" s="2" t="s">
        <v>4391</v>
      </c>
      <c r="C5289" s="2" t="s">
        <v>4392</v>
      </c>
      <c r="D5289" s="3" t="str">
        <f t="shared" si="934"/>
        <v>12Go Link</v>
      </c>
      <c r="E5289" s="2" t="s">
        <v>4137</v>
      </c>
    </row>
    <row r="5290">
      <c r="A5290" s="2" t="s">
        <v>4334</v>
      </c>
      <c r="B5290" s="2" t="s">
        <v>4391</v>
      </c>
      <c r="C5290" s="2" t="s">
        <v>4392</v>
      </c>
      <c r="D5290" s="3" t="str">
        <f t="shared" si="934"/>
        <v>12Go Link</v>
      </c>
      <c r="E5290" s="2" t="s">
        <v>4338</v>
      </c>
    </row>
    <row r="5291">
      <c r="A5291" s="2" t="s">
        <v>4334</v>
      </c>
      <c r="B5291" s="2" t="s">
        <v>4391</v>
      </c>
      <c r="C5291" s="2" t="s">
        <v>4392</v>
      </c>
      <c r="D5291" s="3" t="str">
        <f t="shared" si="934"/>
        <v>12Go Link</v>
      </c>
      <c r="E5291" s="2" t="s">
        <v>4339</v>
      </c>
    </row>
    <row r="5292">
      <c r="A5292" s="2" t="s">
        <v>4334</v>
      </c>
      <c r="B5292" s="2" t="s">
        <v>4391</v>
      </c>
      <c r="C5292" s="2" t="s">
        <v>4392</v>
      </c>
      <c r="D5292" s="3" t="str">
        <f t="shared" si="934"/>
        <v>12Go Link</v>
      </c>
      <c r="E5292" s="2" t="s">
        <v>4340</v>
      </c>
    </row>
    <row r="5293">
      <c r="A5293" s="2" t="s">
        <v>4334</v>
      </c>
      <c r="B5293" s="2" t="s">
        <v>4393</v>
      </c>
      <c r="C5293" s="2" t="s">
        <v>4394</v>
      </c>
      <c r="D5293" s="3" t="str">
        <f t="shared" ref="D5293:D5298" si="935">HYPERLINK("https://12go.asia/en/travel/Agadir-Al-Massira-International-Airport/Setti-Fadma-Hotel-Transfer", "12Go Link")</f>
        <v>12Go Link</v>
      </c>
      <c r="E5293" s="2" t="s">
        <v>4336</v>
      </c>
    </row>
    <row r="5294">
      <c r="A5294" s="2" t="s">
        <v>4334</v>
      </c>
      <c r="B5294" s="2" t="s">
        <v>4393</v>
      </c>
      <c r="C5294" s="2" t="s">
        <v>4394</v>
      </c>
      <c r="D5294" s="3" t="str">
        <f t="shared" si="935"/>
        <v>12Go Link</v>
      </c>
      <c r="E5294" s="2" t="s">
        <v>4337</v>
      </c>
    </row>
    <row r="5295">
      <c r="A5295" s="2" t="s">
        <v>4334</v>
      </c>
      <c r="B5295" s="2" t="s">
        <v>4393</v>
      </c>
      <c r="C5295" s="2" t="s">
        <v>4394</v>
      </c>
      <c r="D5295" s="3" t="str">
        <f t="shared" si="935"/>
        <v>12Go Link</v>
      </c>
      <c r="E5295" s="2" t="s">
        <v>4137</v>
      </c>
    </row>
    <row r="5296">
      <c r="A5296" s="2" t="s">
        <v>4334</v>
      </c>
      <c r="B5296" s="2" t="s">
        <v>4393</v>
      </c>
      <c r="C5296" s="2" t="s">
        <v>4394</v>
      </c>
      <c r="D5296" s="3" t="str">
        <f t="shared" si="935"/>
        <v>12Go Link</v>
      </c>
      <c r="E5296" s="2" t="s">
        <v>4338</v>
      </c>
    </row>
    <row r="5297">
      <c r="A5297" s="2" t="s">
        <v>4334</v>
      </c>
      <c r="B5297" s="2" t="s">
        <v>4393</v>
      </c>
      <c r="C5297" s="2" t="s">
        <v>4394</v>
      </c>
      <c r="D5297" s="3" t="str">
        <f t="shared" si="935"/>
        <v>12Go Link</v>
      </c>
      <c r="E5297" s="2" t="s">
        <v>4339</v>
      </c>
    </row>
    <row r="5298">
      <c r="A5298" s="2" t="s">
        <v>4334</v>
      </c>
      <c r="B5298" s="2" t="s">
        <v>4393</v>
      </c>
      <c r="C5298" s="2" t="s">
        <v>4394</v>
      </c>
      <c r="D5298" s="3" t="str">
        <f t="shared" si="935"/>
        <v>12Go Link</v>
      </c>
      <c r="E5298" s="2" t="s">
        <v>4340</v>
      </c>
    </row>
    <row r="5299">
      <c r="A5299" s="2" t="s">
        <v>4334</v>
      </c>
      <c r="B5299" s="2" t="s">
        <v>4395</v>
      </c>
      <c r="C5299" s="2" t="s">
        <v>4396</v>
      </c>
      <c r="D5299" s="3" t="str">
        <f t="shared" ref="D5299:D5304" si="936">HYPERLINK("https://12go.asia/en/travel/Agadir-Al-Massira-International-Airport/Tafraoute-Hotel-Transfer", "12Go Link")</f>
        <v>12Go Link</v>
      </c>
      <c r="E5299" s="2" t="s">
        <v>4336</v>
      </c>
    </row>
    <row r="5300">
      <c r="A5300" s="2" t="s">
        <v>4334</v>
      </c>
      <c r="B5300" s="2" t="s">
        <v>4395</v>
      </c>
      <c r="C5300" s="2" t="s">
        <v>4396</v>
      </c>
      <c r="D5300" s="3" t="str">
        <f t="shared" si="936"/>
        <v>12Go Link</v>
      </c>
      <c r="E5300" s="2" t="s">
        <v>4337</v>
      </c>
    </row>
    <row r="5301">
      <c r="A5301" s="2" t="s">
        <v>4334</v>
      </c>
      <c r="B5301" s="2" t="s">
        <v>4395</v>
      </c>
      <c r="C5301" s="2" t="s">
        <v>4396</v>
      </c>
      <c r="D5301" s="3" t="str">
        <f t="shared" si="936"/>
        <v>12Go Link</v>
      </c>
      <c r="E5301" s="2" t="s">
        <v>4137</v>
      </c>
    </row>
    <row r="5302">
      <c r="A5302" s="2" t="s">
        <v>4334</v>
      </c>
      <c r="B5302" s="2" t="s">
        <v>4395</v>
      </c>
      <c r="C5302" s="2" t="s">
        <v>4396</v>
      </c>
      <c r="D5302" s="3" t="str">
        <f t="shared" si="936"/>
        <v>12Go Link</v>
      </c>
      <c r="E5302" s="2" t="s">
        <v>4338</v>
      </c>
    </row>
    <row r="5303">
      <c r="A5303" s="2" t="s">
        <v>4334</v>
      </c>
      <c r="B5303" s="2" t="s">
        <v>4395</v>
      </c>
      <c r="C5303" s="2" t="s">
        <v>4396</v>
      </c>
      <c r="D5303" s="3" t="str">
        <f t="shared" si="936"/>
        <v>12Go Link</v>
      </c>
      <c r="E5303" s="2" t="s">
        <v>4339</v>
      </c>
    </row>
    <row r="5304">
      <c r="A5304" s="2" t="s">
        <v>4334</v>
      </c>
      <c r="B5304" s="2" t="s">
        <v>4395</v>
      </c>
      <c r="C5304" s="2" t="s">
        <v>4396</v>
      </c>
      <c r="D5304" s="3" t="str">
        <f t="shared" si="936"/>
        <v>12Go Link</v>
      </c>
      <c r="E5304" s="2" t="s">
        <v>4340</v>
      </c>
    </row>
    <row r="5305">
      <c r="A5305" s="2" t="s">
        <v>4334</v>
      </c>
      <c r="B5305" s="2" t="s">
        <v>4397</v>
      </c>
      <c r="C5305" s="2" t="s">
        <v>4398</v>
      </c>
      <c r="D5305" s="3" t="str">
        <f t="shared" ref="D5305:D5310" si="937">HYPERLINK("https://12go.asia/en/travel/Agadir-Al-Massira-International-Airport/Taghazout-Hotel-Transfer", "12Go Link")</f>
        <v>12Go Link</v>
      </c>
      <c r="E5305" s="2" t="s">
        <v>4336</v>
      </c>
    </row>
    <row r="5306">
      <c r="A5306" s="2" t="s">
        <v>4334</v>
      </c>
      <c r="B5306" s="2" t="s">
        <v>4397</v>
      </c>
      <c r="C5306" s="2" t="s">
        <v>4398</v>
      </c>
      <c r="D5306" s="3" t="str">
        <f t="shared" si="937"/>
        <v>12Go Link</v>
      </c>
      <c r="E5306" s="2" t="s">
        <v>4337</v>
      </c>
    </row>
    <row r="5307">
      <c r="A5307" s="2" t="s">
        <v>4334</v>
      </c>
      <c r="B5307" s="2" t="s">
        <v>4397</v>
      </c>
      <c r="C5307" s="2" t="s">
        <v>4398</v>
      </c>
      <c r="D5307" s="3" t="str">
        <f t="shared" si="937"/>
        <v>12Go Link</v>
      </c>
      <c r="E5307" s="2" t="s">
        <v>4137</v>
      </c>
    </row>
    <row r="5308">
      <c r="A5308" s="2" t="s">
        <v>4334</v>
      </c>
      <c r="B5308" s="2" t="s">
        <v>4397</v>
      </c>
      <c r="C5308" s="2" t="s">
        <v>4398</v>
      </c>
      <c r="D5308" s="3" t="str">
        <f t="shared" si="937"/>
        <v>12Go Link</v>
      </c>
      <c r="E5308" s="2" t="s">
        <v>4338</v>
      </c>
    </row>
    <row r="5309">
      <c r="A5309" s="2" t="s">
        <v>4334</v>
      </c>
      <c r="B5309" s="2" t="s">
        <v>4397</v>
      </c>
      <c r="C5309" s="2" t="s">
        <v>4398</v>
      </c>
      <c r="D5309" s="3" t="str">
        <f t="shared" si="937"/>
        <v>12Go Link</v>
      </c>
      <c r="E5309" s="2" t="s">
        <v>4339</v>
      </c>
    </row>
    <row r="5310">
      <c r="A5310" s="2" t="s">
        <v>4334</v>
      </c>
      <c r="B5310" s="2" t="s">
        <v>4397</v>
      </c>
      <c r="C5310" s="2" t="s">
        <v>4398</v>
      </c>
      <c r="D5310" s="3" t="str">
        <f t="shared" si="937"/>
        <v>12Go Link</v>
      </c>
      <c r="E5310" s="2" t="s">
        <v>4340</v>
      </c>
    </row>
    <row r="5311">
      <c r="A5311" s="2" t="s">
        <v>4334</v>
      </c>
      <c r="B5311" s="2" t="s">
        <v>4399</v>
      </c>
      <c r="C5311" s="2" t="s">
        <v>4400</v>
      </c>
      <c r="D5311" s="3" t="str">
        <f t="shared" ref="D5311:D5316" si="938">HYPERLINK("https://12go.asia/en/travel/Agadir-Al-Massira-International-Airport/Tamraght-Hotel-Transfer", "12Go Link")</f>
        <v>12Go Link</v>
      </c>
      <c r="E5311" s="2" t="s">
        <v>4336</v>
      </c>
    </row>
    <row r="5312">
      <c r="A5312" s="2" t="s">
        <v>4334</v>
      </c>
      <c r="B5312" s="2" t="s">
        <v>4399</v>
      </c>
      <c r="C5312" s="2" t="s">
        <v>4400</v>
      </c>
      <c r="D5312" s="3" t="str">
        <f t="shared" si="938"/>
        <v>12Go Link</v>
      </c>
      <c r="E5312" s="2" t="s">
        <v>4337</v>
      </c>
    </row>
    <row r="5313">
      <c r="A5313" s="2" t="s">
        <v>4334</v>
      </c>
      <c r="B5313" s="2" t="s">
        <v>4399</v>
      </c>
      <c r="C5313" s="2" t="s">
        <v>4400</v>
      </c>
      <c r="D5313" s="3" t="str">
        <f t="shared" si="938"/>
        <v>12Go Link</v>
      </c>
      <c r="E5313" s="2" t="s">
        <v>4137</v>
      </c>
    </row>
    <row r="5314">
      <c r="A5314" s="2" t="s">
        <v>4334</v>
      </c>
      <c r="B5314" s="2" t="s">
        <v>4399</v>
      </c>
      <c r="C5314" s="2" t="s">
        <v>4400</v>
      </c>
      <c r="D5314" s="3" t="str">
        <f t="shared" si="938"/>
        <v>12Go Link</v>
      </c>
      <c r="E5314" s="2" t="s">
        <v>4338</v>
      </c>
    </row>
    <row r="5315">
      <c r="A5315" s="2" t="s">
        <v>4334</v>
      </c>
      <c r="B5315" s="2" t="s">
        <v>4399</v>
      </c>
      <c r="C5315" s="2" t="s">
        <v>4400</v>
      </c>
      <c r="D5315" s="3" t="str">
        <f t="shared" si="938"/>
        <v>12Go Link</v>
      </c>
      <c r="E5315" s="2" t="s">
        <v>4339</v>
      </c>
    </row>
    <row r="5316">
      <c r="A5316" s="2" t="s">
        <v>4334</v>
      </c>
      <c r="B5316" s="2" t="s">
        <v>4399</v>
      </c>
      <c r="C5316" s="2" t="s">
        <v>4400</v>
      </c>
      <c r="D5316" s="3" t="str">
        <f t="shared" si="938"/>
        <v>12Go Link</v>
      </c>
      <c r="E5316" s="2" t="s">
        <v>4340</v>
      </c>
    </row>
    <row r="5317">
      <c r="A5317" s="2" t="s">
        <v>4334</v>
      </c>
      <c r="B5317" s="2" t="s">
        <v>4401</v>
      </c>
      <c r="C5317" s="2" t="s">
        <v>4402</v>
      </c>
      <c r="D5317" s="3" t="str">
        <f t="shared" ref="D5317:D5322" si="939">HYPERLINK("https://12go.asia/en/travel/Agadir-Al-Massira-International-Airport/Paradis-Plage", "12Go Link")</f>
        <v>12Go Link</v>
      </c>
      <c r="E5317" s="2" t="s">
        <v>4336</v>
      </c>
    </row>
    <row r="5318">
      <c r="A5318" s="2" t="s">
        <v>4334</v>
      </c>
      <c r="B5318" s="2" t="s">
        <v>4401</v>
      </c>
      <c r="C5318" s="2" t="s">
        <v>4402</v>
      </c>
      <c r="D5318" s="3" t="str">
        <f t="shared" si="939"/>
        <v>12Go Link</v>
      </c>
      <c r="E5318" s="2" t="s">
        <v>4337</v>
      </c>
    </row>
    <row r="5319">
      <c r="A5319" s="2" t="s">
        <v>4334</v>
      </c>
      <c r="B5319" s="2" t="s">
        <v>4401</v>
      </c>
      <c r="C5319" s="2" t="s">
        <v>4402</v>
      </c>
      <c r="D5319" s="3" t="str">
        <f t="shared" si="939"/>
        <v>12Go Link</v>
      </c>
      <c r="E5319" s="2" t="s">
        <v>4137</v>
      </c>
    </row>
    <row r="5320">
      <c r="A5320" s="2" t="s">
        <v>4334</v>
      </c>
      <c r="B5320" s="2" t="s">
        <v>4401</v>
      </c>
      <c r="C5320" s="2" t="s">
        <v>4402</v>
      </c>
      <c r="D5320" s="3" t="str">
        <f t="shared" si="939"/>
        <v>12Go Link</v>
      </c>
      <c r="E5320" s="2" t="s">
        <v>4338</v>
      </c>
    </row>
    <row r="5321">
      <c r="A5321" s="2" t="s">
        <v>4334</v>
      </c>
      <c r="B5321" s="2" t="s">
        <v>4401</v>
      </c>
      <c r="C5321" s="2" t="s">
        <v>4402</v>
      </c>
      <c r="D5321" s="3" t="str">
        <f t="shared" si="939"/>
        <v>12Go Link</v>
      </c>
      <c r="E5321" s="2" t="s">
        <v>4339</v>
      </c>
    </row>
    <row r="5322">
      <c r="A5322" s="2" t="s">
        <v>4334</v>
      </c>
      <c r="B5322" s="2" t="s">
        <v>4401</v>
      </c>
      <c r="C5322" s="2" t="s">
        <v>4402</v>
      </c>
      <c r="D5322" s="3" t="str">
        <f t="shared" si="939"/>
        <v>12Go Link</v>
      </c>
      <c r="E5322" s="2" t="s">
        <v>4340</v>
      </c>
    </row>
    <row r="5323">
      <c r="A5323" s="2" t="s">
        <v>4334</v>
      </c>
      <c r="B5323" s="2" t="s">
        <v>4403</v>
      </c>
      <c r="C5323" s="2" t="s">
        <v>4404</v>
      </c>
      <c r="D5323" s="3" t="str">
        <f t="shared" ref="D5323:D5328" si="940">HYPERLINK("https://12go.asia/en/travel/Agadir-Al-Massira-International-Airport/Immouzzer-Hotel-Transfer", "12Go Link")</f>
        <v>12Go Link</v>
      </c>
      <c r="E5323" s="2" t="s">
        <v>4336</v>
      </c>
    </row>
    <row r="5324">
      <c r="A5324" s="2" t="s">
        <v>4334</v>
      </c>
      <c r="B5324" s="2" t="s">
        <v>4403</v>
      </c>
      <c r="C5324" s="2" t="s">
        <v>4404</v>
      </c>
      <c r="D5324" s="3" t="str">
        <f t="shared" si="940"/>
        <v>12Go Link</v>
      </c>
      <c r="E5324" s="2" t="s">
        <v>4337</v>
      </c>
    </row>
    <row r="5325">
      <c r="A5325" s="2" t="s">
        <v>4334</v>
      </c>
      <c r="B5325" s="2" t="s">
        <v>4403</v>
      </c>
      <c r="C5325" s="2" t="s">
        <v>4404</v>
      </c>
      <c r="D5325" s="3" t="str">
        <f t="shared" si="940"/>
        <v>12Go Link</v>
      </c>
      <c r="E5325" s="2" t="s">
        <v>4137</v>
      </c>
    </row>
    <row r="5326">
      <c r="A5326" s="2" t="s">
        <v>4334</v>
      </c>
      <c r="B5326" s="2" t="s">
        <v>4403</v>
      </c>
      <c r="C5326" s="2" t="s">
        <v>4404</v>
      </c>
      <c r="D5326" s="3" t="str">
        <f t="shared" si="940"/>
        <v>12Go Link</v>
      </c>
      <c r="E5326" s="2" t="s">
        <v>4338</v>
      </c>
    </row>
    <row r="5327">
      <c r="A5327" s="2" t="s">
        <v>4334</v>
      </c>
      <c r="B5327" s="2" t="s">
        <v>4403</v>
      </c>
      <c r="C5327" s="2" t="s">
        <v>4404</v>
      </c>
      <c r="D5327" s="3" t="str">
        <f t="shared" si="940"/>
        <v>12Go Link</v>
      </c>
      <c r="E5327" s="2" t="s">
        <v>4339</v>
      </c>
    </row>
    <row r="5328">
      <c r="A5328" s="2" t="s">
        <v>4334</v>
      </c>
      <c r="B5328" s="2" t="s">
        <v>4403</v>
      </c>
      <c r="C5328" s="2" t="s">
        <v>4404</v>
      </c>
      <c r="D5328" s="3" t="str">
        <f t="shared" si="940"/>
        <v>12Go Link</v>
      </c>
      <c r="E5328" s="2" t="s">
        <v>4340</v>
      </c>
    </row>
    <row r="5329">
      <c r="A5329" s="2" t="s">
        <v>4334</v>
      </c>
      <c r="B5329" s="2" t="s">
        <v>4405</v>
      </c>
      <c r="C5329" s="2" t="s">
        <v>4406</v>
      </c>
      <c r="D5329" s="3" t="str">
        <f t="shared" ref="D5329:D5334" si="941">HYPERLINK("https://12go.asia/en/travel/Agadir-Al-Massira-International-Airport/Taroudant-Hotel-Transfer", "12Go Link")</f>
        <v>12Go Link</v>
      </c>
      <c r="E5329" s="2" t="s">
        <v>4336</v>
      </c>
    </row>
    <row r="5330">
      <c r="A5330" s="2" t="s">
        <v>4334</v>
      </c>
      <c r="B5330" s="2" t="s">
        <v>4405</v>
      </c>
      <c r="C5330" s="2" t="s">
        <v>4406</v>
      </c>
      <c r="D5330" s="3" t="str">
        <f t="shared" si="941"/>
        <v>12Go Link</v>
      </c>
      <c r="E5330" s="2" t="s">
        <v>4337</v>
      </c>
    </row>
    <row r="5331">
      <c r="A5331" s="2" t="s">
        <v>4334</v>
      </c>
      <c r="B5331" s="2" t="s">
        <v>4405</v>
      </c>
      <c r="C5331" s="2" t="s">
        <v>4406</v>
      </c>
      <c r="D5331" s="3" t="str">
        <f t="shared" si="941"/>
        <v>12Go Link</v>
      </c>
      <c r="E5331" s="2" t="s">
        <v>4137</v>
      </c>
    </row>
    <row r="5332">
      <c r="A5332" s="2" t="s">
        <v>4334</v>
      </c>
      <c r="B5332" s="2" t="s">
        <v>4405</v>
      </c>
      <c r="C5332" s="2" t="s">
        <v>4406</v>
      </c>
      <c r="D5332" s="3" t="str">
        <f t="shared" si="941"/>
        <v>12Go Link</v>
      </c>
      <c r="E5332" s="2" t="s">
        <v>4338</v>
      </c>
    </row>
    <row r="5333">
      <c r="A5333" s="2" t="s">
        <v>4334</v>
      </c>
      <c r="B5333" s="2" t="s">
        <v>4405</v>
      </c>
      <c r="C5333" s="2" t="s">
        <v>4406</v>
      </c>
      <c r="D5333" s="3" t="str">
        <f t="shared" si="941"/>
        <v>12Go Link</v>
      </c>
      <c r="E5333" s="2" t="s">
        <v>4339</v>
      </c>
    </row>
    <row r="5334">
      <c r="A5334" s="2" t="s">
        <v>4334</v>
      </c>
      <c r="B5334" s="2" t="s">
        <v>4405</v>
      </c>
      <c r="C5334" s="2" t="s">
        <v>4406</v>
      </c>
      <c r="D5334" s="3" t="str">
        <f t="shared" si="941"/>
        <v>12Go Link</v>
      </c>
      <c r="E5334" s="2" t="s">
        <v>4340</v>
      </c>
    </row>
    <row r="5335">
      <c r="A5335" s="2" t="s">
        <v>4334</v>
      </c>
      <c r="B5335" s="2" t="s">
        <v>4407</v>
      </c>
      <c r="C5335" s="2" t="s">
        <v>4408</v>
      </c>
      <c r="D5335" s="3" t="str">
        <f t="shared" ref="D5335:D5340" si="942">HYPERLINK("https://12go.asia/en/travel/Agadir-Al-Massira-International-Airport/Tiguert-Hotel-Transfer", "12Go Link")</f>
        <v>12Go Link</v>
      </c>
      <c r="E5335" s="2" t="s">
        <v>4336</v>
      </c>
    </row>
    <row r="5336">
      <c r="A5336" s="2" t="s">
        <v>4334</v>
      </c>
      <c r="B5336" s="2" t="s">
        <v>4407</v>
      </c>
      <c r="C5336" s="2" t="s">
        <v>4408</v>
      </c>
      <c r="D5336" s="3" t="str">
        <f t="shared" si="942"/>
        <v>12Go Link</v>
      </c>
      <c r="E5336" s="2" t="s">
        <v>4337</v>
      </c>
    </row>
    <row r="5337">
      <c r="A5337" s="2" t="s">
        <v>4334</v>
      </c>
      <c r="B5337" s="2" t="s">
        <v>4407</v>
      </c>
      <c r="C5337" s="2" t="s">
        <v>4408</v>
      </c>
      <c r="D5337" s="3" t="str">
        <f t="shared" si="942"/>
        <v>12Go Link</v>
      </c>
      <c r="E5337" s="2" t="s">
        <v>4137</v>
      </c>
    </row>
    <row r="5338">
      <c r="A5338" s="2" t="s">
        <v>4334</v>
      </c>
      <c r="B5338" s="2" t="s">
        <v>4407</v>
      </c>
      <c r="C5338" s="2" t="s">
        <v>4408</v>
      </c>
      <c r="D5338" s="3" t="str">
        <f t="shared" si="942"/>
        <v>12Go Link</v>
      </c>
      <c r="E5338" s="2" t="s">
        <v>4338</v>
      </c>
    </row>
    <row r="5339">
      <c r="A5339" s="2" t="s">
        <v>4334</v>
      </c>
      <c r="B5339" s="2" t="s">
        <v>4407</v>
      </c>
      <c r="C5339" s="2" t="s">
        <v>4408</v>
      </c>
      <c r="D5339" s="3" t="str">
        <f t="shared" si="942"/>
        <v>12Go Link</v>
      </c>
      <c r="E5339" s="2" t="s">
        <v>4339</v>
      </c>
    </row>
    <row r="5340">
      <c r="A5340" s="2" t="s">
        <v>4334</v>
      </c>
      <c r="B5340" s="2" t="s">
        <v>4407</v>
      </c>
      <c r="C5340" s="2" t="s">
        <v>4408</v>
      </c>
      <c r="D5340" s="3" t="str">
        <f t="shared" si="942"/>
        <v>12Go Link</v>
      </c>
      <c r="E5340" s="2" t="s">
        <v>4340</v>
      </c>
    </row>
    <row r="5341">
      <c r="A5341" s="2" t="s">
        <v>4409</v>
      </c>
      <c r="B5341" s="2" t="s">
        <v>4350</v>
      </c>
      <c r="C5341" s="2" t="s">
        <v>4410</v>
      </c>
      <c r="D5341" s="3" t="str">
        <f t="shared" ref="D5341:D5346" si="943">HYPERLINK("https://12go.asia/en/travel/Ait-Si-Hammou-Hotel-Transfer/Mohammed-V-International-Airport", "12Go Link")</f>
        <v>12Go Link</v>
      </c>
      <c r="E5341" s="2" t="s">
        <v>4336</v>
      </c>
    </row>
    <row r="5342">
      <c r="A5342" s="2" t="s">
        <v>4409</v>
      </c>
      <c r="B5342" s="2" t="s">
        <v>4350</v>
      </c>
      <c r="C5342" s="2" t="s">
        <v>4410</v>
      </c>
      <c r="D5342" s="3" t="str">
        <f t="shared" si="943"/>
        <v>12Go Link</v>
      </c>
      <c r="E5342" s="2" t="s">
        <v>4337</v>
      </c>
    </row>
    <row r="5343">
      <c r="A5343" s="2" t="s">
        <v>4409</v>
      </c>
      <c r="B5343" s="2" t="s">
        <v>4350</v>
      </c>
      <c r="C5343" s="2" t="s">
        <v>4410</v>
      </c>
      <c r="D5343" s="3" t="str">
        <f t="shared" si="943"/>
        <v>12Go Link</v>
      </c>
      <c r="E5343" s="2" t="s">
        <v>4137</v>
      </c>
    </row>
    <row r="5344">
      <c r="A5344" s="2" t="s">
        <v>4409</v>
      </c>
      <c r="B5344" s="2" t="s">
        <v>4350</v>
      </c>
      <c r="C5344" s="2" t="s">
        <v>4410</v>
      </c>
      <c r="D5344" s="3" t="str">
        <f t="shared" si="943"/>
        <v>12Go Link</v>
      </c>
      <c r="E5344" s="2" t="s">
        <v>4338</v>
      </c>
    </row>
    <row r="5345">
      <c r="A5345" s="2" t="s">
        <v>4409</v>
      </c>
      <c r="B5345" s="2" t="s">
        <v>4350</v>
      </c>
      <c r="C5345" s="2" t="s">
        <v>4410</v>
      </c>
      <c r="D5345" s="3" t="str">
        <f t="shared" si="943"/>
        <v>12Go Link</v>
      </c>
      <c r="E5345" s="2" t="s">
        <v>4339</v>
      </c>
    </row>
    <row r="5346">
      <c r="A5346" s="2" t="s">
        <v>4409</v>
      </c>
      <c r="B5346" s="2" t="s">
        <v>4350</v>
      </c>
      <c r="C5346" s="2" t="s">
        <v>4410</v>
      </c>
      <c r="D5346" s="3" t="str">
        <f t="shared" si="943"/>
        <v>12Go Link</v>
      </c>
      <c r="E5346" s="2" t="s">
        <v>4340</v>
      </c>
    </row>
    <row r="5347">
      <c r="A5347" s="2" t="s">
        <v>4409</v>
      </c>
      <c r="B5347" s="2" t="s">
        <v>4372</v>
      </c>
      <c r="C5347" s="2" t="s">
        <v>4411</v>
      </c>
      <c r="D5347" s="3" t="str">
        <f t="shared" ref="D5347:D5352" si="944">HYPERLINK("https://12go.asia/en/travel/Ait-Si-Hammou-Hotel-Transfer/Marrakesh-Menara-Airport", "12Go Link")</f>
        <v>12Go Link</v>
      </c>
      <c r="E5347" s="2" t="s">
        <v>4336</v>
      </c>
    </row>
    <row r="5348">
      <c r="A5348" s="2" t="s">
        <v>4409</v>
      </c>
      <c r="B5348" s="2" t="s">
        <v>4372</v>
      </c>
      <c r="C5348" s="2" t="s">
        <v>4411</v>
      </c>
      <c r="D5348" s="3" t="str">
        <f t="shared" si="944"/>
        <v>12Go Link</v>
      </c>
      <c r="E5348" s="2" t="s">
        <v>4337</v>
      </c>
    </row>
    <row r="5349">
      <c r="A5349" s="2" t="s">
        <v>4409</v>
      </c>
      <c r="B5349" s="2" t="s">
        <v>4372</v>
      </c>
      <c r="C5349" s="2" t="s">
        <v>4411</v>
      </c>
      <c r="D5349" s="3" t="str">
        <f t="shared" si="944"/>
        <v>12Go Link</v>
      </c>
      <c r="E5349" s="2" t="s">
        <v>4137</v>
      </c>
    </row>
    <row r="5350">
      <c r="A5350" s="2" t="s">
        <v>4409</v>
      </c>
      <c r="B5350" s="2" t="s">
        <v>4372</v>
      </c>
      <c r="C5350" s="2" t="s">
        <v>4411</v>
      </c>
      <c r="D5350" s="3" t="str">
        <f t="shared" si="944"/>
        <v>12Go Link</v>
      </c>
      <c r="E5350" s="2" t="s">
        <v>4338</v>
      </c>
    </row>
    <row r="5351">
      <c r="A5351" s="2" t="s">
        <v>4409</v>
      </c>
      <c r="B5351" s="2" t="s">
        <v>4372</v>
      </c>
      <c r="C5351" s="2" t="s">
        <v>4411</v>
      </c>
      <c r="D5351" s="3" t="str">
        <f t="shared" si="944"/>
        <v>12Go Link</v>
      </c>
      <c r="E5351" s="2" t="s">
        <v>4339</v>
      </c>
    </row>
    <row r="5352">
      <c r="A5352" s="2" t="s">
        <v>4409</v>
      </c>
      <c r="B5352" s="2" t="s">
        <v>4372</v>
      </c>
      <c r="C5352" s="2" t="s">
        <v>4411</v>
      </c>
      <c r="D5352" s="3" t="str">
        <f t="shared" si="944"/>
        <v>12Go Link</v>
      </c>
      <c r="E5352" s="2" t="s">
        <v>4340</v>
      </c>
    </row>
    <row r="5353">
      <c r="A5353" s="2" t="s">
        <v>4412</v>
      </c>
      <c r="B5353" s="2" t="s">
        <v>4413</v>
      </c>
      <c r="C5353" s="2" t="s">
        <v>4414</v>
      </c>
      <c r="D5353" s="3" t="str">
        <f t="shared" ref="D5353:D5358" si="945">HYPERLINK("https://12go.asia/en/travel/El-Hoceima-Hotel-Transfer/Oujda-Angads-Airport", "12Go Link")</f>
        <v>12Go Link</v>
      </c>
      <c r="E5353" s="2" t="s">
        <v>4336</v>
      </c>
    </row>
    <row r="5354">
      <c r="A5354" s="2" t="s">
        <v>4412</v>
      </c>
      <c r="B5354" s="2" t="s">
        <v>4413</v>
      </c>
      <c r="C5354" s="2" t="s">
        <v>4414</v>
      </c>
      <c r="D5354" s="3" t="str">
        <f t="shared" si="945"/>
        <v>12Go Link</v>
      </c>
      <c r="E5354" s="2" t="s">
        <v>4337</v>
      </c>
    </row>
    <row r="5355">
      <c r="A5355" s="2" t="s">
        <v>4412</v>
      </c>
      <c r="B5355" s="2" t="s">
        <v>4413</v>
      </c>
      <c r="C5355" s="2" t="s">
        <v>4414</v>
      </c>
      <c r="D5355" s="3" t="str">
        <f t="shared" si="945"/>
        <v>12Go Link</v>
      </c>
      <c r="E5355" s="2" t="s">
        <v>4137</v>
      </c>
    </row>
    <row r="5356">
      <c r="A5356" s="2" t="s">
        <v>4412</v>
      </c>
      <c r="B5356" s="2" t="s">
        <v>4413</v>
      </c>
      <c r="C5356" s="2" t="s">
        <v>4414</v>
      </c>
      <c r="D5356" s="3" t="str">
        <f t="shared" si="945"/>
        <v>12Go Link</v>
      </c>
      <c r="E5356" s="2" t="s">
        <v>4338</v>
      </c>
    </row>
    <row r="5357">
      <c r="A5357" s="2" t="s">
        <v>4412</v>
      </c>
      <c r="B5357" s="2" t="s">
        <v>4413</v>
      </c>
      <c r="C5357" s="2" t="s">
        <v>4414</v>
      </c>
      <c r="D5357" s="3" t="str">
        <f t="shared" si="945"/>
        <v>12Go Link</v>
      </c>
      <c r="E5357" s="2" t="s">
        <v>4339</v>
      </c>
    </row>
    <row r="5358">
      <c r="A5358" s="2" t="s">
        <v>4412</v>
      </c>
      <c r="B5358" s="2" t="s">
        <v>4413</v>
      </c>
      <c r="C5358" s="2" t="s">
        <v>4414</v>
      </c>
      <c r="D5358" s="3" t="str">
        <f t="shared" si="945"/>
        <v>12Go Link</v>
      </c>
      <c r="E5358" s="2" t="s">
        <v>4340</v>
      </c>
    </row>
    <row r="5359">
      <c r="A5359" s="2" t="s">
        <v>4344</v>
      </c>
      <c r="B5359" s="2" t="s">
        <v>4334</v>
      </c>
      <c r="C5359" s="2" t="s">
        <v>4415</v>
      </c>
      <c r="D5359" s="3" t="str">
        <f t="shared" ref="D5359:D5364" si="946">HYPERLINK("https://12go.asia/en/travel/Aourir-Hotel-Transfer/Agadir-Al-Massira-International-Airport", "12Go Link")</f>
        <v>12Go Link</v>
      </c>
      <c r="E5359" s="2" t="s">
        <v>4336</v>
      </c>
    </row>
    <row r="5360">
      <c r="A5360" s="2" t="s">
        <v>4344</v>
      </c>
      <c r="B5360" s="2" t="s">
        <v>4334</v>
      </c>
      <c r="C5360" s="2" t="s">
        <v>4415</v>
      </c>
      <c r="D5360" s="3" t="str">
        <f t="shared" si="946"/>
        <v>12Go Link</v>
      </c>
      <c r="E5360" s="2" t="s">
        <v>4337</v>
      </c>
    </row>
    <row r="5361">
      <c r="A5361" s="2" t="s">
        <v>4344</v>
      </c>
      <c r="B5361" s="2" t="s">
        <v>4334</v>
      </c>
      <c r="C5361" s="2" t="s">
        <v>4415</v>
      </c>
      <c r="D5361" s="3" t="str">
        <f t="shared" si="946"/>
        <v>12Go Link</v>
      </c>
      <c r="E5361" s="2" t="s">
        <v>4137</v>
      </c>
    </row>
    <row r="5362">
      <c r="A5362" s="2" t="s">
        <v>4344</v>
      </c>
      <c r="B5362" s="2" t="s">
        <v>4334</v>
      </c>
      <c r="C5362" s="2" t="s">
        <v>4415</v>
      </c>
      <c r="D5362" s="3" t="str">
        <f t="shared" si="946"/>
        <v>12Go Link</v>
      </c>
      <c r="E5362" s="2" t="s">
        <v>4338</v>
      </c>
    </row>
    <row r="5363">
      <c r="A5363" s="2" t="s">
        <v>4344</v>
      </c>
      <c r="B5363" s="2" t="s">
        <v>4334</v>
      </c>
      <c r="C5363" s="2" t="s">
        <v>4415</v>
      </c>
      <c r="D5363" s="3" t="str">
        <f t="shared" si="946"/>
        <v>12Go Link</v>
      </c>
      <c r="E5363" s="2" t="s">
        <v>4339</v>
      </c>
    </row>
    <row r="5364">
      <c r="A5364" s="2" t="s">
        <v>4344</v>
      </c>
      <c r="B5364" s="2" t="s">
        <v>4334</v>
      </c>
      <c r="C5364" s="2" t="s">
        <v>4415</v>
      </c>
      <c r="D5364" s="3" t="str">
        <f t="shared" si="946"/>
        <v>12Go Link</v>
      </c>
      <c r="E5364" s="2" t="s">
        <v>4340</v>
      </c>
    </row>
    <row r="5365">
      <c r="A5365" s="2" t="s">
        <v>4344</v>
      </c>
      <c r="B5365" s="2" t="s">
        <v>4353</v>
      </c>
      <c r="C5365" s="2" t="s">
        <v>4416</v>
      </c>
      <c r="D5365" s="3" t="str">
        <f t="shared" ref="D5365:D5370" si="947">HYPERLINK("https://12go.asia/en/travel/Aourir-Hotel-Transfer/Essaouira-Mogador-Airport", "12Go Link")</f>
        <v>12Go Link</v>
      </c>
      <c r="E5365" s="2" t="s">
        <v>4336</v>
      </c>
    </row>
    <row r="5366">
      <c r="A5366" s="2" t="s">
        <v>4344</v>
      </c>
      <c r="B5366" s="2" t="s">
        <v>4353</v>
      </c>
      <c r="C5366" s="2" t="s">
        <v>4416</v>
      </c>
      <c r="D5366" s="3" t="str">
        <f t="shared" si="947"/>
        <v>12Go Link</v>
      </c>
      <c r="E5366" s="2" t="s">
        <v>4337</v>
      </c>
    </row>
    <row r="5367">
      <c r="A5367" s="2" t="s">
        <v>4344</v>
      </c>
      <c r="B5367" s="2" t="s">
        <v>4353</v>
      </c>
      <c r="C5367" s="2" t="s">
        <v>4416</v>
      </c>
      <c r="D5367" s="3" t="str">
        <f t="shared" si="947"/>
        <v>12Go Link</v>
      </c>
      <c r="E5367" s="2" t="s">
        <v>4137</v>
      </c>
    </row>
    <row r="5368">
      <c r="A5368" s="2" t="s">
        <v>4344</v>
      </c>
      <c r="B5368" s="2" t="s">
        <v>4353</v>
      </c>
      <c r="C5368" s="2" t="s">
        <v>4416</v>
      </c>
      <c r="D5368" s="3" t="str">
        <f t="shared" si="947"/>
        <v>12Go Link</v>
      </c>
      <c r="E5368" s="2" t="s">
        <v>4338</v>
      </c>
    </row>
    <row r="5369">
      <c r="A5369" s="2" t="s">
        <v>4344</v>
      </c>
      <c r="B5369" s="2" t="s">
        <v>4353</v>
      </c>
      <c r="C5369" s="2" t="s">
        <v>4416</v>
      </c>
      <c r="D5369" s="3" t="str">
        <f t="shared" si="947"/>
        <v>12Go Link</v>
      </c>
      <c r="E5369" s="2" t="s">
        <v>4339</v>
      </c>
    </row>
    <row r="5370">
      <c r="A5370" s="2" t="s">
        <v>4344</v>
      </c>
      <c r="B5370" s="2" t="s">
        <v>4353</v>
      </c>
      <c r="C5370" s="2" t="s">
        <v>4416</v>
      </c>
      <c r="D5370" s="3" t="str">
        <f t="shared" si="947"/>
        <v>12Go Link</v>
      </c>
      <c r="E5370" s="2" t="s">
        <v>4340</v>
      </c>
    </row>
    <row r="5371">
      <c r="A5371" s="2" t="s">
        <v>4344</v>
      </c>
      <c r="B5371" s="2" t="s">
        <v>4357</v>
      </c>
      <c r="C5371" s="2" t="s">
        <v>4417</v>
      </c>
      <c r="D5371" s="3" t="str">
        <f t="shared" ref="D5371:D5376" si="948">HYPERLINK("https://12go.asia/en/travel/Aourir-Hotel-Transfer/Fes-Airport", "12Go Link")</f>
        <v>12Go Link</v>
      </c>
      <c r="E5371" s="2" t="s">
        <v>4336</v>
      </c>
    </row>
    <row r="5372">
      <c r="A5372" s="2" t="s">
        <v>4344</v>
      </c>
      <c r="B5372" s="2" t="s">
        <v>4357</v>
      </c>
      <c r="C5372" s="2" t="s">
        <v>4417</v>
      </c>
      <c r="D5372" s="3" t="str">
        <f t="shared" si="948"/>
        <v>12Go Link</v>
      </c>
      <c r="E5372" s="2" t="s">
        <v>4337</v>
      </c>
    </row>
    <row r="5373">
      <c r="A5373" s="2" t="s">
        <v>4344</v>
      </c>
      <c r="B5373" s="2" t="s">
        <v>4357</v>
      </c>
      <c r="C5373" s="2" t="s">
        <v>4417</v>
      </c>
      <c r="D5373" s="3" t="str">
        <f t="shared" si="948"/>
        <v>12Go Link</v>
      </c>
      <c r="E5373" s="2" t="s">
        <v>4137</v>
      </c>
    </row>
    <row r="5374">
      <c r="A5374" s="2" t="s">
        <v>4344</v>
      </c>
      <c r="B5374" s="2" t="s">
        <v>4357</v>
      </c>
      <c r="C5374" s="2" t="s">
        <v>4417</v>
      </c>
      <c r="D5374" s="3" t="str">
        <f t="shared" si="948"/>
        <v>12Go Link</v>
      </c>
      <c r="E5374" s="2" t="s">
        <v>4338</v>
      </c>
    </row>
    <row r="5375">
      <c r="A5375" s="2" t="s">
        <v>4344</v>
      </c>
      <c r="B5375" s="2" t="s">
        <v>4357</v>
      </c>
      <c r="C5375" s="2" t="s">
        <v>4417</v>
      </c>
      <c r="D5375" s="3" t="str">
        <f t="shared" si="948"/>
        <v>12Go Link</v>
      </c>
      <c r="E5375" s="2" t="s">
        <v>4339</v>
      </c>
    </row>
    <row r="5376">
      <c r="A5376" s="2" t="s">
        <v>4344</v>
      </c>
      <c r="B5376" s="2" t="s">
        <v>4357</v>
      </c>
      <c r="C5376" s="2" t="s">
        <v>4417</v>
      </c>
      <c r="D5376" s="3" t="str">
        <f t="shared" si="948"/>
        <v>12Go Link</v>
      </c>
      <c r="E5376" s="2" t="s">
        <v>4340</v>
      </c>
    </row>
    <row r="5377">
      <c r="A5377" s="2" t="s">
        <v>4418</v>
      </c>
      <c r="B5377" s="2" t="s">
        <v>4403</v>
      </c>
      <c r="C5377" s="2" t="s">
        <v>4419</v>
      </c>
      <c r="D5377" s="3" t="str">
        <f t="shared" ref="D5377:D5382" si="949">HYPERLINK("https://12go.asia/en/travel/Asilah-Hotel-Transfer/Tanger-Ibn-Battouta-Airport", "12Go Link")</f>
        <v>12Go Link</v>
      </c>
      <c r="E5377" s="2" t="s">
        <v>4336</v>
      </c>
    </row>
    <row r="5378">
      <c r="A5378" s="2" t="s">
        <v>4418</v>
      </c>
      <c r="B5378" s="2" t="s">
        <v>4403</v>
      </c>
      <c r="C5378" s="2" t="s">
        <v>4419</v>
      </c>
      <c r="D5378" s="3" t="str">
        <f t="shared" si="949"/>
        <v>12Go Link</v>
      </c>
      <c r="E5378" s="2" t="s">
        <v>4337</v>
      </c>
    </row>
    <row r="5379">
      <c r="A5379" s="2" t="s">
        <v>4418</v>
      </c>
      <c r="B5379" s="2" t="s">
        <v>4403</v>
      </c>
      <c r="C5379" s="2" t="s">
        <v>4419</v>
      </c>
      <c r="D5379" s="3" t="str">
        <f t="shared" si="949"/>
        <v>12Go Link</v>
      </c>
      <c r="E5379" s="2" t="s">
        <v>4137</v>
      </c>
    </row>
    <row r="5380">
      <c r="A5380" s="2" t="s">
        <v>4418</v>
      </c>
      <c r="B5380" s="2" t="s">
        <v>4403</v>
      </c>
      <c r="C5380" s="2" t="s">
        <v>4419</v>
      </c>
      <c r="D5380" s="3" t="str">
        <f t="shared" si="949"/>
        <v>12Go Link</v>
      </c>
      <c r="E5380" s="2" t="s">
        <v>4338</v>
      </c>
    </row>
    <row r="5381">
      <c r="A5381" s="2" t="s">
        <v>4418</v>
      </c>
      <c r="B5381" s="2" t="s">
        <v>4403</v>
      </c>
      <c r="C5381" s="2" t="s">
        <v>4419</v>
      </c>
      <c r="D5381" s="3" t="str">
        <f t="shared" si="949"/>
        <v>12Go Link</v>
      </c>
      <c r="E5381" s="2" t="s">
        <v>4339</v>
      </c>
    </row>
    <row r="5382">
      <c r="A5382" s="2" t="s">
        <v>4418</v>
      </c>
      <c r="B5382" s="2" t="s">
        <v>4403</v>
      </c>
      <c r="C5382" s="2" t="s">
        <v>4419</v>
      </c>
      <c r="D5382" s="3" t="str">
        <f t="shared" si="949"/>
        <v>12Go Link</v>
      </c>
      <c r="E5382" s="2" t="s">
        <v>4340</v>
      </c>
    </row>
    <row r="5383">
      <c r="A5383" s="2" t="s">
        <v>4418</v>
      </c>
      <c r="B5383" s="2" t="s">
        <v>4403</v>
      </c>
      <c r="C5383" s="2" t="s">
        <v>4420</v>
      </c>
      <c r="D5383" s="3" t="str">
        <f t="shared" ref="D5383:D5388" si="950">HYPERLINK("https://12go.asia/en/travel/Hotel-Asilah/Tanger-Ibn-Battouta-Airport", "12Go Link")</f>
        <v>12Go Link</v>
      </c>
      <c r="E5383" s="2" t="s">
        <v>4336</v>
      </c>
    </row>
    <row r="5384">
      <c r="A5384" s="2" t="s">
        <v>4418</v>
      </c>
      <c r="B5384" s="2" t="s">
        <v>4403</v>
      </c>
      <c r="C5384" s="2" t="s">
        <v>4420</v>
      </c>
      <c r="D5384" s="3" t="str">
        <f t="shared" si="950"/>
        <v>12Go Link</v>
      </c>
      <c r="E5384" s="2" t="s">
        <v>4337</v>
      </c>
    </row>
    <row r="5385">
      <c r="A5385" s="2" t="s">
        <v>4418</v>
      </c>
      <c r="B5385" s="2" t="s">
        <v>4403</v>
      </c>
      <c r="C5385" s="2" t="s">
        <v>4420</v>
      </c>
      <c r="D5385" s="3" t="str">
        <f t="shared" si="950"/>
        <v>12Go Link</v>
      </c>
      <c r="E5385" s="2" t="s">
        <v>4137</v>
      </c>
    </row>
    <row r="5386">
      <c r="A5386" s="2" t="s">
        <v>4418</v>
      </c>
      <c r="B5386" s="2" t="s">
        <v>4403</v>
      </c>
      <c r="C5386" s="2" t="s">
        <v>4420</v>
      </c>
      <c r="D5386" s="3" t="str">
        <f t="shared" si="950"/>
        <v>12Go Link</v>
      </c>
      <c r="E5386" s="2" t="s">
        <v>4338</v>
      </c>
    </row>
    <row r="5387">
      <c r="A5387" s="2" t="s">
        <v>4418</v>
      </c>
      <c r="B5387" s="2" t="s">
        <v>4403</v>
      </c>
      <c r="C5387" s="2" t="s">
        <v>4420</v>
      </c>
      <c r="D5387" s="3" t="str">
        <f t="shared" si="950"/>
        <v>12Go Link</v>
      </c>
      <c r="E5387" s="2" t="s">
        <v>4339</v>
      </c>
    </row>
    <row r="5388">
      <c r="A5388" s="2" t="s">
        <v>4418</v>
      </c>
      <c r="B5388" s="2" t="s">
        <v>4403</v>
      </c>
      <c r="C5388" s="2" t="s">
        <v>4420</v>
      </c>
      <c r="D5388" s="3" t="str">
        <f t="shared" si="950"/>
        <v>12Go Link</v>
      </c>
      <c r="E5388" s="2" t="s">
        <v>4340</v>
      </c>
    </row>
    <row r="5389">
      <c r="A5389" s="2" t="s">
        <v>4346</v>
      </c>
      <c r="B5389" s="2" t="s">
        <v>4334</v>
      </c>
      <c r="C5389" s="2" t="s">
        <v>4421</v>
      </c>
      <c r="D5389" s="3" t="str">
        <f t="shared" ref="D5389:D5394" si="951">HYPERLINK("https://12go.asia/en/travel/Asni-Hotel-Transfer/Agadir-Al-Massira-International-Airport", "12Go Link")</f>
        <v>12Go Link</v>
      </c>
      <c r="E5389" s="2" t="s">
        <v>4336</v>
      </c>
    </row>
    <row r="5390">
      <c r="A5390" s="2" t="s">
        <v>4346</v>
      </c>
      <c r="B5390" s="2" t="s">
        <v>4334</v>
      </c>
      <c r="C5390" s="2" t="s">
        <v>4421</v>
      </c>
      <c r="D5390" s="3" t="str">
        <f t="shared" si="951"/>
        <v>12Go Link</v>
      </c>
      <c r="E5390" s="2" t="s">
        <v>4337</v>
      </c>
    </row>
    <row r="5391">
      <c r="A5391" s="2" t="s">
        <v>4346</v>
      </c>
      <c r="B5391" s="2" t="s">
        <v>4334</v>
      </c>
      <c r="C5391" s="2" t="s">
        <v>4421</v>
      </c>
      <c r="D5391" s="3" t="str">
        <f t="shared" si="951"/>
        <v>12Go Link</v>
      </c>
      <c r="E5391" s="2" t="s">
        <v>4137</v>
      </c>
    </row>
    <row r="5392">
      <c r="A5392" s="2" t="s">
        <v>4346</v>
      </c>
      <c r="B5392" s="2" t="s">
        <v>4334</v>
      </c>
      <c r="C5392" s="2" t="s">
        <v>4421</v>
      </c>
      <c r="D5392" s="3" t="str">
        <f t="shared" si="951"/>
        <v>12Go Link</v>
      </c>
      <c r="E5392" s="2" t="s">
        <v>4338</v>
      </c>
    </row>
    <row r="5393">
      <c r="A5393" s="2" t="s">
        <v>4346</v>
      </c>
      <c r="B5393" s="2" t="s">
        <v>4334</v>
      </c>
      <c r="C5393" s="2" t="s">
        <v>4421</v>
      </c>
      <c r="D5393" s="3" t="str">
        <f t="shared" si="951"/>
        <v>12Go Link</v>
      </c>
      <c r="E5393" s="2" t="s">
        <v>4339</v>
      </c>
    </row>
    <row r="5394">
      <c r="A5394" s="2" t="s">
        <v>4346</v>
      </c>
      <c r="B5394" s="2" t="s">
        <v>4334</v>
      </c>
      <c r="C5394" s="2" t="s">
        <v>4421</v>
      </c>
      <c r="D5394" s="3" t="str">
        <f t="shared" si="951"/>
        <v>12Go Link</v>
      </c>
      <c r="E5394" s="2" t="s">
        <v>4340</v>
      </c>
    </row>
    <row r="5395">
      <c r="A5395" s="2" t="s">
        <v>4346</v>
      </c>
      <c r="B5395" s="2" t="s">
        <v>4350</v>
      </c>
      <c r="C5395" s="2" t="s">
        <v>4422</v>
      </c>
      <c r="D5395" s="3" t="str">
        <f t="shared" ref="D5395:D5400" si="952">HYPERLINK("https://12go.asia/en/travel/Asni-Hotel-Transfer/Mohammed-V-International-Airport", "12Go Link")</f>
        <v>12Go Link</v>
      </c>
      <c r="E5395" s="2" t="s">
        <v>4336</v>
      </c>
    </row>
    <row r="5396">
      <c r="A5396" s="2" t="s">
        <v>4346</v>
      </c>
      <c r="B5396" s="2" t="s">
        <v>4350</v>
      </c>
      <c r="C5396" s="2" t="s">
        <v>4422</v>
      </c>
      <c r="D5396" s="3" t="str">
        <f t="shared" si="952"/>
        <v>12Go Link</v>
      </c>
      <c r="E5396" s="2" t="s">
        <v>4337</v>
      </c>
    </row>
    <row r="5397">
      <c r="A5397" s="2" t="s">
        <v>4346</v>
      </c>
      <c r="B5397" s="2" t="s">
        <v>4350</v>
      </c>
      <c r="C5397" s="2" t="s">
        <v>4422</v>
      </c>
      <c r="D5397" s="3" t="str">
        <f t="shared" si="952"/>
        <v>12Go Link</v>
      </c>
      <c r="E5397" s="2" t="s">
        <v>4137</v>
      </c>
    </row>
    <row r="5398">
      <c r="A5398" s="2" t="s">
        <v>4346</v>
      </c>
      <c r="B5398" s="2" t="s">
        <v>4350</v>
      </c>
      <c r="C5398" s="2" t="s">
        <v>4422</v>
      </c>
      <c r="D5398" s="3" t="str">
        <f t="shared" si="952"/>
        <v>12Go Link</v>
      </c>
      <c r="E5398" s="2" t="s">
        <v>4338</v>
      </c>
    </row>
    <row r="5399">
      <c r="A5399" s="2" t="s">
        <v>4346</v>
      </c>
      <c r="B5399" s="2" t="s">
        <v>4350</v>
      </c>
      <c r="C5399" s="2" t="s">
        <v>4422</v>
      </c>
      <c r="D5399" s="3" t="str">
        <f t="shared" si="952"/>
        <v>12Go Link</v>
      </c>
      <c r="E5399" s="2" t="s">
        <v>4339</v>
      </c>
    </row>
    <row r="5400">
      <c r="A5400" s="2" t="s">
        <v>4346</v>
      </c>
      <c r="B5400" s="2" t="s">
        <v>4350</v>
      </c>
      <c r="C5400" s="2" t="s">
        <v>4422</v>
      </c>
      <c r="D5400" s="3" t="str">
        <f t="shared" si="952"/>
        <v>12Go Link</v>
      </c>
      <c r="E5400" s="2" t="s">
        <v>4340</v>
      </c>
    </row>
    <row r="5401">
      <c r="A5401" s="2" t="s">
        <v>4346</v>
      </c>
      <c r="B5401" s="2" t="s">
        <v>4357</v>
      </c>
      <c r="C5401" s="2" t="s">
        <v>4423</v>
      </c>
      <c r="D5401" s="3" t="str">
        <f t="shared" ref="D5401:D5406" si="953">HYPERLINK("https://12go.asia/en/travel/Asni-Hotel-Transfer/Fes-Airport", "12Go Link")</f>
        <v>12Go Link</v>
      </c>
      <c r="E5401" s="2" t="s">
        <v>4336</v>
      </c>
    </row>
    <row r="5402">
      <c r="A5402" s="2" t="s">
        <v>4346</v>
      </c>
      <c r="B5402" s="2" t="s">
        <v>4357</v>
      </c>
      <c r="C5402" s="2" t="s">
        <v>4423</v>
      </c>
      <c r="D5402" s="3" t="str">
        <f t="shared" si="953"/>
        <v>12Go Link</v>
      </c>
      <c r="E5402" s="2" t="s">
        <v>4337</v>
      </c>
    </row>
    <row r="5403">
      <c r="A5403" s="2" t="s">
        <v>4346</v>
      </c>
      <c r="B5403" s="2" t="s">
        <v>4357</v>
      </c>
      <c r="C5403" s="2" t="s">
        <v>4423</v>
      </c>
      <c r="D5403" s="3" t="str">
        <f t="shared" si="953"/>
        <v>12Go Link</v>
      </c>
      <c r="E5403" s="2" t="s">
        <v>4137</v>
      </c>
    </row>
    <row r="5404">
      <c r="A5404" s="2" t="s">
        <v>4346</v>
      </c>
      <c r="B5404" s="2" t="s">
        <v>4357</v>
      </c>
      <c r="C5404" s="2" t="s">
        <v>4423</v>
      </c>
      <c r="D5404" s="3" t="str">
        <f t="shared" si="953"/>
        <v>12Go Link</v>
      </c>
      <c r="E5404" s="2" t="s">
        <v>4338</v>
      </c>
    </row>
    <row r="5405">
      <c r="A5405" s="2" t="s">
        <v>4346</v>
      </c>
      <c r="B5405" s="2" t="s">
        <v>4357</v>
      </c>
      <c r="C5405" s="2" t="s">
        <v>4423</v>
      </c>
      <c r="D5405" s="3" t="str">
        <f t="shared" si="953"/>
        <v>12Go Link</v>
      </c>
      <c r="E5405" s="2" t="s">
        <v>4339</v>
      </c>
    </row>
    <row r="5406">
      <c r="A5406" s="2" t="s">
        <v>4346</v>
      </c>
      <c r="B5406" s="2" t="s">
        <v>4357</v>
      </c>
      <c r="C5406" s="2" t="s">
        <v>4423</v>
      </c>
      <c r="D5406" s="3" t="str">
        <f t="shared" si="953"/>
        <v>12Go Link</v>
      </c>
      <c r="E5406" s="2" t="s">
        <v>4340</v>
      </c>
    </row>
    <row r="5407">
      <c r="A5407" s="2" t="s">
        <v>4346</v>
      </c>
      <c r="B5407" s="2" t="s">
        <v>4372</v>
      </c>
      <c r="C5407" s="2" t="s">
        <v>4424</v>
      </c>
      <c r="D5407" s="3" t="str">
        <f t="shared" ref="D5407:D5412" si="954">HYPERLINK("https://12go.asia/en/travel/Asni-Hotel-Transfer/Marrakesh-Menara-Airport", "12Go Link")</f>
        <v>12Go Link</v>
      </c>
      <c r="E5407" s="2" t="s">
        <v>4336</v>
      </c>
    </row>
    <row r="5408">
      <c r="A5408" s="2" t="s">
        <v>4346</v>
      </c>
      <c r="B5408" s="2" t="s">
        <v>4372</v>
      </c>
      <c r="C5408" s="2" t="s">
        <v>4424</v>
      </c>
      <c r="D5408" s="3" t="str">
        <f t="shared" si="954"/>
        <v>12Go Link</v>
      </c>
      <c r="E5408" s="2" t="s">
        <v>4337</v>
      </c>
    </row>
    <row r="5409">
      <c r="A5409" s="2" t="s">
        <v>4346</v>
      </c>
      <c r="B5409" s="2" t="s">
        <v>4372</v>
      </c>
      <c r="C5409" s="2" t="s">
        <v>4424</v>
      </c>
      <c r="D5409" s="3" t="str">
        <f t="shared" si="954"/>
        <v>12Go Link</v>
      </c>
      <c r="E5409" s="2" t="s">
        <v>4137</v>
      </c>
    </row>
    <row r="5410">
      <c r="A5410" s="2" t="s">
        <v>4346</v>
      </c>
      <c r="B5410" s="2" t="s">
        <v>4372</v>
      </c>
      <c r="C5410" s="2" t="s">
        <v>4424</v>
      </c>
      <c r="D5410" s="3" t="str">
        <f t="shared" si="954"/>
        <v>12Go Link</v>
      </c>
      <c r="E5410" s="2" t="s">
        <v>4338</v>
      </c>
    </row>
    <row r="5411">
      <c r="A5411" s="2" t="s">
        <v>4346</v>
      </c>
      <c r="B5411" s="2" t="s">
        <v>4372</v>
      </c>
      <c r="C5411" s="2" t="s">
        <v>4424</v>
      </c>
      <c r="D5411" s="3" t="str">
        <f t="shared" si="954"/>
        <v>12Go Link</v>
      </c>
      <c r="E5411" s="2" t="s">
        <v>4339</v>
      </c>
    </row>
    <row r="5412">
      <c r="A5412" s="2" t="s">
        <v>4346</v>
      </c>
      <c r="B5412" s="2" t="s">
        <v>4372</v>
      </c>
      <c r="C5412" s="2" t="s">
        <v>4424</v>
      </c>
      <c r="D5412" s="3" t="str">
        <f t="shared" si="954"/>
        <v>12Go Link</v>
      </c>
      <c r="E5412" s="2" t="s">
        <v>4340</v>
      </c>
    </row>
    <row r="5413">
      <c r="A5413" s="2" t="s">
        <v>4425</v>
      </c>
      <c r="B5413" s="2" t="s">
        <v>4350</v>
      </c>
      <c r="C5413" s="2" t="s">
        <v>4426</v>
      </c>
      <c r="D5413" s="3" t="str">
        <f t="shared" ref="D5413:D5418" si="955">HYPERLINK("https://12go.asia/en/travel/Ben-Slimane-Hotel-Transfer/Mohammed-V-International-Airport", "12Go Link")</f>
        <v>12Go Link</v>
      </c>
      <c r="E5413" s="2" t="s">
        <v>4336</v>
      </c>
    </row>
    <row r="5414">
      <c r="A5414" s="2" t="s">
        <v>4425</v>
      </c>
      <c r="B5414" s="2" t="s">
        <v>4350</v>
      </c>
      <c r="C5414" s="2" t="s">
        <v>4426</v>
      </c>
      <c r="D5414" s="3" t="str">
        <f t="shared" si="955"/>
        <v>12Go Link</v>
      </c>
      <c r="E5414" s="2" t="s">
        <v>4337</v>
      </c>
    </row>
    <row r="5415">
      <c r="A5415" s="2" t="s">
        <v>4425</v>
      </c>
      <c r="B5415" s="2" t="s">
        <v>4350</v>
      </c>
      <c r="C5415" s="2" t="s">
        <v>4426</v>
      </c>
      <c r="D5415" s="3" t="str">
        <f t="shared" si="955"/>
        <v>12Go Link</v>
      </c>
      <c r="E5415" s="2" t="s">
        <v>4137</v>
      </c>
    </row>
    <row r="5416">
      <c r="A5416" s="2" t="s">
        <v>4425</v>
      </c>
      <c r="B5416" s="2" t="s">
        <v>4350</v>
      </c>
      <c r="C5416" s="2" t="s">
        <v>4426</v>
      </c>
      <c r="D5416" s="3" t="str">
        <f t="shared" si="955"/>
        <v>12Go Link</v>
      </c>
      <c r="E5416" s="2" t="s">
        <v>4338</v>
      </c>
    </row>
    <row r="5417">
      <c r="A5417" s="2" t="s">
        <v>4425</v>
      </c>
      <c r="B5417" s="2" t="s">
        <v>4350</v>
      </c>
      <c r="C5417" s="2" t="s">
        <v>4426</v>
      </c>
      <c r="D5417" s="3" t="str">
        <f t="shared" si="955"/>
        <v>12Go Link</v>
      </c>
      <c r="E5417" s="2" t="s">
        <v>4339</v>
      </c>
    </row>
    <row r="5418">
      <c r="A5418" s="2" t="s">
        <v>4425</v>
      </c>
      <c r="B5418" s="2" t="s">
        <v>4350</v>
      </c>
      <c r="C5418" s="2" t="s">
        <v>4426</v>
      </c>
      <c r="D5418" s="3" t="str">
        <f t="shared" si="955"/>
        <v>12Go Link</v>
      </c>
      <c r="E5418" s="2" t="s">
        <v>4340</v>
      </c>
    </row>
    <row r="5419">
      <c r="A5419" s="2" t="s">
        <v>4348</v>
      </c>
      <c r="B5419" s="2" t="s">
        <v>4334</v>
      </c>
      <c r="C5419" s="2" t="s">
        <v>4427</v>
      </c>
      <c r="D5419" s="3" t="str">
        <f t="shared" ref="D5419:D5424" si="956">HYPERLINK("https://12go.asia/en/travel/Beni-Mellal-Hotel-Transfer/Agadir-Al-Massira-International-Airport", "12Go Link")</f>
        <v>12Go Link</v>
      </c>
      <c r="E5419" s="2" t="s">
        <v>4336</v>
      </c>
    </row>
    <row r="5420">
      <c r="A5420" s="2" t="s">
        <v>4348</v>
      </c>
      <c r="B5420" s="2" t="s">
        <v>4334</v>
      </c>
      <c r="C5420" s="2" t="s">
        <v>4427</v>
      </c>
      <c r="D5420" s="3" t="str">
        <f t="shared" si="956"/>
        <v>12Go Link</v>
      </c>
      <c r="E5420" s="2" t="s">
        <v>4337</v>
      </c>
    </row>
    <row r="5421">
      <c r="A5421" s="2" t="s">
        <v>4348</v>
      </c>
      <c r="B5421" s="2" t="s">
        <v>4334</v>
      </c>
      <c r="C5421" s="2" t="s">
        <v>4427</v>
      </c>
      <c r="D5421" s="3" t="str">
        <f t="shared" si="956"/>
        <v>12Go Link</v>
      </c>
      <c r="E5421" s="2" t="s">
        <v>4137</v>
      </c>
    </row>
    <row r="5422">
      <c r="A5422" s="2" t="s">
        <v>4348</v>
      </c>
      <c r="B5422" s="2" t="s">
        <v>4334</v>
      </c>
      <c r="C5422" s="2" t="s">
        <v>4427</v>
      </c>
      <c r="D5422" s="3" t="str">
        <f t="shared" si="956"/>
        <v>12Go Link</v>
      </c>
      <c r="E5422" s="2" t="s">
        <v>4338</v>
      </c>
    </row>
    <row r="5423">
      <c r="A5423" s="2" t="s">
        <v>4348</v>
      </c>
      <c r="B5423" s="2" t="s">
        <v>4334</v>
      </c>
      <c r="C5423" s="2" t="s">
        <v>4427</v>
      </c>
      <c r="D5423" s="3" t="str">
        <f t="shared" si="956"/>
        <v>12Go Link</v>
      </c>
      <c r="E5423" s="2" t="s">
        <v>4339</v>
      </c>
    </row>
    <row r="5424">
      <c r="A5424" s="2" t="s">
        <v>4348</v>
      </c>
      <c r="B5424" s="2" t="s">
        <v>4334</v>
      </c>
      <c r="C5424" s="2" t="s">
        <v>4427</v>
      </c>
      <c r="D5424" s="3" t="str">
        <f t="shared" si="956"/>
        <v>12Go Link</v>
      </c>
      <c r="E5424" s="2" t="s">
        <v>4340</v>
      </c>
    </row>
    <row r="5425">
      <c r="A5425" s="2" t="s">
        <v>4348</v>
      </c>
      <c r="B5425" s="2" t="s">
        <v>4350</v>
      </c>
      <c r="C5425" s="2" t="s">
        <v>4428</v>
      </c>
      <c r="D5425" s="3" t="str">
        <f t="shared" ref="D5425:D5430" si="957">HYPERLINK("https://12go.asia/en/travel/Beni-Mellal-Hotel-Transfer/Mohammed-V-International-Airport", "12Go Link")</f>
        <v>12Go Link</v>
      </c>
      <c r="E5425" s="2" t="s">
        <v>4336</v>
      </c>
    </row>
    <row r="5426">
      <c r="A5426" s="2" t="s">
        <v>4348</v>
      </c>
      <c r="B5426" s="2" t="s">
        <v>4350</v>
      </c>
      <c r="C5426" s="2" t="s">
        <v>4428</v>
      </c>
      <c r="D5426" s="3" t="str">
        <f t="shared" si="957"/>
        <v>12Go Link</v>
      </c>
      <c r="E5426" s="2" t="s">
        <v>4337</v>
      </c>
    </row>
    <row r="5427">
      <c r="A5427" s="2" t="s">
        <v>4348</v>
      </c>
      <c r="B5427" s="2" t="s">
        <v>4350</v>
      </c>
      <c r="C5427" s="2" t="s">
        <v>4428</v>
      </c>
      <c r="D5427" s="3" t="str">
        <f t="shared" si="957"/>
        <v>12Go Link</v>
      </c>
      <c r="E5427" s="2" t="s">
        <v>4137</v>
      </c>
    </row>
    <row r="5428">
      <c r="A5428" s="2" t="s">
        <v>4348</v>
      </c>
      <c r="B5428" s="2" t="s">
        <v>4350</v>
      </c>
      <c r="C5428" s="2" t="s">
        <v>4428</v>
      </c>
      <c r="D5428" s="3" t="str">
        <f t="shared" si="957"/>
        <v>12Go Link</v>
      </c>
      <c r="E5428" s="2" t="s">
        <v>4338</v>
      </c>
    </row>
    <row r="5429">
      <c r="A5429" s="2" t="s">
        <v>4348</v>
      </c>
      <c r="B5429" s="2" t="s">
        <v>4350</v>
      </c>
      <c r="C5429" s="2" t="s">
        <v>4428</v>
      </c>
      <c r="D5429" s="3" t="str">
        <f t="shared" si="957"/>
        <v>12Go Link</v>
      </c>
      <c r="E5429" s="2" t="s">
        <v>4339</v>
      </c>
    </row>
    <row r="5430">
      <c r="A5430" s="2" t="s">
        <v>4348</v>
      </c>
      <c r="B5430" s="2" t="s">
        <v>4350</v>
      </c>
      <c r="C5430" s="2" t="s">
        <v>4428</v>
      </c>
      <c r="D5430" s="3" t="str">
        <f t="shared" si="957"/>
        <v>12Go Link</v>
      </c>
      <c r="E5430" s="2" t="s">
        <v>4340</v>
      </c>
    </row>
    <row r="5431">
      <c r="A5431" s="2" t="s">
        <v>4429</v>
      </c>
      <c r="B5431" s="2" t="s">
        <v>4413</v>
      </c>
      <c r="C5431" s="2" t="s">
        <v>4430</v>
      </c>
      <c r="D5431" s="3" t="str">
        <f t="shared" ref="D5431:D5436" si="958">HYPERLINK("https://12go.asia/en/travel/Berkane-Hotel-Transfer/Oujda-Angads-Airport", "12Go Link")</f>
        <v>12Go Link</v>
      </c>
      <c r="E5431" s="2" t="s">
        <v>4336</v>
      </c>
    </row>
    <row r="5432">
      <c r="A5432" s="2" t="s">
        <v>4429</v>
      </c>
      <c r="B5432" s="2" t="s">
        <v>4413</v>
      </c>
      <c r="C5432" s="2" t="s">
        <v>4430</v>
      </c>
      <c r="D5432" s="3" t="str">
        <f t="shared" si="958"/>
        <v>12Go Link</v>
      </c>
      <c r="E5432" s="2" t="s">
        <v>4337</v>
      </c>
    </row>
    <row r="5433">
      <c r="A5433" s="2" t="s">
        <v>4429</v>
      </c>
      <c r="B5433" s="2" t="s">
        <v>4413</v>
      </c>
      <c r="C5433" s="2" t="s">
        <v>4430</v>
      </c>
      <c r="D5433" s="3" t="str">
        <f t="shared" si="958"/>
        <v>12Go Link</v>
      </c>
      <c r="E5433" s="2" t="s">
        <v>4137</v>
      </c>
    </row>
    <row r="5434">
      <c r="A5434" s="2" t="s">
        <v>4429</v>
      </c>
      <c r="B5434" s="2" t="s">
        <v>4413</v>
      </c>
      <c r="C5434" s="2" t="s">
        <v>4430</v>
      </c>
      <c r="D5434" s="3" t="str">
        <f t="shared" si="958"/>
        <v>12Go Link</v>
      </c>
      <c r="E5434" s="2" t="s">
        <v>4338</v>
      </c>
    </row>
    <row r="5435">
      <c r="A5435" s="2" t="s">
        <v>4429</v>
      </c>
      <c r="B5435" s="2" t="s">
        <v>4413</v>
      </c>
      <c r="C5435" s="2" t="s">
        <v>4430</v>
      </c>
      <c r="D5435" s="3" t="str">
        <f t="shared" si="958"/>
        <v>12Go Link</v>
      </c>
      <c r="E5435" s="2" t="s">
        <v>4339</v>
      </c>
    </row>
    <row r="5436">
      <c r="A5436" s="2" t="s">
        <v>4429</v>
      </c>
      <c r="B5436" s="2" t="s">
        <v>4413</v>
      </c>
      <c r="C5436" s="2" t="s">
        <v>4430</v>
      </c>
      <c r="D5436" s="3" t="str">
        <f t="shared" si="958"/>
        <v>12Go Link</v>
      </c>
      <c r="E5436" s="2" t="s">
        <v>4340</v>
      </c>
    </row>
    <row r="5437">
      <c r="A5437" s="2" t="s">
        <v>4431</v>
      </c>
      <c r="B5437" s="2" t="s">
        <v>4350</v>
      </c>
      <c r="C5437" s="2" t="s">
        <v>4432</v>
      </c>
      <c r="D5437" s="3" t="str">
        <f t="shared" ref="D5437:D5442" si="959">HYPERLINK("https://12go.asia/en/travel/Berrechid-Hotel-Transfer/Mohammed-V-International-Airport", "12Go Link")</f>
        <v>12Go Link</v>
      </c>
      <c r="E5437" s="2" t="s">
        <v>4336</v>
      </c>
    </row>
    <row r="5438">
      <c r="A5438" s="2" t="s">
        <v>4431</v>
      </c>
      <c r="B5438" s="2" t="s">
        <v>4350</v>
      </c>
      <c r="C5438" s="2" t="s">
        <v>4432</v>
      </c>
      <c r="D5438" s="3" t="str">
        <f t="shared" si="959"/>
        <v>12Go Link</v>
      </c>
      <c r="E5438" s="2" t="s">
        <v>4337</v>
      </c>
    </row>
    <row r="5439">
      <c r="A5439" s="2" t="s">
        <v>4431</v>
      </c>
      <c r="B5439" s="2" t="s">
        <v>4350</v>
      </c>
      <c r="C5439" s="2" t="s">
        <v>4432</v>
      </c>
      <c r="D5439" s="3" t="str">
        <f t="shared" si="959"/>
        <v>12Go Link</v>
      </c>
      <c r="E5439" s="2" t="s">
        <v>4137</v>
      </c>
    </row>
    <row r="5440">
      <c r="A5440" s="2" t="s">
        <v>4431</v>
      </c>
      <c r="B5440" s="2" t="s">
        <v>4350</v>
      </c>
      <c r="C5440" s="2" t="s">
        <v>4432</v>
      </c>
      <c r="D5440" s="3" t="str">
        <f t="shared" si="959"/>
        <v>12Go Link</v>
      </c>
      <c r="E5440" s="2" t="s">
        <v>4338</v>
      </c>
    </row>
    <row r="5441">
      <c r="A5441" s="2" t="s">
        <v>4431</v>
      </c>
      <c r="B5441" s="2" t="s">
        <v>4350</v>
      </c>
      <c r="C5441" s="2" t="s">
        <v>4432</v>
      </c>
      <c r="D5441" s="3" t="str">
        <f t="shared" si="959"/>
        <v>12Go Link</v>
      </c>
      <c r="E5441" s="2" t="s">
        <v>4339</v>
      </c>
    </row>
    <row r="5442">
      <c r="A5442" s="2" t="s">
        <v>4431</v>
      </c>
      <c r="B5442" s="2" t="s">
        <v>4350</v>
      </c>
      <c r="C5442" s="2" t="s">
        <v>4432</v>
      </c>
      <c r="D5442" s="3" t="str">
        <f t="shared" si="959"/>
        <v>12Go Link</v>
      </c>
      <c r="E5442" s="2" t="s">
        <v>4340</v>
      </c>
    </row>
    <row r="5443">
      <c r="A5443" s="2" t="s">
        <v>4433</v>
      </c>
      <c r="B5443" s="2" t="s">
        <v>4350</v>
      </c>
      <c r="C5443" s="2" t="s">
        <v>4434</v>
      </c>
      <c r="D5443" s="3" t="str">
        <f t="shared" ref="D5443:D5448" si="960">HYPERLINK("https://12go.asia/en/travel/Bin-El-Ouidane-Hotel-Transfer/Mohammed-V-International-Airport", "12Go Link")</f>
        <v>12Go Link</v>
      </c>
      <c r="E5443" s="2" t="s">
        <v>4336</v>
      </c>
    </row>
    <row r="5444">
      <c r="A5444" s="2" t="s">
        <v>4433</v>
      </c>
      <c r="B5444" s="2" t="s">
        <v>4350</v>
      </c>
      <c r="C5444" s="2" t="s">
        <v>4434</v>
      </c>
      <c r="D5444" s="3" t="str">
        <f t="shared" si="960"/>
        <v>12Go Link</v>
      </c>
      <c r="E5444" s="2" t="s">
        <v>4337</v>
      </c>
    </row>
    <row r="5445">
      <c r="A5445" s="2" t="s">
        <v>4433</v>
      </c>
      <c r="B5445" s="2" t="s">
        <v>4350</v>
      </c>
      <c r="C5445" s="2" t="s">
        <v>4434</v>
      </c>
      <c r="D5445" s="3" t="str">
        <f t="shared" si="960"/>
        <v>12Go Link</v>
      </c>
      <c r="E5445" s="2" t="s">
        <v>4137</v>
      </c>
    </row>
    <row r="5446">
      <c r="A5446" s="2" t="s">
        <v>4433</v>
      </c>
      <c r="B5446" s="2" t="s">
        <v>4350</v>
      </c>
      <c r="C5446" s="2" t="s">
        <v>4434</v>
      </c>
      <c r="D5446" s="3" t="str">
        <f t="shared" si="960"/>
        <v>12Go Link</v>
      </c>
      <c r="E5446" s="2" t="s">
        <v>4338</v>
      </c>
    </row>
    <row r="5447">
      <c r="A5447" s="2" t="s">
        <v>4433</v>
      </c>
      <c r="B5447" s="2" t="s">
        <v>4350</v>
      </c>
      <c r="C5447" s="2" t="s">
        <v>4434</v>
      </c>
      <c r="D5447" s="3" t="str">
        <f t="shared" si="960"/>
        <v>12Go Link</v>
      </c>
      <c r="E5447" s="2" t="s">
        <v>4339</v>
      </c>
    </row>
    <row r="5448">
      <c r="A5448" s="2" t="s">
        <v>4433</v>
      </c>
      <c r="B5448" s="2" t="s">
        <v>4350</v>
      </c>
      <c r="C5448" s="2" t="s">
        <v>4434</v>
      </c>
      <c r="D5448" s="3" t="str">
        <f t="shared" si="960"/>
        <v>12Go Link</v>
      </c>
      <c r="E5448" s="2" t="s">
        <v>4340</v>
      </c>
    </row>
    <row r="5449">
      <c r="A5449" s="2" t="s">
        <v>4433</v>
      </c>
      <c r="B5449" s="2" t="s">
        <v>4372</v>
      </c>
      <c r="C5449" s="2" t="s">
        <v>4435</v>
      </c>
      <c r="D5449" s="3" t="str">
        <f t="shared" ref="D5449:D5454" si="961">HYPERLINK("https://12go.asia/en/travel/Bin-El-Ouidane-Hotel-Transfer/Marrakesh-Menara-Airport", "12Go Link")</f>
        <v>12Go Link</v>
      </c>
      <c r="E5449" s="2" t="s">
        <v>4336</v>
      </c>
    </row>
    <row r="5450">
      <c r="A5450" s="2" t="s">
        <v>4433</v>
      </c>
      <c r="B5450" s="2" t="s">
        <v>4372</v>
      </c>
      <c r="C5450" s="2" t="s">
        <v>4435</v>
      </c>
      <c r="D5450" s="3" t="str">
        <f t="shared" si="961"/>
        <v>12Go Link</v>
      </c>
      <c r="E5450" s="2" t="s">
        <v>4337</v>
      </c>
    </row>
    <row r="5451">
      <c r="A5451" s="2" t="s">
        <v>4433</v>
      </c>
      <c r="B5451" s="2" t="s">
        <v>4372</v>
      </c>
      <c r="C5451" s="2" t="s">
        <v>4435</v>
      </c>
      <c r="D5451" s="3" t="str">
        <f t="shared" si="961"/>
        <v>12Go Link</v>
      </c>
      <c r="E5451" s="2" t="s">
        <v>4137</v>
      </c>
    </row>
    <row r="5452">
      <c r="A5452" s="2" t="s">
        <v>4433</v>
      </c>
      <c r="B5452" s="2" t="s">
        <v>4372</v>
      </c>
      <c r="C5452" s="2" t="s">
        <v>4435</v>
      </c>
      <c r="D5452" s="3" t="str">
        <f t="shared" si="961"/>
        <v>12Go Link</v>
      </c>
      <c r="E5452" s="2" t="s">
        <v>4338</v>
      </c>
    </row>
    <row r="5453">
      <c r="A5453" s="2" t="s">
        <v>4433</v>
      </c>
      <c r="B5453" s="2" t="s">
        <v>4372</v>
      </c>
      <c r="C5453" s="2" t="s">
        <v>4435</v>
      </c>
      <c r="D5453" s="3" t="str">
        <f t="shared" si="961"/>
        <v>12Go Link</v>
      </c>
      <c r="E5453" s="2" t="s">
        <v>4339</v>
      </c>
    </row>
    <row r="5454">
      <c r="A5454" s="2" t="s">
        <v>4433</v>
      </c>
      <c r="B5454" s="2" t="s">
        <v>4372</v>
      </c>
      <c r="C5454" s="2" t="s">
        <v>4435</v>
      </c>
      <c r="D5454" s="3" t="str">
        <f t="shared" si="961"/>
        <v>12Go Link</v>
      </c>
      <c r="E5454" s="2" t="s">
        <v>4340</v>
      </c>
    </row>
    <row r="5455">
      <c r="A5455" s="2" t="s">
        <v>4436</v>
      </c>
      <c r="B5455" s="2" t="s">
        <v>4386</v>
      </c>
      <c r="C5455" s="2" t="s">
        <v>4437</v>
      </c>
      <c r="D5455" s="3" t="str">
        <f t="shared" ref="D5455:D5460" si="962">HYPERLINK("https://12go.asia/en/travel/Bouznika-Hotel-Transfer/Rabat-Sale-Airport", "12Go Link")</f>
        <v>12Go Link</v>
      </c>
      <c r="E5455" s="2" t="s">
        <v>4336</v>
      </c>
    </row>
    <row r="5456">
      <c r="A5456" s="2" t="s">
        <v>4436</v>
      </c>
      <c r="B5456" s="2" t="s">
        <v>4386</v>
      </c>
      <c r="C5456" s="2" t="s">
        <v>4437</v>
      </c>
      <c r="D5456" s="3" t="str">
        <f t="shared" si="962"/>
        <v>12Go Link</v>
      </c>
      <c r="E5456" s="2" t="s">
        <v>4337</v>
      </c>
    </row>
    <row r="5457">
      <c r="A5457" s="2" t="s">
        <v>4436</v>
      </c>
      <c r="B5457" s="2" t="s">
        <v>4386</v>
      </c>
      <c r="C5457" s="2" t="s">
        <v>4437</v>
      </c>
      <c r="D5457" s="3" t="str">
        <f t="shared" si="962"/>
        <v>12Go Link</v>
      </c>
      <c r="E5457" s="2" t="s">
        <v>4137</v>
      </c>
    </row>
    <row r="5458">
      <c r="A5458" s="2" t="s">
        <v>4436</v>
      </c>
      <c r="B5458" s="2" t="s">
        <v>4386</v>
      </c>
      <c r="C5458" s="2" t="s">
        <v>4437</v>
      </c>
      <c r="D5458" s="3" t="str">
        <f t="shared" si="962"/>
        <v>12Go Link</v>
      </c>
      <c r="E5458" s="2" t="s">
        <v>4338</v>
      </c>
    </row>
    <row r="5459">
      <c r="A5459" s="2" t="s">
        <v>4436</v>
      </c>
      <c r="B5459" s="2" t="s">
        <v>4386</v>
      </c>
      <c r="C5459" s="2" t="s">
        <v>4437</v>
      </c>
      <c r="D5459" s="3" t="str">
        <f t="shared" si="962"/>
        <v>12Go Link</v>
      </c>
      <c r="E5459" s="2" t="s">
        <v>4339</v>
      </c>
    </row>
    <row r="5460">
      <c r="A5460" s="2" t="s">
        <v>4436</v>
      </c>
      <c r="B5460" s="2" t="s">
        <v>4386</v>
      </c>
      <c r="C5460" s="2" t="s">
        <v>4437</v>
      </c>
      <c r="D5460" s="3" t="str">
        <f t="shared" si="962"/>
        <v>12Go Link</v>
      </c>
      <c r="E5460" s="2" t="s">
        <v>4340</v>
      </c>
    </row>
    <row r="5461">
      <c r="A5461" s="2" t="s">
        <v>4350</v>
      </c>
      <c r="B5461" s="2" t="s">
        <v>4334</v>
      </c>
      <c r="C5461" s="2" t="s">
        <v>4438</v>
      </c>
      <c r="D5461" s="3" t="str">
        <f t="shared" ref="D5461:D5466" si="963">HYPERLINK("https://12go.asia/en/travel/Casablanca-Hotel-Transfer/Agadir-Al-Massira-International-Airport", "12Go Link")</f>
        <v>12Go Link</v>
      </c>
      <c r="E5461" s="2" t="s">
        <v>4336</v>
      </c>
    </row>
    <row r="5462">
      <c r="A5462" s="2" t="s">
        <v>4350</v>
      </c>
      <c r="B5462" s="2" t="s">
        <v>4334</v>
      </c>
      <c r="C5462" s="2" t="s">
        <v>4438</v>
      </c>
      <c r="D5462" s="3" t="str">
        <f t="shared" si="963"/>
        <v>12Go Link</v>
      </c>
      <c r="E5462" s="2" t="s">
        <v>4337</v>
      </c>
    </row>
    <row r="5463">
      <c r="A5463" s="2" t="s">
        <v>4350</v>
      </c>
      <c r="B5463" s="2" t="s">
        <v>4334</v>
      </c>
      <c r="C5463" s="2" t="s">
        <v>4438</v>
      </c>
      <c r="D5463" s="3" t="str">
        <f t="shared" si="963"/>
        <v>12Go Link</v>
      </c>
      <c r="E5463" s="2" t="s">
        <v>4137</v>
      </c>
    </row>
    <row r="5464">
      <c r="A5464" s="2" t="s">
        <v>4350</v>
      </c>
      <c r="B5464" s="2" t="s">
        <v>4334</v>
      </c>
      <c r="C5464" s="2" t="s">
        <v>4438</v>
      </c>
      <c r="D5464" s="3" t="str">
        <f t="shared" si="963"/>
        <v>12Go Link</v>
      </c>
      <c r="E5464" s="2" t="s">
        <v>4338</v>
      </c>
    </row>
    <row r="5465">
      <c r="A5465" s="2" t="s">
        <v>4350</v>
      </c>
      <c r="B5465" s="2" t="s">
        <v>4334</v>
      </c>
      <c r="C5465" s="2" t="s">
        <v>4438</v>
      </c>
      <c r="D5465" s="3" t="str">
        <f t="shared" si="963"/>
        <v>12Go Link</v>
      </c>
      <c r="E5465" s="2" t="s">
        <v>4339</v>
      </c>
    </row>
    <row r="5466">
      <c r="A5466" s="2" t="s">
        <v>4350</v>
      </c>
      <c r="B5466" s="2" t="s">
        <v>4334</v>
      </c>
      <c r="C5466" s="2" t="s">
        <v>4438</v>
      </c>
      <c r="D5466" s="3" t="str">
        <f t="shared" si="963"/>
        <v>12Go Link</v>
      </c>
      <c r="E5466" s="2" t="s">
        <v>4340</v>
      </c>
    </row>
    <row r="5467">
      <c r="A5467" s="2" t="s">
        <v>4350</v>
      </c>
      <c r="B5467" s="2" t="s">
        <v>4334</v>
      </c>
      <c r="C5467" s="2" t="s">
        <v>4439</v>
      </c>
      <c r="D5467" s="3" t="str">
        <f t="shared" ref="D5467:D5472" si="964">HYPERLINK("https://12go.asia/en/travel/Mohammed-V-International-Airport/Agadir-Hotel-Transfer", "12Go Link")</f>
        <v>12Go Link</v>
      </c>
      <c r="E5467" s="2" t="s">
        <v>4336</v>
      </c>
    </row>
    <row r="5468">
      <c r="A5468" s="2" t="s">
        <v>4350</v>
      </c>
      <c r="B5468" s="2" t="s">
        <v>4334</v>
      </c>
      <c r="C5468" s="2" t="s">
        <v>4439</v>
      </c>
      <c r="D5468" s="3" t="str">
        <f t="shared" si="964"/>
        <v>12Go Link</v>
      </c>
      <c r="E5468" s="2" t="s">
        <v>4337</v>
      </c>
    </row>
    <row r="5469">
      <c r="A5469" s="2" t="s">
        <v>4350</v>
      </c>
      <c r="B5469" s="2" t="s">
        <v>4334</v>
      </c>
      <c r="C5469" s="2" t="s">
        <v>4439</v>
      </c>
      <c r="D5469" s="3" t="str">
        <f t="shared" si="964"/>
        <v>12Go Link</v>
      </c>
      <c r="E5469" s="2" t="s">
        <v>4137</v>
      </c>
    </row>
    <row r="5470">
      <c r="A5470" s="2" t="s">
        <v>4350</v>
      </c>
      <c r="B5470" s="2" t="s">
        <v>4334</v>
      </c>
      <c r="C5470" s="2" t="s">
        <v>4439</v>
      </c>
      <c r="D5470" s="3" t="str">
        <f t="shared" si="964"/>
        <v>12Go Link</v>
      </c>
      <c r="E5470" s="2" t="s">
        <v>4338</v>
      </c>
    </row>
    <row r="5471">
      <c r="A5471" s="2" t="s">
        <v>4350</v>
      </c>
      <c r="B5471" s="2" t="s">
        <v>4334</v>
      </c>
      <c r="C5471" s="2" t="s">
        <v>4439</v>
      </c>
      <c r="D5471" s="3" t="str">
        <f t="shared" si="964"/>
        <v>12Go Link</v>
      </c>
      <c r="E5471" s="2" t="s">
        <v>4339</v>
      </c>
    </row>
    <row r="5472">
      <c r="A5472" s="2" t="s">
        <v>4350</v>
      </c>
      <c r="B5472" s="2" t="s">
        <v>4334</v>
      </c>
      <c r="C5472" s="2" t="s">
        <v>4439</v>
      </c>
      <c r="D5472" s="3" t="str">
        <f t="shared" si="964"/>
        <v>12Go Link</v>
      </c>
      <c r="E5472" s="2" t="s">
        <v>4340</v>
      </c>
    </row>
    <row r="5473">
      <c r="A5473" s="2" t="s">
        <v>4350</v>
      </c>
      <c r="B5473" s="2" t="s">
        <v>4409</v>
      </c>
      <c r="C5473" s="2" t="s">
        <v>4440</v>
      </c>
      <c r="D5473" s="3" t="str">
        <f t="shared" ref="D5473:D5478" si="965">HYPERLINK("https://12go.asia/en/travel/Mohammed-V-International-Airport/Ait-Si-Hammou-Hotel-Transfer", "12Go Link")</f>
        <v>12Go Link</v>
      </c>
      <c r="E5473" s="2" t="s">
        <v>4336</v>
      </c>
    </row>
    <row r="5474">
      <c r="A5474" s="2" t="s">
        <v>4350</v>
      </c>
      <c r="B5474" s="2" t="s">
        <v>4409</v>
      </c>
      <c r="C5474" s="2" t="s">
        <v>4440</v>
      </c>
      <c r="D5474" s="3" t="str">
        <f t="shared" si="965"/>
        <v>12Go Link</v>
      </c>
      <c r="E5474" s="2" t="s">
        <v>4337</v>
      </c>
    </row>
    <row r="5475">
      <c r="A5475" s="2" t="s">
        <v>4350</v>
      </c>
      <c r="B5475" s="2" t="s">
        <v>4409</v>
      </c>
      <c r="C5475" s="2" t="s">
        <v>4440</v>
      </c>
      <c r="D5475" s="3" t="str">
        <f t="shared" si="965"/>
        <v>12Go Link</v>
      </c>
      <c r="E5475" s="2" t="s">
        <v>4137</v>
      </c>
    </row>
    <row r="5476">
      <c r="A5476" s="2" t="s">
        <v>4350</v>
      </c>
      <c r="B5476" s="2" t="s">
        <v>4409</v>
      </c>
      <c r="C5476" s="2" t="s">
        <v>4440</v>
      </c>
      <c r="D5476" s="3" t="str">
        <f t="shared" si="965"/>
        <v>12Go Link</v>
      </c>
      <c r="E5476" s="2" t="s">
        <v>4338</v>
      </c>
    </row>
    <row r="5477">
      <c r="A5477" s="2" t="s">
        <v>4350</v>
      </c>
      <c r="B5477" s="2" t="s">
        <v>4409</v>
      </c>
      <c r="C5477" s="2" t="s">
        <v>4440</v>
      </c>
      <c r="D5477" s="3" t="str">
        <f t="shared" si="965"/>
        <v>12Go Link</v>
      </c>
      <c r="E5477" s="2" t="s">
        <v>4339</v>
      </c>
    </row>
    <row r="5478">
      <c r="A5478" s="2" t="s">
        <v>4350</v>
      </c>
      <c r="B5478" s="2" t="s">
        <v>4409</v>
      </c>
      <c r="C5478" s="2" t="s">
        <v>4440</v>
      </c>
      <c r="D5478" s="3" t="str">
        <f t="shared" si="965"/>
        <v>12Go Link</v>
      </c>
      <c r="E5478" s="2" t="s">
        <v>4340</v>
      </c>
    </row>
    <row r="5479">
      <c r="A5479" s="2" t="s">
        <v>4350</v>
      </c>
      <c r="B5479" s="2" t="s">
        <v>4346</v>
      </c>
      <c r="C5479" s="2" t="s">
        <v>4441</v>
      </c>
      <c r="D5479" s="3" t="str">
        <f t="shared" ref="D5479:D5484" si="966">HYPERLINK("https://12go.asia/en/travel/Mohammed-V-International-Airport/Asni-Hotel-Transfer", "12Go Link")</f>
        <v>12Go Link</v>
      </c>
      <c r="E5479" s="2" t="s">
        <v>4336</v>
      </c>
    </row>
    <row r="5480">
      <c r="A5480" s="2" t="s">
        <v>4350</v>
      </c>
      <c r="B5480" s="2" t="s">
        <v>4346</v>
      </c>
      <c r="C5480" s="2" t="s">
        <v>4441</v>
      </c>
      <c r="D5480" s="3" t="str">
        <f t="shared" si="966"/>
        <v>12Go Link</v>
      </c>
      <c r="E5480" s="2" t="s">
        <v>4337</v>
      </c>
    </row>
    <row r="5481">
      <c r="A5481" s="2" t="s">
        <v>4350</v>
      </c>
      <c r="B5481" s="2" t="s">
        <v>4346</v>
      </c>
      <c r="C5481" s="2" t="s">
        <v>4441</v>
      </c>
      <c r="D5481" s="3" t="str">
        <f t="shared" si="966"/>
        <v>12Go Link</v>
      </c>
      <c r="E5481" s="2" t="s">
        <v>4137</v>
      </c>
    </row>
    <row r="5482">
      <c r="A5482" s="2" t="s">
        <v>4350</v>
      </c>
      <c r="B5482" s="2" t="s">
        <v>4346</v>
      </c>
      <c r="C5482" s="2" t="s">
        <v>4441</v>
      </c>
      <c r="D5482" s="3" t="str">
        <f t="shared" si="966"/>
        <v>12Go Link</v>
      </c>
      <c r="E5482" s="2" t="s">
        <v>4338</v>
      </c>
    </row>
    <row r="5483">
      <c r="A5483" s="2" t="s">
        <v>4350</v>
      </c>
      <c r="B5483" s="2" t="s">
        <v>4346</v>
      </c>
      <c r="C5483" s="2" t="s">
        <v>4441</v>
      </c>
      <c r="D5483" s="3" t="str">
        <f t="shared" si="966"/>
        <v>12Go Link</v>
      </c>
      <c r="E5483" s="2" t="s">
        <v>4339</v>
      </c>
    </row>
    <row r="5484">
      <c r="A5484" s="2" t="s">
        <v>4350</v>
      </c>
      <c r="B5484" s="2" t="s">
        <v>4346</v>
      </c>
      <c r="C5484" s="2" t="s">
        <v>4441</v>
      </c>
      <c r="D5484" s="3" t="str">
        <f t="shared" si="966"/>
        <v>12Go Link</v>
      </c>
      <c r="E5484" s="2" t="s">
        <v>4340</v>
      </c>
    </row>
    <row r="5485">
      <c r="A5485" s="2" t="s">
        <v>4350</v>
      </c>
      <c r="B5485" s="2" t="s">
        <v>4425</v>
      </c>
      <c r="C5485" s="2" t="s">
        <v>4442</v>
      </c>
      <c r="D5485" s="3" t="str">
        <f t="shared" ref="D5485:D5490" si="967">HYPERLINK("https://12go.asia/en/travel/Mohammed-V-International-Airport/Ben-Slimane-Hotel-Transfer", "12Go Link")</f>
        <v>12Go Link</v>
      </c>
      <c r="E5485" s="2" t="s">
        <v>4336</v>
      </c>
    </row>
    <row r="5486">
      <c r="A5486" s="2" t="s">
        <v>4350</v>
      </c>
      <c r="B5486" s="2" t="s">
        <v>4425</v>
      </c>
      <c r="C5486" s="2" t="s">
        <v>4442</v>
      </c>
      <c r="D5486" s="3" t="str">
        <f t="shared" si="967"/>
        <v>12Go Link</v>
      </c>
      <c r="E5486" s="2" t="s">
        <v>4337</v>
      </c>
    </row>
    <row r="5487">
      <c r="A5487" s="2" t="s">
        <v>4350</v>
      </c>
      <c r="B5487" s="2" t="s">
        <v>4425</v>
      </c>
      <c r="C5487" s="2" t="s">
        <v>4442</v>
      </c>
      <c r="D5487" s="3" t="str">
        <f t="shared" si="967"/>
        <v>12Go Link</v>
      </c>
      <c r="E5487" s="2" t="s">
        <v>4137</v>
      </c>
    </row>
    <row r="5488">
      <c r="A5488" s="2" t="s">
        <v>4350</v>
      </c>
      <c r="B5488" s="2" t="s">
        <v>4425</v>
      </c>
      <c r="C5488" s="2" t="s">
        <v>4442</v>
      </c>
      <c r="D5488" s="3" t="str">
        <f t="shared" si="967"/>
        <v>12Go Link</v>
      </c>
      <c r="E5488" s="2" t="s">
        <v>4338</v>
      </c>
    </row>
    <row r="5489">
      <c r="A5489" s="2" t="s">
        <v>4350</v>
      </c>
      <c r="B5489" s="2" t="s">
        <v>4425</v>
      </c>
      <c r="C5489" s="2" t="s">
        <v>4442</v>
      </c>
      <c r="D5489" s="3" t="str">
        <f t="shared" si="967"/>
        <v>12Go Link</v>
      </c>
      <c r="E5489" s="2" t="s">
        <v>4339</v>
      </c>
    </row>
    <row r="5490">
      <c r="A5490" s="2" t="s">
        <v>4350</v>
      </c>
      <c r="B5490" s="2" t="s">
        <v>4425</v>
      </c>
      <c r="C5490" s="2" t="s">
        <v>4442</v>
      </c>
      <c r="D5490" s="3" t="str">
        <f t="shared" si="967"/>
        <v>12Go Link</v>
      </c>
      <c r="E5490" s="2" t="s">
        <v>4340</v>
      </c>
    </row>
    <row r="5491">
      <c r="A5491" s="2" t="s">
        <v>4350</v>
      </c>
      <c r="B5491" s="2" t="s">
        <v>4348</v>
      </c>
      <c r="C5491" s="2" t="s">
        <v>4443</v>
      </c>
      <c r="D5491" s="3" t="str">
        <f t="shared" ref="D5491:D5496" si="968">HYPERLINK("https://12go.asia/en/travel/Mohammed-V-International-Airport/Beni-Mellal-Hotel-Transfer", "12Go Link")</f>
        <v>12Go Link</v>
      </c>
      <c r="E5491" s="2" t="s">
        <v>4336</v>
      </c>
    </row>
    <row r="5492">
      <c r="A5492" s="2" t="s">
        <v>4350</v>
      </c>
      <c r="B5492" s="2" t="s">
        <v>4348</v>
      </c>
      <c r="C5492" s="2" t="s">
        <v>4443</v>
      </c>
      <c r="D5492" s="3" t="str">
        <f t="shared" si="968"/>
        <v>12Go Link</v>
      </c>
      <c r="E5492" s="2" t="s">
        <v>4337</v>
      </c>
    </row>
    <row r="5493">
      <c r="A5493" s="2" t="s">
        <v>4350</v>
      </c>
      <c r="B5493" s="2" t="s">
        <v>4348</v>
      </c>
      <c r="C5493" s="2" t="s">
        <v>4443</v>
      </c>
      <c r="D5493" s="3" t="str">
        <f t="shared" si="968"/>
        <v>12Go Link</v>
      </c>
      <c r="E5493" s="2" t="s">
        <v>4137</v>
      </c>
    </row>
    <row r="5494">
      <c r="A5494" s="2" t="s">
        <v>4350</v>
      </c>
      <c r="B5494" s="2" t="s">
        <v>4348</v>
      </c>
      <c r="C5494" s="2" t="s">
        <v>4443</v>
      </c>
      <c r="D5494" s="3" t="str">
        <f t="shared" si="968"/>
        <v>12Go Link</v>
      </c>
      <c r="E5494" s="2" t="s">
        <v>4338</v>
      </c>
    </row>
    <row r="5495">
      <c r="A5495" s="2" t="s">
        <v>4350</v>
      </c>
      <c r="B5495" s="2" t="s">
        <v>4348</v>
      </c>
      <c r="C5495" s="2" t="s">
        <v>4443</v>
      </c>
      <c r="D5495" s="3" t="str">
        <f t="shared" si="968"/>
        <v>12Go Link</v>
      </c>
      <c r="E5495" s="2" t="s">
        <v>4339</v>
      </c>
    </row>
    <row r="5496">
      <c r="A5496" s="2" t="s">
        <v>4350</v>
      </c>
      <c r="B5496" s="2" t="s">
        <v>4348</v>
      </c>
      <c r="C5496" s="2" t="s">
        <v>4443</v>
      </c>
      <c r="D5496" s="3" t="str">
        <f t="shared" si="968"/>
        <v>12Go Link</v>
      </c>
      <c r="E5496" s="2" t="s">
        <v>4340</v>
      </c>
    </row>
    <row r="5497">
      <c r="A5497" s="2" t="s">
        <v>4350</v>
      </c>
      <c r="B5497" s="2" t="s">
        <v>4431</v>
      </c>
      <c r="C5497" s="2" t="s">
        <v>4444</v>
      </c>
      <c r="D5497" s="3" t="str">
        <f t="shared" ref="D5497:D5502" si="969">HYPERLINK("https://12go.asia/en/travel/Mohammed-V-International-Airport/Berrechid-Hotel-Transfer", "12Go Link")</f>
        <v>12Go Link</v>
      </c>
      <c r="E5497" s="2" t="s">
        <v>4336</v>
      </c>
    </row>
    <row r="5498">
      <c r="A5498" s="2" t="s">
        <v>4350</v>
      </c>
      <c r="B5498" s="2" t="s">
        <v>4431</v>
      </c>
      <c r="C5498" s="2" t="s">
        <v>4444</v>
      </c>
      <c r="D5498" s="3" t="str">
        <f t="shared" si="969"/>
        <v>12Go Link</v>
      </c>
      <c r="E5498" s="2" t="s">
        <v>4337</v>
      </c>
    </row>
    <row r="5499">
      <c r="A5499" s="2" t="s">
        <v>4350</v>
      </c>
      <c r="B5499" s="2" t="s">
        <v>4431</v>
      </c>
      <c r="C5499" s="2" t="s">
        <v>4444</v>
      </c>
      <c r="D5499" s="3" t="str">
        <f t="shared" si="969"/>
        <v>12Go Link</v>
      </c>
      <c r="E5499" s="2" t="s">
        <v>4137</v>
      </c>
    </row>
    <row r="5500">
      <c r="A5500" s="2" t="s">
        <v>4350</v>
      </c>
      <c r="B5500" s="2" t="s">
        <v>4431</v>
      </c>
      <c r="C5500" s="2" t="s">
        <v>4444</v>
      </c>
      <c r="D5500" s="3" t="str">
        <f t="shared" si="969"/>
        <v>12Go Link</v>
      </c>
      <c r="E5500" s="2" t="s">
        <v>4338</v>
      </c>
    </row>
    <row r="5501">
      <c r="A5501" s="2" t="s">
        <v>4350</v>
      </c>
      <c r="B5501" s="2" t="s">
        <v>4431</v>
      </c>
      <c r="C5501" s="2" t="s">
        <v>4444</v>
      </c>
      <c r="D5501" s="3" t="str">
        <f t="shared" si="969"/>
        <v>12Go Link</v>
      </c>
      <c r="E5501" s="2" t="s">
        <v>4339</v>
      </c>
    </row>
    <row r="5502">
      <c r="A5502" s="2" t="s">
        <v>4350</v>
      </c>
      <c r="B5502" s="2" t="s">
        <v>4431</v>
      </c>
      <c r="C5502" s="2" t="s">
        <v>4444</v>
      </c>
      <c r="D5502" s="3" t="str">
        <f t="shared" si="969"/>
        <v>12Go Link</v>
      </c>
      <c r="E5502" s="2" t="s">
        <v>4340</v>
      </c>
    </row>
    <row r="5503">
      <c r="A5503" s="2" t="s">
        <v>4350</v>
      </c>
      <c r="B5503" s="2" t="s">
        <v>4433</v>
      </c>
      <c r="C5503" s="2" t="s">
        <v>4445</v>
      </c>
      <c r="D5503" s="3" t="str">
        <f t="shared" ref="D5503:D5508" si="970">HYPERLINK("https://12go.asia/en/travel/Mohammed-V-International-Airport/Bin-El-Ouidane-Hotel-Transfer", "12Go Link")</f>
        <v>12Go Link</v>
      </c>
      <c r="E5503" s="2" t="s">
        <v>4336</v>
      </c>
    </row>
    <row r="5504">
      <c r="A5504" s="2" t="s">
        <v>4350</v>
      </c>
      <c r="B5504" s="2" t="s">
        <v>4433</v>
      </c>
      <c r="C5504" s="2" t="s">
        <v>4445</v>
      </c>
      <c r="D5504" s="3" t="str">
        <f t="shared" si="970"/>
        <v>12Go Link</v>
      </c>
      <c r="E5504" s="2" t="s">
        <v>4337</v>
      </c>
    </row>
    <row r="5505">
      <c r="A5505" s="2" t="s">
        <v>4350</v>
      </c>
      <c r="B5505" s="2" t="s">
        <v>4433</v>
      </c>
      <c r="C5505" s="2" t="s">
        <v>4445</v>
      </c>
      <c r="D5505" s="3" t="str">
        <f t="shared" si="970"/>
        <v>12Go Link</v>
      </c>
      <c r="E5505" s="2" t="s">
        <v>4137</v>
      </c>
    </row>
    <row r="5506">
      <c r="A5506" s="2" t="s">
        <v>4350</v>
      </c>
      <c r="B5506" s="2" t="s">
        <v>4433</v>
      </c>
      <c r="C5506" s="2" t="s">
        <v>4445</v>
      </c>
      <c r="D5506" s="3" t="str">
        <f t="shared" si="970"/>
        <v>12Go Link</v>
      </c>
      <c r="E5506" s="2" t="s">
        <v>4338</v>
      </c>
    </row>
    <row r="5507">
      <c r="A5507" s="2" t="s">
        <v>4350</v>
      </c>
      <c r="B5507" s="2" t="s">
        <v>4433</v>
      </c>
      <c r="C5507" s="2" t="s">
        <v>4445</v>
      </c>
      <c r="D5507" s="3" t="str">
        <f t="shared" si="970"/>
        <v>12Go Link</v>
      </c>
      <c r="E5507" s="2" t="s">
        <v>4339</v>
      </c>
    </row>
    <row r="5508">
      <c r="A5508" s="2" t="s">
        <v>4350</v>
      </c>
      <c r="B5508" s="2" t="s">
        <v>4433</v>
      </c>
      <c r="C5508" s="2" t="s">
        <v>4445</v>
      </c>
      <c r="D5508" s="3" t="str">
        <f t="shared" si="970"/>
        <v>12Go Link</v>
      </c>
      <c r="E5508" s="2" t="s">
        <v>4340</v>
      </c>
    </row>
    <row r="5509">
      <c r="A5509" s="2" t="s">
        <v>4350</v>
      </c>
      <c r="B5509" s="2" t="s">
        <v>4350</v>
      </c>
      <c r="C5509" s="2" t="s">
        <v>4446</v>
      </c>
      <c r="D5509" s="3" t="str">
        <f t="shared" ref="D5509:D5514" si="971">HYPERLINK("https://12go.asia/en/travel/Casablanca-Hotel-Transfer/Mohammed-V-International-Airport", "12Go Link")</f>
        <v>12Go Link</v>
      </c>
      <c r="E5509" s="2" t="s">
        <v>4336</v>
      </c>
    </row>
    <row r="5510">
      <c r="A5510" s="2" t="s">
        <v>4350</v>
      </c>
      <c r="B5510" s="2" t="s">
        <v>4350</v>
      </c>
      <c r="C5510" s="2" t="s">
        <v>4446</v>
      </c>
      <c r="D5510" s="3" t="str">
        <f t="shared" si="971"/>
        <v>12Go Link</v>
      </c>
      <c r="E5510" s="2" t="s">
        <v>4337</v>
      </c>
    </row>
    <row r="5511">
      <c r="A5511" s="2" t="s">
        <v>4350</v>
      </c>
      <c r="B5511" s="2" t="s">
        <v>4350</v>
      </c>
      <c r="C5511" s="2" t="s">
        <v>4446</v>
      </c>
      <c r="D5511" s="3" t="str">
        <f t="shared" si="971"/>
        <v>12Go Link</v>
      </c>
      <c r="E5511" s="2" t="s">
        <v>4137</v>
      </c>
    </row>
    <row r="5512">
      <c r="A5512" s="2" t="s">
        <v>4350</v>
      </c>
      <c r="B5512" s="2" t="s">
        <v>4350</v>
      </c>
      <c r="C5512" s="2" t="s">
        <v>4446</v>
      </c>
      <c r="D5512" s="3" t="str">
        <f t="shared" si="971"/>
        <v>12Go Link</v>
      </c>
      <c r="E5512" s="2" t="s">
        <v>4338</v>
      </c>
    </row>
    <row r="5513">
      <c r="A5513" s="2" t="s">
        <v>4350</v>
      </c>
      <c r="B5513" s="2" t="s">
        <v>4350</v>
      </c>
      <c r="C5513" s="2" t="s">
        <v>4446</v>
      </c>
      <c r="D5513" s="3" t="str">
        <f t="shared" si="971"/>
        <v>12Go Link</v>
      </c>
      <c r="E5513" s="2" t="s">
        <v>4339</v>
      </c>
    </row>
    <row r="5514">
      <c r="A5514" s="2" t="s">
        <v>4350</v>
      </c>
      <c r="B5514" s="2" t="s">
        <v>4350</v>
      </c>
      <c r="C5514" s="2" t="s">
        <v>4446</v>
      </c>
      <c r="D5514" s="3" t="str">
        <f t="shared" si="971"/>
        <v>12Go Link</v>
      </c>
      <c r="E5514" s="2" t="s">
        <v>4340</v>
      </c>
    </row>
    <row r="5515">
      <c r="A5515" s="2" t="s">
        <v>4350</v>
      </c>
      <c r="B5515" s="2" t="s">
        <v>4350</v>
      </c>
      <c r="C5515" s="2" t="s">
        <v>4447</v>
      </c>
      <c r="D5515" s="3" t="str">
        <f t="shared" ref="D5515:D5520" si="972">HYPERLINK("https://12go.asia/en/travel/Mohammed-V-International-Airport/Casablanca-Hotel-Transfer", "12Go Link")</f>
        <v>12Go Link</v>
      </c>
      <c r="E5515" s="2" t="s">
        <v>4336</v>
      </c>
    </row>
    <row r="5516">
      <c r="A5516" s="2" t="s">
        <v>4350</v>
      </c>
      <c r="B5516" s="2" t="s">
        <v>4350</v>
      </c>
      <c r="C5516" s="2" t="s">
        <v>4447</v>
      </c>
      <c r="D5516" s="3" t="str">
        <f t="shared" si="972"/>
        <v>12Go Link</v>
      </c>
      <c r="E5516" s="2" t="s">
        <v>4337</v>
      </c>
    </row>
    <row r="5517">
      <c r="A5517" s="2" t="s">
        <v>4350</v>
      </c>
      <c r="B5517" s="2" t="s">
        <v>4350</v>
      </c>
      <c r="C5517" s="2" t="s">
        <v>4447</v>
      </c>
      <c r="D5517" s="3" t="str">
        <f t="shared" si="972"/>
        <v>12Go Link</v>
      </c>
      <c r="E5517" s="2" t="s">
        <v>4137</v>
      </c>
    </row>
    <row r="5518">
      <c r="A5518" s="2" t="s">
        <v>4350</v>
      </c>
      <c r="B5518" s="2" t="s">
        <v>4350</v>
      </c>
      <c r="C5518" s="2" t="s">
        <v>4447</v>
      </c>
      <c r="D5518" s="3" t="str">
        <f t="shared" si="972"/>
        <v>12Go Link</v>
      </c>
      <c r="E5518" s="2" t="s">
        <v>4338</v>
      </c>
    </row>
    <row r="5519">
      <c r="A5519" s="2" t="s">
        <v>4350</v>
      </c>
      <c r="B5519" s="2" t="s">
        <v>4350</v>
      </c>
      <c r="C5519" s="2" t="s">
        <v>4447</v>
      </c>
      <c r="D5519" s="3" t="str">
        <f t="shared" si="972"/>
        <v>12Go Link</v>
      </c>
      <c r="E5519" s="2" t="s">
        <v>4339</v>
      </c>
    </row>
    <row r="5520">
      <c r="A5520" s="2" t="s">
        <v>4350</v>
      </c>
      <c r="B5520" s="2" t="s">
        <v>4350</v>
      </c>
      <c r="C5520" s="2" t="s">
        <v>4447</v>
      </c>
      <c r="D5520" s="3" t="str">
        <f t="shared" si="972"/>
        <v>12Go Link</v>
      </c>
      <c r="E5520" s="2" t="s">
        <v>4340</v>
      </c>
    </row>
    <row r="5521">
      <c r="A5521" s="2" t="s">
        <v>4350</v>
      </c>
      <c r="B5521" s="2" t="s">
        <v>4350</v>
      </c>
      <c r="C5521" s="2" t="s">
        <v>4448</v>
      </c>
      <c r="D5521" s="3" t="str">
        <f t="shared" ref="D5521:D5526" si="973">HYPERLINK("https://12go.asia/en/travel/Mohammed-V-International-Airport/Nouaseur-Hotel-Transfer", "12Go Link")</f>
        <v>12Go Link</v>
      </c>
      <c r="E5521" s="2" t="s">
        <v>4336</v>
      </c>
    </row>
    <row r="5522">
      <c r="A5522" s="2" t="s">
        <v>4350</v>
      </c>
      <c r="B5522" s="2" t="s">
        <v>4350</v>
      </c>
      <c r="C5522" s="2" t="s">
        <v>4448</v>
      </c>
      <c r="D5522" s="3" t="str">
        <f t="shared" si="973"/>
        <v>12Go Link</v>
      </c>
      <c r="E5522" s="2" t="s">
        <v>4337</v>
      </c>
    </row>
    <row r="5523">
      <c r="A5523" s="2" t="s">
        <v>4350</v>
      </c>
      <c r="B5523" s="2" t="s">
        <v>4350</v>
      </c>
      <c r="C5523" s="2" t="s">
        <v>4448</v>
      </c>
      <c r="D5523" s="3" t="str">
        <f t="shared" si="973"/>
        <v>12Go Link</v>
      </c>
      <c r="E5523" s="2" t="s">
        <v>4137</v>
      </c>
    </row>
    <row r="5524">
      <c r="A5524" s="2" t="s">
        <v>4350</v>
      </c>
      <c r="B5524" s="2" t="s">
        <v>4350</v>
      </c>
      <c r="C5524" s="2" t="s">
        <v>4448</v>
      </c>
      <c r="D5524" s="3" t="str">
        <f t="shared" si="973"/>
        <v>12Go Link</v>
      </c>
      <c r="E5524" s="2" t="s">
        <v>4338</v>
      </c>
    </row>
    <row r="5525">
      <c r="A5525" s="2" t="s">
        <v>4350</v>
      </c>
      <c r="B5525" s="2" t="s">
        <v>4350</v>
      </c>
      <c r="C5525" s="2" t="s">
        <v>4448</v>
      </c>
      <c r="D5525" s="3" t="str">
        <f t="shared" si="973"/>
        <v>12Go Link</v>
      </c>
      <c r="E5525" s="2" t="s">
        <v>4339</v>
      </c>
    </row>
    <row r="5526">
      <c r="A5526" s="2" t="s">
        <v>4350</v>
      </c>
      <c r="B5526" s="2" t="s">
        <v>4350</v>
      </c>
      <c r="C5526" s="2" t="s">
        <v>4448</v>
      </c>
      <c r="D5526" s="3" t="str">
        <f t="shared" si="973"/>
        <v>12Go Link</v>
      </c>
      <c r="E5526" s="2" t="s">
        <v>4340</v>
      </c>
    </row>
    <row r="5527">
      <c r="A5527" s="2" t="s">
        <v>4350</v>
      </c>
      <c r="B5527" s="2" t="s">
        <v>4350</v>
      </c>
      <c r="C5527" s="2" t="s">
        <v>4449</v>
      </c>
      <c r="D5527" s="3" t="str">
        <f t="shared" ref="D5527:D5532" si="974">HYPERLINK("https://12go.asia/en/travel/Nouaseur-Hotel-Transfer/Mohammed-V-International-Airport", "12Go Link")</f>
        <v>12Go Link</v>
      </c>
      <c r="E5527" s="2" t="s">
        <v>4336</v>
      </c>
    </row>
    <row r="5528">
      <c r="A5528" s="2" t="s">
        <v>4350</v>
      </c>
      <c r="B5528" s="2" t="s">
        <v>4350</v>
      </c>
      <c r="C5528" s="2" t="s">
        <v>4449</v>
      </c>
      <c r="D5528" s="3" t="str">
        <f t="shared" si="974"/>
        <v>12Go Link</v>
      </c>
      <c r="E5528" s="2" t="s">
        <v>4337</v>
      </c>
    </row>
    <row r="5529">
      <c r="A5529" s="2" t="s">
        <v>4350</v>
      </c>
      <c r="B5529" s="2" t="s">
        <v>4350</v>
      </c>
      <c r="C5529" s="2" t="s">
        <v>4449</v>
      </c>
      <c r="D5529" s="3" t="str">
        <f t="shared" si="974"/>
        <v>12Go Link</v>
      </c>
      <c r="E5529" s="2" t="s">
        <v>4137</v>
      </c>
    </row>
    <row r="5530">
      <c r="A5530" s="2" t="s">
        <v>4350</v>
      </c>
      <c r="B5530" s="2" t="s">
        <v>4350</v>
      </c>
      <c r="C5530" s="2" t="s">
        <v>4449</v>
      </c>
      <c r="D5530" s="3" t="str">
        <f t="shared" si="974"/>
        <v>12Go Link</v>
      </c>
      <c r="E5530" s="2" t="s">
        <v>4338</v>
      </c>
    </row>
    <row r="5531">
      <c r="A5531" s="2" t="s">
        <v>4350</v>
      </c>
      <c r="B5531" s="2" t="s">
        <v>4350</v>
      </c>
      <c r="C5531" s="2" t="s">
        <v>4449</v>
      </c>
      <c r="D5531" s="3" t="str">
        <f t="shared" si="974"/>
        <v>12Go Link</v>
      </c>
      <c r="E5531" s="2" t="s">
        <v>4339</v>
      </c>
    </row>
    <row r="5532">
      <c r="A5532" s="2" t="s">
        <v>4350</v>
      </c>
      <c r="B5532" s="2" t="s">
        <v>4350</v>
      </c>
      <c r="C5532" s="2" t="s">
        <v>4449</v>
      </c>
      <c r="D5532" s="3" t="str">
        <f t="shared" si="974"/>
        <v>12Go Link</v>
      </c>
      <c r="E5532" s="2" t="s">
        <v>4340</v>
      </c>
    </row>
    <row r="5533">
      <c r="A5533" s="2" t="s">
        <v>4350</v>
      </c>
      <c r="B5533" s="2" t="s">
        <v>4450</v>
      </c>
      <c r="C5533" s="2" t="s">
        <v>4451</v>
      </c>
      <c r="D5533" s="3" t="str">
        <f t="shared" ref="D5533:D5538" si="975">HYPERLINK("https://12go.asia/en/travel/Mohammed-V-International-Airport/Chefchaouen-Hotel-Transfer", "12Go Link")</f>
        <v>12Go Link</v>
      </c>
      <c r="E5533" s="2" t="s">
        <v>4336</v>
      </c>
    </row>
    <row r="5534">
      <c r="A5534" s="2" t="s">
        <v>4350</v>
      </c>
      <c r="B5534" s="2" t="s">
        <v>4450</v>
      </c>
      <c r="C5534" s="2" t="s">
        <v>4451</v>
      </c>
      <c r="D5534" s="3" t="str">
        <f t="shared" si="975"/>
        <v>12Go Link</v>
      </c>
      <c r="E5534" s="2" t="s">
        <v>4337</v>
      </c>
    </row>
    <row r="5535">
      <c r="A5535" s="2" t="s">
        <v>4350</v>
      </c>
      <c r="B5535" s="2" t="s">
        <v>4450</v>
      </c>
      <c r="C5535" s="2" t="s">
        <v>4451</v>
      </c>
      <c r="D5535" s="3" t="str">
        <f t="shared" si="975"/>
        <v>12Go Link</v>
      </c>
      <c r="E5535" s="2" t="s">
        <v>4137</v>
      </c>
    </row>
    <row r="5536">
      <c r="A5536" s="2" t="s">
        <v>4350</v>
      </c>
      <c r="B5536" s="2" t="s">
        <v>4450</v>
      </c>
      <c r="C5536" s="2" t="s">
        <v>4451</v>
      </c>
      <c r="D5536" s="3" t="str">
        <f t="shared" si="975"/>
        <v>12Go Link</v>
      </c>
      <c r="E5536" s="2" t="s">
        <v>4338</v>
      </c>
    </row>
    <row r="5537">
      <c r="A5537" s="2" t="s">
        <v>4350</v>
      </c>
      <c r="B5537" s="2" t="s">
        <v>4450</v>
      </c>
      <c r="C5537" s="2" t="s">
        <v>4451</v>
      </c>
      <c r="D5537" s="3" t="str">
        <f t="shared" si="975"/>
        <v>12Go Link</v>
      </c>
      <c r="E5537" s="2" t="s">
        <v>4339</v>
      </c>
    </row>
    <row r="5538">
      <c r="A5538" s="2" t="s">
        <v>4350</v>
      </c>
      <c r="B5538" s="2" t="s">
        <v>4450</v>
      </c>
      <c r="C5538" s="2" t="s">
        <v>4451</v>
      </c>
      <c r="D5538" s="3" t="str">
        <f t="shared" si="975"/>
        <v>12Go Link</v>
      </c>
      <c r="E5538" s="2" t="s">
        <v>4340</v>
      </c>
    </row>
    <row r="5539">
      <c r="A5539" s="2" t="s">
        <v>4350</v>
      </c>
      <c r="B5539" s="2" t="s">
        <v>4452</v>
      </c>
      <c r="C5539" s="2" t="s">
        <v>4453</v>
      </c>
      <c r="D5539" s="3" t="str">
        <f t="shared" ref="D5539:D5544" si="976">HYPERLINK("https://12go.asia/en/travel/Mohammed-V-International-Airport/Dar-Bouazza-Hotel-Transfer", "12Go Link")</f>
        <v>12Go Link</v>
      </c>
      <c r="E5539" s="2" t="s">
        <v>4336</v>
      </c>
    </row>
    <row r="5540">
      <c r="A5540" s="2" t="s">
        <v>4350</v>
      </c>
      <c r="B5540" s="2" t="s">
        <v>4452</v>
      </c>
      <c r="C5540" s="2" t="s">
        <v>4453</v>
      </c>
      <c r="D5540" s="3" t="str">
        <f t="shared" si="976"/>
        <v>12Go Link</v>
      </c>
      <c r="E5540" s="2" t="s">
        <v>4337</v>
      </c>
    </row>
    <row r="5541">
      <c r="A5541" s="2" t="s">
        <v>4350</v>
      </c>
      <c r="B5541" s="2" t="s">
        <v>4452</v>
      </c>
      <c r="C5541" s="2" t="s">
        <v>4453</v>
      </c>
      <c r="D5541" s="3" t="str">
        <f t="shared" si="976"/>
        <v>12Go Link</v>
      </c>
      <c r="E5541" s="2" t="s">
        <v>4137</v>
      </c>
    </row>
    <row r="5542">
      <c r="A5542" s="2" t="s">
        <v>4350</v>
      </c>
      <c r="B5542" s="2" t="s">
        <v>4452</v>
      </c>
      <c r="C5542" s="2" t="s">
        <v>4453</v>
      </c>
      <c r="D5542" s="3" t="str">
        <f t="shared" si="976"/>
        <v>12Go Link</v>
      </c>
      <c r="E5542" s="2" t="s">
        <v>4338</v>
      </c>
    </row>
    <row r="5543">
      <c r="A5543" s="2" t="s">
        <v>4350</v>
      </c>
      <c r="B5543" s="2" t="s">
        <v>4452</v>
      </c>
      <c r="C5543" s="2" t="s">
        <v>4453</v>
      </c>
      <c r="D5543" s="3" t="str">
        <f t="shared" si="976"/>
        <v>12Go Link</v>
      </c>
      <c r="E5543" s="2" t="s">
        <v>4339</v>
      </c>
    </row>
    <row r="5544">
      <c r="A5544" s="2" t="s">
        <v>4350</v>
      </c>
      <c r="B5544" s="2" t="s">
        <v>4452</v>
      </c>
      <c r="C5544" s="2" t="s">
        <v>4453</v>
      </c>
      <c r="D5544" s="3" t="str">
        <f t="shared" si="976"/>
        <v>12Go Link</v>
      </c>
      <c r="E5544" s="2" t="s">
        <v>4340</v>
      </c>
    </row>
    <row r="5545">
      <c r="A5545" s="2" t="s">
        <v>4350</v>
      </c>
      <c r="B5545" s="2" t="s">
        <v>4454</v>
      </c>
      <c r="C5545" s="2" t="s">
        <v>4455</v>
      </c>
      <c r="D5545" s="3" t="str">
        <f t="shared" ref="D5545:D5550" si="977">HYPERLINK("https://12go.asia/en/travel/Mohammed-V-International-Airport/Demnate-Hotel-Transfer", "12Go Link")</f>
        <v>12Go Link</v>
      </c>
      <c r="E5545" s="2" t="s">
        <v>4336</v>
      </c>
    </row>
    <row r="5546">
      <c r="A5546" s="2" t="s">
        <v>4350</v>
      </c>
      <c r="B5546" s="2" t="s">
        <v>4454</v>
      </c>
      <c r="C5546" s="2" t="s">
        <v>4455</v>
      </c>
      <c r="D5546" s="3" t="str">
        <f t="shared" si="977"/>
        <v>12Go Link</v>
      </c>
      <c r="E5546" s="2" t="s">
        <v>4337</v>
      </c>
    </row>
    <row r="5547">
      <c r="A5547" s="2" t="s">
        <v>4350</v>
      </c>
      <c r="B5547" s="2" t="s">
        <v>4454</v>
      </c>
      <c r="C5547" s="2" t="s">
        <v>4455</v>
      </c>
      <c r="D5547" s="3" t="str">
        <f t="shared" si="977"/>
        <v>12Go Link</v>
      </c>
      <c r="E5547" s="2" t="s">
        <v>4137</v>
      </c>
    </row>
    <row r="5548">
      <c r="A5548" s="2" t="s">
        <v>4350</v>
      </c>
      <c r="B5548" s="2" t="s">
        <v>4454</v>
      </c>
      <c r="C5548" s="2" t="s">
        <v>4455</v>
      </c>
      <c r="D5548" s="3" t="str">
        <f t="shared" si="977"/>
        <v>12Go Link</v>
      </c>
      <c r="E5548" s="2" t="s">
        <v>4338</v>
      </c>
    </row>
    <row r="5549">
      <c r="A5549" s="2" t="s">
        <v>4350</v>
      </c>
      <c r="B5549" s="2" t="s">
        <v>4454</v>
      </c>
      <c r="C5549" s="2" t="s">
        <v>4455</v>
      </c>
      <c r="D5549" s="3" t="str">
        <f t="shared" si="977"/>
        <v>12Go Link</v>
      </c>
      <c r="E5549" s="2" t="s">
        <v>4339</v>
      </c>
    </row>
    <row r="5550">
      <c r="A5550" s="2" t="s">
        <v>4350</v>
      </c>
      <c r="B5550" s="2" t="s">
        <v>4454</v>
      </c>
      <c r="C5550" s="2" t="s">
        <v>4455</v>
      </c>
      <c r="D5550" s="3" t="str">
        <f t="shared" si="977"/>
        <v>12Go Link</v>
      </c>
      <c r="E5550" s="2" t="s">
        <v>4340</v>
      </c>
    </row>
    <row r="5551">
      <c r="A5551" s="2" t="s">
        <v>4350</v>
      </c>
      <c r="B5551" s="2" t="s">
        <v>4456</v>
      </c>
      <c r="C5551" s="2" t="s">
        <v>4457</v>
      </c>
      <c r="D5551" s="3" t="str">
        <f t="shared" ref="D5551:D5556" si="978">HYPERLINK("https://12go.asia/en/travel/Mohammed-V-International-Airport/El-Jadida-Hotel-Transfer", "12Go Link")</f>
        <v>12Go Link</v>
      </c>
      <c r="E5551" s="2" t="s">
        <v>4336</v>
      </c>
    </row>
    <row r="5552">
      <c r="A5552" s="2" t="s">
        <v>4350</v>
      </c>
      <c r="B5552" s="2" t="s">
        <v>4456</v>
      </c>
      <c r="C5552" s="2" t="s">
        <v>4457</v>
      </c>
      <c r="D5552" s="3" t="str">
        <f t="shared" si="978"/>
        <v>12Go Link</v>
      </c>
      <c r="E5552" s="2" t="s">
        <v>4337</v>
      </c>
    </row>
    <row r="5553">
      <c r="A5553" s="2" t="s">
        <v>4350</v>
      </c>
      <c r="B5553" s="2" t="s">
        <v>4456</v>
      </c>
      <c r="C5553" s="2" t="s">
        <v>4457</v>
      </c>
      <c r="D5553" s="3" t="str">
        <f t="shared" si="978"/>
        <v>12Go Link</v>
      </c>
      <c r="E5553" s="2" t="s">
        <v>4137</v>
      </c>
    </row>
    <row r="5554">
      <c r="A5554" s="2" t="s">
        <v>4350</v>
      </c>
      <c r="B5554" s="2" t="s">
        <v>4456</v>
      </c>
      <c r="C5554" s="2" t="s">
        <v>4457</v>
      </c>
      <c r="D5554" s="3" t="str">
        <f t="shared" si="978"/>
        <v>12Go Link</v>
      </c>
      <c r="E5554" s="2" t="s">
        <v>4338</v>
      </c>
    </row>
    <row r="5555">
      <c r="A5555" s="2" t="s">
        <v>4350</v>
      </c>
      <c r="B5555" s="2" t="s">
        <v>4456</v>
      </c>
      <c r="C5555" s="2" t="s">
        <v>4457</v>
      </c>
      <c r="D5555" s="3" t="str">
        <f t="shared" si="978"/>
        <v>12Go Link</v>
      </c>
      <c r="E5555" s="2" t="s">
        <v>4339</v>
      </c>
    </row>
    <row r="5556">
      <c r="A5556" s="2" t="s">
        <v>4350</v>
      </c>
      <c r="B5556" s="2" t="s">
        <v>4456</v>
      </c>
      <c r="C5556" s="2" t="s">
        <v>4457</v>
      </c>
      <c r="D5556" s="3" t="str">
        <f t="shared" si="978"/>
        <v>12Go Link</v>
      </c>
      <c r="E5556" s="2" t="s">
        <v>4340</v>
      </c>
    </row>
    <row r="5557">
      <c r="A5557" s="2" t="s">
        <v>4350</v>
      </c>
      <c r="B5557" s="2" t="s">
        <v>4458</v>
      </c>
      <c r="C5557" s="2" t="s">
        <v>4459</v>
      </c>
      <c r="D5557" s="3" t="str">
        <f t="shared" ref="D5557:D5562" si="979">HYPERLINK("https://12go.asia/en/travel/Mohammed-V-International-Airport/Errachidia-Hotel-Transfer", "12Go Link")</f>
        <v>12Go Link</v>
      </c>
      <c r="E5557" s="2" t="s">
        <v>4336</v>
      </c>
    </row>
    <row r="5558">
      <c r="A5558" s="2" t="s">
        <v>4350</v>
      </c>
      <c r="B5558" s="2" t="s">
        <v>4458</v>
      </c>
      <c r="C5558" s="2" t="s">
        <v>4459</v>
      </c>
      <c r="D5558" s="3" t="str">
        <f t="shared" si="979"/>
        <v>12Go Link</v>
      </c>
      <c r="E5558" s="2" t="s">
        <v>4337</v>
      </c>
    </row>
    <row r="5559">
      <c r="A5559" s="2" t="s">
        <v>4350</v>
      </c>
      <c r="B5559" s="2" t="s">
        <v>4458</v>
      </c>
      <c r="C5559" s="2" t="s">
        <v>4459</v>
      </c>
      <c r="D5559" s="3" t="str">
        <f t="shared" si="979"/>
        <v>12Go Link</v>
      </c>
      <c r="E5559" s="2" t="s">
        <v>4137</v>
      </c>
    </row>
    <row r="5560">
      <c r="A5560" s="2" t="s">
        <v>4350</v>
      </c>
      <c r="B5560" s="2" t="s">
        <v>4458</v>
      </c>
      <c r="C5560" s="2" t="s">
        <v>4459</v>
      </c>
      <c r="D5560" s="3" t="str">
        <f t="shared" si="979"/>
        <v>12Go Link</v>
      </c>
      <c r="E5560" s="2" t="s">
        <v>4338</v>
      </c>
    </row>
    <row r="5561">
      <c r="A5561" s="2" t="s">
        <v>4350</v>
      </c>
      <c r="B5561" s="2" t="s">
        <v>4458</v>
      </c>
      <c r="C5561" s="2" t="s">
        <v>4459</v>
      </c>
      <c r="D5561" s="3" t="str">
        <f t="shared" si="979"/>
        <v>12Go Link</v>
      </c>
      <c r="E5561" s="2" t="s">
        <v>4339</v>
      </c>
    </row>
    <row r="5562">
      <c r="A5562" s="2" t="s">
        <v>4350</v>
      </c>
      <c r="B5562" s="2" t="s">
        <v>4458</v>
      </c>
      <c r="C5562" s="2" t="s">
        <v>4459</v>
      </c>
      <c r="D5562" s="3" t="str">
        <f t="shared" si="979"/>
        <v>12Go Link</v>
      </c>
      <c r="E5562" s="2" t="s">
        <v>4340</v>
      </c>
    </row>
    <row r="5563">
      <c r="A5563" s="2" t="s">
        <v>4350</v>
      </c>
      <c r="B5563" s="2" t="s">
        <v>4353</v>
      </c>
      <c r="C5563" s="2" t="s">
        <v>4460</v>
      </c>
      <c r="D5563" s="3" t="str">
        <f t="shared" ref="D5563:D5568" si="980">HYPERLINK("https://12go.asia/en/travel/Mohammed-V-International-Airport/Essaouira-Hotel-Transfer", "12Go Link")</f>
        <v>12Go Link</v>
      </c>
      <c r="E5563" s="2" t="s">
        <v>4336</v>
      </c>
    </row>
    <row r="5564">
      <c r="A5564" s="2" t="s">
        <v>4350</v>
      </c>
      <c r="B5564" s="2" t="s">
        <v>4353</v>
      </c>
      <c r="C5564" s="2" t="s">
        <v>4460</v>
      </c>
      <c r="D5564" s="3" t="str">
        <f t="shared" si="980"/>
        <v>12Go Link</v>
      </c>
      <c r="E5564" s="2" t="s">
        <v>4337</v>
      </c>
    </row>
    <row r="5565">
      <c r="A5565" s="2" t="s">
        <v>4350</v>
      </c>
      <c r="B5565" s="2" t="s">
        <v>4353</v>
      </c>
      <c r="C5565" s="2" t="s">
        <v>4460</v>
      </c>
      <c r="D5565" s="3" t="str">
        <f t="shared" si="980"/>
        <v>12Go Link</v>
      </c>
      <c r="E5565" s="2" t="s">
        <v>4137</v>
      </c>
    </row>
    <row r="5566">
      <c r="A5566" s="2" t="s">
        <v>4350</v>
      </c>
      <c r="B5566" s="2" t="s">
        <v>4353</v>
      </c>
      <c r="C5566" s="2" t="s">
        <v>4460</v>
      </c>
      <c r="D5566" s="3" t="str">
        <f t="shared" si="980"/>
        <v>12Go Link</v>
      </c>
      <c r="E5566" s="2" t="s">
        <v>4338</v>
      </c>
    </row>
    <row r="5567">
      <c r="A5567" s="2" t="s">
        <v>4350</v>
      </c>
      <c r="B5567" s="2" t="s">
        <v>4353</v>
      </c>
      <c r="C5567" s="2" t="s">
        <v>4460</v>
      </c>
      <c r="D5567" s="3" t="str">
        <f t="shared" si="980"/>
        <v>12Go Link</v>
      </c>
      <c r="E5567" s="2" t="s">
        <v>4339</v>
      </c>
    </row>
    <row r="5568">
      <c r="A5568" s="2" t="s">
        <v>4350</v>
      </c>
      <c r="B5568" s="2" t="s">
        <v>4353</v>
      </c>
      <c r="C5568" s="2" t="s">
        <v>4460</v>
      </c>
      <c r="D5568" s="3" t="str">
        <f t="shared" si="980"/>
        <v>12Go Link</v>
      </c>
      <c r="E5568" s="2" t="s">
        <v>4340</v>
      </c>
    </row>
    <row r="5569">
      <c r="A5569" s="2" t="s">
        <v>4350</v>
      </c>
      <c r="B5569" s="2" t="s">
        <v>4357</v>
      </c>
      <c r="C5569" s="2" t="s">
        <v>4461</v>
      </c>
      <c r="D5569" s="3" t="str">
        <f t="shared" ref="D5569:D5574" si="981">HYPERLINK("https://12go.asia/en/travel/Casablanca-Hotel-Transfer/Fes-Airport", "12Go Link")</f>
        <v>12Go Link</v>
      </c>
      <c r="E5569" s="2" t="s">
        <v>4336</v>
      </c>
    </row>
    <row r="5570">
      <c r="A5570" s="2" t="s">
        <v>4350</v>
      </c>
      <c r="B5570" s="2" t="s">
        <v>4357</v>
      </c>
      <c r="C5570" s="2" t="s">
        <v>4461</v>
      </c>
      <c r="D5570" s="3" t="str">
        <f t="shared" si="981"/>
        <v>12Go Link</v>
      </c>
      <c r="E5570" s="2" t="s">
        <v>4337</v>
      </c>
    </row>
    <row r="5571">
      <c r="A5571" s="2" t="s">
        <v>4350</v>
      </c>
      <c r="B5571" s="2" t="s">
        <v>4357</v>
      </c>
      <c r="C5571" s="2" t="s">
        <v>4461</v>
      </c>
      <c r="D5571" s="3" t="str">
        <f t="shared" si="981"/>
        <v>12Go Link</v>
      </c>
      <c r="E5571" s="2" t="s">
        <v>4137</v>
      </c>
    </row>
    <row r="5572">
      <c r="A5572" s="2" t="s">
        <v>4350</v>
      </c>
      <c r="B5572" s="2" t="s">
        <v>4357</v>
      </c>
      <c r="C5572" s="2" t="s">
        <v>4461</v>
      </c>
      <c r="D5572" s="3" t="str">
        <f t="shared" si="981"/>
        <v>12Go Link</v>
      </c>
      <c r="E5572" s="2" t="s">
        <v>4338</v>
      </c>
    </row>
    <row r="5573">
      <c r="A5573" s="2" t="s">
        <v>4350</v>
      </c>
      <c r="B5573" s="2" t="s">
        <v>4357</v>
      </c>
      <c r="C5573" s="2" t="s">
        <v>4461</v>
      </c>
      <c r="D5573" s="3" t="str">
        <f t="shared" si="981"/>
        <v>12Go Link</v>
      </c>
      <c r="E5573" s="2" t="s">
        <v>4339</v>
      </c>
    </row>
    <row r="5574">
      <c r="A5574" s="2" t="s">
        <v>4350</v>
      </c>
      <c r="B5574" s="2" t="s">
        <v>4357</v>
      </c>
      <c r="C5574" s="2" t="s">
        <v>4461</v>
      </c>
      <c r="D5574" s="3" t="str">
        <f t="shared" si="981"/>
        <v>12Go Link</v>
      </c>
      <c r="E5574" s="2" t="s">
        <v>4340</v>
      </c>
    </row>
    <row r="5575">
      <c r="A5575" s="2" t="s">
        <v>4350</v>
      </c>
      <c r="B5575" s="2" t="s">
        <v>4357</v>
      </c>
      <c r="C5575" s="2" t="s">
        <v>4462</v>
      </c>
      <c r="D5575" s="3" t="str">
        <f t="shared" ref="D5575:D5580" si="982">HYPERLINK("https://12go.asia/en/travel/Mohammed-V-International-Airport/Fes-Hotel-Transfer", "12Go Link")</f>
        <v>12Go Link</v>
      </c>
      <c r="E5575" s="2" t="s">
        <v>4336</v>
      </c>
    </row>
    <row r="5576">
      <c r="A5576" s="2" t="s">
        <v>4350</v>
      </c>
      <c r="B5576" s="2" t="s">
        <v>4357</v>
      </c>
      <c r="C5576" s="2" t="s">
        <v>4462</v>
      </c>
      <c r="D5576" s="3" t="str">
        <f t="shared" si="982"/>
        <v>12Go Link</v>
      </c>
      <c r="E5576" s="2" t="s">
        <v>4337</v>
      </c>
    </row>
    <row r="5577">
      <c r="A5577" s="2" t="s">
        <v>4350</v>
      </c>
      <c r="B5577" s="2" t="s">
        <v>4357</v>
      </c>
      <c r="C5577" s="2" t="s">
        <v>4462</v>
      </c>
      <c r="D5577" s="3" t="str">
        <f t="shared" si="982"/>
        <v>12Go Link</v>
      </c>
      <c r="E5577" s="2" t="s">
        <v>4137</v>
      </c>
    </row>
    <row r="5578">
      <c r="A5578" s="2" t="s">
        <v>4350</v>
      </c>
      <c r="B5578" s="2" t="s">
        <v>4357</v>
      </c>
      <c r="C5578" s="2" t="s">
        <v>4462</v>
      </c>
      <c r="D5578" s="3" t="str">
        <f t="shared" si="982"/>
        <v>12Go Link</v>
      </c>
      <c r="E5578" s="2" t="s">
        <v>4338</v>
      </c>
    </row>
    <row r="5579">
      <c r="A5579" s="2" t="s">
        <v>4350</v>
      </c>
      <c r="B5579" s="2" t="s">
        <v>4357</v>
      </c>
      <c r="C5579" s="2" t="s">
        <v>4462</v>
      </c>
      <c r="D5579" s="3" t="str">
        <f t="shared" si="982"/>
        <v>12Go Link</v>
      </c>
      <c r="E5579" s="2" t="s">
        <v>4339</v>
      </c>
    </row>
    <row r="5580">
      <c r="A5580" s="2" t="s">
        <v>4350</v>
      </c>
      <c r="B5580" s="2" t="s">
        <v>4357</v>
      </c>
      <c r="C5580" s="2" t="s">
        <v>4462</v>
      </c>
      <c r="D5580" s="3" t="str">
        <f t="shared" si="982"/>
        <v>12Go Link</v>
      </c>
      <c r="E5580" s="2" t="s">
        <v>4340</v>
      </c>
    </row>
    <row r="5581">
      <c r="A5581" s="2" t="s">
        <v>4350</v>
      </c>
      <c r="B5581" s="2" t="s">
        <v>4463</v>
      </c>
      <c r="C5581" s="2" t="s">
        <v>4464</v>
      </c>
      <c r="D5581" s="3" t="str">
        <f t="shared" ref="D5581:D5586" si="983">HYPERLINK("https://12go.asia/en/travel/Mohammed-V-International-Airport/Fquih-Ben-Salah-Hotel-Transfer", "12Go Link")</f>
        <v>12Go Link</v>
      </c>
      <c r="E5581" s="2" t="s">
        <v>4336</v>
      </c>
    </row>
    <row r="5582">
      <c r="A5582" s="2" t="s">
        <v>4350</v>
      </c>
      <c r="B5582" s="2" t="s">
        <v>4463</v>
      </c>
      <c r="C5582" s="2" t="s">
        <v>4464</v>
      </c>
      <c r="D5582" s="3" t="str">
        <f t="shared" si="983"/>
        <v>12Go Link</v>
      </c>
      <c r="E5582" s="2" t="s">
        <v>4337</v>
      </c>
    </row>
    <row r="5583">
      <c r="A5583" s="2" t="s">
        <v>4350</v>
      </c>
      <c r="B5583" s="2" t="s">
        <v>4463</v>
      </c>
      <c r="C5583" s="2" t="s">
        <v>4464</v>
      </c>
      <c r="D5583" s="3" t="str">
        <f t="shared" si="983"/>
        <v>12Go Link</v>
      </c>
      <c r="E5583" s="2" t="s">
        <v>4137</v>
      </c>
    </row>
    <row r="5584">
      <c r="A5584" s="2" t="s">
        <v>4350</v>
      </c>
      <c r="B5584" s="2" t="s">
        <v>4463</v>
      </c>
      <c r="C5584" s="2" t="s">
        <v>4464</v>
      </c>
      <c r="D5584" s="3" t="str">
        <f t="shared" si="983"/>
        <v>12Go Link</v>
      </c>
      <c r="E5584" s="2" t="s">
        <v>4338</v>
      </c>
    </row>
    <row r="5585">
      <c r="A5585" s="2" t="s">
        <v>4350</v>
      </c>
      <c r="B5585" s="2" t="s">
        <v>4463</v>
      </c>
      <c r="C5585" s="2" t="s">
        <v>4464</v>
      </c>
      <c r="D5585" s="3" t="str">
        <f t="shared" si="983"/>
        <v>12Go Link</v>
      </c>
      <c r="E5585" s="2" t="s">
        <v>4339</v>
      </c>
    </row>
    <row r="5586">
      <c r="A5586" s="2" t="s">
        <v>4350</v>
      </c>
      <c r="B5586" s="2" t="s">
        <v>4463</v>
      </c>
      <c r="C5586" s="2" t="s">
        <v>4464</v>
      </c>
      <c r="D5586" s="3" t="str">
        <f t="shared" si="983"/>
        <v>12Go Link</v>
      </c>
      <c r="E5586" s="2" t="s">
        <v>4340</v>
      </c>
    </row>
    <row r="5587">
      <c r="A5587" s="2" t="s">
        <v>4350</v>
      </c>
      <c r="B5587" s="2" t="s">
        <v>4465</v>
      </c>
      <c r="C5587" s="2" t="s">
        <v>4466</v>
      </c>
      <c r="D5587" s="3" t="str">
        <f t="shared" ref="D5587:D5592" si="984">HYPERLINK("https://12go.asia/en/travel/Mohammed-V-International-Airport/Kenitra-Hotel-Transfer", "12Go Link")</f>
        <v>12Go Link</v>
      </c>
      <c r="E5587" s="2" t="s">
        <v>4336</v>
      </c>
    </row>
    <row r="5588">
      <c r="A5588" s="2" t="s">
        <v>4350</v>
      </c>
      <c r="B5588" s="2" t="s">
        <v>4465</v>
      </c>
      <c r="C5588" s="2" t="s">
        <v>4466</v>
      </c>
      <c r="D5588" s="3" t="str">
        <f t="shared" si="984"/>
        <v>12Go Link</v>
      </c>
      <c r="E5588" s="2" t="s">
        <v>4337</v>
      </c>
    </row>
    <row r="5589">
      <c r="A5589" s="2" t="s">
        <v>4350</v>
      </c>
      <c r="B5589" s="2" t="s">
        <v>4465</v>
      </c>
      <c r="C5589" s="2" t="s">
        <v>4466</v>
      </c>
      <c r="D5589" s="3" t="str">
        <f t="shared" si="984"/>
        <v>12Go Link</v>
      </c>
      <c r="E5589" s="2" t="s">
        <v>4137</v>
      </c>
    </row>
    <row r="5590">
      <c r="A5590" s="2" t="s">
        <v>4350</v>
      </c>
      <c r="B5590" s="2" t="s">
        <v>4465</v>
      </c>
      <c r="C5590" s="2" t="s">
        <v>4466</v>
      </c>
      <c r="D5590" s="3" t="str">
        <f t="shared" si="984"/>
        <v>12Go Link</v>
      </c>
      <c r="E5590" s="2" t="s">
        <v>4338</v>
      </c>
    </row>
    <row r="5591">
      <c r="A5591" s="2" t="s">
        <v>4350</v>
      </c>
      <c r="B5591" s="2" t="s">
        <v>4465</v>
      </c>
      <c r="C5591" s="2" t="s">
        <v>4466</v>
      </c>
      <c r="D5591" s="3" t="str">
        <f t="shared" si="984"/>
        <v>12Go Link</v>
      </c>
      <c r="E5591" s="2" t="s">
        <v>4339</v>
      </c>
    </row>
    <row r="5592">
      <c r="A5592" s="2" t="s">
        <v>4350</v>
      </c>
      <c r="B5592" s="2" t="s">
        <v>4465</v>
      </c>
      <c r="C5592" s="2" t="s">
        <v>4466</v>
      </c>
      <c r="D5592" s="3" t="str">
        <f t="shared" si="984"/>
        <v>12Go Link</v>
      </c>
      <c r="E5592" s="2" t="s">
        <v>4340</v>
      </c>
    </row>
    <row r="5593">
      <c r="A5593" s="2" t="s">
        <v>4350</v>
      </c>
      <c r="B5593" s="2" t="s">
        <v>4467</v>
      </c>
      <c r="C5593" s="2" t="s">
        <v>4468</v>
      </c>
      <c r="D5593" s="3" t="str">
        <f t="shared" ref="D5593:D5598" si="985">HYPERLINK("https://12go.asia/en/travel/Mohammed-V-International-Airport/Khouribga-Hotel-Transfer", "12Go Link")</f>
        <v>12Go Link</v>
      </c>
      <c r="E5593" s="2" t="s">
        <v>4336</v>
      </c>
    </row>
    <row r="5594">
      <c r="A5594" s="2" t="s">
        <v>4350</v>
      </c>
      <c r="B5594" s="2" t="s">
        <v>4467</v>
      </c>
      <c r="C5594" s="2" t="s">
        <v>4468</v>
      </c>
      <c r="D5594" s="3" t="str">
        <f t="shared" si="985"/>
        <v>12Go Link</v>
      </c>
      <c r="E5594" s="2" t="s">
        <v>4337</v>
      </c>
    </row>
    <row r="5595">
      <c r="A5595" s="2" t="s">
        <v>4350</v>
      </c>
      <c r="B5595" s="2" t="s">
        <v>4467</v>
      </c>
      <c r="C5595" s="2" t="s">
        <v>4468</v>
      </c>
      <c r="D5595" s="3" t="str">
        <f t="shared" si="985"/>
        <v>12Go Link</v>
      </c>
      <c r="E5595" s="2" t="s">
        <v>4137</v>
      </c>
    </row>
    <row r="5596">
      <c r="A5596" s="2" t="s">
        <v>4350</v>
      </c>
      <c r="B5596" s="2" t="s">
        <v>4467</v>
      </c>
      <c r="C5596" s="2" t="s">
        <v>4468</v>
      </c>
      <c r="D5596" s="3" t="str">
        <f t="shared" si="985"/>
        <v>12Go Link</v>
      </c>
      <c r="E5596" s="2" t="s">
        <v>4338</v>
      </c>
    </row>
    <row r="5597">
      <c r="A5597" s="2" t="s">
        <v>4350</v>
      </c>
      <c r="B5597" s="2" t="s">
        <v>4467</v>
      </c>
      <c r="C5597" s="2" t="s">
        <v>4468</v>
      </c>
      <c r="D5597" s="3" t="str">
        <f t="shared" si="985"/>
        <v>12Go Link</v>
      </c>
      <c r="E5597" s="2" t="s">
        <v>4339</v>
      </c>
    </row>
    <row r="5598">
      <c r="A5598" s="2" t="s">
        <v>4350</v>
      </c>
      <c r="B5598" s="2" t="s">
        <v>4467</v>
      </c>
      <c r="C5598" s="2" t="s">
        <v>4468</v>
      </c>
      <c r="D5598" s="3" t="str">
        <f t="shared" si="985"/>
        <v>12Go Link</v>
      </c>
      <c r="E5598" s="2" t="s">
        <v>4340</v>
      </c>
    </row>
    <row r="5599">
      <c r="A5599" s="2" t="s">
        <v>4350</v>
      </c>
      <c r="B5599" s="2" t="s">
        <v>4372</v>
      </c>
      <c r="C5599" s="2" t="s">
        <v>4469</v>
      </c>
      <c r="D5599" s="3" t="str">
        <f t="shared" ref="D5599:D5604" si="986">HYPERLINK("https://12go.asia/en/travel/Casablanca-Hotel-Transfer/Marrakesh-Menara-Airport", "12Go Link")</f>
        <v>12Go Link</v>
      </c>
      <c r="E5599" s="2" t="s">
        <v>4336</v>
      </c>
    </row>
    <row r="5600">
      <c r="A5600" s="2" t="s">
        <v>4350</v>
      </c>
      <c r="B5600" s="2" t="s">
        <v>4372</v>
      </c>
      <c r="C5600" s="2" t="s">
        <v>4469</v>
      </c>
      <c r="D5600" s="3" t="str">
        <f t="shared" si="986"/>
        <v>12Go Link</v>
      </c>
      <c r="E5600" s="2" t="s">
        <v>4337</v>
      </c>
    </row>
    <row r="5601">
      <c r="A5601" s="2" t="s">
        <v>4350</v>
      </c>
      <c r="B5601" s="2" t="s">
        <v>4372</v>
      </c>
      <c r="C5601" s="2" t="s">
        <v>4469</v>
      </c>
      <c r="D5601" s="3" t="str">
        <f t="shared" si="986"/>
        <v>12Go Link</v>
      </c>
      <c r="E5601" s="2" t="s">
        <v>4137</v>
      </c>
    </row>
    <row r="5602">
      <c r="A5602" s="2" t="s">
        <v>4350</v>
      </c>
      <c r="B5602" s="2" t="s">
        <v>4372</v>
      </c>
      <c r="C5602" s="2" t="s">
        <v>4469</v>
      </c>
      <c r="D5602" s="3" t="str">
        <f t="shared" si="986"/>
        <v>12Go Link</v>
      </c>
      <c r="E5602" s="2" t="s">
        <v>4338</v>
      </c>
    </row>
    <row r="5603">
      <c r="A5603" s="2" t="s">
        <v>4350</v>
      </c>
      <c r="B5603" s="2" t="s">
        <v>4372</v>
      </c>
      <c r="C5603" s="2" t="s">
        <v>4469</v>
      </c>
      <c r="D5603" s="3" t="str">
        <f t="shared" si="986"/>
        <v>12Go Link</v>
      </c>
      <c r="E5603" s="2" t="s">
        <v>4339</v>
      </c>
    </row>
    <row r="5604">
      <c r="A5604" s="2" t="s">
        <v>4350</v>
      </c>
      <c r="B5604" s="2" t="s">
        <v>4372</v>
      </c>
      <c r="C5604" s="2" t="s">
        <v>4469</v>
      </c>
      <c r="D5604" s="3" t="str">
        <f t="shared" si="986"/>
        <v>12Go Link</v>
      </c>
      <c r="E5604" s="2" t="s">
        <v>4340</v>
      </c>
    </row>
    <row r="5605">
      <c r="A5605" s="2" t="s">
        <v>4350</v>
      </c>
      <c r="B5605" s="2" t="s">
        <v>4372</v>
      </c>
      <c r="C5605" s="2" t="s">
        <v>4470</v>
      </c>
      <c r="D5605" s="3" t="str">
        <f t="shared" ref="D5605:D5610" si="987">HYPERLINK("https://12go.asia/en/travel/Mohammed-V-International-Airport/La-Palmeraie", "12Go Link")</f>
        <v>12Go Link</v>
      </c>
      <c r="E5605" s="2" t="s">
        <v>4336</v>
      </c>
    </row>
    <row r="5606">
      <c r="A5606" s="2" t="s">
        <v>4350</v>
      </c>
      <c r="B5606" s="2" t="s">
        <v>4372</v>
      </c>
      <c r="C5606" s="2" t="s">
        <v>4470</v>
      </c>
      <c r="D5606" s="3" t="str">
        <f t="shared" si="987"/>
        <v>12Go Link</v>
      </c>
      <c r="E5606" s="2" t="s">
        <v>4337</v>
      </c>
    </row>
    <row r="5607">
      <c r="A5607" s="2" t="s">
        <v>4350</v>
      </c>
      <c r="B5607" s="2" t="s">
        <v>4372</v>
      </c>
      <c r="C5607" s="2" t="s">
        <v>4470</v>
      </c>
      <c r="D5607" s="3" t="str">
        <f t="shared" si="987"/>
        <v>12Go Link</v>
      </c>
      <c r="E5607" s="2" t="s">
        <v>4137</v>
      </c>
    </row>
    <row r="5608">
      <c r="A5608" s="2" t="s">
        <v>4350</v>
      </c>
      <c r="B5608" s="2" t="s">
        <v>4372</v>
      </c>
      <c r="C5608" s="2" t="s">
        <v>4470</v>
      </c>
      <c r="D5608" s="3" t="str">
        <f t="shared" si="987"/>
        <v>12Go Link</v>
      </c>
      <c r="E5608" s="2" t="s">
        <v>4338</v>
      </c>
    </row>
    <row r="5609">
      <c r="A5609" s="2" t="s">
        <v>4350</v>
      </c>
      <c r="B5609" s="2" t="s">
        <v>4372</v>
      </c>
      <c r="C5609" s="2" t="s">
        <v>4470</v>
      </c>
      <c r="D5609" s="3" t="str">
        <f t="shared" si="987"/>
        <v>12Go Link</v>
      </c>
      <c r="E5609" s="2" t="s">
        <v>4339</v>
      </c>
    </row>
    <row r="5610">
      <c r="A5610" s="2" t="s">
        <v>4350</v>
      </c>
      <c r="B5610" s="2" t="s">
        <v>4372</v>
      </c>
      <c r="C5610" s="2" t="s">
        <v>4470</v>
      </c>
      <c r="D5610" s="3" t="str">
        <f t="shared" si="987"/>
        <v>12Go Link</v>
      </c>
      <c r="E5610" s="2" t="s">
        <v>4340</v>
      </c>
    </row>
    <row r="5611">
      <c r="A5611" s="2" t="s">
        <v>4350</v>
      </c>
      <c r="B5611" s="2" t="s">
        <v>4372</v>
      </c>
      <c r="C5611" s="2" t="s">
        <v>4471</v>
      </c>
      <c r="D5611" s="3" t="str">
        <f t="shared" ref="D5611:D5616" si="988">HYPERLINK("https://12go.asia/en/travel/Mohammed-V-International-Airport/Marrakesh-Hotel-Transfer", "12Go Link")</f>
        <v>12Go Link</v>
      </c>
      <c r="E5611" s="2" t="s">
        <v>4336</v>
      </c>
    </row>
    <row r="5612">
      <c r="A5612" s="2" t="s">
        <v>4350</v>
      </c>
      <c r="B5612" s="2" t="s">
        <v>4372</v>
      </c>
      <c r="C5612" s="2" t="s">
        <v>4471</v>
      </c>
      <c r="D5612" s="3" t="str">
        <f t="shared" si="988"/>
        <v>12Go Link</v>
      </c>
      <c r="E5612" s="2" t="s">
        <v>4337</v>
      </c>
    </row>
    <row r="5613">
      <c r="A5613" s="2" t="s">
        <v>4350</v>
      </c>
      <c r="B5613" s="2" t="s">
        <v>4372</v>
      </c>
      <c r="C5613" s="2" t="s">
        <v>4471</v>
      </c>
      <c r="D5613" s="3" t="str">
        <f t="shared" si="988"/>
        <v>12Go Link</v>
      </c>
      <c r="E5613" s="2" t="s">
        <v>4137</v>
      </c>
    </row>
    <row r="5614">
      <c r="A5614" s="2" t="s">
        <v>4350</v>
      </c>
      <c r="B5614" s="2" t="s">
        <v>4372</v>
      </c>
      <c r="C5614" s="2" t="s">
        <v>4471</v>
      </c>
      <c r="D5614" s="3" t="str">
        <f t="shared" si="988"/>
        <v>12Go Link</v>
      </c>
      <c r="E5614" s="2" t="s">
        <v>4338</v>
      </c>
    </row>
    <row r="5615">
      <c r="A5615" s="2" t="s">
        <v>4350</v>
      </c>
      <c r="B5615" s="2" t="s">
        <v>4372</v>
      </c>
      <c r="C5615" s="2" t="s">
        <v>4471</v>
      </c>
      <c r="D5615" s="3" t="str">
        <f t="shared" si="988"/>
        <v>12Go Link</v>
      </c>
      <c r="E5615" s="2" t="s">
        <v>4339</v>
      </c>
    </row>
    <row r="5616">
      <c r="A5616" s="2" t="s">
        <v>4350</v>
      </c>
      <c r="B5616" s="2" t="s">
        <v>4372</v>
      </c>
      <c r="C5616" s="2" t="s">
        <v>4471</v>
      </c>
      <c r="D5616" s="3" t="str">
        <f t="shared" si="988"/>
        <v>12Go Link</v>
      </c>
      <c r="E5616" s="2" t="s">
        <v>4340</v>
      </c>
    </row>
    <row r="5617">
      <c r="A5617" s="2" t="s">
        <v>4350</v>
      </c>
      <c r="B5617" s="2" t="s">
        <v>4372</v>
      </c>
      <c r="C5617" s="2" t="s">
        <v>4472</v>
      </c>
      <c r="D5617" s="3" t="str">
        <f t="shared" ref="D5617:D5622" si="989">HYPERLINK("https://12go.asia/en/travel/Mohammed-V-International-Airport/Royal-Golf-Park", "12Go Link")</f>
        <v>12Go Link</v>
      </c>
      <c r="E5617" s="2" t="s">
        <v>4336</v>
      </c>
    </row>
    <row r="5618">
      <c r="A5618" s="2" t="s">
        <v>4350</v>
      </c>
      <c r="B5618" s="2" t="s">
        <v>4372</v>
      </c>
      <c r="C5618" s="2" t="s">
        <v>4472</v>
      </c>
      <c r="D5618" s="3" t="str">
        <f t="shared" si="989"/>
        <v>12Go Link</v>
      </c>
      <c r="E5618" s="2" t="s">
        <v>4337</v>
      </c>
    </row>
    <row r="5619">
      <c r="A5619" s="2" t="s">
        <v>4350</v>
      </c>
      <c r="B5619" s="2" t="s">
        <v>4372</v>
      </c>
      <c r="C5619" s="2" t="s">
        <v>4472</v>
      </c>
      <c r="D5619" s="3" t="str">
        <f t="shared" si="989"/>
        <v>12Go Link</v>
      </c>
      <c r="E5619" s="2" t="s">
        <v>4137</v>
      </c>
    </row>
    <row r="5620">
      <c r="A5620" s="2" t="s">
        <v>4350</v>
      </c>
      <c r="B5620" s="2" t="s">
        <v>4372</v>
      </c>
      <c r="C5620" s="2" t="s">
        <v>4472</v>
      </c>
      <c r="D5620" s="3" t="str">
        <f t="shared" si="989"/>
        <v>12Go Link</v>
      </c>
      <c r="E5620" s="2" t="s">
        <v>4338</v>
      </c>
    </row>
    <row r="5621">
      <c r="A5621" s="2" t="s">
        <v>4350</v>
      </c>
      <c r="B5621" s="2" t="s">
        <v>4372</v>
      </c>
      <c r="C5621" s="2" t="s">
        <v>4472</v>
      </c>
      <c r="D5621" s="3" t="str">
        <f t="shared" si="989"/>
        <v>12Go Link</v>
      </c>
      <c r="E5621" s="2" t="s">
        <v>4339</v>
      </c>
    </row>
    <row r="5622">
      <c r="A5622" s="2" t="s">
        <v>4350</v>
      </c>
      <c r="B5622" s="2" t="s">
        <v>4372</v>
      </c>
      <c r="C5622" s="2" t="s">
        <v>4472</v>
      </c>
      <c r="D5622" s="3" t="str">
        <f t="shared" si="989"/>
        <v>12Go Link</v>
      </c>
      <c r="E5622" s="2" t="s">
        <v>4340</v>
      </c>
    </row>
    <row r="5623">
      <c r="A5623" s="2" t="s">
        <v>4350</v>
      </c>
      <c r="B5623" s="2" t="s">
        <v>4377</v>
      </c>
      <c r="C5623" s="2" t="s">
        <v>4473</v>
      </c>
      <c r="D5623" s="3" t="str">
        <f t="shared" ref="D5623:D5628" si="990">HYPERLINK("https://12go.asia/en/travel/Mohammed-V-International-Airport/Meknes-Hotel-Transfer", "12Go Link")</f>
        <v>12Go Link</v>
      </c>
      <c r="E5623" s="2" t="s">
        <v>4336</v>
      </c>
    </row>
    <row r="5624">
      <c r="A5624" s="2" t="s">
        <v>4350</v>
      </c>
      <c r="B5624" s="2" t="s">
        <v>4377</v>
      </c>
      <c r="C5624" s="2" t="s">
        <v>4473</v>
      </c>
      <c r="D5624" s="3" t="str">
        <f t="shared" si="990"/>
        <v>12Go Link</v>
      </c>
      <c r="E5624" s="2" t="s">
        <v>4337</v>
      </c>
    </row>
    <row r="5625">
      <c r="A5625" s="2" t="s">
        <v>4350</v>
      </c>
      <c r="B5625" s="2" t="s">
        <v>4377</v>
      </c>
      <c r="C5625" s="2" t="s">
        <v>4473</v>
      </c>
      <c r="D5625" s="3" t="str">
        <f t="shared" si="990"/>
        <v>12Go Link</v>
      </c>
      <c r="E5625" s="2" t="s">
        <v>4137</v>
      </c>
    </row>
    <row r="5626">
      <c r="A5626" s="2" t="s">
        <v>4350</v>
      </c>
      <c r="B5626" s="2" t="s">
        <v>4377</v>
      </c>
      <c r="C5626" s="2" t="s">
        <v>4473</v>
      </c>
      <c r="D5626" s="3" t="str">
        <f t="shared" si="990"/>
        <v>12Go Link</v>
      </c>
      <c r="E5626" s="2" t="s">
        <v>4338</v>
      </c>
    </row>
    <row r="5627">
      <c r="A5627" s="2" t="s">
        <v>4350</v>
      </c>
      <c r="B5627" s="2" t="s">
        <v>4377</v>
      </c>
      <c r="C5627" s="2" t="s">
        <v>4473</v>
      </c>
      <c r="D5627" s="3" t="str">
        <f t="shared" si="990"/>
        <v>12Go Link</v>
      </c>
      <c r="E5627" s="2" t="s">
        <v>4339</v>
      </c>
    </row>
    <row r="5628">
      <c r="A5628" s="2" t="s">
        <v>4350</v>
      </c>
      <c r="B5628" s="2" t="s">
        <v>4377</v>
      </c>
      <c r="C5628" s="2" t="s">
        <v>4473</v>
      </c>
      <c r="D5628" s="3" t="str">
        <f t="shared" si="990"/>
        <v>12Go Link</v>
      </c>
      <c r="E5628" s="2" t="s">
        <v>4340</v>
      </c>
    </row>
    <row r="5629">
      <c r="A5629" s="2" t="s">
        <v>4350</v>
      </c>
      <c r="B5629" s="2" t="s">
        <v>4474</v>
      </c>
      <c r="C5629" s="2" t="s">
        <v>4475</v>
      </c>
      <c r="D5629" s="3" t="str">
        <f t="shared" ref="D5629:D5634" si="991">HYPERLINK("https://12go.asia/en/travel/Mohammed-V-International-Airport/Mohammedia-Hotel-Transfer", "12Go Link")</f>
        <v>12Go Link</v>
      </c>
      <c r="E5629" s="2" t="s">
        <v>4336</v>
      </c>
    </row>
    <row r="5630">
      <c r="A5630" s="2" t="s">
        <v>4350</v>
      </c>
      <c r="B5630" s="2" t="s">
        <v>4474</v>
      </c>
      <c r="C5630" s="2" t="s">
        <v>4475</v>
      </c>
      <c r="D5630" s="3" t="str">
        <f t="shared" si="991"/>
        <v>12Go Link</v>
      </c>
      <c r="E5630" s="2" t="s">
        <v>4337</v>
      </c>
    </row>
    <row r="5631">
      <c r="A5631" s="2" t="s">
        <v>4350</v>
      </c>
      <c r="B5631" s="2" t="s">
        <v>4474</v>
      </c>
      <c r="C5631" s="2" t="s">
        <v>4475</v>
      </c>
      <c r="D5631" s="3" t="str">
        <f t="shared" si="991"/>
        <v>12Go Link</v>
      </c>
      <c r="E5631" s="2" t="s">
        <v>4137</v>
      </c>
    </row>
    <row r="5632">
      <c r="A5632" s="2" t="s">
        <v>4350</v>
      </c>
      <c r="B5632" s="2" t="s">
        <v>4474</v>
      </c>
      <c r="C5632" s="2" t="s">
        <v>4475</v>
      </c>
      <c r="D5632" s="3" t="str">
        <f t="shared" si="991"/>
        <v>12Go Link</v>
      </c>
      <c r="E5632" s="2" t="s">
        <v>4338</v>
      </c>
    </row>
    <row r="5633">
      <c r="A5633" s="2" t="s">
        <v>4350</v>
      </c>
      <c r="B5633" s="2" t="s">
        <v>4474</v>
      </c>
      <c r="C5633" s="2" t="s">
        <v>4475</v>
      </c>
      <c r="D5633" s="3" t="str">
        <f t="shared" si="991"/>
        <v>12Go Link</v>
      </c>
      <c r="E5633" s="2" t="s">
        <v>4339</v>
      </c>
    </row>
    <row r="5634">
      <c r="A5634" s="2" t="s">
        <v>4350</v>
      </c>
      <c r="B5634" s="2" t="s">
        <v>4474</v>
      </c>
      <c r="C5634" s="2" t="s">
        <v>4475</v>
      </c>
      <c r="D5634" s="3" t="str">
        <f t="shared" si="991"/>
        <v>12Go Link</v>
      </c>
      <c r="E5634" s="2" t="s">
        <v>4340</v>
      </c>
    </row>
    <row r="5635">
      <c r="A5635" s="2" t="s">
        <v>4350</v>
      </c>
      <c r="B5635" s="2" t="s">
        <v>4476</v>
      </c>
      <c r="C5635" s="2" t="s">
        <v>4477</v>
      </c>
      <c r="D5635" s="3" t="str">
        <f t="shared" ref="D5635:D5640" si="992">HYPERLINK("https://12go.asia/en/travel/Mohammed-V-International-Airport/Oualidia-Hotel-Transfer", "12Go Link")</f>
        <v>12Go Link</v>
      </c>
      <c r="E5635" s="2" t="s">
        <v>4336</v>
      </c>
    </row>
    <row r="5636">
      <c r="A5636" s="2" t="s">
        <v>4350</v>
      </c>
      <c r="B5636" s="2" t="s">
        <v>4476</v>
      </c>
      <c r="C5636" s="2" t="s">
        <v>4477</v>
      </c>
      <c r="D5636" s="3" t="str">
        <f t="shared" si="992"/>
        <v>12Go Link</v>
      </c>
      <c r="E5636" s="2" t="s">
        <v>4337</v>
      </c>
    </row>
    <row r="5637">
      <c r="A5637" s="2" t="s">
        <v>4350</v>
      </c>
      <c r="B5637" s="2" t="s">
        <v>4476</v>
      </c>
      <c r="C5637" s="2" t="s">
        <v>4477</v>
      </c>
      <c r="D5637" s="3" t="str">
        <f t="shared" si="992"/>
        <v>12Go Link</v>
      </c>
      <c r="E5637" s="2" t="s">
        <v>4137</v>
      </c>
    </row>
    <row r="5638">
      <c r="A5638" s="2" t="s">
        <v>4350</v>
      </c>
      <c r="B5638" s="2" t="s">
        <v>4476</v>
      </c>
      <c r="C5638" s="2" t="s">
        <v>4477</v>
      </c>
      <c r="D5638" s="3" t="str">
        <f t="shared" si="992"/>
        <v>12Go Link</v>
      </c>
      <c r="E5638" s="2" t="s">
        <v>4338</v>
      </c>
    </row>
    <row r="5639">
      <c r="A5639" s="2" t="s">
        <v>4350</v>
      </c>
      <c r="B5639" s="2" t="s">
        <v>4476</v>
      </c>
      <c r="C5639" s="2" t="s">
        <v>4477</v>
      </c>
      <c r="D5639" s="3" t="str">
        <f t="shared" si="992"/>
        <v>12Go Link</v>
      </c>
      <c r="E5639" s="2" t="s">
        <v>4339</v>
      </c>
    </row>
    <row r="5640">
      <c r="A5640" s="2" t="s">
        <v>4350</v>
      </c>
      <c r="B5640" s="2" t="s">
        <v>4476</v>
      </c>
      <c r="C5640" s="2" t="s">
        <v>4477</v>
      </c>
      <c r="D5640" s="3" t="str">
        <f t="shared" si="992"/>
        <v>12Go Link</v>
      </c>
      <c r="E5640" s="2" t="s">
        <v>4340</v>
      </c>
    </row>
    <row r="5641">
      <c r="A5641" s="2" t="s">
        <v>4350</v>
      </c>
      <c r="B5641" s="2" t="s">
        <v>4381</v>
      </c>
      <c r="C5641" s="2" t="s">
        <v>4478</v>
      </c>
      <c r="D5641" s="3" t="str">
        <f t="shared" ref="D5641:D5646" si="993">HYPERLINK("https://12go.asia/en/travel/Mohammed-V-International-Airport/Ouarzazate-Hotel-Transfer", "12Go Link")</f>
        <v>12Go Link</v>
      </c>
      <c r="E5641" s="2" t="s">
        <v>4336</v>
      </c>
    </row>
    <row r="5642">
      <c r="A5642" s="2" t="s">
        <v>4350</v>
      </c>
      <c r="B5642" s="2" t="s">
        <v>4381</v>
      </c>
      <c r="C5642" s="2" t="s">
        <v>4478</v>
      </c>
      <c r="D5642" s="3" t="str">
        <f t="shared" si="993"/>
        <v>12Go Link</v>
      </c>
      <c r="E5642" s="2" t="s">
        <v>4337</v>
      </c>
    </row>
    <row r="5643">
      <c r="A5643" s="2" t="s">
        <v>4350</v>
      </c>
      <c r="B5643" s="2" t="s">
        <v>4381</v>
      </c>
      <c r="C5643" s="2" t="s">
        <v>4478</v>
      </c>
      <c r="D5643" s="3" t="str">
        <f t="shared" si="993"/>
        <v>12Go Link</v>
      </c>
      <c r="E5643" s="2" t="s">
        <v>4137</v>
      </c>
    </row>
    <row r="5644">
      <c r="A5644" s="2" t="s">
        <v>4350</v>
      </c>
      <c r="B5644" s="2" t="s">
        <v>4381</v>
      </c>
      <c r="C5644" s="2" t="s">
        <v>4478</v>
      </c>
      <c r="D5644" s="3" t="str">
        <f t="shared" si="993"/>
        <v>12Go Link</v>
      </c>
      <c r="E5644" s="2" t="s">
        <v>4338</v>
      </c>
    </row>
    <row r="5645">
      <c r="A5645" s="2" t="s">
        <v>4350</v>
      </c>
      <c r="B5645" s="2" t="s">
        <v>4381</v>
      </c>
      <c r="C5645" s="2" t="s">
        <v>4478</v>
      </c>
      <c r="D5645" s="3" t="str">
        <f t="shared" si="993"/>
        <v>12Go Link</v>
      </c>
      <c r="E5645" s="2" t="s">
        <v>4339</v>
      </c>
    </row>
    <row r="5646">
      <c r="A5646" s="2" t="s">
        <v>4350</v>
      </c>
      <c r="B5646" s="2" t="s">
        <v>4381</v>
      </c>
      <c r="C5646" s="2" t="s">
        <v>4478</v>
      </c>
      <c r="D5646" s="3" t="str">
        <f t="shared" si="993"/>
        <v>12Go Link</v>
      </c>
      <c r="E5646" s="2" t="s">
        <v>4340</v>
      </c>
    </row>
    <row r="5647">
      <c r="A5647" s="2" t="s">
        <v>4350</v>
      </c>
      <c r="B5647" s="2" t="s">
        <v>4413</v>
      </c>
      <c r="C5647" s="2" t="s">
        <v>4479</v>
      </c>
      <c r="D5647" s="3" t="str">
        <f t="shared" ref="D5647:D5652" si="994">HYPERLINK("https://12go.asia/en/travel/Mohammed-V-International-Airport/Oujda-Hotel-Transfer", "12Go Link")</f>
        <v>12Go Link</v>
      </c>
      <c r="E5647" s="2" t="s">
        <v>4336</v>
      </c>
    </row>
    <row r="5648">
      <c r="A5648" s="2" t="s">
        <v>4350</v>
      </c>
      <c r="B5648" s="2" t="s">
        <v>4413</v>
      </c>
      <c r="C5648" s="2" t="s">
        <v>4479</v>
      </c>
      <c r="D5648" s="3" t="str">
        <f t="shared" si="994"/>
        <v>12Go Link</v>
      </c>
      <c r="E5648" s="2" t="s">
        <v>4337</v>
      </c>
    </row>
    <row r="5649">
      <c r="A5649" s="2" t="s">
        <v>4350</v>
      </c>
      <c r="B5649" s="2" t="s">
        <v>4413</v>
      </c>
      <c r="C5649" s="2" t="s">
        <v>4479</v>
      </c>
      <c r="D5649" s="3" t="str">
        <f t="shared" si="994"/>
        <v>12Go Link</v>
      </c>
      <c r="E5649" s="2" t="s">
        <v>4137</v>
      </c>
    </row>
    <row r="5650">
      <c r="A5650" s="2" t="s">
        <v>4350</v>
      </c>
      <c r="B5650" s="2" t="s">
        <v>4413</v>
      </c>
      <c r="C5650" s="2" t="s">
        <v>4479</v>
      </c>
      <c r="D5650" s="3" t="str">
        <f t="shared" si="994"/>
        <v>12Go Link</v>
      </c>
      <c r="E5650" s="2" t="s">
        <v>4338</v>
      </c>
    </row>
    <row r="5651">
      <c r="A5651" s="2" t="s">
        <v>4350</v>
      </c>
      <c r="B5651" s="2" t="s">
        <v>4413</v>
      </c>
      <c r="C5651" s="2" t="s">
        <v>4479</v>
      </c>
      <c r="D5651" s="3" t="str">
        <f t="shared" si="994"/>
        <v>12Go Link</v>
      </c>
      <c r="E5651" s="2" t="s">
        <v>4339</v>
      </c>
    </row>
    <row r="5652">
      <c r="A5652" s="2" t="s">
        <v>4350</v>
      </c>
      <c r="B5652" s="2" t="s">
        <v>4413</v>
      </c>
      <c r="C5652" s="2" t="s">
        <v>4479</v>
      </c>
      <c r="D5652" s="3" t="str">
        <f t="shared" si="994"/>
        <v>12Go Link</v>
      </c>
      <c r="E5652" s="2" t="s">
        <v>4340</v>
      </c>
    </row>
    <row r="5653">
      <c r="A5653" s="2" t="s">
        <v>4350</v>
      </c>
      <c r="B5653" s="2" t="s">
        <v>4480</v>
      </c>
      <c r="C5653" s="2" t="s">
        <v>4481</v>
      </c>
      <c r="D5653" s="3" t="str">
        <f t="shared" ref="D5653:D5658" si="995">HYPERLINK("https://12go.asia/en/travel/Mohammed-V-International-Airport/Ouzoud-Falls", "12Go Link")</f>
        <v>12Go Link</v>
      </c>
      <c r="E5653" s="2" t="s">
        <v>4336</v>
      </c>
    </row>
    <row r="5654">
      <c r="A5654" s="2" t="s">
        <v>4350</v>
      </c>
      <c r="B5654" s="2" t="s">
        <v>4480</v>
      </c>
      <c r="C5654" s="2" t="s">
        <v>4481</v>
      </c>
      <c r="D5654" s="3" t="str">
        <f t="shared" si="995"/>
        <v>12Go Link</v>
      </c>
      <c r="E5654" s="2" t="s">
        <v>4337</v>
      </c>
    </row>
    <row r="5655">
      <c r="A5655" s="2" t="s">
        <v>4350</v>
      </c>
      <c r="B5655" s="2" t="s">
        <v>4480</v>
      </c>
      <c r="C5655" s="2" t="s">
        <v>4481</v>
      </c>
      <c r="D5655" s="3" t="str">
        <f t="shared" si="995"/>
        <v>12Go Link</v>
      </c>
      <c r="E5655" s="2" t="s">
        <v>4137</v>
      </c>
    </row>
    <row r="5656">
      <c r="A5656" s="2" t="s">
        <v>4350</v>
      </c>
      <c r="B5656" s="2" t="s">
        <v>4480</v>
      </c>
      <c r="C5656" s="2" t="s">
        <v>4481</v>
      </c>
      <c r="D5656" s="3" t="str">
        <f t="shared" si="995"/>
        <v>12Go Link</v>
      </c>
      <c r="E5656" s="2" t="s">
        <v>4338</v>
      </c>
    </row>
    <row r="5657">
      <c r="A5657" s="2" t="s">
        <v>4350</v>
      </c>
      <c r="B5657" s="2" t="s">
        <v>4480</v>
      </c>
      <c r="C5657" s="2" t="s">
        <v>4481</v>
      </c>
      <c r="D5657" s="3" t="str">
        <f t="shared" si="995"/>
        <v>12Go Link</v>
      </c>
      <c r="E5657" s="2" t="s">
        <v>4339</v>
      </c>
    </row>
    <row r="5658">
      <c r="A5658" s="2" t="s">
        <v>4350</v>
      </c>
      <c r="B5658" s="2" t="s">
        <v>4480</v>
      </c>
      <c r="C5658" s="2" t="s">
        <v>4481</v>
      </c>
      <c r="D5658" s="3" t="str">
        <f t="shared" si="995"/>
        <v>12Go Link</v>
      </c>
      <c r="E5658" s="2" t="s">
        <v>4340</v>
      </c>
    </row>
    <row r="5659">
      <c r="A5659" s="2" t="s">
        <v>4350</v>
      </c>
      <c r="B5659" s="2" t="s">
        <v>4386</v>
      </c>
      <c r="C5659" s="2" t="s">
        <v>4482</v>
      </c>
      <c r="D5659" s="3" t="str">
        <f t="shared" ref="D5659:D5664" si="996">HYPERLINK("https://12go.asia/en/travel/Casablanca-Hotel-Transfer/Rabat-Sale-Airport", "12Go Link")</f>
        <v>12Go Link</v>
      </c>
      <c r="E5659" s="2" t="s">
        <v>4336</v>
      </c>
    </row>
    <row r="5660">
      <c r="A5660" s="2" t="s">
        <v>4350</v>
      </c>
      <c r="B5660" s="2" t="s">
        <v>4386</v>
      </c>
      <c r="C5660" s="2" t="s">
        <v>4482</v>
      </c>
      <c r="D5660" s="3" t="str">
        <f t="shared" si="996"/>
        <v>12Go Link</v>
      </c>
      <c r="E5660" s="2" t="s">
        <v>4337</v>
      </c>
    </row>
    <row r="5661">
      <c r="A5661" s="2" t="s">
        <v>4350</v>
      </c>
      <c r="B5661" s="2" t="s">
        <v>4386</v>
      </c>
      <c r="C5661" s="2" t="s">
        <v>4482</v>
      </c>
      <c r="D5661" s="3" t="str">
        <f t="shared" si="996"/>
        <v>12Go Link</v>
      </c>
      <c r="E5661" s="2" t="s">
        <v>4137</v>
      </c>
    </row>
    <row r="5662">
      <c r="A5662" s="2" t="s">
        <v>4350</v>
      </c>
      <c r="B5662" s="2" t="s">
        <v>4386</v>
      </c>
      <c r="C5662" s="2" t="s">
        <v>4482</v>
      </c>
      <c r="D5662" s="3" t="str">
        <f t="shared" si="996"/>
        <v>12Go Link</v>
      </c>
      <c r="E5662" s="2" t="s">
        <v>4338</v>
      </c>
    </row>
    <row r="5663">
      <c r="A5663" s="2" t="s">
        <v>4350</v>
      </c>
      <c r="B5663" s="2" t="s">
        <v>4386</v>
      </c>
      <c r="C5663" s="2" t="s">
        <v>4482</v>
      </c>
      <c r="D5663" s="3" t="str">
        <f t="shared" si="996"/>
        <v>12Go Link</v>
      </c>
      <c r="E5663" s="2" t="s">
        <v>4339</v>
      </c>
    </row>
    <row r="5664">
      <c r="A5664" s="2" t="s">
        <v>4350</v>
      </c>
      <c r="B5664" s="2" t="s">
        <v>4386</v>
      </c>
      <c r="C5664" s="2" t="s">
        <v>4482</v>
      </c>
      <c r="D5664" s="3" t="str">
        <f t="shared" si="996"/>
        <v>12Go Link</v>
      </c>
      <c r="E5664" s="2" t="s">
        <v>4340</v>
      </c>
    </row>
    <row r="5665">
      <c r="A5665" s="2" t="s">
        <v>4350</v>
      </c>
      <c r="B5665" s="2" t="s">
        <v>4386</v>
      </c>
      <c r="C5665" s="2" t="s">
        <v>4483</v>
      </c>
      <c r="D5665" s="3" t="str">
        <f t="shared" ref="D5665:D5670" si="997">HYPERLINK("https://12go.asia/en/travel/Mohammed-V-International-Airport/Rabat-Hotel-Transfer", "12Go Link")</f>
        <v>12Go Link</v>
      </c>
      <c r="E5665" s="2" t="s">
        <v>4336</v>
      </c>
    </row>
    <row r="5666">
      <c r="A5666" s="2" t="s">
        <v>4350</v>
      </c>
      <c r="B5666" s="2" t="s">
        <v>4386</v>
      </c>
      <c r="C5666" s="2" t="s">
        <v>4483</v>
      </c>
      <c r="D5666" s="3" t="str">
        <f t="shared" si="997"/>
        <v>12Go Link</v>
      </c>
      <c r="E5666" s="2" t="s">
        <v>4337</v>
      </c>
    </row>
    <row r="5667">
      <c r="A5667" s="2" t="s">
        <v>4350</v>
      </c>
      <c r="B5667" s="2" t="s">
        <v>4386</v>
      </c>
      <c r="C5667" s="2" t="s">
        <v>4483</v>
      </c>
      <c r="D5667" s="3" t="str">
        <f t="shared" si="997"/>
        <v>12Go Link</v>
      </c>
      <c r="E5667" s="2" t="s">
        <v>4137</v>
      </c>
    </row>
    <row r="5668">
      <c r="A5668" s="2" t="s">
        <v>4350</v>
      </c>
      <c r="B5668" s="2" t="s">
        <v>4386</v>
      </c>
      <c r="C5668" s="2" t="s">
        <v>4483</v>
      </c>
      <c r="D5668" s="3" t="str">
        <f t="shared" si="997"/>
        <v>12Go Link</v>
      </c>
      <c r="E5668" s="2" t="s">
        <v>4338</v>
      </c>
    </row>
    <row r="5669">
      <c r="A5669" s="2" t="s">
        <v>4350</v>
      </c>
      <c r="B5669" s="2" t="s">
        <v>4386</v>
      </c>
      <c r="C5669" s="2" t="s">
        <v>4483</v>
      </c>
      <c r="D5669" s="3" t="str">
        <f t="shared" si="997"/>
        <v>12Go Link</v>
      </c>
      <c r="E5669" s="2" t="s">
        <v>4339</v>
      </c>
    </row>
    <row r="5670">
      <c r="A5670" s="2" t="s">
        <v>4350</v>
      </c>
      <c r="B5670" s="2" t="s">
        <v>4386</v>
      </c>
      <c r="C5670" s="2" t="s">
        <v>4483</v>
      </c>
      <c r="D5670" s="3" t="str">
        <f t="shared" si="997"/>
        <v>12Go Link</v>
      </c>
      <c r="E5670" s="2" t="s">
        <v>4340</v>
      </c>
    </row>
    <row r="5671">
      <c r="A5671" s="2" t="s">
        <v>4350</v>
      </c>
      <c r="B5671" s="2" t="s">
        <v>4484</v>
      </c>
      <c r="C5671" s="2" t="s">
        <v>4485</v>
      </c>
      <c r="D5671" s="3" t="str">
        <f t="shared" ref="D5671:D5676" si="998">HYPERLINK("https://12go.asia/en/travel/Mohammed-V-International-Airport/Safi-Hotel-Transfer", "12Go Link")</f>
        <v>12Go Link</v>
      </c>
      <c r="E5671" s="2" t="s">
        <v>4336</v>
      </c>
    </row>
    <row r="5672">
      <c r="A5672" s="2" t="s">
        <v>4350</v>
      </c>
      <c r="B5672" s="2" t="s">
        <v>4484</v>
      </c>
      <c r="C5672" s="2" t="s">
        <v>4485</v>
      </c>
      <c r="D5672" s="3" t="str">
        <f t="shared" si="998"/>
        <v>12Go Link</v>
      </c>
      <c r="E5672" s="2" t="s">
        <v>4337</v>
      </c>
    </row>
    <row r="5673">
      <c r="A5673" s="2" t="s">
        <v>4350</v>
      </c>
      <c r="B5673" s="2" t="s">
        <v>4484</v>
      </c>
      <c r="C5673" s="2" t="s">
        <v>4485</v>
      </c>
      <c r="D5673" s="3" t="str">
        <f t="shared" si="998"/>
        <v>12Go Link</v>
      </c>
      <c r="E5673" s="2" t="s">
        <v>4137</v>
      </c>
    </row>
    <row r="5674">
      <c r="A5674" s="2" t="s">
        <v>4350</v>
      </c>
      <c r="B5674" s="2" t="s">
        <v>4484</v>
      </c>
      <c r="C5674" s="2" t="s">
        <v>4485</v>
      </c>
      <c r="D5674" s="3" t="str">
        <f t="shared" si="998"/>
        <v>12Go Link</v>
      </c>
      <c r="E5674" s="2" t="s">
        <v>4338</v>
      </c>
    </row>
    <row r="5675">
      <c r="A5675" s="2" t="s">
        <v>4350</v>
      </c>
      <c r="B5675" s="2" t="s">
        <v>4484</v>
      </c>
      <c r="C5675" s="2" t="s">
        <v>4485</v>
      </c>
      <c r="D5675" s="3" t="str">
        <f t="shared" si="998"/>
        <v>12Go Link</v>
      </c>
      <c r="E5675" s="2" t="s">
        <v>4339</v>
      </c>
    </row>
    <row r="5676">
      <c r="A5676" s="2" t="s">
        <v>4350</v>
      </c>
      <c r="B5676" s="2" t="s">
        <v>4484</v>
      </c>
      <c r="C5676" s="2" t="s">
        <v>4485</v>
      </c>
      <c r="D5676" s="3" t="str">
        <f t="shared" si="998"/>
        <v>12Go Link</v>
      </c>
      <c r="E5676" s="2" t="s">
        <v>4340</v>
      </c>
    </row>
    <row r="5677">
      <c r="A5677" s="2" t="s">
        <v>4350</v>
      </c>
      <c r="B5677" s="2" t="s">
        <v>4486</v>
      </c>
      <c r="C5677" s="2" t="s">
        <v>4487</v>
      </c>
      <c r="D5677" s="3" t="str">
        <f t="shared" ref="D5677:D5682" si="999">HYPERLINK("https://12go.asia/en/travel/Mohammed-V-International-Airport/Sale-Hotel-Transfer", "12Go Link")</f>
        <v>12Go Link</v>
      </c>
      <c r="E5677" s="2" t="s">
        <v>4336</v>
      </c>
    </row>
    <row r="5678">
      <c r="A5678" s="2" t="s">
        <v>4350</v>
      </c>
      <c r="B5678" s="2" t="s">
        <v>4486</v>
      </c>
      <c r="C5678" s="2" t="s">
        <v>4487</v>
      </c>
      <c r="D5678" s="3" t="str">
        <f t="shared" si="999"/>
        <v>12Go Link</v>
      </c>
      <c r="E5678" s="2" t="s">
        <v>4337</v>
      </c>
    </row>
    <row r="5679">
      <c r="A5679" s="2" t="s">
        <v>4350</v>
      </c>
      <c r="B5679" s="2" t="s">
        <v>4486</v>
      </c>
      <c r="C5679" s="2" t="s">
        <v>4487</v>
      </c>
      <c r="D5679" s="3" t="str">
        <f t="shared" si="999"/>
        <v>12Go Link</v>
      </c>
      <c r="E5679" s="2" t="s">
        <v>4137</v>
      </c>
    </row>
    <row r="5680">
      <c r="A5680" s="2" t="s">
        <v>4350</v>
      </c>
      <c r="B5680" s="2" t="s">
        <v>4486</v>
      </c>
      <c r="C5680" s="2" t="s">
        <v>4487</v>
      </c>
      <c r="D5680" s="3" t="str">
        <f t="shared" si="999"/>
        <v>12Go Link</v>
      </c>
      <c r="E5680" s="2" t="s">
        <v>4338</v>
      </c>
    </row>
    <row r="5681">
      <c r="A5681" s="2" t="s">
        <v>4350</v>
      </c>
      <c r="B5681" s="2" t="s">
        <v>4486</v>
      </c>
      <c r="C5681" s="2" t="s">
        <v>4487</v>
      </c>
      <c r="D5681" s="3" t="str">
        <f t="shared" si="999"/>
        <v>12Go Link</v>
      </c>
      <c r="E5681" s="2" t="s">
        <v>4339</v>
      </c>
    </row>
    <row r="5682">
      <c r="A5682" s="2" t="s">
        <v>4350</v>
      </c>
      <c r="B5682" s="2" t="s">
        <v>4486</v>
      </c>
      <c r="C5682" s="2" t="s">
        <v>4487</v>
      </c>
      <c r="D5682" s="3" t="str">
        <f t="shared" si="999"/>
        <v>12Go Link</v>
      </c>
      <c r="E5682" s="2" t="s">
        <v>4340</v>
      </c>
    </row>
    <row r="5683">
      <c r="A5683" s="2" t="s">
        <v>4350</v>
      </c>
      <c r="B5683" s="2" t="s">
        <v>4488</v>
      </c>
      <c r="C5683" s="2" t="s">
        <v>4489</v>
      </c>
      <c r="D5683" s="3" t="str">
        <f t="shared" ref="D5683:D5688" si="1000">HYPERLINK("https://12go.asia/en/travel/Mohammed-V-International-Airport/Settat-Hotel-Transfer", "12Go Link")</f>
        <v>12Go Link</v>
      </c>
      <c r="E5683" s="2" t="s">
        <v>4336</v>
      </c>
    </row>
    <row r="5684">
      <c r="A5684" s="2" t="s">
        <v>4350</v>
      </c>
      <c r="B5684" s="2" t="s">
        <v>4488</v>
      </c>
      <c r="C5684" s="2" t="s">
        <v>4489</v>
      </c>
      <c r="D5684" s="3" t="str">
        <f t="shared" si="1000"/>
        <v>12Go Link</v>
      </c>
      <c r="E5684" s="2" t="s">
        <v>4337</v>
      </c>
    </row>
    <row r="5685">
      <c r="A5685" s="2" t="s">
        <v>4350</v>
      </c>
      <c r="B5685" s="2" t="s">
        <v>4488</v>
      </c>
      <c r="C5685" s="2" t="s">
        <v>4489</v>
      </c>
      <c r="D5685" s="3" t="str">
        <f t="shared" si="1000"/>
        <v>12Go Link</v>
      </c>
      <c r="E5685" s="2" t="s">
        <v>4137</v>
      </c>
    </row>
    <row r="5686">
      <c r="A5686" s="2" t="s">
        <v>4350</v>
      </c>
      <c r="B5686" s="2" t="s">
        <v>4488</v>
      </c>
      <c r="C5686" s="2" t="s">
        <v>4489</v>
      </c>
      <c r="D5686" s="3" t="str">
        <f t="shared" si="1000"/>
        <v>12Go Link</v>
      </c>
      <c r="E5686" s="2" t="s">
        <v>4338</v>
      </c>
    </row>
    <row r="5687">
      <c r="A5687" s="2" t="s">
        <v>4350</v>
      </c>
      <c r="B5687" s="2" t="s">
        <v>4488</v>
      </c>
      <c r="C5687" s="2" t="s">
        <v>4489</v>
      </c>
      <c r="D5687" s="3" t="str">
        <f t="shared" si="1000"/>
        <v>12Go Link</v>
      </c>
      <c r="E5687" s="2" t="s">
        <v>4339</v>
      </c>
    </row>
    <row r="5688">
      <c r="A5688" s="2" t="s">
        <v>4350</v>
      </c>
      <c r="B5688" s="2" t="s">
        <v>4488</v>
      </c>
      <c r="C5688" s="2" t="s">
        <v>4489</v>
      </c>
      <c r="D5688" s="3" t="str">
        <f t="shared" si="1000"/>
        <v>12Go Link</v>
      </c>
      <c r="E5688" s="2" t="s">
        <v>4340</v>
      </c>
    </row>
    <row r="5689">
      <c r="A5689" s="2" t="s">
        <v>4350</v>
      </c>
      <c r="B5689" s="2" t="s">
        <v>4490</v>
      </c>
      <c r="C5689" s="2" t="s">
        <v>4491</v>
      </c>
      <c r="D5689" s="3" t="str">
        <f t="shared" ref="D5689:D5694" si="1001">HYPERLINK("https://12go.asia/en/travel/Mohammed-V-International-Airport/Sidi-Slimane-Hotel-Transfer", "12Go Link")</f>
        <v>12Go Link</v>
      </c>
      <c r="E5689" s="2" t="s">
        <v>4336</v>
      </c>
    </row>
    <row r="5690">
      <c r="A5690" s="2" t="s">
        <v>4350</v>
      </c>
      <c r="B5690" s="2" t="s">
        <v>4490</v>
      </c>
      <c r="C5690" s="2" t="s">
        <v>4491</v>
      </c>
      <c r="D5690" s="3" t="str">
        <f t="shared" si="1001"/>
        <v>12Go Link</v>
      </c>
      <c r="E5690" s="2" t="s">
        <v>4337</v>
      </c>
    </row>
    <row r="5691">
      <c r="A5691" s="2" t="s">
        <v>4350</v>
      </c>
      <c r="B5691" s="2" t="s">
        <v>4490</v>
      </c>
      <c r="C5691" s="2" t="s">
        <v>4491</v>
      </c>
      <c r="D5691" s="3" t="str">
        <f t="shared" si="1001"/>
        <v>12Go Link</v>
      </c>
      <c r="E5691" s="2" t="s">
        <v>4137</v>
      </c>
    </row>
    <row r="5692">
      <c r="A5692" s="2" t="s">
        <v>4350</v>
      </c>
      <c r="B5692" s="2" t="s">
        <v>4490</v>
      </c>
      <c r="C5692" s="2" t="s">
        <v>4491</v>
      </c>
      <c r="D5692" s="3" t="str">
        <f t="shared" si="1001"/>
        <v>12Go Link</v>
      </c>
      <c r="E5692" s="2" t="s">
        <v>4338</v>
      </c>
    </row>
    <row r="5693">
      <c r="A5693" s="2" t="s">
        <v>4350</v>
      </c>
      <c r="B5693" s="2" t="s">
        <v>4490</v>
      </c>
      <c r="C5693" s="2" t="s">
        <v>4491</v>
      </c>
      <c r="D5693" s="3" t="str">
        <f t="shared" si="1001"/>
        <v>12Go Link</v>
      </c>
      <c r="E5693" s="2" t="s">
        <v>4339</v>
      </c>
    </row>
    <row r="5694">
      <c r="A5694" s="2" t="s">
        <v>4350</v>
      </c>
      <c r="B5694" s="2" t="s">
        <v>4490</v>
      </c>
      <c r="C5694" s="2" t="s">
        <v>4491</v>
      </c>
      <c r="D5694" s="3" t="str">
        <f t="shared" si="1001"/>
        <v>12Go Link</v>
      </c>
      <c r="E5694" s="2" t="s">
        <v>4340</v>
      </c>
    </row>
    <row r="5695">
      <c r="A5695" s="2" t="s">
        <v>4350</v>
      </c>
      <c r="B5695" s="2" t="s">
        <v>4492</v>
      </c>
      <c r="C5695" s="2" t="s">
        <v>4493</v>
      </c>
      <c r="D5695" s="3" t="str">
        <f t="shared" ref="D5695:D5700" si="1002">HYPERLINK("https://12go.asia/en/travel/Mohammed-V-International-Airport/Skhirat-Plage-Hotel-Transfer", "12Go Link")</f>
        <v>12Go Link</v>
      </c>
      <c r="E5695" s="2" t="s">
        <v>4336</v>
      </c>
    </row>
    <row r="5696">
      <c r="A5696" s="2" t="s">
        <v>4350</v>
      </c>
      <c r="B5696" s="2" t="s">
        <v>4492</v>
      </c>
      <c r="C5696" s="2" t="s">
        <v>4493</v>
      </c>
      <c r="D5696" s="3" t="str">
        <f t="shared" si="1002"/>
        <v>12Go Link</v>
      </c>
      <c r="E5696" s="2" t="s">
        <v>4337</v>
      </c>
    </row>
    <row r="5697">
      <c r="A5697" s="2" t="s">
        <v>4350</v>
      </c>
      <c r="B5697" s="2" t="s">
        <v>4492</v>
      </c>
      <c r="C5697" s="2" t="s">
        <v>4493</v>
      </c>
      <c r="D5697" s="3" t="str">
        <f t="shared" si="1002"/>
        <v>12Go Link</v>
      </c>
      <c r="E5697" s="2" t="s">
        <v>4137</v>
      </c>
    </row>
    <row r="5698">
      <c r="A5698" s="2" t="s">
        <v>4350</v>
      </c>
      <c r="B5698" s="2" t="s">
        <v>4492</v>
      </c>
      <c r="C5698" s="2" t="s">
        <v>4493</v>
      </c>
      <c r="D5698" s="3" t="str">
        <f t="shared" si="1002"/>
        <v>12Go Link</v>
      </c>
      <c r="E5698" s="2" t="s">
        <v>4338</v>
      </c>
    </row>
    <row r="5699">
      <c r="A5699" s="2" t="s">
        <v>4350</v>
      </c>
      <c r="B5699" s="2" t="s">
        <v>4492</v>
      </c>
      <c r="C5699" s="2" t="s">
        <v>4493</v>
      </c>
      <c r="D5699" s="3" t="str">
        <f t="shared" si="1002"/>
        <v>12Go Link</v>
      </c>
      <c r="E5699" s="2" t="s">
        <v>4339</v>
      </c>
    </row>
    <row r="5700">
      <c r="A5700" s="2" t="s">
        <v>4350</v>
      </c>
      <c r="B5700" s="2" t="s">
        <v>4492</v>
      </c>
      <c r="C5700" s="2" t="s">
        <v>4493</v>
      </c>
      <c r="D5700" s="3" t="str">
        <f t="shared" si="1002"/>
        <v>12Go Link</v>
      </c>
      <c r="E5700" s="2" t="s">
        <v>4340</v>
      </c>
    </row>
    <row r="5701">
      <c r="A5701" s="2" t="s">
        <v>4350</v>
      </c>
      <c r="B5701" s="2" t="s">
        <v>4494</v>
      </c>
      <c r="C5701" s="2" t="s">
        <v>4495</v>
      </c>
      <c r="D5701" s="3" t="str">
        <f t="shared" ref="D5701:D5706" si="1003">HYPERLINK("https://12go.asia/en/travel/Mohammed-V-International-Airport/Souk-Elarbaa-Hotel-Transfer", "12Go Link")</f>
        <v>12Go Link</v>
      </c>
      <c r="E5701" s="2" t="s">
        <v>4336</v>
      </c>
    </row>
    <row r="5702">
      <c r="A5702" s="2" t="s">
        <v>4350</v>
      </c>
      <c r="B5702" s="2" t="s">
        <v>4494</v>
      </c>
      <c r="C5702" s="2" t="s">
        <v>4495</v>
      </c>
      <c r="D5702" s="3" t="str">
        <f t="shared" si="1003"/>
        <v>12Go Link</v>
      </c>
      <c r="E5702" s="2" t="s">
        <v>4337</v>
      </c>
    </row>
    <row r="5703">
      <c r="A5703" s="2" t="s">
        <v>4350</v>
      </c>
      <c r="B5703" s="2" t="s">
        <v>4494</v>
      </c>
      <c r="C5703" s="2" t="s">
        <v>4495</v>
      </c>
      <c r="D5703" s="3" t="str">
        <f t="shared" si="1003"/>
        <v>12Go Link</v>
      </c>
      <c r="E5703" s="2" t="s">
        <v>4137</v>
      </c>
    </row>
    <row r="5704">
      <c r="A5704" s="2" t="s">
        <v>4350</v>
      </c>
      <c r="B5704" s="2" t="s">
        <v>4494</v>
      </c>
      <c r="C5704" s="2" t="s">
        <v>4495</v>
      </c>
      <c r="D5704" s="3" t="str">
        <f t="shared" si="1003"/>
        <v>12Go Link</v>
      </c>
      <c r="E5704" s="2" t="s">
        <v>4338</v>
      </c>
    </row>
    <row r="5705">
      <c r="A5705" s="2" t="s">
        <v>4350</v>
      </c>
      <c r="B5705" s="2" t="s">
        <v>4494</v>
      </c>
      <c r="C5705" s="2" t="s">
        <v>4495</v>
      </c>
      <c r="D5705" s="3" t="str">
        <f t="shared" si="1003"/>
        <v>12Go Link</v>
      </c>
      <c r="E5705" s="2" t="s">
        <v>4339</v>
      </c>
    </row>
    <row r="5706">
      <c r="A5706" s="2" t="s">
        <v>4350</v>
      </c>
      <c r="B5706" s="2" t="s">
        <v>4494</v>
      </c>
      <c r="C5706" s="2" t="s">
        <v>4495</v>
      </c>
      <c r="D5706" s="3" t="str">
        <f t="shared" si="1003"/>
        <v>12Go Link</v>
      </c>
      <c r="E5706" s="2" t="s">
        <v>4340</v>
      </c>
    </row>
    <row r="5707">
      <c r="A5707" s="2" t="s">
        <v>4350</v>
      </c>
      <c r="B5707" s="2" t="s">
        <v>4393</v>
      </c>
      <c r="C5707" s="2" t="s">
        <v>4496</v>
      </c>
      <c r="D5707" s="3" t="str">
        <f t="shared" ref="D5707:D5712" si="1004">HYPERLINK("https://12go.asia/en/travel/Mohammed-V-International-Airport/Setti-Fadma-Hotel-Transfer", "12Go Link")</f>
        <v>12Go Link</v>
      </c>
      <c r="E5707" s="2" t="s">
        <v>4336</v>
      </c>
    </row>
    <row r="5708">
      <c r="A5708" s="2" t="s">
        <v>4350</v>
      </c>
      <c r="B5708" s="2" t="s">
        <v>4393</v>
      </c>
      <c r="C5708" s="2" t="s">
        <v>4496</v>
      </c>
      <c r="D5708" s="3" t="str">
        <f t="shared" si="1004"/>
        <v>12Go Link</v>
      </c>
      <c r="E5708" s="2" t="s">
        <v>4337</v>
      </c>
    </row>
    <row r="5709">
      <c r="A5709" s="2" t="s">
        <v>4350</v>
      </c>
      <c r="B5709" s="2" t="s">
        <v>4393</v>
      </c>
      <c r="C5709" s="2" t="s">
        <v>4496</v>
      </c>
      <c r="D5709" s="3" t="str">
        <f t="shared" si="1004"/>
        <v>12Go Link</v>
      </c>
      <c r="E5709" s="2" t="s">
        <v>4137</v>
      </c>
    </row>
    <row r="5710">
      <c r="A5710" s="2" t="s">
        <v>4350</v>
      </c>
      <c r="B5710" s="2" t="s">
        <v>4393</v>
      </c>
      <c r="C5710" s="2" t="s">
        <v>4496</v>
      </c>
      <c r="D5710" s="3" t="str">
        <f t="shared" si="1004"/>
        <v>12Go Link</v>
      </c>
      <c r="E5710" s="2" t="s">
        <v>4338</v>
      </c>
    </row>
    <row r="5711">
      <c r="A5711" s="2" t="s">
        <v>4350</v>
      </c>
      <c r="B5711" s="2" t="s">
        <v>4393</v>
      </c>
      <c r="C5711" s="2" t="s">
        <v>4496</v>
      </c>
      <c r="D5711" s="3" t="str">
        <f t="shared" si="1004"/>
        <v>12Go Link</v>
      </c>
      <c r="E5711" s="2" t="s">
        <v>4339</v>
      </c>
    </row>
    <row r="5712">
      <c r="A5712" s="2" t="s">
        <v>4350</v>
      </c>
      <c r="B5712" s="2" t="s">
        <v>4393</v>
      </c>
      <c r="C5712" s="2" t="s">
        <v>4496</v>
      </c>
      <c r="D5712" s="3" t="str">
        <f t="shared" si="1004"/>
        <v>12Go Link</v>
      </c>
      <c r="E5712" s="2" t="s">
        <v>4340</v>
      </c>
    </row>
    <row r="5713">
      <c r="A5713" s="2" t="s">
        <v>4350</v>
      </c>
      <c r="B5713" s="2" t="s">
        <v>4403</v>
      </c>
      <c r="C5713" s="2" t="s">
        <v>4497</v>
      </c>
      <c r="D5713" s="3" t="str">
        <f t="shared" ref="D5713:D5718" si="1005">HYPERLINK("https://12go.asia/en/travel/Mohammed-V-International-Airport/Tangier-Hotel-Transfer", "12Go Link")</f>
        <v>12Go Link</v>
      </c>
      <c r="E5713" s="2" t="s">
        <v>4336</v>
      </c>
    </row>
    <row r="5714">
      <c r="A5714" s="2" t="s">
        <v>4350</v>
      </c>
      <c r="B5714" s="2" t="s">
        <v>4403</v>
      </c>
      <c r="C5714" s="2" t="s">
        <v>4497</v>
      </c>
      <c r="D5714" s="3" t="str">
        <f t="shared" si="1005"/>
        <v>12Go Link</v>
      </c>
      <c r="E5714" s="2" t="s">
        <v>4337</v>
      </c>
    </row>
    <row r="5715">
      <c r="A5715" s="2" t="s">
        <v>4350</v>
      </c>
      <c r="B5715" s="2" t="s">
        <v>4403</v>
      </c>
      <c r="C5715" s="2" t="s">
        <v>4497</v>
      </c>
      <c r="D5715" s="3" t="str">
        <f t="shared" si="1005"/>
        <v>12Go Link</v>
      </c>
      <c r="E5715" s="2" t="s">
        <v>4137</v>
      </c>
    </row>
    <row r="5716">
      <c r="A5716" s="2" t="s">
        <v>4350</v>
      </c>
      <c r="B5716" s="2" t="s">
        <v>4403</v>
      </c>
      <c r="C5716" s="2" t="s">
        <v>4497</v>
      </c>
      <c r="D5716" s="3" t="str">
        <f t="shared" si="1005"/>
        <v>12Go Link</v>
      </c>
      <c r="E5716" s="2" t="s">
        <v>4338</v>
      </c>
    </row>
    <row r="5717">
      <c r="A5717" s="2" t="s">
        <v>4350</v>
      </c>
      <c r="B5717" s="2" t="s">
        <v>4403</v>
      </c>
      <c r="C5717" s="2" t="s">
        <v>4497</v>
      </c>
      <c r="D5717" s="3" t="str">
        <f t="shared" si="1005"/>
        <v>12Go Link</v>
      </c>
      <c r="E5717" s="2" t="s">
        <v>4339</v>
      </c>
    </row>
    <row r="5718">
      <c r="A5718" s="2" t="s">
        <v>4350</v>
      </c>
      <c r="B5718" s="2" t="s">
        <v>4403</v>
      </c>
      <c r="C5718" s="2" t="s">
        <v>4497</v>
      </c>
      <c r="D5718" s="3" t="str">
        <f t="shared" si="1005"/>
        <v>12Go Link</v>
      </c>
      <c r="E5718" s="2" t="s">
        <v>4340</v>
      </c>
    </row>
    <row r="5719">
      <c r="A5719" s="2" t="s">
        <v>4350</v>
      </c>
      <c r="B5719" s="2" t="s">
        <v>4498</v>
      </c>
      <c r="C5719" s="2" t="s">
        <v>4499</v>
      </c>
      <c r="D5719" s="3" t="str">
        <f t="shared" ref="D5719:D5724" si="1006">HYPERLINK("https://12go.asia/en/travel/Mohammed-V-International-Airport/Temara-Hotel-Transfer", "12Go Link")</f>
        <v>12Go Link</v>
      </c>
      <c r="E5719" s="2" t="s">
        <v>4336</v>
      </c>
    </row>
    <row r="5720">
      <c r="A5720" s="2" t="s">
        <v>4350</v>
      </c>
      <c r="B5720" s="2" t="s">
        <v>4498</v>
      </c>
      <c r="C5720" s="2" t="s">
        <v>4499</v>
      </c>
      <c r="D5720" s="3" t="str">
        <f t="shared" si="1006"/>
        <v>12Go Link</v>
      </c>
      <c r="E5720" s="2" t="s">
        <v>4337</v>
      </c>
    </row>
    <row r="5721">
      <c r="A5721" s="2" t="s">
        <v>4350</v>
      </c>
      <c r="B5721" s="2" t="s">
        <v>4498</v>
      </c>
      <c r="C5721" s="2" t="s">
        <v>4499</v>
      </c>
      <c r="D5721" s="3" t="str">
        <f t="shared" si="1006"/>
        <v>12Go Link</v>
      </c>
      <c r="E5721" s="2" t="s">
        <v>4137</v>
      </c>
    </row>
    <row r="5722">
      <c r="A5722" s="2" t="s">
        <v>4350</v>
      </c>
      <c r="B5722" s="2" t="s">
        <v>4498</v>
      </c>
      <c r="C5722" s="2" t="s">
        <v>4499</v>
      </c>
      <c r="D5722" s="3" t="str">
        <f t="shared" si="1006"/>
        <v>12Go Link</v>
      </c>
      <c r="E5722" s="2" t="s">
        <v>4338</v>
      </c>
    </row>
    <row r="5723">
      <c r="A5723" s="2" t="s">
        <v>4350</v>
      </c>
      <c r="B5723" s="2" t="s">
        <v>4498</v>
      </c>
      <c r="C5723" s="2" t="s">
        <v>4499</v>
      </c>
      <c r="D5723" s="3" t="str">
        <f t="shared" si="1006"/>
        <v>12Go Link</v>
      </c>
      <c r="E5723" s="2" t="s">
        <v>4339</v>
      </c>
    </row>
    <row r="5724">
      <c r="A5724" s="2" t="s">
        <v>4350</v>
      </c>
      <c r="B5724" s="2" t="s">
        <v>4498</v>
      </c>
      <c r="C5724" s="2" t="s">
        <v>4499</v>
      </c>
      <c r="D5724" s="3" t="str">
        <f t="shared" si="1006"/>
        <v>12Go Link</v>
      </c>
      <c r="E5724" s="2" t="s">
        <v>4340</v>
      </c>
    </row>
    <row r="5725">
      <c r="A5725" s="2" t="s">
        <v>4450</v>
      </c>
      <c r="B5725" s="2" t="s">
        <v>4350</v>
      </c>
      <c r="C5725" s="2" t="s">
        <v>4500</v>
      </c>
      <c r="D5725" s="3" t="str">
        <f t="shared" ref="D5725:D5730" si="1007">HYPERLINK("https://12go.asia/en/travel/Chefchaouen-Hotel-Transfer/Mohammed-V-International-Airport", "12Go Link")</f>
        <v>12Go Link</v>
      </c>
      <c r="E5725" s="2" t="s">
        <v>4336</v>
      </c>
    </row>
    <row r="5726">
      <c r="A5726" s="2" t="s">
        <v>4450</v>
      </c>
      <c r="B5726" s="2" t="s">
        <v>4350</v>
      </c>
      <c r="C5726" s="2" t="s">
        <v>4500</v>
      </c>
      <c r="D5726" s="3" t="str">
        <f t="shared" si="1007"/>
        <v>12Go Link</v>
      </c>
      <c r="E5726" s="2" t="s">
        <v>4337</v>
      </c>
    </row>
    <row r="5727">
      <c r="A5727" s="2" t="s">
        <v>4450</v>
      </c>
      <c r="B5727" s="2" t="s">
        <v>4350</v>
      </c>
      <c r="C5727" s="2" t="s">
        <v>4500</v>
      </c>
      <c r="D5727" s="3" t="str">
        <f t="shared" si="1007"/>
        <v>12Go Link</v>
      </c>
      <c r="E5727" s="2" t="s">
        <v>4137</v>
      </c>
    </row>
    <row r="5728">
      <c r="A5728" s="2" t="s">
        <v>4450</v>
      </c>
      <c r="B5728" s="2" t="s">
        <v>4350</v>
      </c>
      <c r="C5728" s="2" t="s">
        <v>4500</v>
      </c>
      <c r="D5728" s="3" t="str">
        <f t="shared" si="1007"/>
        <v>12Go Link</v>
      </c>
      <c r="E5728" s="2" t="s">
        <v>4338</v>
      </c>
    </row>
    <row r="5729">
      <c r="A5729" s="2" t="s">
        <v>4450</v>
      </c>
      <c r="B5729" s="2" t="s">
        <v>4350</v>
      </c>
      <c r="C5729" s="2" t="s">
        <v>4500</v>
      </c>
      <c r="D5729" s="3" t="str">
        <f t="shared" si="1007"/>
        <v>12Go Link</v>
      </c>
      <c r="E5729" s="2" t="s">
        <v>4339</v>
      </c>
    </row>
    <row r="5730">
      <c r="A5730" s="2" t="s">
        <v>4450</v>
      </c>
      <c r="B5730" s="2" t="s">
        <v>4350</v>
      </c>
      <c r="C5730" s="2" t="s">
        <v>4500</v>
      </c>
      <c r="D5730" s="3" t="str">
        <f t="shared" si="1007"/>
        <v>12Go Link</v>
      </c>
      <c r="E5730" s="2" t="s">
        <v>4340</v>
      </c>
    </row>
    <row r="5731">
      <c r="A5731" s="2" t="s">
        <v>4450</v>
      </c>
      <c r="B5731" s="2" t="s">
        <v>4357</v>
      </c>
      <c r="C5731" s="2" t="s">
        <v>4501</v>
      </c>
      <c r="D5731" s="3" t="str">
        <f t="shared" ref="D5731:D5736" si="1008">HYPERLINK("https://12go.asia/en/travel/Chefchaouen-Hotel-Transfer/Fes-Airport", "12Go Link")</f>
        <v>12Go Link</v>
      </c>
      <c r="E5731" s="2" t="s">
        <v>4336</v>
      </c>
    </row>
    <row r="5732">
      <c r="A5732" s="2" t="s">
        <v>4450</v>
      </c>
      <c r="B5732" s="2" t="s">
        <v>4357</v>
      </c>
      <c r="C5732" s="2" t="s">
        <v>4501</v>
      </c>
      <c r="D5732" s="3" t="str">
        <f t="shared" si="1008"/>
        <v>12Go Link</v>
      </c>
      <c r="E5732" s="2" t="s">
        <v>4337</v>
      </c>
    </row>
    <row r="5733">
      <c r="A5733" s="2" t="s">
        <v>4450</v>
      </c>
      <c r="B5733" s="2" t="s">
        <v>4357</v>
      </c>
      <c r="C5733" s="2" t="s">
        <v>4501</v>
      </c>
      <c r="D5733" s="3" t="str">
        <f t="shared" si="1008"/>
        <v>12Go Link</v>
      </c>
      <c r="E5733" s="2" t="s">
        <v>4137</v>
      </c>
    </row>
    <row r="5734">
      <c r="A5734" s="2" t="s">
        <v>4450</v>
      </c>
      <c r="B5734" s="2" t="s">
        <v>4357</v>
      </c>
      <c r="C5734" s="2" t="s">
        <v>4501</v>
      </c>
      <c r="D5734" s="3" t="str">
        <f t="shared" si="1008"/>
        <v>12Go Link</v>
      </c>
      <c r="E5734" s="2" t="s">
        <v>4338</v>
      </c>
    </row>
    <row r="5735">
      <c r="A5735" s="2" t="s">
        <v>4450</v>
      </c>
      <c r="B5735" s="2" t="s">
        <v>4357</v>
      </c>
      <c r="C5735" s="2" t="s">
        <v>4501</v>
      </c>
      <c r="D5735" s="3" t="str">
        <f t="shared" si="1008"/>
        <v>12Go Link</v>
      </c>
      <c r="E5735" s="2" t="s">
        <v>4339</v>
      </c>
    </row>
    <row r="5736">
      <c r="A5736" s="2" t="s">
        <v>4450</v>
      </c>
      <c r="B5736" s="2" t="s">
        <v>4357</v>
      </c>
      <c r="C5736" s="2" t="s">
        <v>4501</v>
      </c>
      <c r="D5736" s="3" t="str">
        <f t="shared" si="1008"/>
        <v>12Go Link</v>
      </c>
      <c r="E5736" s="2" t="s">
        <v>4340</v>
      </c>
    </row>
    <row r="5737">
      <c r="A5737" s="2" t="s">
        <v>4450</v>
      </c>
      <c r="B5737" s="2" t="s">
        <v>4372</v>
      </c>
      <c r="C5737" s="2" t="s">
        <v>4502</v>
      </c>
      <c r="D5737" s="3" t="str">
        <f t="shared" ref="D5737:D5742" si="1009">HYPERLINK("https://12go.asia/en/travel/Chefchaouen-Hotel-Transfer/Marrakesh-Menara-Airport", "12Go Link")</f>
        <v>12Go Link</v>
      </c>
      <c r="E5737" s="2" t="s">
        <v>4336</v>
      </c>
    </row>
    <row r="5738">
      <c r="A5738" s="2" t="s">
        <v>4450</v>
      </c>
      <c r="B5738" s="2" t="s">
        <v>4372</v>
      </c>
      <c r="C5738" s="2" t="s">
        <v>4502</v>
      </c>
      <c r="D5738" s="3" t="str">
        <f t="shared" si="1009"/>
        <v>12Go Link</v>
      </c>
      <c r="E5738" s="2" t="s">
        <v>4337</v>
      </c>
    </row>
    <row r="5739">
      <c r="A5739" s="2" t="s">
        <v>4450</v>
      </c>
      <c r="B5739" s="2" t="s">
        <v>4372</v>
      </c>
      <c r="C5739" s="2" t="s">
        <v>4502</v>
      </c>
      <c r="D5739" s="3" t="str">
        <f t="shared" si="1009"/>
        <v>12Go Link</v>
      </c>
      <c r="E5739" s="2" t="s">
        <v>4137</v>
      </c>
    </row>
    <row r="5740">
      <c r="A5740" s="2" t="s">
        <v>4450</v>
      </c>
      <c r="B5740" s="2" t="s">
        <v>4372</v>
      </c>
      <c r="C5740" s="2" t="s">
        <v>4502</v>
      </c>
      <c r="D5740" s="3" t="str">
        <f t="shared" si="1009"/>
        <v>12Go Link</v>
      </c>
      <c r="E5740" s="2" t="s">
        <v>4338</v>
      </c>
    </row>
    <row r="5741">
      <c r="A5741" s="2" t="s">
        <v>4450</v>
      </c>
      <c r="B5741" s="2" t="s">
        <v>4372</v>
      </c>
      <c r="C5741" s="2" t="s">
        <v>4502</v>
      </c>
      <c r="D5741" s="3" t="str">
        <f t="shared" si="1009"/>
        <v>12Go Link</v>
      </c>
      <c r="E5741" s="2" t="s">
        <v>4339</v>
      </c>
    </row>
    <row r="5742">
      <c r="A5742" s="2" t="s">
        <v>4450</v>
      </c>
      <c r="B5742" s="2" t="s">
        <v>4372</v>
      </c>
      <c r="C5742" s="2" t="s">
        <v>4502</v>
      </c>
      <c r="D5742" s="3" t="str">
        <f t="shared" si="1009"/>
        <v>12Go Link</v>
      </c>
      <c r="E5742" s="2" t="s">
        <v>4340</v>
      </c>
    </row>
    <row r="5743">
      <c r="A5743" s="2" t="s">
        <v>4450</v>
      </c>
      <c r="B5743" s="2" t="s">
        <v>4386</v>
      </c>
      <c r="C5743" s="2" t="s">
        <v>4503</v>
      </c>
      <c r="D5743" s="3" t="str">
        <f t="shared" ref="D5743:D5748" si="1010">HYPERLINK("https://12go.asia/en/travel/Chefchaouen-Hotel-Transfer/Rabat-Sale-Airport", "12Go Link")</f>
        <v>12Go Link</v>
      </c>
      <c r="E5743" s="2" t="s">
        <v>4336</v>
      </c>
    </row>
    <row r="5744">
      <c r="A5744" s="2" t="s">
        <v>4450</v>
      </c>
      <c r="B5744" s="2" t="s">
        <v>4386</v>
      </c>
      <c r="C5744" s="2" t="s">
        <v>4503</v>
      </c>
      <c r="D5744" s="3" t="str">
        <f t="shared" si="1010"/>
        <v>12Go Link</v>
      </c>
      <c r="E5744" s="2" t="s">
        <v>4337</v>
      </c>
    </row>
    <row r="5745">
      <c r="A5745" s="2" t="s">
        <v>4450</v>
      </c>
      <c r="B5745" s="2" t="s">
        <v>4386</v>
      </c>
      <c r="C5745" s="2" t="s">
        <v>4503</v>
      </c>
      <c r="D5745" s="3" t="str">
        <f t="shared" si="1010"/>
        <v>12Go Link</v>
      </c>
      <c r="E5745" s="2" t="s">
        <v>4137</v>
      </c>
    </row>
    <row r="5746">
      <c r="A5746" s="2" t="s">
        <v>4450</v>
      </c>
      <c r="B5746" s="2" t="s">
        <v>4386</v>
      </c>
      <c r="C5746" s="2" t="s">
        <v>4503</v>
      </c>
      <c r="D5746" s="3" t="str">
        <f t="shared" si="1010"/>
        <v>12Go Link</v>
      </c>
      <c r="E5746" s="2" t="s">
        <v>4338</v>
      </c>
    </row>
    <row r="5747">
      <c r="A5747" s="2" t="s">
        <v>4450</v>
      </c>
      <c r="B5747" s="2" t="s">
        <v>4386</v>
      </c>
      <c r="C5747" s="2" t="s">
        <v>4503</v>
      </c>
      <c r="D5747" s="3" t="str">
        <f t="shared" si="1010"/>
        <v>12Go Link</v>
      </c>
      <c r="E5747" s="2" t="s">
        <v>4339</v>
      </c>
    </row>
    <row r="5748">
      <c r="A5748" s="2" t="s">
        <v>4450</v>
      </c>
      <c r="B5748" s="2" t="s">
        <v>4386</v>
      </c>
      <c r="C5748" s="2" t="s">
        <v>4503</v>
      </c>
      <c r="D5748" s="3" t="str">
        <f t="shared" si="1010"/>
        <v>12Go Link</v>
      </c>
      <c r="E5748" s="2" t="s">
        <v>4340</v>
      </c>
    </row>
    <row r="5749">
      <c r="A5749" s="2" t="s">
        <v>4450</v>
      </c>
      <c r="B5749" s="2" t="s">
        <v>4403</v>
      </c>
      <c r="C5749" s="2" t="s">
        <v>4504</v>
      </c>
      <c r="D5749" s="3" t="str">
        <f t="shared" ref="D5749:D5754" si="1011">HYPERLINK("https://12go.asia/en/travel/Chefchaouen-Hotel-Transfer/Tanger-Ibn-Battouta-Airport", "12Go Link")</f>
        <v>12Go Link</v>
      </c>
      <c r="E5749" s="2" t="s">
        <v>4336</v>
      </c>
    </row>
    <row r="5750">
      <c r="A5750" s="2" t="s">
        <v>4450</v>
      </c>
      <c r="B5750" s="2" t="s">
        <v>4403</v>
      </c>
      <c r="C5750" s="2" t="s">
        <v>4504</v>
      </c>
      <c r="D5750" s="3" t="str">
        <f t="shared" si="1011"/>
        <v>12Go Link</v>
      </c>
      <c r="E5750" s="2" t="s">
        <v>4337</v>
      </c>
    </row>
    <row r="5751">
      <c r="A5751" s="2" t="s">
        <v>4450</v>
      </c>
      <c r="B5751" s="2" t="s">
        <v>4403</v>
      </c>
      <c r="C5751" s="2" t="s">
        <v>4504</v>
      </c>
      <c r="D5751" s="3" t="str">
        <f t="shared" si="1011"/>
        <v>12Go Link</v>
      </c>
      <c r="E5751" s="2" t="s">
        <v>4137</v>
      </c>
    </row>
    <row r="5752">
      <c r="A5752" s="2" t="s">
        <v>4450</v>
      </c>
      <c r="B5752" s="2" t="s">
        <v>4403</v>
      </c>
      <c r="C5752" s="2" t="s">
        <v>4504</v>
      </c>
      <c r="D5752" s="3" t="str">
        <f t="shared" si="1011"/>
        <v>12Go Link</v>
      </c>
      <c r="E5752" s="2" t="s">
        <v>4338</v>
      </c>
    </row>
    <row r="5753">
      <c r="A5753" s="2" t="s">
        <v>4450</v>
      </c>
      <c r="B5753" s="2" t="s">
        <v>4403</v>
      </c>
      <c r="C5753" s="2" t="s">
        <v>4504</v>
      </c>
      <c r="D5753" s="3" t="str">
        <f t="shared" si="1011"/>
        <v>12Go Link</v>
      </c>
      <c r="E5753" s="2" t="s">
        <v>4339</v>
      </c>
    </row>
    <row r="5754">
      <c r="A5754" s="2" t="s">
        <v>4450</v>
      </c>
      <c r="B5754" s="2" t="s">
        <v>4403</v>
      </c>
      <c r="C5754" s="2" t="s">
        <v>4504</v>
      </c>
      <c r="D5754" s="3" t="str">
        <f t="shared" si="1011"/>
        <v>12Go Link</v>
      </c>
      <c r="E5754" s="2" t="s">
        <v>4340</v>
      </c>
    </row>
    <row r="5755">
      <c r="A5755" s="2" t="s">
        <v>4505</v>
      </c>
      <c r="B5755" s="2" t="s">
        <v>4505</v>
      </c>
      <c r="C5755" s="2" t="s">
        <v>4506</v>
      </c>
      <c r="D5755" s="3" t="str">
        <f t="shared" ref="D5755:D5760" si="1012">HYPERLINK("https://12go.asia/en/travel/Dakhla-Airport/Dakhla-Hotel-Transfer", "12Go Link")</f>
        <v>12Go Link</v>
      </c>
      <c r="E5755" s="2" t="s">
        <v>4507</v>
      </c>
    </row>
    <row r="5756">
      <c r="A5756" s="2" t="s">
        <v>4505</v>
      </c>
      <c r="B5756" s="2" t="s">
        <v>4505</v>
      </c>
      <c r="C5756" s="2" t="s">
        <v>4506</v>
      </c>
      <c r="D5756" s="3" t="str">
        <f t="shared" si="1012"/>
        <v>12Go Link</v>
      </c>
      <c r="E5756" s="2" t="s">
        <v>4337</v>
      </c>
    </row>
    <row r="5757">
      <c r="A5757" s="2" t="s">
        <v>4505</v>
      </c>
      <c r="B5757" s="2" t="s">
        <v>4505</v>
      </c>
      <c r="C5757" s="2" t="s">
        <v>4506</v>
      </c>
      <c r="D5757" s="3" t="str">
        <f t="shared" si="1012"/>
        <v>12Go Link</v>
      </c>
      <c r="E5757" s="2" t="s">
        <v>4137</v>
      </c>
    </row>
    <row r="5758">
      <c r="A5758" s="2" t="s">
        <v>4505</v>
      </c>
      <c r="B5758" s="2" t="s">
        <v>4505</v>
      </c>
      <c r="C5758" s="2" t="s">
        <v>4506</v>
      </c>
      <c r="D5758" s="3" t="str">
        <f t="shared" si="1012"/>
        <v>12Go Link</v>
      </c>
      <c r="E5758" s="2" t="s">
        <v>4508</v>
      </c>
    </row>
    <row r="5759">
      <c r="A5759" s="2" t="s">
        <v>4505</v>
      </c>
      <c r="B5759" s="2" t="s">
        <v>4505</v>
      </c>
      <c r="C5759" s="2" t="s">
        <v>4506</v>
      </c>
      <c r="D5759" s="3" t="str">
        <f t="shared" si="1012"/>
        <v>12Go Link</v>
      </c>
      <c r="E5759" s="2" t="s">
        <v>4339</v>
      </c>
    </row>
    <row r="5760">
      <c r="A5760" s="2" t="s">
        <v>4505</v>
      </c>
      <c r="B5760" s="2" t="s">
        <v>4505</v>
      </c>
      <c r="C5760" s="2" t="s">
        <v>4506</v>
      </c>
      <c r="D5760" s="3" t="str">
        <f t="shared" si="1012"/>
        <v>12Go Link</v>
      </c>
      <c r="E5760" s="2" t="s">
        <v>4340</v>
      </c>
    </row>
    <row r="5761">
      <c r="A5761" s="2" t="s">
        <v>4505</v>
      </c>
      <c r="B5761" s="2" t="s">
        <v>4505</v>
      </c>
      <c r="C5761" s="2" t="s">
        <v>4509</v>
      </c>
      <c r="D5761" s="3" t="str">
        <f t="shared" ref="D5761:D5766" si="1013">HYPERLINK("https://12go.asia/en/travel/Dakhla-Hotel-Transfer/Dakhla-Airport", "12Go Link")</f>
        <v>12Go Link</v>
      </c>
      <c r="E5761" s="2" t="s">
        <v>4507</v>
      </c>
    </row>
    <row r="5762">
      <c r="A5762" s="2" t="s">
        <v>4505</v>
      </c>
      <c r="B5762" s="2" t="s">
        <v>4505</v>
      </c>
      <c r="C5762" s="2" t="s">
        <v>4509</v>
      </c>
      <c r="D5762" s="3" t="str">
        <f t="shared" si="1013"/>
        <v>12Go Link</v>
      </c>
      <c r="E5762" s="2" t="s">
        <v>4337</v>
      </c>
    </row>
    <row r="5763">
      <c r="A5763" s="2" t="s">
        <v>4505</v>
      </c>
      <c r="B5763" s="2" t="s">
        <v>4505</v>
      </c>
      <c r="C5763" s="2" t="s">
        <v>4509</v>
      </c>
      <c r="D5763" s="3" t="str">
        <f t="shared" si="1013"/>
        <v>12Go Link</v>
      </c>
      <c r="E5763" s="2" t="s">
        <v>4137</v>
      </c>
    </row>
    <row r="5764">
      <c r="A5764" s="2" t="s">
        <v>4505</v>
      </c>
      <c r="B5764" s="2" t="s">
        <v>4505</v>
      </c>
      <c r="C5764" s="2" t="s">
        <v>4509</v>
      </c>
      <c r="D5764" s="3" t="str">
        <f t="shared" si="1013"/>
        <v>12Go Link</v>
      </c>
      <c r="E5764" s="2" t="s">
        <v>4508</v>
      </c>
    </row>
    <row r="5765">
      <c r="A5765" s="2" t="s">
        <v>4505</v>
      </c>
      <c r="B5765" s="2" t="s">
        <v>4505</v>
      </c>
      <c r="C5765" s="2" t="s">
        <v>4509</v>
      </c>
      <c r="D5765" s="3" t="str">
        <f t="shared" si="1013"/>
        <v>12Go Link</v>
      </c>
      <c r="E5765" s="2" t="s">
        <v>4339</v>
      </c>
    </row>
    <row r="5766">
      <c r="A5766" s="2" t="s">
        <v>4505</v>
      </c>
      <c r="B5766" s="2" t="s">
        <v>4505</v>
      </c>
      <c r="C5766" s="2" t="s">
        <v>4509</v>
      </c>
      <c r="D5766" s="3" t="str">
        <f t="shared" si="1013"/>
        <v>12Go Link</v>
      </c>
      <c r="E5766" s="2" t="s">
        <v>4340</v>
      </c>
    </row>
    <row r="5767">
      <c r="A5767" s="2" t="s">
        <v>4452</v>
      </c>
      <c r="B5767" s="2" t="s">
        <v>4350</v>
      </c>
      <c r="C5767" s="2" t="s">
        <v>4510</v>
      </c>
      <c r="D5767" s="3" t="str">
        <f t="shared" ref="D5767:D5772" si="1014">HYPERLINK("https://12go.asia/en/travel/Dar-Bouazza-Hotel-Transfer/Mohammed-V-International-Airport", "12Go Link")</f>
        <v>12Go Link</v>
      </c>
      <c r="E5767" s="2" t="s">
        <v>4336</v>
      </c>
    </row>
    <row r="5768">
      <c r="A5768" s="2" t="s">
        <v>4452</v>
      </c>
      <c r="B5768" s="2" t="s">
        <v>4350</v>
      </c>
      <c r="C5768" s="2" t="s">
        <v>4510</v>
      </c>
      <c r="D5768" s="3" t="str">
        <f t="shared" si="1014"/>
        <v>12Go Link</v>
      </c>
      <c r="E5768" s="2" t="s">
        <v>4337</v>
      </c>
    </row>
    <row r="5769">
      <c r="A5769" s="2" t="s">
        <v>4452</v>
      </c>
      <c r="B5769" s="2" t="s">
        <v>4350</v>
      </c>
      <c r="C5769" s="2" t="s">
        <v>4510</v>
      </c>
      <c r="D5769" s="3" t="str">
        <f t="shared" si="1014"/>
        <v>12Go Link</v>
      </c>
      <c r="E5769" s="2" t="s">
        <v>4137</v>
      </c>
    </row>
    <row r="5770">
      <c r="A5770" s="2" t="s">
        <v>4452</v>
      </c>
      <c r="B5770" s="2" t="s">
        <v>4350</v>
      </c>
      <c r="C5770" s="2" t="s">
        <v>4510</v>
      </c>
      <c r="D5770" s="3" t="str">
        <f t="shared" si="1014"/>
        <v>12Go Link</v>
      </c>
      <c r="E5770" s="2" t="s">
        <v>4338</v>
      </c>
    </row>
    <row r="5771">
      <c r="A5771" s="2" t="s">
        <v>4452</v>
      </c>
      <c r="B5771" s="2" t="s">
        <v>4350</v>
      </c>
      <c r="C5771" s="2" t="s">
        <v>4510</v>
      </c>
      <c r="D5771" s="3" t="str">
        <f t="shared" si="1014"/>
        <v>12Go Link</v>
      </c>
      <c r="E5771" s="2" t="s">
        <v>4339</v>
      </c>
    </row>
    <row r="5772">
      <c r="A5772" s="2" t="s">
        <v>4452</v>
      </c>
      <c r="B5772" s="2" t="s">
        <v>4350</v>
      </c>
      <c r="C5772" s="2" t="s">
        <v>4510</v>
      </c>
      <c r="D5772" s="3" t="str">
        <f t="shared" si="1014"/>
        <v>12Go Link</v>
      </c>
      <c r="E5772" s="2" t="s">
        <v>4340</v>
      </c>
    </row>
    <row r="5773">
      <c r="A5773" s="2" t="s">
        <v>4454</v>
      </c>
      <c r="B5773" s="2" t="s">
        <v>4350</v>
      </c>
      <c r="C5773" s="2" t="s">
        <v>4511</v>
      </c>
      <c r="D5773" s="3" t="str">
        <f t="shared" ref="D5773:D5778" si="1015">HYPERLINK("https://12go.asia/en/travel/Demnate-Hotel-Transfer/Mohammed-V-International-Airport", "12Go Link")</f>
        <v>12Go Link</v>
      </c>
      <c r="E5773" s="2" t="s">
        <v>4336</v>
      </c>
    </row>
    <row r="5774">
      <c r="A5774" s="2" t="s">
        <v>4454</v>
      </c>
      <c r="B5774" s="2" t="s">
        <v>4350</v>
      </c>
      <c r="C5774" s="2" t="s">
        <v>4511</v>
      </c>
      <c r="D5774" s="3" t="str">
        <f t="shared" si="1015"/>
        <v>12Go Link</v>
      </c>
      <c r="E5774" s="2" t="s">
        <v>4337</v>
      </c>
    </row>
    <row r="5775">
      <c r="A5775" s="2" t="s">
        <v>4454</v>
      </c>
      <c r="B5775" s="2" t="s">
        <v>4350</v>
      </c>
      <c r="C5775" s="2" t="s">
        <v>4511</v>
      </c>
      <c r="D5775" s="3" t="str">
        <f t="shared" si="1015"/>
        <v>12Go Link</v>
      </c>
      <c r="E5775" s="2" t="s">
        <v>4137</v>
      </c>
    </row>
    <row r="5776">
      <c r="A5776" s="2" t="s">
        <v>4454</v>
      </c>
      <c r="B5776" s="2" t="s">
        <v>4350</v>
      </c>
      <c r="C5776" s="2" t="s">
        <v>4511</v>
      </c>
      <c r="D5776" s="3" t="str">
        <f t="shared" si="1015"/>
        <v>12Go Link</v>
      </c>
      <c r="E5776" s="2" t="s">
        <v>4338</v>
      </c>
    </row>
    <row r="5777">
      <c r="A5777" s="2" t="s">
        <v>4454</v>
      </c>
      <c r="B5777" s="2" t="s">
        <v>4350</v>
      </c>
      <c r="C5777" s="2" t="s">
        <v>4511</v>
      </c>
      <c r="D5777" s="3" t="str">
        <f t="shared" si="1015"/>
        <v>12Go Link</v>
      </c>
      <c r="E5777" s="2" t="s">
        <v>4339</v>
      </c>
    </row>
    <row r="5778">
      <c r="A5778" s="2" t="s">
        <v>4454</v>
      </c>
      <c r="B5778" s="2" t="s">
        <v>4350</v>
      </c>
      <c r="C5778" s="2" t="s">
        <v>4511</v>
      </c>
      <c r="D5778" s="3" t="str">
        <f t="shared" si="1015"/>
        <v>12Go Link</v>
      </c>
      <c r="E5778" s="2" t="s">
        <v>4340</v>
      </c>
    </row>
    <row r="5779">
      <c r="A5779" s="2" t="s">
        <v>4456</v>
      </c>
      <c r="B5779" s="2" t="s">
        <v>4350</v>
      </c>
      <c r="C5779" s="2" t="s">
        <v>4512</v>
      </c>
      <c r="D5779" s="3" t="str">
        <f t="shared" ref="D5779:D5784" si="1016">HYPERLINK("https://12go.asia/en/travel/El-Jadida-Hotel-Transfer/Mohammed-V-International-Airport", "12Go Link")</f>
        <v>12Go Link</v>
      </c>
      <c r="E5779" s="2" t="s">
        <v>4336</v>
      </c>
    </row>
    <row r="5780">
      <c r="A5780" s="2" t="s">
        <v>4456</v>
      </c>
      <c r="B5780" s="2" t="s">
        <v>4350</v>
      </c>
      <c r="C5780" s="2" t="s">
        <v>4512</v>
      </c>
      <c r="D5780" s="3" t="str">
        <f t="shared" si="1016"/>
        <v>12Go Link</v>
      </c>
      <c r="E5780" s="2" t="s">
        <v>4337</v>
      </c>
    </row>
    <row r="5781">
      <c r="A5781" s="2" t="s">
        <v>4456</v>
      </c>
      <c r="B5781" s="2" t="s">
        <v>4350</v>
      </c>
      <c r="C5781" s="2" t="s">
        <v>4512</v>
      </c>
      <c r="D5781" s="3" t="str">
        <f t="shared" si="1016"/>
        <v>12Go Link</v>
      </c>
      <c r="E5781" s="2" t="s">
        <v>4137</v>
      </c>
    </row>
    <row r="5782">
      <c r="A5782" s="2" t="s">
        <v>4456</v>
      </c>
      <c r="B5782" s="2" t="s">
        <v>4350</v>
      </c>
      <c r="C5782" s="2" t="s">
        <v>4512</v>
      </c>
      <c r="D5782" s="3" t="str">
        <f t="shared" si="1016"/>
        <v>12Go Link</v>
      </c>
      <c r="E5782" s="2" t="s">
        <v>4338</v>
      </c>
    </row>
    <row r="5783">
      <c r="A5783" s="2" t="s">
        <v>4456</v>
      </c>
      <c r="B5783" s="2" t="s">
        <v>4350</v>
      </c>
      <c r="C5783" s="2" t="s">
        <v>4512</v>
      </c>
      <c r="D5783" s="3" t="str">
        <f t="shared" si="1016"/>
        <v>12Go Link</v>
      </c>
      <c r="E5783" s="2" t="s">
        <v>4339</v>
      </c>
    </row>
    <row r="5784">
      <c r="A5784" s="2" t="s">
        <v>4456</v>
      </c>
      <c r="B5784" s="2" t="s">
        <v>4350</v>
      </c>
      <c r="C5784" s="2" t="s">
        <v>4512</v>
      </c>
      <c r="D5784" s="3" t="str">
        <f t="shared" si="1016"/>
        <v>12Go Link</v>
      </c>
      <c r="E5784" s="2" t="s">
        <v>4340</v>
      </c>
    </row>
    <row r="5785">
      <c r="A5785" s="2" t="s">
        <v>4456</v>
      </c>
      <c r="B5785" s="2" t="s">
        <v>4372</v>
      </c>
      <c r="C5785" s="2" t="s">
        <v>4513</v>
      </c>
      <c r="D5785" s="3" t="str">
        <f t="shared" ref="D5785:D5790" si="1017">HYPERLINK("https://12go.asia/en/travel/El-Jadida-Hotel-Transfer/Marrakesh-Menara-Airport", "12Go Link")</f>
        <v>12Go Link</v>
      </c>
      <c r="E5785" s="2" t="s">
        <v>4336</v>
      </c>
    </row>
    <row r="5786">
      <c r="A5786" s="2" t="s">
        <v>4456</v>
      </c>
      <c r="B5786" s="2" t="s">
        <v>4372</v>
      </c>
      <c r="C5786" s="2" t="s">
        <v>4513</v>
      </c>
      <c r="D5786" s="3" t="str">
        <f t="shared" si="1017"/>
        <v>12Go Link</v>
      </c>
      <c r="E5786" s="2" t="s">
        <v>4337</v>
      </c>
    </row>
    <row r="5787">
      <c r="A5787" s="2" t="s">
        <v>4456</v>
      </c>
      <c r="B5787" s="2" t="s">
        <v>4372</v>
      </c>
      <c r="C5787" s="2" t="s">
        <v>4513</v>
      </c>
      <c r="D5787" s="3" t="str">
        <f t="shared" si="1017"/>
        <v>12Go Link</v>
      </c>
      <c r="E5787" s="2" t="s">
        <v>4137</v>
      </c>
    </row>
    <row r="5788">
      <c r="A5788" s="2" t="s">
        <v>4456</v>
      </c>
      <c r="B5788" s="2" t="s">
        <v>4372</v>
      </c>
      <c r="C5788" s="2" t="s">
        <v>4513</v>
      </c>
      <c r="D5788" s="3" t="str">
        <f t="shared" si="1017"/>
        <v>12Go Link</v>
      </c>
      <c r="E5788" s="2" t="s">
        <v>4338</v>
      </c>
    </row>
    <row r="5789">
      <c r="A5789" s="2" t="s">
        <v>4456</v>
      </c>
      <c r="B5789" s="2" t="s">
        <v>4372</v>
      </c>
      <c r="C5789" s="2" t="s">
        <v>4513</v>
      </c>
      <c r="D5789" s="3" t="str">
        <f t="shared" si="1017"/>
        <v>12Go Link</v>
      </c>
      <c r="E5789" s="2" t="s">
        <v>4339</v>
      </c>
    </row>
    <row r="5790">
      <c r="A5790" s="2" t="s">
        <v>4456</v>
      </c>
      <c r="B5790" s="2" t="s">
        <v>4372</v>
      </c>
      <c r="C5790" s="2" t="s">
        <v>4513</v>
      </c>
      <c r="D5790" s="3" t="str">
        <f t="shared" si="1017"/>
        <v>12Go Link</v>
      </c>
      <c r="E5790" s="2" t="s">
        <v>4340</v>
      </c>
    </row>
    <row r="5791">
      <c r="A5791" s="2" t="s">
        <v>4458</v>
      </c>
      <c r="B5791" s="2" t="s">
        <v>4350</v>
      </c>
      <c r="C5791" s="2" t="s">
        <v>4514</v>
      </c>
      <c r="D5791" s="3" t="str">
        <f t="shared" ref="D5791:D5796" si="1018">HYPERLINK("https://12go.asia/en/travel/Errachidia-Hotel-Transfer/Mohammed-V-International-Airport", "12Go Link")</f>
        <v>12Go Link</v>
      </c>
      <c r="E5791" s="2" t="s">
        <v>4336</v>
      </c>
    </row>
    <row r="5792">
      <c r="A5792" s="2" t="s">
        <v>4458</v>
      </c>
      <c r="B5792" s="2" t="s">
        <v>4350</v>
      </c>
      <c r="C5792" s="2" t="s">
        <v>4514</v>
      </c>
      <c r="D5792" s="3" t="str">
        <f t="shared" si="1018"/>
        <v>12Go Link</v>
      </c>
      <c r="E5792" s="2" t="s">
        <v>4337</v>
      </c>
    </row>
    <row r="5793">
      <c r="A5793" s="2" t="s">
        <v>4458</v>
      </c>
      <c r="B5793" s="2" t="s">
        <v>4350</v>
      </c>
      <c r="C5793" s="2" t="s">
        <v>4514</v>
      </c>
      <c r="D5793" s="3" t="str">
        <f t="shared" si="1018"/>
        <v>12Go Link</v>
      </c>
      <c r="E5793" s="2" t="s">
        <v>4137</v>
      </c>
    </row>
    <row r="5794">
      <c r="A5794" s="2" t="s">
        <v>4458</v>
      </c>
      <c r="B5794" s="2" t="s">
        <v>4350</v>
      </c>
      <c r="C5794" s="2" t="s">
        <v>4514</v>
      </c>
      <c r="D5794" s="3" t="str">
        <f t="shared" si="1018"/>
        <v>12Go Link</v>
      </c>
      <c r="E5794" s="2" t="s">
        <v>4338</v>
      </c>
    </row>
    <row r="5795">
      <c r="A5795" s="2" t="s">
        <v>4458</v>
      </c>
      <c r="B5795" s="2" t="s">
        <v>4350</v>
      </c>
      <c r="C5795" s="2" t="s">
        <v>4514</v>
      </c>
      <c r="D5795" s="3" t="str">
        <f t="shared" si="1018"/>
        <v>12Go Link</v>
      </c>
      <c r="E5795" s="2" t="s">
        <v>4339</v>
      </c>
    </row>
    <row r="5796">
      <c r="A5796" s="2" t="s">
        <v>4458</v>
      </c>
      <c r="B5796" s="2" t="s">
        <v>4350</v>
      </c>
      <c r="C5796" s="2" t="s">
        <v>4514</v>
      </c>
      <c r="D5796" s="3" t="str">
        <f t="shared" si="1018"/>
        <v>12Go Link</v>
      </c>
      <c r="E5796" s="2" t="s">
        <v>4340</v>
      </c>
    </row>
    <row r="5797">
      <c r="A5797" s="2" t="s">
        <v>4353</v>
      </c>
      <c r="B5797" s="2" t="s">
        <v>4334</v>
      </c>
      <c r="C5797" s="2" t="s">
        <v>4515</v>
      </c>
      <c r="D5797" s="3" t="str">
        <f t="shared" ref="D5797:D5802" si="1019">HYPERLINK("https://12go.asia/en/travel/Essaouira-Hotel-Transfer/Agadir-Al-Massira-International-Airport", "12Go Link")</f>
        <v>12Go Link</v>
      </c>
      <c r="E5797" s="2" t="s">
        <v>4336</v>
      </c>
    </row>
    <row r="5798">
      <c r="A5798" s="2" t="s">
        <v>4353</v>
      </c>
      <c r="B5798" s="2" t="s">
        <v>4334</v>
      </c>
      <c r="C5798" s="2" t="s">
        <v>4515</v>
      </c>
      <c r="D5798" s="3" t="str">
        <f t="shared" si="1019"/>
        <v>12Go Link</v>
      </c>
      <c r="E5798" s="2" t="s">
        <v>4337</v>
      </c>
    </row>
    <row r="5799">
      <c r="A5799" s="2" t="s">
        <v>4353</v>
      </c>
      <c r="B5799" s="2" t="s">
        <v>4334</v>
      </c>
      <c r="C5799" s="2" t="s">
        <v>4515</v>
      </c>
      <c r="D5799" s="3" t="str">
        <f t="shared" si="1019"/>
        <v>12Go Link</v>
      </c>
      <c r="E5799" s="2" t="s">
        <v>4137</v>
      </c>
    </row>
    <row r="5800">
      <c r="A5800" s="2" t="s">
        <v>4353</v>
      </c>
      <c r="B5800" s="2" t="s">
        <v>4334</v>
      </c>
      <c r="C5800" s="2" t="s">
        <v>4515</v>
      </c>
      <c r="D5800" s="3" t="str">
        <f t="shared" si="1019"/>
        <v>12Go Link</v>
      </c>
      <c r="E5800" s="2" t="s">
        <v>4338</v>
      </c>
    </row>
    <row r="5801">
      <c r="A5801" s="2" t="s">
        <v>4353</v>
      </c>
      <c r="B5801" s="2" t="s">
        <v>4334</v>
      </c>
      <c r="C5801" s="2" t="s">
        <v>4515</v>
      </c>
      <c r="D5801" s="3" t="str">
        <f t="shared" si="1019"/>
        <v>12Go Link</v>
      </c>
      <c r="E5801" s="2" t="s">
        <v>4339</v>
      </c>
    </row>
    <row r="5802">
      <c r="A5802" s="2" t="s">
        <v>4353</v>
      </c>
      <c r="B5802" s="2" t="s">
        <v>4334</v>
      </c>
      <c r="C5802" s="2" t="s">
        <v>4515</v>
      </c>
      <c r="D5802" s="3" t="str">
        <f t="shared" si="1019"/>
        <v>12Go Link</v>
      </c>
      <c r="E5802" s="2" t="s">
        <v>4340</v>
      </c>
    </row>
    <row r="5803">
      <c r="A5803" s="2" t="s">
        <v>4353</v>
      </c>
      <c r="B5803" s="2" t="s">
        <v>4334</v>
      </c>
      <c r="C5803" s="2" t="s">
        <v>4516</v>
      </c>
      <c r="D5803" s="3" t="str">
        <f t="shared" ref="D5803:D5808" si="1020">HYPERLINK("https://12go.asia/en/travel/Essaouira-Mogador-Airport/Agadir-Al-Massira-International-Airport", "12Go Link")</f>
        <v>12Go Link</v>
      </c>
      <c r="E5803" s="2" t="s">
        <v>4336</v>
      </c>
    </row>
    <row r="5804">
      <c r="A5804" s="2" t="s">
        <v>4353</v>
      </c>
      <c r="B5804" s="2" t="s">
        <v>4334</v>
      </c>
      <c r="C5804" s="2" t="s">
        <v>4516</v>
      </c>
      <c r="D5804" s="3" t="str">
        <f t="shared" si="1020"/>
        <v>12Go Link</v>
      </c>
      <c r="E5804" s="2" t="s">
        <v>4337</v>
      </c>
    </row>
    <row r="5805">
      <c r="A5805" s="2" t="s">
        <v>4353</v>
      </c>
      <c r="B5805" s="2" t="s">
        <v>4334</v>
      </c>
      <c r="C5805" s="2" t="s">
        <v>4516</v>
      </c>
      <c r="D5805" s="3" t="str">
        <f t="shared" si="1020"/>
        <v>12Go Link</v>
      </c>
      <c r="E5805" s="2" t="s">
        <v>4137</v>
      </c>
    </row>
    <row r="5806">
      <c r="A5806" s="2" t="s">
        <v>4353</v>
      </c>
      <c r="B5806" s="2" t="s">
        <v>4334</v>
      </c>
      <c r="C5806" s="2" t="s">
        <v>4516</v>
      </c>
      <c r="D5806" s="3" t="str">
        <f t="shared" si="1020"/>
        <v>12Go Link</v>
      </c>
      <c r="E5806" s="2" t="s">
        <v>4338</v>
      </c>
    </row>
    <row r="5807">
      <c r="A5807" s="2" t="s">
        <v>4353</v>
      </c>
      <c r="B5807" s="2" t="s">
        <v>4334</v>
      </c>
      <c r="C5807" s="2" t="s">
        <v>4516</v>
      </c>
      <c r="D5807" s="3" t="str">
        <f t="shared" si="1020"/>
        <v>12Go Link</v>
      </c>
      <c r="E5807" s="2" t="s">
        <v>4339</v>
      </c>
    </row>
    <row r="5808">
      <c r="A5808" s="2" t="s">
        <v>4353</v>
      </c>
      <c r="B5808" s="2" t="s">
        <v>4334</v>
      </c>
      <c r="C5808" s="2" t="s">
        <v>4516</v>
      </c>
      <c r="D5808" s="3" t="str">
        <f t="shared" si="1020"/>
        <v>12Go Link</v>
      </c>
      <c r="E5808" s="2" t="s">
        <v>4340</v>
      </c>
    </row>
    <row r="5809">
      <c r="A5809" s="2" t="s">
        <v>4353</v>
      </c>
      <c r="B5809" s="2" t="s">
        <v>4334</v>
      </c>
      <c r="C5809" s="2" t="s">
        <v>4517</v>
      </c>
      <c r="D5809" s="3" t="str">
        <f t="shared" ref="D5809:D5814" si="1021">HYPERLINK("https://12go.asia/en/travel/Essaouira-Mogador-Airport/Agadir-Hotel-Transfer", "12Go Link")</f>
        <v>12Go Link</v>
      </c>
      <c r="E5809" s="2" t="s">
        <v>4336</v>
      </c>
    </row>
    <row r="5810">
      <c r="A5810" s="2" t="s">
        <v>4353</v>
      </c>
      <c r="B5810" s="2" t="s">
        <v>4334</v>
      </c>
      <c r="C5810" s="2" t="s">
        <v>4517</v>
      </c>
      <c r="D5810" s="3" t="str">
        <f t="shared" si="1021"/>
        <v>12Go Link</v>
      </c>
      <c r="E5810" s="2" t="s">
        <v>4337</v>
      </c>
    </row>
    <row r="5811">
      <c r="A5811" s="2" t="s">
        <v>4353</v>
      </c>
      <c r="B5811" s="2" t="s">
        <v>4334</v>
      </c>
      <c r="C5811" s="2" t="s">
        <v>4517</v>
      </c>
      <c r="D5811" s="3" t="str">
        <f t="shared" si="1021"/>
        <v>12Go Link</v>
      </c>
      <c r="E5811" s="2" t="s">
        <v>4137</v>
      </c>
    </row>
    <row r="5812">
      <c r="A5812" s="2" t="s">
        <v>4353</v>
      </c>
      <c r="B5812" s="2" t="s">
        <v>4334</v>
      </c>
      <c r="C5812" s="2" t="s">
        <v>4517</v>
      </c>
      <c r="D5812" s="3" t="str">
        <f t="shared" si="1021"/>
        <v>12Go Link</v>
      </c>
      <c r="E5812" s="2" t="s">
        <v>4338</v>
      </c>
    </row>
    <row r="5813">
      <c r="A5813" s="2" t="s">
        <v>4353</v>
      </c>
      <c r="B5813" s="2" t="s">
        <v>4334</v>
      </c>
      <c r="C5813" s="2" t="s">
        <v>4517</v>
      </c>
      <c r="D5813" s="3" t="str">
        <f t="shared" si="1021"/>
        <v>12Go Link</v>
      </c>
      <c r="E5813" s="2" t="s">
        <v>4339</v>
      </c>
    </row>
    <row r="5814">
      <c r="A5814" s="2" t="s">
        <v>4353</v>
      </c>
      <c r="B5814" s="2" t="s">
        <v>4334</v>
      </c>
      <c r="C5814" s="2" t="s">
        <v>4517</v>
      </c>
      <c r="D5814" s="3" t="str">
        <f t="shared" si="1021"/>
        <v>12Go Link</v>
      </c>
      <c r="E5814" s="2" t="s">
        <v>4340</v>
      </c>
    </row>
    <row r="5815">
      <c r="A5815" s="2" t="s">
        <v>4353</v>
      </c>
      <c r="B5815" s="2" t="s">
        <v>4344</v>
      </c>
      <c r="C5815" s="2" t="s">
        <v>4518</v>
      </c>
      <c r="D5815" s="3" t="str">
        <f t="shared" ref="D5815:D5820" si="1022">HYPERLINK("https://12go.asia/en/travel/Essaouira-Mogador-Airport/Aourir-Hotel-Transfer", "12Go Link")</f>
        <v>12Go Link</v>
      </c>
      <c r="E5815" s="2" t="s">
        <v>4336</v>
      </c>
    </row>
    <row r="5816">
      <c r="A5816" s="2" t="s">
        <v>4353</v>
      </c>
      <c r="B5816" s="2" t="s">
        <v>4344</v>
      </c>
      <c r="C5816" s="2" t="s">
        <v>4518</v>
      </c>
      <c r="D5816" s="3" t="str">
        <f t="shared" si="1022"/>
        <v>12Go Link</v>
      </c>
      <c r="E5816" s="2" t="s">
        <v>4337</v>
      </c>
    </row>
    <row r="5817">
      <c r="A5817" s="2" t="s">
        <v>4353</v>
      </c>
      <c r="B5817" s="2" t="s">
        <v>4344</v>
      </c>
      <c r="C5817" s="2" t="s">
        <v>4518</v>
      </c>
      <c r="D5817" s="3" t="str">
        <f t="shared" si="1022"/>
        <v>12Go Link</v>
      </c>
      <c r="E5817" s="2" t="s">
        <v>4137</v>
      </c>
    </row>
    <row r="5818">
      <c r="A5818" s="2" t="s">
        <v>4353</v>
      </c>
      <c r="B5818" s="2" t="s">
        <v>4344</v>
      </c>
      <c r="C5818" s="2" t="s">
        <v>4518</v>
      </c>
      <c r="D5818" s="3" t="str">
        <f t="shared" si="1022"/>
        <v>12Go Link</v>
      </c>
      <c r="E5818" s="2" t="s">
        <v>4338</v>
      </c>
    </row>
    <row r="5819">
      <c r="A5819" s="2" t="s">
        <v>4353</v>
      </c>
      <c r="B5819" s="2" t="s">
        <v>4344</v>
      </c>
      <c r="C5819" s="2" t="s">
        <v>4518</v>
      </c>
      <c r="D5819" s="3" t="str">
        <f t="shared" si="1022"/>
        <v>12Go Link</v>
      </c>
      <c r="E5819" s="2" t="s">
        <v>4339</v>
      </c>
    </row>
    <row r="5820">
      <c r="A5820" s="2" t="s">
        <v>4353</v>
      </c>
      <c r="B5820" s="2" t="s">
        <v>4344</v>
      </c>
      <c r="C5820" s="2" t="s">
        <v>4518</v>
      </c>
      <c r="D5820" s="3" t="str">
        <f t="shared" si="1022"/>
        <v>12Go Link</v>
      </c>
      <c r="E5820" s="2" t="s">
        <v>4340</v>
      </c>
    </row>
    <row r="5821">
      <c r="A5821" s="2" t="s">
        <v>4353</v>
      </c>
      <c r="B5821" s="2" t="s">
        <v>4350</v>
      </c>
      <c r="C5821" s="2" t="s">
        <v>4519</v>
      </c>
      <c r="D5821" s="3" t="str">
        <f t="shared" ref="D5821:D5826" si="1023">HYPERLINK("https://12go.asia/en/travel/Essaouira-Hotel-Transfer/Mohammed-V-International-Airport", "12Go Link")</f>
        <v>12Go Link</v>
      </c>
      <c r="E5821" s="2" t="s">
        <v>4336</v>
      </c>
    </row>
    <row r="5822">
      <c r="A5822" s="2" t="s">
        <v>4353</v>
      </c>
      <c r="B5822" s="2" t="s">
        <v>4350</v>
      </c>
      <c r="C5822" s="2" t="s">
        <v>4519</v>
      </c>
      <c r="D5822" s="3" t="str">
        <f t="shared" si="1023"/>
        <v>12Go Link</v>
      </c>
      <c r="E5822" s="2" t="s">
        <v>4337</v>
      </c>
    </row>
    <row r="5823">
      <c r="A5823" s="2" t="s">
        <v>4353</v>
      </c>
      <c r="B5823" s="2" t="s">
        <v>4350</v>
      </c>
      <c r="C5823" s="2" t="s">
        <v>4519</v>
      </c>
      <c r="D5823" s="3" t="str">
        <f t="shared" si="1023"/>
        <v>12Go Link</v>
      </c>
      <c r="E5823" s="2" t="s">
        <v>4137</v>
      </c>
    </row>
    <row r="5824">
      <c r="A5824" s="2" t="s">
        <v>4353</v>
      </c>
      <c r="B5824" s="2" t="s">
        <v>4350</v>
      </c>
      <c r="C5824" s="2" t="s">
        <v>4519</v>
      </c>
      <c r="D5824" s="3" t="str">
        <f t="shared" si="1023"/>
        <v>12Go Link</v>
      </c>
      <c r="E5824" s="2" t="s">
        <v>4338</v>
      </c>
    </row>
    <row r="5825">
      <c r="A5825" s="2" t="s">
        <v>4353</v>
      </c>
      <c r="B5825" s="2" t="s">
        <v>4350</v>
      </c>
      <c r="C5825" s="2" t="s">
        <v>4519</v>
      </c>
      <c r="D5825" s="3" t="str">
        <f t="shared" si="1023"/>
        <v>12Go Link</v>
      </c>
      <c r="E5825" s="2" t="s">
        <v>4339</v>
      </c>
    </row>
    <row r="5826">
      <c r="A5826" s="2" t="s">
        <v>4353</v>
      </c>
      <c r="B5826" s="2" t="s">
        <v>4350</v>
      </c>
      <c r="C5826" s="2" t="s">
        <v>4519</v>
      </c>
      <c r="D5826" s="3" t="str">
        <f t="shared" si="1023"/>
        <v>12Go Link</v>
      </c>
      <c r="E5826" s="2" t="s">
        <v>4340</v>
      </c>
    </row>
    <row r="5827">
      <c r="A5827" s="2" t="s">
        <v>4353</v>
      </c>
      <c r="B5827" s="2" t="s">
        <v>4353</v>
      </c>
      <c r="C5827" s="2" t="s">
        <v>4520</v>
      </c>
      <c r="D5827" s="3" t="str">
        <f t="shared" ref="D5827:D5832" si="1024">HYPERLINK("https://12go.asia/en/travel/Essaouira-Hotel-Transfer/Essaouira-Mogador-Airport", "12Go Link")</f>
        <v>12Go Link</v>
      </c>
      <c r="E5827" s="2" t="s">
        <v>4336</v>
      </c>
    </row>
    <row r="5828">
      <c r="A5828" s="2" t="s">
        <v>4353</v>
      </c>
      <c r="B5828" s="2" t="s">
        <v>4353</v>
      </c>
      <c r="C5828" s="2" t="s">
        <v>4520</v>
      </c>
      <c r="D5828" s="3" t="str">
        <f t="shared" si="1024"/>
        <v>12Go Link</v>
      </c>
      <c r="E5828" s="2" t="s">
        <v>4337</v>
      </c>
    </row>
    <row r="5829">
      <c r="A5829" s="2" t="s">
        <v>4353</v>
      </c>
      <c r="B5829" s="2" t="s">
        <v>4353</v>
      </c>
      <c r="C5829" s="2" t="s">
        <v>4520</v>
      </c>
      <c r="D5829" s="3" t="str">
        <f t="shared" si="1024"/>
        <v>12Go Link</v>
      </c>
      <c r="E5829" s="2" t="s">
        <v>4137</v>
      </c>
    </row>
    <row r="5830">
      <c r="A5830" s="2" t="s">
        <v>4353</v>
      </c>
      <c r="B5830" s="2" t="s">
        <v>4353</v>
      </c>
      <c r="C5830" s="2" t="s">
        <v>4520</v>
      </c>
      <c r="D5830" s="3" t="str">
        <f t="shared" si="1024"/>
        <v>12Go Link</v>
      </c>
      <c r="E5830" s="2" t="s">
        <v>4338</v>
      </c>
    </row>
    <row r="5831">
      <c r="A5831" s="2" t="s">
        <v>4353</v>
      </c>
      <c r="B5831" s="2" t="s">
        <v>4353</v>
      </c>
      <c r="C5831" s="2" t="s">
        <v>4520</v>
      </c>
      <c r="D5831" s="3" t="str">
        <f t="shared" si="1024"/>
        <v>12Go Link</v>
      </c>
      <c r="E5831" s="2" t="s">
        <v>4339</v>
      </c>
    </row>
    <row r="5832">
      <c r="A5832" s="2" t="s">
        <v>4353</v>
      </c>
      <c r="B5832" s="2" t="s">
        <v>4353</v>
      </c>
      <c r="C5832" s="2" t="s">
        <v>4520</v>
      </c>
      <c r="D5832" s="3" t="str">
        <f t="shared" si="1024"/>
        <v>12Go Link</v>
      </c>
      <c r="E5832" s="2" t="s">
        <v>4340</v>
      </c>
    </row>
    <row r="5833">
      <c r="A5833" s="2" t="s">
        <v>4353</v>
      </c>
      <c r="B5833" s="2" t="s">
        <v>4353</v>
      </c>
      <c r="C5833" s="2" t="s">
        <v>4521</v>
      </c>
      <c r="D5833" s="3" t="str">
        <f t="shared" ref="D5833:D5838" si="1025">HYPERLINK("https://12go.asia/en/travel/Essaouira-Mogador-Airport/Essaouira-Hotel-Transfer", "12Go Link")</f>
        <v>12Go Link</v>
      </c>
      <c r="E5833" s="2" t="s">
        <v>4336</v>
      </c>
    </row>
    <row r="5834">
      <c r="A5834" s="2" t="s">
        <v>4353</v>
      </c>
      <c r="B5834" s="2" t="s">
        <v>4353</v>
      </c>
      <c r="C5834" s="2" t="s">
        <v>4521</v>
      </c>
      <c r="D5834" s="3" t="str">
        <f t="shared" si="1025"/>
        <v>12Go Link</v>
      </c>
      <c r="E5834" s="2" t="s">
        <v>4337</v>
      </c>
    </row>
    <row r="5835">
      <c r="A5835" s="2" t="s">
        <v>4353</v>
      </c>
      <c r="B5835" s="2" t="s">
        <v>4353</v>
      </c>
      <c r="C5835" s="2" t="s">
        <v>4521</v>
      </c>
      <c r="D5835" s="3" t="str">
        <f t="shared" si="1025"/>
        <v>12Go Link</v>
      </c>
      <c r="E5835" s="2" t="s">
        <v>4137</v>
      </c>
    </row>
    <row r="5836">
      <c r="A5836" s="2" t="s">
        <v>4353</v>
      </c>
      <c r="B5836" s="2" t="s">
        <v>4353</v>
      </c>
      <c r="C5836" s="2" t="s">
        <v>4521</v>
      </c>
      <c r="D5836" s="3" t="str">
        <f t="shared" si="1025"/>
        <v>12Go Link</v>
      </c>
      <c r="E5836" s="2" t="s">
        <v>4338</v>
      </c>
    </row>
    <row r="5837">
      <c r="A5837" s="2" t="s">
        <v>4353</v>
      </c>
      <c r="B5837" s="2" t="s">
        <v>4353</v>
      </c>
      <c r="C5837" s="2" t="s">
        <v>4521</v>
      </c>
      <c r="D5837" s="3" t="str">
        <f t="shared" si="1025"/>
        <v>12Go Link</v>
      </c>
      <c r="E5837" s="2" t="s">
        <v>4339</v>
      </c>
    </row>
    <row r="5838">
      <c r="A5838" s="2" t="s">
        <v>4353</v>
      </c>
      <c r="B5838" s="2" t="s">
        <v>4353</v>
      </c>
      <c r="C5838" s="2" t="s">
        <v>4521</v>
      </c>
      <c r="D5838" s="3" t="str">
        <f t="shared" si="1025"/>
        <v>12Go Link</v>
      </c>
      <c r="E5838" s="2" t="s">
        <v>4340</v>
      </c>
    </row>
    <row r="5839">
      <c r="A5839" s="2" t="s">
        <v>4353</v>
      </c>
      <c r="B5839" s="2" t="s">
        <v>4357</v>
      </c>
      <c r="C5839" s="2" t="s">
        <v>4522</v>
      </c>
      <c r="D5839" s="3" t="str">
        <f t="shared" ref="D5839:D5844" si="1026">HYPERLINK("https://12go.asia/en/travel/Essaouira-Hotel-Transfer/Fes-Airport", "12Go Link")</f>
        <v>12Go Link</v>
      </c>
      <c r="E5839" s="2" t="s">
        <v>4336</v>
      </c>
    </row>
    <row r="5840">
      <c r="A5840" s="2" t="s">
        <v>4353</v>
      </c>
      <c r="B5840" s="2" t="s">
        <v>4357</v>
      </c>
      <c r="C5840" s="2" t="s">
        <v>4522</v>
      </c>
      <c r="D5840" s="3" t="str">
        <f t="shared" si="1026"/>
        <v>12Go Link</v>
      </c>
      <c r="E5840" s="2" t="s">
        <v>4337</v>
      </c>
    </row>
    <row r="5841">
      <c r="A5841" s="2" t="s">
        <v>4353</v>
      </c>
      <c r="B5841" s="2" t="s">
        <v>4357</v>
      </c>
      <c r="C5841" s="2" t="s">
        <v>4522</v>
      </c>
      <c r="D5841" s="3" t="str">
        <f t="shared" si="1026"/>
        <v>12Go Link</v>
      </c>
      <c r="E5841" s="2" t="s">
        <v>4137</v>
      </c>
    </row>
    <row r="5842">
      <c r="A5842" s="2" t="s">
        <v>4353</v>
      </c>
      <c r="B5842" s="2" t="s">
        <v>4357</v>
      </c>
      <c r="C5842" s="2" t="s">
        <v>4522</v>
      </c>
      <c r="D5842" s="3" t="str">
        <f t="shared" si="1026"/>
        <v>12Go Link</v>
      </c>
      <c r="E5842" s="2" t="s">
        <v>4338</v>
      </c>
    </row>
    <row r="5843">
      <c r="A5843" s="2" t="s">
        <v>4353</v>
      </c>
      <c r="B5843" s="2" t="s">
        <v>4357</v>
      </c>
      <c r="C5843" s="2" t="s">
        <v>4522</v>
      </c>
      <c r="D5843" s="3" t="str">
        <f t="shared" si="1026"/>
        <v>12Go Link</v>
      </c>
      <c r="E5843" s="2" t="s">
        <v>4339</v>
      </c>
    </row>
    <row r="5844">
      <c r="A5844" s="2" t="s">
        <v>4353</v>
      </c>
      <c r="B5844" s="2" t="s">
        <v>4357</v>
      </c>
      <c r="C5844" s="2" t="s">
        <v>4522</v>
      </c>
      <c r="D5844" s="3" t="str">
        <f t="shared" si="1026"/>
        <v>12Go Link</v>
      </c>
      <c r="E5844" s="2" t="s">
        <v>4340</v>
      </c>
    </row>
    <row r="5845">
      <c r="A5845" s="2" t="s">
        <v>4353</v>
      </c>
      <c r="B5845" s="2" t="s">
        <v>4357</v>
      </c>
      <c r="C5845" s="2" t="s">
        <v>4523</v>
      </c>
      <c r="D5845" s="3" t="str">
        <f t="shared" ref="D5845:D5850" si="1027">HYPERLINK("https://12go.asia/en/travel/Essaouira-Mogador-Airport/Fes-Airport", "12Go Link")</f>
        <v>12Go Link</v>
      </c>
      <c r="E5845" s="2" t="s">
        <v>4336</v>
      </c>
    </row>
    <row r="5846">
      <c r="A5846" s="2" t="s">
        <v>4353</v>
      </c>
      <c r="B5846" s="2" t="s">
        <v>4357</v>
      </c>
      <c r="C5846" s="2" t="s">
        <v>4523</v>
      </c>
      <c r="D5846" s="3" t="str">
        <f t="shared" si="1027"/>
        <v>12Go Link</v>
      </c>
      <c r="E5846" s="2" t="s">
        <v>4337</v>
      </c>
    </row>
    <row r="5847">
      <c r="A5847" s="2" t="s">
        <v>4353</v>
      </c>
      <c r="B5847" s="2" t="s">
        <v>4357</v>
      </c>
      <c r="C5847" s="2" t="s">
        <v>4523</v>
      </c>
      <c r="D5847" s="3" t="str">
        <f t="shared" si="1027"/>
        <v>12Go Link</v>
      </c>
      <c r="E5847" s="2" t="s">
        <v>4137</v>
      </c>
    </row>
    <row r="5848">
      <c r="A5848" s="2" t="s">
        <v>4353</v>
      </c>
      <c r="B5848" s="2" t="s">
        <v>4357</v>
      </c>
      <c r="C5848" s="2" t="s">
        <v>4523</v>
      </c>
      <c r="D5848" s="3" t="str">
        <f t="shared" si="1027"/>
        <v>12Go Link</v>
      </c>
      <c r="E5848" s="2" t="s">
        <v>4338</v>
      </c>
    </row>
    <row r="5849">
      <c r="A5849" s="2" t="s">
        <v>4353</v>
      </c>
      <c r="B5849" s="2" t="s">
        <v>4357</v>
      </c>
      <c r="C5849" s="2" t="s">
        <v>4523</v>
      </c>
      <c r="D5849" s="3" t="str">
        <f t="shared" si="1027"/>
        <v>12Go Link</v>
      </c>
      <c r="E5849" s="2" t="s">
        <v>4339</v>
      </c>
    </row>
    <row r="5850">
      <c r="A5850" s="2" t="s">
        <v>4353</v>
      </c>
      <c r="B5850" s="2" t="s">
        <v>4357</v>
      </c>
      <c r="C5850" s="2" t="s">
        <v>4523</v>
      </c>
      <c r="D5850" s="3" t="str">
        <f t="shared" si="1027"/>
        <v>12Go Link</v>
      </c>
      <c r="E5850" s="2" t="s">
        <v>4340</v>
      </c>
    </row>
    <row r="5851">
      <c r="A5851" s="2" t="s">
        <v>4353</v>
      </c>
      <c r="B5851" s="2" t="s">
        <v>4357</v>
      </c>
      <c r="C5851" s="2" t="s">
        <v>4524</v>
      </c>
      <c r="D5851" s="3" t="str">
        <f t="shared" ref="D5851:D5856" si="1028">HYPERLINK("https://12go.asia/en/travel/Essaouira-Mogador-Airport/Fes-Hotel-Transfer", "12Go Link")</f>
        <v>12Go Link</v>
      </c>
      <c r="E5851" s="2" t="s">
        <v>4336</v>
      </c>
    </row>
    <row r="5852">
      <c r="A5852" s="2" t="s">
        <v>4353</v>
      </c>
      <c r="B5852" s="2" t="s">
        <v>4357</v>
      </c>
      <c r="C5852" s="2" t="s">
        <v>4524</v>
      </c>
      <c r="D5852" s="3" t="str">
        <f t="shared" si="1028"/>
        <v>12Go Link</v>
      </c>
      <c r="E5852" s="2" t="s">
        <v>4337</v>
      </c>
    </row>
    <row r="5853">
      <c r="A5853" s="2" t="s">
        <v>4353</v>
      </c>
      <c r="B5853" s="2" t="s">
        <v>4357</v>
      </c>
      <c r="C5853" s="2" t="s">
        <v>4524</v>
      </c>
      <c r="D5853" s="3" t="str">
        <f t="shared" si="1028"/>
        <v>12Go Link</v>
      </c>
      <c r="E5853" s="2" t="s">
        <v>4137</v>
      </c>
    </row>
    <row r="5854">
      <c r="A5854" s="2" t="s">
        <v>4353</v>
      </c>
      <c r="B5854" s="2" t="s">
        <v>4357</v>
      </c>
      <c r="C5854" s="2" t="s">
        <v>4524</v>
      </c>
      <c r="D5854" s="3" t="str">
        <f t="shared" si="1028"/>
        <v>12Go Link</v>
      </c>
      <c r="E5854" s="2" t="s">
        <v>4338</v>
      </c>
    </row>
    <row r="5855">
      <c r="A5855" s="2" t="s">
        <v>4353</v>
      </c>
      <c r="B5855" s="2" t="s">
        <v>4357</v>
      </c>
      <c r="C5855" s="2" t="s">
        <v>4524</v>
      </c>
      <c r="D5855" s="3" t="str">
        <f t="shared" si="1028"/>
        <v>12Go Link</v>
      </c>
      <c r="E5855" s="2" t="s">
        <v>4339</v>
      </c>
    </row>
    <row r="5856">
      <c r="A5856" s="2" t="s">
        <v>4353</v>
      </c>
      <c r="B5856" s="2" t="s">
        <v>4357</v>
      </c>
      <c r="C5856" s="2" t="s">
        <v>4524</v>
      </c>
      <c r="D5856" s="3" t="str">
        <f t="shared" si="1028"/>
        <v>12Go Link</v>
      </c>
      <c r="E5856" s="2" t="s">
        <v>4340</v>
      </c>
    </row>
    <row r="5857">
      <c r="A5857" s="2" t="s">
        <v>4353</v>
      </c>
      <c r="B5857" s="2" t="s">
        <v>4364</v>
      </c>
      <c r="C5857" s="2" t="s">
        <v>4525</v>
      </c>
      <c r="D5857" s="3" t="str">
        <f t="shared" ref="D5857:D5862" si="1029">HYPERLINK("https://12go.asia/en/travel/Essaouira-Mogador-Airport/Imi-Ouaddar-Hotel-Transfer", "12Go Link")</f>
        <v>12Go Link</v>
      </c>
      <c r="E5857" s="2" t="s">
        <v>4336</v>
      </c>
    </row>
    <row r="5858">
      <c r="A5858" s="2" t="s">
        <v>4353</v>
      </c>
      <c r="B5858" s="2" t="s">
        <v>4364</v>
      </c>
      <c r="C5858" s="2" t="s">
        <v>4525</v>
      </c>
      <c r="D5858" s="3" t="str">
        <f t="shared" si="1029"/>
        <v>12Go Link</v>
      </c>
      <c r="E5858" s="2" t="s">
        <v>4337</v>
      </c>
    </row>
    <row r="5859">
      <c r="A5859" s="2" t="s">
        <v>4353</v>
      </c>
      <c r="B5859" s="2" t="s">
        <v>4364</v>
      </c>
      <c r="C5859" s="2" t="s">
        <v>4525</v>
      </c>
      <c r="D5859" s="3" t="str">
        <f t="shared" si="1029"/>
        <v>12Go Link</v>
      </c>
      <c r="E5859" s="2" t="s">
        <v>4137</v>
      </c>
    </row>
    <row r="5860">
      <c r="A5860" s="2" t="s">
        <v>4353</v>
      </c>
      <c r="B5860" s="2" t="s">
        <v>4364</v>
      </c>
      <c r="C5860" s="2" t="s">
        <v>4525</v>
      </c>
      <c r="D5860" s="3" t="str">
        <f t="shared" si="1029"/>
        <v>12Go Link</v>
      </c>
      <c r="E5860" s="2" t="s">
        <v>4338</v>
      </c>
    </row>
    <row r="5861">
      <c r="A5861" s="2" t="s">
        <v>4353</v>
      </c>
      <c r="B5861" s="2" t="s">
        <v>4364</v>
      </c>
      <c r="C5861" s="2" t="s">
        <v>4525</v>
      </c>
      <c r="D5861" s="3" t="str">
        <f t="shared" si="1029"/>
        <v>12Go Link</v>
      </c>
      <c r="E5861" s="2" t="s">
        <v>4339</v>
      </c>
    </row>
    <row r="5862">
      <c r="A5862" s="2" t="s">
        <v>4353</v>
      </c>
      <c r="B5862" s="2" t="s">
        <v>4364</v>
      </c>
      <c r="C5862" s="2" t="s">
        <v>4525</v>
      </c>
      <c r="D5862" s="3" t="str">
        <f t="shared" si="1029"/>
        <v>12Go Link</v>
      </c>
      <c r="E5862" s="2" t="s">
        <v>4340</v>
      </c>
    </row>
    <row r="5863">
      <c r="A5863" s="2" t="s">
        <v>4353</v>
      </c>
      <c r="B5863" s="2" t="s">
        <v>4372</v>
      </c>
      <c r="C5863" s="2" t="s">
        <v>4526</v>
      </c>
      <c r="D5863" s="3" t="str">
        <f t="shared" ref="D5863:D5868" si="1030">HYPERLINK("https://12go.asia/en/travel/Essaouira-Hotel-Transfer/Marrakesh-Menara-Airport", "12Go Link")</f>
        <v>12Go Link</v>
      </c>
      <c r="E5863" s="2" t="s">
        <v>4336</v>
      </c>
    </row>
    <row r="5864">
      <c r="A5864" s="2" t="s">
        <v>4353</v>
      </c>
      <c r="B5864" s="2" t="s">
        <v>4372</v>
      </c>
      <c r="C5864" s="2" t="s">
        <v>4526</v>
      </c>
      <c r="D5864" s="3" t="str">
        <f t="shared" si="1030"/>
        <v>12Go Link</v>
      </c>
      <c r="E5864" s="2" t="s">
        <v>4337</v>
      </c>
    </row>
    <row r="5865">
      <c r="A5865" s="2" t="s">
        <v>4353</v>
      </c>
      <c r="B5865" s="2" t="s">
        <v>4372</v>
      </c>
      <c r="C5865" s="2" t="s">
        <v>4526</v>
      </c>
      <c r="D5865" s="3" t="str">
        <f t="shared" si="1030"/>
        <v>12Go Link</v>
      </c>
      <c r="E5865" s="2" t="s">
        <v>4137</v>
      </c>
    </row>
    <row r="5866">
      <c r="A5866" s="2" t="s">
        <v>4353</v>
      </c>
      <c r="B5866" s="2" t="s">
        <v>4372</v>
      </c>
      <c r="C5866" s="2" t="s">
        <v>4526</v>
      </c>
      <c r="D5866" s="3" t="str">
        <f t="shared" si="1030"/>
        <v>12Go Link</v>
      </c>
      <c r="E5866" s="2" t="s">
        <v>4338</v>
      </c>
    </row>
    <row r="5867">
      <c r="A5867" s="2" t="s">
        <v>4353</v>
      </c>
      <c r="B5867" s="2" t="s">
        <v>4372</v>
      </c>
      <c r="C5867" s="2" t="s">
        <v>4526</v>
      </c>
      <c r="D5867" s="3" t="str">
        <f t="shared" si="1030"/>
        <v>12Go Link</v>
      </c>
      <c r="E5867" s="2" t="s">
        <v>4339</v>
      </c>
    </row>
    <row r="5868">
      <c r="A5868" s="2" t="s">
        <v>4353</v>
      </c>
      <c r="B5868" s="2" t="s">
        <v>4372</v>
      </c>
      <c r="C5868" s="2" t="s">
        <v>4526</v>
      </c>
      <c r="D5868" s="3" t="str">
        <f t="shared" si="1030"/>
        <v>12Go Link</v>
      </c>
      <c r="E5868" s="2" t="s">
        <v>4340</v>
      </c>
    </row>
    <row r="5869">
      <c r="A5869" s="2" t="s">
        <v>4353</v>
      </c>
      <c r="B5869" s="2" t="s">
        <v>4372</v>
      </c>
      <c r="C5869" s="2" t="s">
        <v>4527</v>
      </c>
      <c r="D5869" s="3" t="str">
        <f t="shared" ref="D5869:D5874" si="1031">HYPERLINK("https://12go.asia/en/travel/Essaouira-Mogador-Airport/Marrakech-Medina-Transfer", "12Go Link")</f>
        <v>12Go Link</v>
      </c>
      <c r="E5869" s="2" t="s">
        <v>4336</v>
      </c>
    </row>
    <row r="5870">
      <c r="A5870" s="2" t="s">
        <v>4353</v>
      </c>
      <c r="B5870" s="2" t="s">
        <v>4372</v>
      </c>
      <c r="C5870" s="2" t="s">
        <v>4527</v>
      </c>
      <c r="D5870" s="3" t="str">
        <f t="shared" si="1031"/>
        <v>12Go Link</v>
      </c>
      <c r="E5870" s="2" t="s">
        <v>4337</v>
      </c>
    </row>
    <row r="5871">
      <c r="A5871" s="2" t="s">
        <v>4353</v>
      </c>
      <c r="B5871" s="2" t="s">
        <v>4372</v>
      </c>
      <c r="C5871" s="2" t="s">
        <v>4527</v>
      </c>
      <c r="D5871" s="3" t="str">
        <f t="shared" si="1031"/>
        <v>12Go Link</v>
      </c>
      <c r="E5871" s="2" t="s">
        <v>4137</v>
      </c>
    </row>
    <row r="5872">
      <c r="A5872" s="2" t="s">
        <v>4353</v>
      </c>
      <c r="B5872" s="2" t="s">
        <v>4372</v>
      </c>
      <c r="C5872" s="2" t="s">
        <v>4527</v>
      </c>
      <c r="D5872" s="3" t="str">
        <f t="shared" si="1031"/>
        <v>12Go Link</v>
      </c>
      <c r="E5872" s="2" t="s">
        <v>4338</v>
      </c>
    </row>
    <row r="5873">
      <c r="A5873" s="2" t="s">
        <v>4353</v>
      </c>
      <c r="B5873" s="2" t="s">
        <v>4372</v>
      </c>
      <c r="C5873" s="2" t="s">
        <v>4527</v>
      </c>
      <c r="D5873" s="3" t="str">
        <f t="shared" si="1031"/>
        <v>12Go Link</v>
      </c>
      <c r="E5873" s="2" t="s">
        <v>4339</v>
      </c>
    </row>
    <row r="5874">
      <c r="A5874" s="2" t="s">
        <v>4353</v>
      </c>
      <c r="B5874" s="2" t="s">
        <v>4372</v>
      </c>
      <c r="C5874" s="2" t="s">
        <v>4527</v>
      </c>
      <c r="D5874" s="3" t="str">
        <f t="shared" si="1031"/>
        <v>12Go Link</v>
      </c>
      <c r="E5874" s="2" t="s">
        <v>4340</v>
      </c>
    </row>
    <row r="5875">
      <c r="A5875" s="2" t="s">
        <v>4353</v>
      </c>
      <c r="B5875" s="2" t="s">
        <v>4372</v>
      </c>
      <c r="C5875" s="2" t="s">
        <v>4528</v>
      </c>
      <c r="D5875" s="3" t="str">
        <f t="shared" ref="D5875:D5880" si="1032">HYPERLINK("https://12go.asia/en/travel/Essaouira-Mogador-Airport/Marrakesh-Hotel-Transfer", "12Go Link")</f>
        <v>12Go Link</v>
      </c>
      <c r="E5875" s="2" t="s">
        <v>4336</v>
      </c>
    </row>
    <row r="5876">
      <c r="A5876" s="2" t="s">
        <v>4353</v>
      </c>
      <c r="B5876" s="2" t="s">
        <v>4372</v>
      </c>
      <c r="C5876" s="2" t="s">
        <v>4528</v>
      </c>
      <c r="D5876" s="3" t="str">
        <f t="shared" si="1032"/>
        <v>12Go Link</v>
      </c>
      <c r="E5876" s="2" t="s">
        <v>4337</v>
      </c>
    </row>
    <row r="5877">
      <c r="A5877" s="2" t="s">
        <v>4353</v>
      </c>
      <c r="B5877" s="2" t="s">
        <v>4372</v>
      </c>
      <c r="C5877" s="2" t="s">
        <v>4528</v>
      </c>
      <c r="D5877" s="3" t="str">
        <f t="shared" si="1032"/>
        <v>12Go Link</v>
      </c>
      <c r="E5877" s="2" t="s">
        <v>4137</v>
      </c>
    </row>
    <row r="5878">
      <c r="A5878" s="2" t="s">
        <v>4353</v>
      </c>
      <c r="B5878" s="2" t="s">
        <v>4372</v>
      </c>
      <c r="C5878" s="2" t="s">
        <v>4528</v>
      </c>
      <c r="D5878" s="3" t="str">
        <f t="shared" si="1032"/>
        <v>12Go Link</v>
      </c>
      <c r="E5878" s="2" t="s">
        <v>4338</v>
      </c>
    </row>
    <row r="5879">
      <c r="A5879" s="2" t="s">
        <v>4353</v>
      </c>
      <c r="B5879" s="2" t="s">
        <v>4372</v>
      </c>
      <c r="C5879" s="2" t="s">
        <v>4528</v>
      </c>
      <c r="D5879" s="3" t="str">
        <f t="shared" si="1032"/>
        <v>12Go Link</v>
      </c>
      <c r="E5879" s="2" t="s">
        <v>4339</v>
      </c>
    </row>
    <row r="5880">
      <c r="A5880" s="2" t="s">
        <v>4353</v>
      </c>
      <c r="B5880" s="2" t="s">
        <v>4372</v>
      </c>
      <c r="C5880" s="2" t="s">
        <v>4528</v>
      </c>
      <c r="D5880" s="3" t="str">
        <f t="shared" si="1032"/>
        <v>12Go Link</v>
      </c>
      <c r="E5880" s="2" t="s">
        <v>4340</v>
      </c>
    </row>
    <row r="5881">
      <c r="A5881" s="2" t="s">
        <v>4353</v>
      </c>
      <c r="B5881" s="2" t="s">
        <v>4372</v>
      </c>
      <c r="C5881" s="2" t="s">
        <v>4529</v>
      </c>
      <c r="D5881" s="3" t="str">
        <f t="shared" ref="D5881:D5886" si="1033">HYPERLINK("https://12go.asia/en/travel/Essaouira-Mogador-Airport/Marrakesh-Menara-Airport", "12Go Link")</f>
        <v>12Go Link</v>
      </c>
      <c r="E5881" s="2" t="s">
        <v>4336</v>
      </c>
    </row>
    <row r="5882">
      <c r="A5882" s="2" t="s">
        <v>4353</v>
      </c>
      <c r="B5882" s="2" t="s">
        <v>4372</v>
      </c>
      <c r="C5882" s="2" t="s">
        <v>4529</v>
      </c>
      <c r="D5882" s="3" t="str">
        <f t="shared" si="1033"/>
        <v>12Go Link</v>
      </c>
      <c r="E5882" s="2" t="s">
        <v>4337</v>
      </c>
    </row>
    <row r="5883">
      <c r="A5883" s="2" t="s">
        <v>4353</v>
      </c>
      <c r="B5883" s="2" t="s">
        <v>4372</v>
      </c>
      <c r="C5883" s="2" t="s">
        <v>4529</v>
      </c>
      <c r="D5883" s="3" t="str">
        <f t="shared" si="1033"/>
        <v>12Go Link</v>
      </c>
      <c r="E5883" s="2" t="s">
        <v>4137</v>
      </c>
    </row>
    <row r="5884">
      <c r="A5884" s="2" t="s">
        <v>4353</v>
      </c>
      <c r="B5884" s="2" t="s">
        <v>4372</v>
      </c>
      <c r="C5884" s="2" t="s">
        <v>4529</v>
      </c>
      <c r="D5884" s="3" t="str">
        <f t="shared" si="1033"/>
        <v>12Go Link</v>
      </c>
      <c r="E5884" s="2" t="s">
        <v>4338</v>
      </c>
    </row>
    <row r="5885">
      <c r="A5885" s="2" t="s">
        <v>4353</v>
      </c>
      <c r="B5885" s="2" t="s">
        <v>4372</v>
      </c>
      <c r="C5885" s="2" t="s">
        <v>4529</v>
      </c>
      <c r="D5885" s="3" t="str">
        <f t="shared" si="1033"/>
        <v>12Go Link</v>
      </c>
      <c r="E5885" s="2" t="s">
        <v>4339</v>
      </c>
    </row>
    <row r="5886">
      <c r="A5886" s="2" t="s">
        <v>4353</v>
      </c>
      <c r="B5886" s="2" t="s">
        <v>4372</v>
      </c>
      <c r="C5886" s="2" t="s">
        <v>4529</v>
      </c>
      <c r="D5886" s="3" t="str">
        <f t="shared" si="1033"/>
        <v>12Go Link</v>
      </c>
      <c r="E5886" s="2" t="s">
        <v>4340</v>
      </c>
    </row>
    <row r="5887">
      <c r="A5887" s="2" t="s">
        <v>4353</v>
      </c>
      <c r="B5887" s="2" t="s">
        <v>4379</v>
      </c>
      <c r="C5887" s="2" t="s">
        <v>4530</v>
      </c>
      <c r="D5887" s="3" t="str">
        <f t="shared" ref="D5887:D5892" si="1034">HYPERLINK("https://12go.asia/en/travel/Essaouira-Mogador-Airport/Mirleft-Hotel-Transfer", "12Go Link")</f>
        <v>12Go Link</v>
      </c>
      <c r="E5887" s="2" t="s">
        <v>4336</v>
      </c>
    </row>
    <row r="5888">
      <c r="A5888" s="2" t="s">
        <v>4353</v>
      </c>
      <c r="B5888" s="2" t="s">
        <v>4379</v>
      </c>
      <c r="C5888" s="2" t="s">
        <v>4530</v>
      </c>
      <c r="D5888" s="3" t="str">
        <f t="shared" si="1034"/>
        <v>12Go Link</v>
      </c>
      <c r="E5888" s="2" t="s">
        <v>4337</v>
      </c>
    </row>
    <row r="5889">
      <c r="A5889" s="2" t="s">
        <v>4353</v>
      </c>
      <c r="B5889" s="2" t="s">
        <v>4379</v>
      </c>
      <c r="C5889" s="2" t="s">
        <v>4530</v>
      </c>
      <c r="D5889" s="3" t="str">
        <f t="shared" si="1034"/>
        <v>12Go Link</v>
      </c>
      <c r="E5889" s="2" t="s">
        <v>4137</v>
      </c>
    </row>
    <row r="5890">
      <c r="A5890" s="2" t="s">
        <v>4353</v>
      </c>
      <c r="B5890" s="2" t="s">
        <v>4379</v>
      </c>
      <c r="C5890" s="2" t="s">
        <v>4530</v>
      </c>
      <c r="D5890" s="3" t="str">
        <f t="shared" si="1034"/>
        <v>12Go Link</v>
      </c>
      <c r="E5890" s="2" t="s">
        <v>4338</v>
      </c>
    </row>
    <row r="5891">
      <c r="A5891" s="2" t="s">
        <v>4353</v>
      </c>
      <c r="B5891" s="2" t="s">
        <v>4379</v>
      </c>
      <c r="C5891" s="2" t="s">
        <v>4530</v>
      </c>
      <c r="D5891" s="3" t="str">
        <f t="shared" si="1034"/>
        <v>12Go Link</v>
      </c>
      <c r="E5891" s="2" t="s">
        <v>4339</v>
      </c>
    </row>
    <row r="5892">
      <c r="A5892" s="2" t="s">
        <v>4353</v>
      </c>
      <c r="B5892" s="2" t="s">
        <v>4379</v>
      </c>
      <c r="C5892" s="2" t="s">
        <v>4530</v>
      </c>
      <c r="D5892" s="3" t="str">
        <f t="shared" si="1034"/>
        <v>12Go Link</v>
      </c>
      <c r="E5892" s="2" t="s">
        <v>4340</v>
      </c>
    </row>
    <row r="5893">
      <c r="A5893" s="2" t="s">
        <v>4353</v>
      </c>
      <c r="B5893" s="2" t="s">
        <v>4476</v>
      </c>
      <c r="C5893" s="2" t="s">
        <v>4531</v>
      </c>
      <c r="D5893" s="3" t="str">
        <f t="shared" ref="D5893:D5898" si="1035">HYPERLINK("https://12go.asia/en/travel/Essaouira-Mogador-Airport/Oualidia-Hotel-Transfer", "12Go Link")</f>
        <v>12Go Link</v>
      </c>
      <c r="E5893" s="2" t="s">
        <v>4336</v>
      </c>
    </row>
    <row r="5894">
      <c r="A5894" s="2" t="s">
        <v>4353</v>
      </c>
      <c r="B5894" s="2" t="s">
        <v>4476</v>
      </c>
      <c r="C5894" s="2" t="s">
        <v>4531</v>
      </c>
      <c r="D5894" s="3" t="str">
        <f t="shared" si="1035"/>
        <v>12Go Link</v>
      </c>
      <c r="E5894" s="2" t="s">
        <v>4337</v>
      </c>
    </row>
    <row r="5895">
      <c r="A5895" s="2" t="s">
        <v>4353</v>
      </c>
      <c r="B5895" s="2" t="s">
        <v>4476</v>
      </c>
      <c r="C5895" s="2" t="s">
        <v>4531</v>
      </c>
      <c r="D5895" s="3" t="str">
        <f t="shared" si="1035"/>
        <v>12Go Link</v>
      </c>
      <c r="E5895" s="2" t="s">
        <v>4137</v>
      </c>
    </row>
    <row r="5896">
      <c r="A5896" s="2" t="s">
        <v>4353</v>
      </c>
      <c r="B5896" s="2" t="s">
        <v>4476</v>
      </c>
      <c r="C5896" s="2" t="s">
        <v>4531</v>
      </c>
      <c r="D5896" s="3" t="str">
        <f t="shared" si="1035"/>
        <v>12Go Link</v>
      </c>
      <c r="E5896" s="2" t="s">
        <v>4338</v>
      </c>
    </row>
    <row r="5897">
      <c r="A5897" s="2" t="s">
        <v>4353</v>
      </c>
      <c r="B5897" s="2" t="s">
        <v>4476</v>
      </c>
      <c r="C5897" s="2" t="s">
        <v>4531</v>
      </c>
      <c r="D5897" s="3" t="str">
        <f t="shared" si="1035"/>
        <v>12Go Link</v>
      </c>
      <c r="E5897" s="2" t="s">
        <v>4339</v>
      </c>
    </row>
    <row r="5898">
      <c r="A5898" s="2" t="s">
        <v>4353</v>
      </c>
      <c r="B5898" s="2" t="s">
        <v>4476</v>
      </c>
      <c r="C5898" s="2" t="s">
        <v>4531</v>
      </c>
      <c r="D5898" s="3" t="str">
        <f t="shared" si="1035"/>
        <v>12Go Link</v>
      </c>
      <c r="E5898" s="2" t="s">
        <v>4340</v>
      </c>
    </row>
    <row r="5899">
      <c r="A5899" s="2" t="s">
        <v>4353</v>
      </c>
      <c r="B5899" s="2" t="s">
        <v>4381</v>
      </c>
      <c r="C5899" s="2" t="s">
        <v>4532</v>
      </c>
      <c r="D5899" s="3" t="str">
        <f t="shared" ref="D5899:D5904" si="1036">HYPERLINK("https://12go.asia/en/travel/Essaouira-Mogador-Airport/Ouarzazate-Airport", "12Go Link")</f>
        <v>12Go Link</v>
      </c>
      <c r="E5899" s="2" t="s">
        <v>4336</v>
      </c>
    </row>
    <row r="5900">
      <c r="A5900" s="2" t="s">
        <v>4353</v>
      </c>
      <c r="B5900" s="2" t="s">
        <v>4381</v>
      </c>
      <c r="C5900" s="2" t="s">
        <v>4532</v>
      </c>
      <c r="D5900" s="3" t="str">
        <f t="shared" si="1036"/>
        <v>12Go Link</v>
      </c>
      <c r="E5900" s="2" t="s">
        <v>4337</v>
      </c>
    </row>
    <row r="5901">
      <c r="A5901" s="2" t="s">
        <v>4353</v>
      </c>
      <c r="B5901" s="2" t="s">
        <v>4381</v>
      </c>
      <c r="C5901" s="2" t="s">
        <v>4532</v>
      </c>
      <c r="D5901" s="3" t="str">
        <f t="shared" si="1036"/>
        <v>12Go Link</v>
      </c>
      <c r="E5901" s="2" t="s">
        <v>4137</v>
      </c>
    </row>
    <row r="5902">
      <c r="A5902" s="2" t="s">
        <v>4353</v>
      </c>
      <c r="B5902" s="2" t="s">
        <v>4381</v>
      </c>
      <c r="C5902" s="2" t="s">
        <v>4532</v>
      </c>
      <c r="D5902" s="3" t="str">
        <f t="shared" si="1036"/>
        <v>12Go Link</v>
      </c>
      <c r="E5902" s="2" t="s">
        <v>4338</v>
      </c>
    </row>
    <row r="5903">
      <c r="A5903" s="2" t="s">
        <v>4353</v>
      </c>
      <c r="B5903" s="2" t="s">
        <v>4381</v>
      </c>
      <c r="C5903" s="2" t="s">
        <v>4532</v>
      </c>
      <c r="D5903" s="3" t="str">
        <f t="shared" si="1036"/>
        <v>12Go Link</v>
      </c>
      <c r="E5903" s="2" t="s">
        <v>4339</v>
      </c>
    </row>
    <row r="5904">
      <c r="A5904" s="2" t="s">
        <v>4353</v>
      </c>
      <c r="B5904" s="2" t="s">
        <v>4381</v>
      </c>
      <c r="C5904" s="2" t="s">
        <v>4532</v>
      </c>
      <c r="D5904" s="3" t="str">
        <f t="shared" si="1036"/>
        <v>12Go Link</v>
      </c>
      <c r="E5904" s="2" t="s">
        <v>4340</v>
      </c>
    </row>
    <row r="5905">
      <c r="A5905" s="2" t="s">
        <v>4353</v>
      </c>
      <c r="B5905" s="2" t="s">
        <v>4381</v>
      </c>
      <c r="C5905" s="2" t="s">
        <v>4533</v>
      </c>
      <c r="D5905" s="3" t="str">
        <f t="shared" ref="D5905:D5910" si="1037">HYPERLINK("https://12go.asia/en/travel/Essaouira-Mogador-Airport/Ouarzazate-Hotel-Transfer", "12Go Link")</f>
        <v>12Go Link</v>
      </c>
      <c r="E5905" s="2" t="s">
        <v>4336</v>
      </c>
    </row>
    <row r="5906">
      <c r="A5906" s="2" t="s">
        <v>4353</v>
      </c>
      <c r="B5906" s="2" t="s">
        <v>4381</v>
      </c>
      <c r="C5906" s="2" t="s">
        <v>4533</v>
      </c>
      <c r="D5906" s="3" t="str">
        <f t="shared" si="1037"/>
        <v>12Go Link</v>
      </c>
      <c r="E5906" s="2" t="s">
        <v>4337</v>
      </c>
    </row>
    <row r="5907">
      <c r="A5907" s="2" t="s">
        <v>4353</v>
      </c>
      <c r="B5907" s="2" t="s">
        <v>4381</v>
      </c>
      <c r="C5907" s="2" t="s">
        <v>4533</v>
      </c>
      <c r="D5907" s="3" t="str">
        <f t="shared" si="1037"/>
        <v>12Go Link</v>
      </c>
      <c r="E5907" s="2" t="s">
        <v>4137</v>
      </c>
    </row>
    <row r="5908">
      <c r="A5908" s="2" t="s">
        <v>4353</v>
      </c>
      <c r="B5908" s="2" t="s">
        <v>4381</v>
      </c>
      <c r="C5908" s="2" t="s">
        <v>4533</v>
      </c>
      <c r="D5908" s="3" t="str">
        <f t="shared" si="1037"/>
        <v>12Go Link</v>
      </c>
      <c r="E5908" s="2" t="s">
        <v>4338</v>
      </c>
    </row>
    <row r="5909">
      <c r="A5909" s="2" t="s">
        <v>4353</v>
      </c>
      <c r="B5909" s="2" t="s">
        <v>4381</v>
      </c>
      <c r="C5909" s="2" t="s">
        <v>4533</v>
      </c>
      <c r="D5909" s="3" t="str">
        <f t="shared" si="1037"/>
        <v>12Go Link</v>
      </c>
      <c r="E5909" s="2" t="s">
        <v>4339</v>
      </c>
    </row>
    <row r="5910">
      <c r="A5910" s="2" t="s">
        <v>4353</v>
      </c>
      <c r="B5910" s="2" t="s">
        <v>4381</v>
      </c>
      <c r="C5910" s="2" t="s">
        <v>4533</v>
      </c>
      <c r="D5910" s="3" t="str">
        <f t="shared" si="1037"/>
        <v>12Go Link</v>
      </c>
      <c r="E5910" s="2" t="s">
        <v>4340</v>
      </c>
    </row>
    <row r="5911">
      <c r="A5911" s="2" t="s">
        <v>4353</v>
      </c>
      <c r="B5911" s="2" t="s">
        <v>4484</v>
      </c>
      <c r="C5911" s="2" t="s">
        <v>4534</v>
      </c>
      <c r="D5911" s="3" t="str">
        <f t="shared" ref="D5911:D5916" si="1038">HYPERLINK("https://12go.asia/en/travel/Essaouira-Mogador-Airport/Safi-Hotel-Transfer", "12Go Link")</f>
        <v>12Go Link</v>
      </c>
      <c r="E5911" s="2" t="s">
        <v>4336</v>
      </c>
    </row>
    <row r="5912">
      <c r="A5912" s="2" t="s">
        <v>4353</v>
      </c>
      <c r="B5912" s="2" t="s">
        <v>4484</v>
      </c>
      <c r="C5912" s="2" t="s">
        <v>4534</v>
      </c>
      <c r="D5912" s="3" t="str">
        <f t="shared" si="1038"/>
        <v>12Go Link</v>
      </c>
      <c r="E5912" s="2" t="s">
        <v>4337</v>
      </c>
    </row>
    <row r="5913">
      <c r="A5913" s="2" t="s">
        <v>4353</v>
      </c>
      <c r="B5913" s="2" t="s">
        <v>4484</v>
      </c>
      <c r="C5913" s="2" t="s">
        <v>4534</v>
      </c>
      <c r="D5913" s="3" t="str">
        <f t="shared" si="1038"/>
        <v>12Go Link</v>
      </c>
      <c r="E5913" s="2" t="s">
        <v>4137</v>
      </c>
    </row>
    <row r="5914">
      <c r="A5914" s="2" t="s">
        <v>4353</v>
      </c>
      <c r="B5914" s="2" t="s">
        <v>4484</v>
      </c>
      <c r="C5914" s="2" t="s">
        <v>4534</v>
      </c>
      <c r="D5914" s="3" t="str">
        <f t="shared" si="1038"/>
        <v>12Go Link</v>
      </c>
      <c r="E5914" s="2" t="s">
        <v>4338</v>
      </c>
    </row>
    <row r="5915">
      <c r="A5915" s="2" t="s">
        <v>4353</v>
      </c>
      <c r="B5915" s="2" t="s">
        <v>4484</v>
      </c>
      <c r="C5915" s="2" t="s">
        <v>4534</v>
      </c>
      <c r="D5915" s="3" t="str">
        <f t="shared" si="1038"/>
        <v>12Go Link</v>
      </c>
      <c r="E5915" s="2" t="s">
        <v>4339</v>
      </c>
    </row>
    <row r="5916">
      <c r="A5916" s="2" t="s">
        <v>4353</v>
      </c>
      <c r="B5916" s="2" t="s">
        <v>4484</v>
      </c>
      <c r="C5916" s="2" t="s">
        <v>4534</v>
      </c>
      <c r="D5916" s="3" t="str">
        <f t="shared" si="1038"/>
        <v>12Go Link</v>
      </c>
      <c r="E5916" s="2" t="s">
        <v>4340</v>
      </c>
    </row>
    <row r="5917">
      <c r="A5917" s="2" t="s">
        <v>4353</v>
      </c>
      <c r="B5917" s="2" t="s">
        <v>4391</v>
      </c>
      <c r="C5917" s="2" t="s">
        <v>4535</v>
      </c>
      <c r="D5917" s="3" t="str">
        <f t="shared" ref="D5917:D5922" si="1039">HYPERLINK("https://12go.asia/en/travel/Essaouira-Mogador-Airport/Sidi-Kaouki-Hotel-Transfer", "12Go Link")</f>
        <v>12Go Link</v>
      </c>
      <c r="E5917" s="2" t="s">
        <v>4336</v>
      </c>
    </row>
    <row r="5918">
      <c r="A5918" s="2" t="s">
        <v>4353</v>
      </c>
      <c r="B5918" s="2" t="s">
        <v>4391</v>
      </c>
      <c r="C5918" s="2" t="s">
        <v>4535</v>
      </c>
      <c r="D5918" s="3" t="str">
        <f t="shared" si="1039"/>
        <v>12Go Link</v>
      </c>
      <c r="E5918" s="2" t="s">
        <v>4337</v>
      </c>
    </row>
    <row r="5919">
      <c r="A5919" s="2" t="s">
        <v>4353</v>
      </c>
      <c r="B5919" s="2" t="s">
        <v>4391</v>
      </c>
      <c r="C5919" s="2" t="s">
        <v>4535</v>
      </c>
      <c r="D5919" s="3" t="str">
        <f t="shared" si="1039"/>
        <v>12Go Link</v>
      </c>
      <c r="E5919" s="2" t="s">
        <v>4137</v>
      </c>
    </row>
    <row r="5920">
      <c r="A5920" s="2" t="s">
        <v>4353</v>
      </c>
      <c r="B5920" s="2" t="s">
        <v>4391</v>
      </c>
      <c r="C5920" s="2" t="s">
        <v>4535</v>
      </c>
      <c r="D5920" s="3" t="str">
        <f t="shared" si="1039"/>
        <v>12Go Link</v>
      </c>
      <c r="E5920" s="2" t="s">
        <v>4338</v>
      </c>
    </row>
    <row r="5921">
      <c r="A5921" s="2" t="s">
        <v>4353</v>
      </c>
      <c r="B5921" s="2" t="s">
        <v>4391</v>
      </c>
      <c r="C5921" s="2" t="s">
        <v>4535</v>
      </c>
      <c r="D5921" s="3" t="str">
        <f t="shared" si="1039"/>
        <v>12Go Link</v>
      </c>
      <c r="E5921" s="2" t="s">
        <v>4339</v>
      </c>
    </row>
    <row r="5922">
      <c r="A5922" s="2" t="s">
        <v>4353</v>
      </c>
      <c r="B5922" s="2" t="s">
        <v>4391</v>
      </c>
      <c r="C5922" s="2" t="s">
        <v>4535</v>
      </c>
      <c r="D5922" s="3" t="str">
        <f t="shared" si="1039"/>
        <v>12Go Link</v>
      </c>
      <c r="E5922" s="2" t="s">
        <v>4340</v>
      </c>
    </row>
    <row r="5923">
      <c r="A5923" s="2" t="s">
        <v>4353</v>
      </c>
      <c r="B5923" s="2" t="s">
        <v>4397</v>
      </c>
      <c r="C5923" s="2" t="s">
        <v>4536</v>
      </c>
      <c r="D5923" s="3" t="str">
        <f t="shared" ref="D5923:D5928" si="1040">HYPERLINK("https://12go.asia/en/travel/Essaouira-Mogador-Airport/Taghazout-Hotel-Transfer", "12Go Link")</f>
        <v>12Go Link</v>
      </c>
      <c r="E5923" s="2" t="s">
        <v>4336</v>
      </c>
    </row>
    <row r="5924">
      <c r="A5924" s="2" t="s">
        <v>4353</v>
      </c>
      <c r="B5924" s="2" t="s">
        <v>4397</v>
      </c>
      <c r="C5924" s="2" t="s">
        <v>4536</v>
      </c>
      <c r="D5924" s="3" t="str">
        <f t="shared" si="1040"/>
        <v>12Go Link</v>
      </c>
      <c r="E5924" s="2" t="s">
        <v>4337</v>
      </c>
    </row>
    <row r="5925">
      <c r="A5925" s="2" t="s">
        <v>4353</v>
      </c>
      <c r="B5925" s="2" t="s">
        <v>4397</v>
      </c>
      <c r="C5925" s="2" t="s">
        <v>4536</v>
      </c>
      <c r="D5925" s="3" t="str">
        <f t="shared" si="1040"/>
        <v>12Go Link</v>
      </c>
      <c r="E5925" s="2" t="s">
        <v>4137</v>
      </c>
    </row>
    <row r="5926">
      <c r="A5926" s="2" t="s">
        <v>4353</v>
      </c>
      <c r="B5926" s="2" t="s">
        <v>4397</v>
      </c>
      <c r="C5926" s="2" t="s">
        <v>4536</v>
      </c>
      <c r="D5926" s="3" t="str">
        <f t="shared" si="1040"/>
        <v>12Go Link</v>
      </c>
      <c r="E5926" s="2" t="s">
        <v>4338</v>
      </c>
    </row>
    <row r="5927">
      <c r="A5927" s="2" t="s">
        <v>4353</v>
      </c>
      <c r="B5927" s="2" t="s">
        <v>4397</v>
      </c>
      <c r="C5927" s="2" t="s">
        <v>4536</v>
      </c>
      <c r="D5927" s="3" t="str">
        <f t="shared" si="1040"/>
        <v>12Go Link</v>
      </c>
      <c r="E5927" s="2" t="s">
        <v>4339</v>
      </c>
    </row>
    <row r="5928">
      <c r="A5928" s="2" t="s">
        <v>4353</v>
      </c>
      <c r="B5928" s="2" t="s">
        <v>4397</v>
      </c>
      <c r="C5928" s="2" t="s">
        <v>4536</v>
      </c>
      <c r="D5928" s="3" t="str">
        <f t="shared" si="1040"/>
        <v>12Go Link</v>
      </c>
      <c r="E5928" s="2" t="s">
        <v>4340</v>
      </c>
    </row>
    <row r="5929">
      <c r="A5929" s="2" t="s">
        <v>4353</v>
      </c>
      <c r="B5929" s="2" t="s">
        <v>4399</v>
      </c>
      <c r="C5929" s="2" t="s">
        <v>4537</v>
      </c>
      <c r="D5929" s="3" t="str">
        <f t="shared" ref="D5929:D5934" si="1041">HYPERLINK("https://12go.asia/en/travel/Essaouira-Mogador-Airport/Tamraght-Hotel-Transfer", "12Go Link")</f>
        <v>12Go Link</v>
      </c>
      <c r="E5929" s="2" t="s">
        <v>4336</v>
      </c>
    </row>
    <row r="5930">
      <c r="A5930" s="2" t="s">
        <v>4353</v>
      </c>
      <c r="B5930" s="2" t="s">
        <v>4399</v>
      </c>
      <c r="C5930" s="2" t="s">
        <v>4537</v>
      </c>
      <c r="D5930" s="3" t="str">
        <f t="shared" si="1041"/>
        <v>12Go Link</v>
      </c>
      <c r="E5930" s="2" t="s">
        <v>4337</v>
      </c>
    </row>
    <row r="5931">
      <c r="A5931" s="2" t="s">
        <v>4353</v>
      </c>
      <c r="B5931" s="2" t="s">
        <v>4399</v>
      </c>
      <c r="C5931" s="2" t="s">
        <v>4537</v>
      </c>
      <c r="D5931" s="3" t="str">
        <f t="shared" si="1041"/>
        <v>12Go Link</v>
      </c>
      <c r="E5931" s="2" t="s">
        <v>4137</v>
      </c>
    </row>
    <row r="5932">
      <c r="A5932" s="2" t="s">
        <v>4353</v>
      </c>
      <c r="B5932" s="2" t="s">
        <v>4399</v>
      </c>
      <c r="C5932" s="2" t="s">
        <v>4537</v>
      </c>
      <c r="D5932" s="3" t="str">
        <f t="shared" si="1041"/>
        <v>12Go Link</v>
      </c>
      <c r="E5932" s="2" t="s">
        <v>4338</v>
      </c>
    </row>
    <row r="5933">
      <c r="A5933" s="2" t="s">
        <v>4353</v>
      </c>
      <c r="B5933" s="2" t="s">
        <v>4399</v>
      </c>
      <c r="C5933" s="2" t="s">
        <v>4537</v>
      </c>
      <c r="D5933" s="3" t="str">
        <f t="shared" si="1041"/>
        <v>12Go Link</v>
      </c>
      <c r="E5933" s="2" t="s">
        <v>4339</v>
      </c>
    </row>
    <row r="5934">
      <c r="A5934" s="2" t="s">
        <v>4353</v>
      </c>
      <c r="B5934" s="2" t="s">
        <v>4399</v>
      </c>
      <c r="C5934" s="2" t="s">
        <v>4537</v>
      </c>
      <c r="D5934" s="3" t="str">
        <f t="shared" si="1041"/>
        <v>12Go Link</v>
      </c>
      <c r="E5934" s="2" t="s">
        <v>4340</v>
      </c>
    </row>
    <row r="5935">
      <c r="A5935" s="2" t="s">
        <v>4353</v>
      </c>
      <c r="B5935" s="2" t="s">
        <v>4401</v>
      </c>
      <c r="C5935" s="2" t="s">
        <v>4538</v>
      </c>
      <c r="D5935" s="3" t="str">
        <f t="shared" ref="D5935:D5940" si="1042">HYPERLINK("https://12go.asia/en/travel/Essaouira-Mogador-Airport/Paradis-Plage", "12Go Link")</f>
        <v>12Go Link</v>
      </c>
      <c r="E5935" s="2" t="s">
        <v>4336</v>
      </c>
    </row>
    <row r="5936">
      <c r="A5936" s="2" t="s">
        <v>4353</v>
      </c>
      <c r="B5936" s="2" t="s">
        <v>4401</v>
      </c>
      <c r="C5936" s="2" t="s">
        <v>4538</v>
      </c>
      <c r="D5936" s="3" t="str">
        <f t="shared" si="1042"/>
        <v>12Go Link</v>
      </c>
      <c r="E5936" s="2" t="s">
        <v>4337</v>
      </c>
    </row>
    <row r="5937">
      <c r="A5937" s="2" t="s">
        <v>4353</v>
      </c>
      <c r="B5937" s="2" t="s">
        <v>4401</v>
      </c>
      <c r="C5937" s="2" t="s">
        <v>4538</v>
      </c>
      <c r="D5937" s="3" t="str">
        <f t="shared" si="1042"/>
        <v>12Go Link</v>
      </c>
      <c r="E5937" s="2" t="s">
        <v>4137</v>
      </c>
    </row>
    <row r="5938">
      <c r="A5938" s="2" t="s">
        <v>4353</v>
      </c>
      <c r="B5938" s="2" t="s">
        <v>4401</v>
      </c>
      <c r="C5938" s="2" t="s">
        <v>4538</v>
      </c>
      <c r="D5938" s="3" t="str">
        <f t="shared" si="1042"/>
        <v>12Go Link</v>
      </c>
      <c r="E5938" s="2" t="s">
        <v>4338</v>
      </c>
    </row>
    <row r="5939">
      <c r="A5939" s="2" t="s">
        <v>4353</v>
      </c>
      <c r="B5939" s="2" t="s">
        <v>4401</v>
      </c>
      <c r="C5939" s="2" t="s">
        <v>4538</v>
      </c>
      <c r="D5939" s="3" t="str">
        <f t="shared" si="1042"/>
        <v>12Go Link</v>
      </c>
      <c r="E5939" s="2" t="s">
        <v>4339</v>
      </c>
    </row>
    <row r="5940">
      <c r="A5940" s="2" t="s">
        <v>4353</v>
      </c>
      <c r="B5940" s="2" t="s">
        <v>4401</v>
      </c>
      <c r="C5940" s="2" t="s">
        <v>4538</v>
      </c>
      <c r="D5940" s="3" t="str">
        <f t="shared" si="1042"/>
        <v>12Go Link</v>
      </c>
      <c r="E5940" s="2" t="s">
        <v>4340</v>
      </c>
    </row>
    <row r="5941">
      <c r="A5941" s="2" t="s">
        <v>4353</v>
      </c>
      <c r="B5941" s="2" t="s">
        <v>4403</v>
      </c>
      <c r="C5941" s="2" t="s">
        <v>4539</v>
      </c>
      <c r="D5941" s="3" t="str">
        <f t="shared" ref="D5941:D5946" si="1043">HYPERLINK("https://12go.asia/en/travel/Essaouira-Mogador-Airport/Immouzzer-Hotel-Transfer", "12Go Link")</f>
        <v>12Go Link</v>
      </c>
      <c r="E5941" s="2" t="s">
        <v>4336</v>
      </c>
    </row>
    <row r="5942">
      <c r="A5942" s="2" t="s">
        <v>4353</v>
      </c>
      <c r="B5942" s="2" t="s">
        <v>4403</v>
      </c>
      <c r="C5942" s="2" t="s">
        <v>4539</v>
      </c>
      <c r="D5942" s="3" t="str">
        <f t="shared" si="1043"/>
        <v>12Go Link</v>
      </c>
      <c r="E5942" s="2" t="s">
        <v>4337</v>
      </c>
    </row>
    <row r="5943">
      <c r="A5943" s="2" t="s">
        <v>4353</v>
      </c>
      <c r="B5943" s="2" t="s">
        <v>4403</v>
      </c>
      <c r="C5943" s="2" t="s">
        <v>4539</v>
      </c>
      <c r="D5943" s="3" t="str">
        <f t="shared" si="1043"/>
        <v>12Go Link</v>
      </c>
      <c r="E5943" s="2" t="s">
        <v>4137</v>
      </c>
    </row>
    <row r="5944">
      <c r="A5944" s="2" t="s">
        <v>4353</v>
      </c>
      <c r="B5944" s="2" t="s">
        <v>4403</v>
      </c>
      <c r="C5944" s="2" t="s">
        <v>4539</v>
      </c>
      <c r="D5944" s="3" t="str">
        <f t="shared" si="1043"/>
        <v>12Go Link</v>
      </c>
      <c r="E5944" s="2" t="s">
        <v>4338</v>
      </c>
    </row>
    <row r="5945">
      <c r="A5945" s="2" t="s">
        <v>4353</v>
      </c>
      <c r="B5945" s="2" t="s">
        <v>4403</v>
      </c>
      <c r="C5945" s="2" t="s">
        <v>4539</v>
      </c>
      <c r="D5945" s="3" t="str">
        <f t="shared" si="1043"/>
        <v>12Go Link</v>
      </c>
      <c r="E5945" s="2" t="s">
        <v>4339</v>
      </c>
    </row>
    <row r="5946">
      <c r="A5946" s="2" t="s">
        <v>4353</v>
      </c>
      <c r="B5946" s="2" t="s">
        <v>4403</v>
      </c>
      <c r="C5946" s="2" t="s">
        <v>4539</v>
      </c>
      <c r="D5946" s="3" t="str">
        <f t="shared" si="1043"/>
        <v>12Go Link</v>
      </c>
      <c r="E5946" s="2" t="s">
        <v>4340</v>
      </c>
    </row>
    <row r="5947">
      <c r="A5947" s="2" t="s">
        <v>4357</v>
      </c>
      <c r="B5947" s="2" t="s">
        <v>4334</v>
      </c>
      <c r="C5947" s="2" t="s">
        <v>4540</v>
      </c>
      <c r="D5947" s="3" t="str">
        <f t="shared" ref="D5947:D5952" si="1044">HYPERLINK("https://12go.asia/en/travel/Fes-Airport/Agadir-Al-Massira-International-Airport", "12Go Link")</f>
        <v>12Go Link</v>
      </c>
      <c r="E5947" s="2" t="s">
        <v>4336</v>
      </c>
    </row>
    <row r="5948">
      <c r="A5948" s="2" t="s">
        <v>4357</v>
      </c>
      <c r="B5948" s="2" t="s">
        <v>4334</v>
      </c>
      <c r="C5948" s="2" t="s">
        <v>4540</v>
      </c>
      <c r="D5948" s="3" t="str">
        <f t="shared" si="1044"/>
        <v>12Go Link</v>
      </c>
      <c r="E5948" s="2" t="s">
        <v>4337</v>
      </c>
    </row>
    <row r="5949">
      <c r="A5949" s="2" t="s">
        <v>4357</v>
      </c>
      <c r="B5949" s="2" t="s">
        <v>4334</v>
      </c>
      <c r="C5949" s="2" t="s">
        <v>4540</v>
      </c>
      <c r="D5949" s="3" t="str">
        <f t="shared" si="1044"/>
        <v>12Go Link</v>
      </c>
      <c r="E5949" s="2" t="s">
        <v>4137</v>
      </c>
    </row>
    <row r="5950">
      <c r="A5950" s="2" t="s">
        <v>4357</v>
      </c>
      <c r="B5950" s="2" t="s">
        <v>4334</v>
      </c>
      <c r="C5950" s="2" t="s">
        <v>4540</v>
      </c>
      <c r="D5950" s="3" t="str">
        <f t="shared" si="1044"/>
        <v>12Go Link</v>
      </c>
      <c r="E5950" s="2" t="s">
        <v>4338</v>
      </c>
    </row>
    <row r="5951">
      <c r="A5951" s="2" t="s">
        <v>4357</v>
      </c>
      <c r="B5951" s="2" t="s">
        <v>4334</v>
      </c>
      <c r="C5951" s="2" t="s">
        <v>4540</v>
      </c>
      <c r="D5951" s="3" t="str">
        <f t="shared" si="1044"/>
        <v>12Go Link</v>
      </c>
      <c r="E5951" s="2" t="s">
        <v>4339</v>
      </c>
    </row>
    <row r="5952">
      <c r="A5952" s="2" t="s">
        <v>4357</v>
      </c>
      <c r="B5952" s="2" t="s">
        <v>4334</v>
      </c>
      <c r="C5952" s="2" t="s">
        <v>4540</v>
      </c>
      <c r="D5952" s="3" t="str">
        <f t="shared" si="1044"/>
        <v>12Go Link</v>
      </c>
      <c r="E5952" s="2" t="s">
        <v>4340</v>
      </c>
    </row>
    <row r="5953">
      <c r="A5953" s="2" t="s">
        <v>4357</v>
      </c>
      <c r="B5953" s="2" t="s">
        <v>4334</v>
      </c>
      <c r="C5953" s="2" t="s">
        <v>4541</v>
      </c>
      <c r="D5953" s="3" t="str">
        <f t="shared" ref="D5953:D5958" si="1045">HYPERLINK("https://12go.asia/en/travel/Fes-Airport/Agadir-Hotel-Transfer", "12Go Link")</f>
        <v>12Go Link</v>
      </c>
      <c r="E5953" s="2" t="s">
        <v>4336</v>
      </c>
    </row>
    <row r="5954">
      <c r="A5954" s="2" t="s">
        <v>4357</v>
      </c>
      <c r="B5954" s="2" t="s">
        <v>4334</v>
      </c>
      <c r="C5954" s="2" t="s">
        <v>4541</v>
      </c>
      <c r="D5954" s="3" t="str">
        <f t="shared" si="1045"/>
        <v>12Go Link</v>
      </c>
      <c r="E5954" s="2" t="s">
        <v>4337</v>
      </c>
    </row>
    <row r="5955">
      <c r="A5955" s="2" t="s">
        <v>4357</v>
      </c>
      <c r="B5955" s="2" t="s">
        <v>4334</v>
      </c>
      <c r="C5955" s="2" t="s">
        <v>4541</v>
      </c>
      <c r="D5955" s="3" t="str">
        <f t="shared" si="1045"/>
        <v>12Go Link</v>
      </c>
      <c r="E5955" s="2" t="s">
        <v>4137</v>
      </c>
    </row>
    <row r="5956">
      <c r="A5956" s="2" t="s">
        <v>4357</v>
      </c>
      <c r="B5956" s="2" t="s">
        <v>4334</v>
      </c>
      <c r="C5956" s="2" t="s">
        <v>4541</v>
      </c>
      <c r="D5956" s="3" t="str">
        <f t="shared" si="1045"/>
        <v>12Go Link</v>
      </c>
      <c r="E5956" s="2" t="s">
        <v>4338</v>
      </c>
    </row>
    <row r="5957">
      <c r="A5957" s="2" t="s">
        <v>4357</v>
      </c>
      <c r="B5957" s="2" t="s">
        <v>4334</v>
      </c>
      <c r="C5957" s="2" t="s">
        <v>4541</v>
      </c>
      <c r="D5957" s="3" t="str">
        <f t="shared" si="1045"/>
        <v>12Go Link</v>
      </c>
      <c r="E5957" s="2" t="s">
        <v>4339</v>
      </c>
    </row>
    <row r="5958">
      <c r="A5958" s="2" t="s">
        <v>4357</v>
      </c>
      <c r="B5958" s="2" t="s">
        <v>4334</v>
      </c>
      <c r="C5958" s="2" t="s">
        <v>4541</v>
      </c>
      <c r="D5958" s="3" t="str">
        <f t="shared" si="1045"/>
        <v>12Go Link</v>
      </c>
      <c r="E5958" s="2" t="s">
        <v>4340</v>
      </c>
    </row>
    <row r="5959">
      <c r="A5959" s="2" t="s">
        <v>4357</v>
      </c>
      <c r="B5959" s="2" t="s">
        <v>4334</v>
      </c>
      <c r="C5959" s="2" t="s">
        <v>4542</v>
      </c>
      <c r="D5959" s="3" t="str">
        <f t="shared" ref="D5959:D5964" si="1046">HYPERLINK("https://12go.asia/en/travel/Fes-Airport/Founty-Hotel-Transfer", "12Go Link")</f>
        <v>12Go Link</v>
      </c>
      <c r="E5959" s="2" t="s">
        <v>4336</v>
      </c>
    </row>
    <row r="5960">
      <c r="A5960" s="2" t="s">
        <v>4357</v>
      </c>
      <c r="B5960" s="2" t="s">
        <v>4334</v>
      </c>
      <c r="C5960" s="2" t="s">
        <v>4542</v>
      </c>
      <c r="D5960" s="3" t="str">
        <f t="shared" si="1046"/>
        <v>12Go Link</v>
      </c>
      <c r="E5960" s="2" t="s">
        <v>4337</v>
      </c>
    </row>
    <row r="5961">
      <c r="A5961" s="2" t="s">
        <v>4357</v>
      </c>
      <c r="B5961" s="2" t="s">
        <v>4334</v>
      </c>
      <c r="C5961" s="2" t="s">
        <v>4542</v>
      </c>
      <c r="D5961" s="3" t="str">
        <f t="shared" si="1046"/>
        <v>12Go Link</v>
      </c>
      <c r="E5961" s="2" t="s">
        <v>4137</v>
      </c>
    </row>
    <row r="5962">
      <c r="A5962" s="2" t="s">
        <v>4357</v>
      </c>
      <c r="B5962" s="2" t="s">
        <v>4334</v>
      </c>
      <c r="C5962" s="2" t="s">
        <v>4542</v>
      </c>
      <c r="D5962" s="3" t="str">
        <f t="shared" si="1046"/>
        <v>12Go Link</v>
      </c>
      <c r="E5962" s="2" t="s">
        <v>4338</v>
      </c>
    </row>
    <row r="5963">
      <c r="A5963" s="2" t="s">
        <v>4357</v>
      </c>
      <c r="B5963" s="2" t="s">
        <v>4334</v>
      </c>
      <c r="C5963" s="2" t="s">
        <v>4542</v>
      </c>
      <c r="D5963" s="3" t="str">
        <f t="shared" si="1046"/>
        <v>12Go Link</v>
      </c>
      <c r="E5963" s="2" t="s">
        <v>4339</v>
      </c>
    </row>
    <row r="5964">
      <c r="A5964" s="2" t="s">
        <v>4357</v>
      </c>
      <c r="B5964" s="2" t="s">
        <v>4334</v>
      </c>
      <c r="C5964" s="2" t="s">
        <v>4542</v>
      </c>
      <c r="D5964" s="3" t="str">
        <f t="shared" si="1046"/>
        <v>12Go Link</v>
      </c>
      <c r="E5964" s="2" t="s">
        <v>4340</v>
      </c>
    </row>
    <row r="5965">
      <c r="A5965" s="2" t="s">
        <v>4357</v>
      </c>
      <c r="B5965" s="2" t="s">
        <v>4334</v>
      </c>
      <c r="C5965" s="2" t="s">
        <v>4543</v>
      </c>
      <c r="D5965" s="3" t="str">
        <f t="shared" ref="D5965:D5970" si="1047">HYPERLINK("https://12go.asia/en/travel/Fes-Hotel-Transfer/Agadir-Al-Massira-International-Airport", "12Go Link")</f>
        <v>12Go Link</v>
      </c>
      <c r="E5965" s="2" t="s">
        <v>4336</v>
      </c>
    </row>
    <row r="5966">
      <c r="A5966" s="2" t="s">
        <v>4357</v>
      </c>
      <c r="B5966" s="2" t="s">
        <v>4334</v>
      </c>
      <c r="C5966" s="2" t="s">
        <v>4543</v>
      </c>
      <c r="D5966" s="3" t="str">
        <f t="shared" si="1047"/>
        <v>12Go Link</v>
      </c>
      <c r="E5966" s="2" t="s">
        <v>4337</v>
      </c>
    </row>
    <row r="5967">
      <c r="A5967" s="2" t="s">
        <v>4357</v>
      </c>
      <c r="B5967" s="2" t="s">
        <v>4334</v>
      </c>
      <c r="C5967" s="2" t="s">
        <v>4543</v>
      </c>
      <c r="D5967" s="3" t="str">
        <f t="shared" si="1047"/>
        <v>12Go Link</v>
      </c>
      <c r="E5967" s="2" t="s">
        <v>4137</v>
      </c>
    </row>
    <row r="5968">
      <c r="A5968" s="2" t="s">
        <v>4357</v>
      </c>
      <c r="B5968" s="2" t="s">
        <v>4334</v>
      </c>
      <c r="C5968" s="2" t="s">
        <v>4543</v>
      </c>
      <c r="D5968" s="3" t="str">
        <f t="shared" si="1047"/>
        <v>12Go Link</v>
      </c>
      <c r="E5968" s="2" t="s">
        <v>4338</v>
      </c>
    </row>
    <row r="5969">
      <c r="A5969" s="2" t="s">
        <v>4357</v>
      </c>
      <c r="B5969" s="2" t="s">
        <v>4334</v>
      </c>
      <c r="C5969" s="2" t="s">
        <v>4543</v>
      </c>
      <c r="D5969" s="3" t="str">
        <f t="shared" si="1047"/>
        <v>12Go Link</v>
      </c>
      <c r="E5969" s="2" t="s">
        <v>4339</v>
      </c>
    </row>
    <row r="5970">
      <c r="A5970" s="2" t="s">
        <v>4357</v>
      </c>
      <c r="B5970" s="2" t="s">
        <v>4334</v>
      </c>
      <c r="C5970" s="2" t="s">
        <v>4543</v>
      </c>
      <c r="D5970" s="3" t="str">
        <f t="shared" si="1047"/>
        <v>12Go Link</v>
      </c>
      <c r="E5970" s="2" t="s">
        <v>4340</v>
      </c>
    </row>
    <row r="5971">
      <c r="A5971" s="2" t="s">
        <v>4357</v>
      </c>
      <c r="B5971" s="2" t="s">
        <v>4344</v>
      </c>
      <c r="C5971" s="2" t="s">
        <v>4544</v>
      </c>
      <c r="D5971" s="3" t="str">
        <f t="shared" ref="D5971:D5976" si="1048">HYPERLINK("https://12go.asia/en/travel/Fes-Airport/Aourir-Hotel-Transfer", "12Go Link")</f>
        <v>12Go Link</v>
      </c>
      <c r="E5971" s="2" t="s">
        <v>4336</v>
      </c>
    </row>
    <row r="5972">
      <c r="A5972" s="2" t="s">
        <v>4357</v>
      </c>
      <c r="B5972" s="2" t="s">
        <v>4344</v>
      </c>
      <c r="C5972" s="2" t="s">
        <v>4544</v>
      </c>
      <c r="D5972" s="3" t="str">
        <f t="shared" si="1048"/>
        <v>12Go Link</v>
      </c>
      <c r="E5972" s="2" t="s">
        <v>4337</v>
      </c>
    </row>
    <row r="5973">
      <c r="A5973" s="2" t="s">
        <v>4357</v>
      </c>
      <c r="B5973" s="2" t="s">
        <v>4344</v>
      </c>
      <c r="C5973" s="2" t="s">
        <v>4544</v>
      </c>
      <c r="D5973" s="3" t="str">
        <f t="shared" si="1048"/>
        <v>12Go Link</v>
      </c>
      <c r="E5973" s="2" t="s">
        <v>4137</v>
      </c>
    </row>
    <row r="5974">
      <c r="A5974" s="2" t="s">
        <v>4357</v>
      </c>
      <c r="B5974" s="2" t="s">
        <v>4344</v>
      </c>
      <c r="C5974" s="2" t="s">
        <v>4544</v>
      </c>
      <c r="D5974" s="3" t="str">
        <f t="shared" si="1048"/>
        <v>12Go Link</v>
      </c>
      <c r="E5974" s="2" t="s">
        <v>4338</v>
      </c>
    </row>
    <row r="5975">
      <c r="A5975" s="2" t="s">
        <v>4357</v>
      </c>
      <c r="B5975" s="2" t="s">
        <v>4344</v>
      </c>
      <c r="C5975" s="2" t="s">
        <v>4544</v>
      </c>
      <c r="D5975" s="3" t="str">
        <f t="shared" si="1048"/>
        <v>12Go Link</v>
      </c>
      <c r="E5975" s="2" t="s">
        <v>4339</v>
      </c>
    </row>
    <row r="5976">
      <c r="A5976" s="2" t="s">
        <v>4357</v>
      </c>
      <c r="B5976" s="2" t="s">
        <v>4344</v>
      </c>
      <c r="C5976" s="2" t="s">
        <v>4544</v>
      </c>
      <c r="D5976" s="3" t="str">
        <f t="shared" si="1048"/>
        <v>12Go Link</v>
      </c>
      <c r="E5976" s="2" t="s">
        <v>4340</v>
      </c>
    </row>
    <row r="5977">
      <c r="A5977" s="2" t="s">
        <v>4357</v>
      </c>
      <c r="B5977" s="2" t="s">
        <v>4346</v>
      </c>
      <c r="C5977" s="2" t="s">
        <v>4545</v>
      </c>
      <c r="D5977" s="3" t="str">
        <f t="shared" ref="D5977:D5982" si="1049">HYPERLINK("https://12go.asia/en/travel/Fes-Airport/Asni-Hotel-Transfer", "12Go Link")</f>
        <v>12Go Link</v>
      </c>
      <c r="E5977" s="2" t="s">
        <v>4336</v>
      </c>
    </row>
    <row r="5978">
      <c r="A5978" s="2" t="s">
        <v>4357</v>
      </c>
      <c r="B5978" s="2" t="s">
        <v>4346</v>
      </c>
      <c r="C5978" s="2" t="s">
        <v>4545</v>
      </c>
      <c r="D5978" s="3" t="str">
        <f t="shared" si="1049"/>
        <v>12Go Link</v>
      </c>
      <c r="E5978" s="2" t="s">
        <v>4337</v>
      </c>
    </row>
    <row r="5979">
      <c r="A5979" s="2" t="s">
        <v>4357</v>
      </c>
      <c r="B5979" s="2" t="s">
        <v>4346</v>
      </c>
      <c r="C5979" s="2" t="s">
        <v>4545</v>
      </c>
      <c r="D5979" s="3" t="str">
        <f t="shared" si="1049"/>
        <v>12Go Link</v>
      </c>
      <c r="E5979" s="2" t="s">
        <v>4137</v>
      </c>
    </row>
    <row r="5980">
      <c r="A5980" s="2" t="s">
        <v>4357</v>
      </c>
      <c r="B5980" s="2" t="s">
        <v>4346</v>
      </c>
      <c r="C5980" s="2" t="s">
        <v>4545</v>
      </c>
      <c r="D5980" s="3" t="str">
        <f t="shared" si="1049"/>
        <v>12Go Link</v>
      </c>
      <c r="E5980" s="2" t="s">
        <v>4338</v>
      </c>
    </row>
    <row r="5981">
      <c r="A5981" s="2" t="s">
        <v>4357</v>
      </c>
      <c r="B5981" s="2" t="s">
        <v>4346</v>
      </c>
      <c r="C5981" s="2" t="s">
        <v>4545</v>
      </c>
      <c r="D5981" s="3" t="str">
        <f t="shared" si="1049"/>
        <v>12Go Link</v>
      </c>
      <c r="E5981" s="2" t="s">
        <v>4339</v>
      </c>
    </row>
    <row r="5982">
      <c r="A5982" s="2" t="s">
        <v>4357</v>
      </c>
      <c r="B5982" s="2" t="s">
        <v>4346</v>
      </c>
      <c r="C5982" s="2" t="s">
        <v>4545</v>
      </c>
      <c r="D5982" s="3" t="str">
        <f t="shared" si="1049"/>
        <v>12Go Link</v>
      </c>
      <c r="E5982" s="2" t="s">
        <v>4340</v>
      </c>
    </row>
    <row r="5983">
      <c r="A5983" s="2" t="s">
        <v>4357</v>
      </c>
      <c r="B5983" s="2" t="s">
        <v>4350</v>
      </c>
      <c r="C5983" s="2" t="s">
        <v>4546</v>
      </c>
      <c r="D5983" s="3" t="str">
        <f t="shared" ref="D5983:D5988" si="1050">HYPERLINK("https://12go.asia/en/travel/Fes-Airport/Casablanca-Hotel-Transfer", "12Go Link")</f>
        <v>12Go Link</v>
      </c>
      <c r="E5983" s="2" t="s">
        <v>4336</v>
      </c>
    </row>
    <row r="5984">
      <c r="A5984" s="2" t="s">
        <v>4357</v>
      </c>
      <c r="B5984" s="2" t="s">
        <v>4350</v>
      </c>
      <c r="C5984" s="2" t="s">
        <v>4546</v>
      </c>
      <c r="D5984" s="3" t="str">
        <f t="shared" si="1050"/>
        <v>12Go Link</v>
      </c>
      <c r="E5984" s="2" t="s">
        <v>4337</v>
      </c>
    </row>
    <row r="5985">
      <c r="A5985" s="2" t="s">
        <v>4357</v>
      </c>
      <c r="B5985" s="2" t="s">
        <v>4350</v>
      </c>
      <c r="C5985" s="2" t="s">
        <v>4546</v>
      </c>
      <c r="D5985" s="3" t="str">
        <f t="shared" si="1050"/>
        <v>12Go Link</v>
      </c>
      <c r="E5985" s="2" t="s">
        <v>4137</v>
      </c>
    </row>
    <row r="5986">
      <c r="A5986" s="2" t="s">
        <v>4357</v>
      </c>
      <c r="B5986" s="2" t="s">
        <v>4350</v>
      </c>
      <c r="C5986" s="2" t="s">
        <v>4546</v>
      </c>
      <c r="D5986" s="3" t="str">
        <f t="shared" si="1050"/>
        <v>12Go Link</v>
      </c>
      <c r="E5986" s="2" t="s">
        <v>4338</v>
      </c>
    </row>
    <row r="5987">
      <c r="A5987" s="2" t="s">
        <v>4357</v>
      </c>
      <c r="B5987" s="2" t="s">
        <v>4350</v>
      </c>
      <c r="C5987" s="2" t="s">
        <v>4546</v>
      </c>
      <c r="D5987" s="3" t="str">
        <f t="shared" si="1050"/>
        <v>12Go Link</v>
      </c>
      <c r="E5987" s="2" t="s">
        <v>4339</v>
      </c>
    </row>
    <row r="5988">
      <c r="A5988" s="2" t="s">
        <v>4357</v>
      </c>
      <c r="B5988" s="2" t="s">
        <v>4350</v>
      </c>
      <c r="C5988" s="2" t="s">
        <v>4546</v>
      </c>
      <c r="D5988" s="3" t="str">
        <f t="shared" si="1050"/>
        <v>12Go Link</v>
      </c>
      <c r="E5988" s="2" t="s">
        <v>4340</v>
      </c>
    </row>
    <row r="5989">
      <c r="A5989" s="2" t="s">
        <v>4357</v>
      </c>
      <c r="B5989" s="2" t="s">
        <v>4350</v>
      </c>
      <c r="C5989" s="2" t="s">
        <v>4547</v>
      </c>
      <c r="D5989" s="3" t="str">
        <f t="shared" ref="D5989:D5994" si="1051">HYPERLINK("https://12go.asia/en/travel/Fes-Hotel-Transfer/Mohammed-V-International-Airport", "12Go Link")</f>
        <v>12Go Link</v>
      </c>
      <c r="E5989" s="2" t="s">
        <v>4336</v>
      </c>
    </row>
    <row r="5990">
      <c r="A5990" s="2" t="s">
        <v>4357</v>
      </c>
      <c r="B5990" s="2" t="s">
        <v>4350</v>
      </c>
      <c r="C5990" s="2" t="s">
        <v>4547</v>
      </c>
      <c r="D5990" s="3" t="str">
        <f t="shared" si="1051"/>
        <v>12Go Link</v>
      </c>
      <c r="E5990" s="2" t="s">
        <v>4337</v>
      </c>
    </row>
    <row r="5991">
      <c r="A5991" s="2" t="s">
        <v>4357</v>
      </c>
      <c r="B5991" s="2" t="s">
        <v>4350</v>
      </c>
      <c r="C5991" s="2" t="s">
        <v>4547</v>
      </c>
      <c r="D5991" s="3" t="str">
        <f t="shared" si="1051"/>
        <v>12Go Link</v>
      </c>
      <c r="E5991" s="2" t="s">
        <v>4137</v>
      </c>
    </row>
    <row r="5992">
      <c r="A5992" s="2" t="s">
        <v>4357</v>
      </c>
      <c r="B5992" s="2" t="s">
        <v>4350</v>
      </c>
      <c r="C5992" s="2" t="s">
        <v>4547</v>
      </c>
      <c r="D5992" s="3" t="str">
        <f t="shared" si="1051"/>
        <v>12Go Link</v>
      </c>
      <c r="E5992" s="2" t="s">
        <v>4338</v>
      </c>
    </row>
    <row r="5993">
      <c r="A5993" s="2" t="s">
        <v>4357</v>
      </c>
      <c r="B5993" s="2" t="s">
        <v>4350</v>
      </c>
      <c r="C5993" s="2" t="s">
        <v>4547</v>
      </c>
      <c r="D5993" s="3" t="str">
        <f t="shared" si="1051"/>
        <v>12Go Link</v>
      </c>
      <c r="E5993" s="2" t="s">
        <v>4339</v>
      </c>
    </row>
    <row r="5994">
      <c r="A5994" s="2" t="s">
        <v>4357</v>
      </c>
      <c r="B5994" s="2" t="s">
        <v>4350</v>
      </c>
      <c r="C5994" s="2" t="s">
        <v>4547</v>
      </c>
      <c r="D5994" s="3" t="str">
        <f t="shared" si="1051"/>
        <v>12Go Link</v>
      </c>
      <c r="E5994" s="2" t="s">
        <v>4340</v>
      </c>
    </row>
    <row r="5995">
      <c r="A5995" s="2" t="s">
        <v>4357</v>
      </c>
      <c r="B5995" s="2" t="s">
        <v>4450</v>
      </c>
      <c r="C5995" s="2" t="s">
        <v>4548</v>
      </c>
      <c r="D5995" s="3" t="str">
        <f t="shared" ref="D5995:D6000" si="1052">HYPERLINK("https://12go.asia/en/travel/Fes-Airport/Chefchaouen-Hotel-Transfer", "12Go Link")</f>
        <v>12Go Link</v>
      </c>
      <c r="E5995" s="2" t="s">
        <v>4336</v>
      </c>
    </row>
    <row r="5996">
      <c r="A5996" s="2" t="s">
        <v>4357</v>
      </c>
      <c r="B5996" s="2" t="s">
        <v>4450</v>
      </c>
      <c r="C5996" s="2" t="s">
        <v>4548</v>
      </c>
      <c r="D5996" s="3" t="str">
        <f t="shared" si="1052"/>
        <v>12Go Link</v>
      </c>
      <c r="E5996" s="2" t="s">
        <v>4337</v>
      </c>
    </row>
    <row r="5997">
      <c r="A5997" s="2" t="s">
        <v>4357</v>
      </c>
      <c r="B5997" s="2" t="s">
        <v>4450</v>
      </c>
      <c r="C5997" s="2" t="s">
        <v>4548</v>
      </c>
      <c r="D5997" s="3" t="str">
        <f t="shared" si="1052"/>
        <v>12Go Link</v>
      </c>
      <c r="E5997" s="2" t="s">
        <v>4137</v>
      </c>
    </row>
    <row r="5998">
      <c r="A5998" s="2" t="s">
        <v>4357</v>
      </c>
      <c r="B5998" s="2" t="s">
        <v>4450</v>
      </c>
      <c r="C5998" s="2" t="s">
        <v>4548</v>
      </c>
      <c r="D5998" s="3" t="str">
        <f t="shared" si="1052"/>
        <v>12Go Link</v>
      </c>
      <c r="E5998" s="2" t="s">
        <v>4338</v>
      </c>
    </row>
    <row r="5999">
      <c r="A5999" s="2" t="s">
        <v>4357</v>
      </c>
      <c r="B5999" s="2" t="s">
        <v>4450</v>
      </c>
      <c r="C5999" s="2" t="s">
        <v>4548</v>
      </c>
      <c r="D5999" s="3" t="str">
        <f t="shared" si="1052"/>
        <v>12Go Link</v>
      </c>
      <c r="E5999" s="2" t="s">
        <v>4339</v>
      </c>
    </row>
    <row r="6000">
      <c r="A6000" s="2" t="s">
        <v>4357</v>
      </c>
      <c r="B6000" s="2" t="s">
        <v>4450</v>
      </c>
      <c r="C6000" s="2" t="s">
        <v>4548</v>
      </c>
      <c r="D6000" s="3" t="str">
        <f t="shared" si="1052"/>
        <v>12Go Link</v>
      </c>
      <c r="E6000" s="2" t="s">
        <v>4340</v>
      </c>
    </row>
    <row r="6001">
      <c r="A6001" s="2" t="s">
        <v>4357</v>
      </c>
      <c r="B6001" s="2" t="s">
        <v>4353</v>
      </c>
      <c r="C6001" s="2" t="s">
        <v>4549</v>
      </c>
      <c r="D6001" s="3" t="str">
        <f t="shared" ref="D6001:D6006" si="1053">HYPERLINK("https://12go.asia/en/travel/Fes-Airport/Essaouira-Hotel-Transfer", "12Go Link")</f>
        <v>12Go Link</v>
      </c>
      <c r="E6001" s="2" t="s">
        <v>4336</v>
      </c>
    </row>
    <row r="6002">
      <c r="A6002" s="2" t="s">
        <v>4357</v>
      </c>
      <c r="B6002" s="2" t="s">
        <v>4353</v>
      </c>
      <c r="C6002" s="2" t="s">
        <v>4549</v>
      </c>
      <c r="D6002" s="3" t="str">
        <f t="shared" si="1053"/>
        <v>12Go Link</v>
      </c>
      <c r="E6002" s="2" t="s">
        <v>4337</v>
      </c>
    </row>
    <row r="6003">
      <c r="A6003" s="2" t="s">
        <v>4357</v>
      </c>
      <c r="B6003" s="2" t="s">
        <v>4353</v>
      </c>
      <c r="C6003" s="2" t="s">
        <v>4549</v>
      </c>
      <c r="D6003" s="3" t="str">
        <f t="shared" si="1053"/>
        <v>12Go Link</v>
      </c>
      <c r="E6003" s="2" t="s">
        <v>4137</v>
      </c>
    </row>
    <row r="6004">
      <c r="A6004" s="2" t="s">
        <v>4357</v>
      </c>
      <c r="B6004" s="2" t="s">
        <v>4353</v>
      </c>
      <c r="C6004" s="2" t="s">
        <v>4549</v>
      </c>
      <c r="D6004" s="3" t="str">
        <f t="shared" si="1053"/>
        <v>12Go Link</v>
      </c>
      <c r="E6004" s="2" t="s">
        <v>4338</v>
      </c>
    </row>
    <row r="6005">
      <c r="A6005" s="2" t="s">
        <v>4357</v>
      </c>
      <c r="B6005" s="2" t="s">
        <v>4353</v>
      </c>
      <c r="C6005" s="2" t="s">
        <v>4549</v>
      </c>
      <c r="D6005" s="3" t="str">
        <f t="shared" si="1053"/>
        <v>12Go Link</v>
      </c>
      <c r="E6005" s="2" t="s">
        <v>4339</v>
      </c>
    </row>
    <row r="6006">
      <c r="A6006" s="2" t="s">
        <v>4357</v>
      </c>
      <c r="B6006" s="2" t="s">
        <v>4353</v>
      </c>
      <c r="C6006" s="2" t="s">
        <v>4549</v>
      </c>
      <c r="D6006" s="3" t="str">
        <f t="shared" si="1053"/>
        <v>12Go Link</v>
      </c>
      <c r="E6006" s="2" t="s">
        <v>4340</v>
      </c>
    </row>
    <row r="6007">
      <c r="A6007" s="2" t="s">
        <v>4357</v>
      </c>
      <c r="B6007" s="2" t="s">
        <v>4353</v>
      </c>
      <c r="C6007" s="2" t="s">
        <v>4550</v>
      </c>
      <c r="D6007" s="3" t="str">
        <f t="shared" ref="D6007:D6012" si="1054">HYPERLINK("https://12go.asia/en/travel/Fes-Airport/Essaouira-Mogador-Airport", "12Go Link")</f>
        <v>12Go Link</v>
      </c>
      <c r="E6007" s="2" t="s">
        <v>4336</v>
      </c>
    </row>
    <row r="6008">
      <c r="A6008" s="2" t="s">
        <v>4357</v>
      </c>
      <c r="B6008" s="2" t="s">
        <v>4353</v>
      </c>
      <c r="C6008" s="2" t="s">
        <v>4550</v>
      </c>
      <c r="D6008" s="3" t="str">
        <f t="shared" si="1054"/>
        <v>12Go Link</v>
      </c>
      <c r="E6008" s="2" t="s">
        <v>4337</v>
      </c>
    </row>
    <row r="6009">
      <c r="A6009" s="2" t="s">
        <v>4357</v>
      </c>
      <c r="B6009" s="2" t="s">
        <v>4353</v>
      </c>
      <c r="C6009" s="2" t="s">
        <v>4550</v>
      </c>
      <c r="D6009" s="3" t="str">
        <f t="shared" si="1054"/>
        <v>12Go Link</v>
      </c>
      <c r="E6009" s="2" t="s">
        <v>4137</v>
      </c>
    </row>
    <row r="6010">
      <c r="A6010" s="2" t="s">
        <v>4357</v>
      </c>
      <c r="B6010" s="2" t="s">
        <v>4353</v>
      </c>
      <c r="C6010" s="2" t="s">
        <v>4550</v>
      </c>
      <c r="D6010" s="3" t="str">
        <f t="shared" si="1054"/>
        <v>12Go Link</v>
      </c>
      <c r="E6010" s="2" t="s">
        <v>4338</v>
      </c>
    </row>
    <row r="6011">
      <c r="A6011" s="2" t="s">
        <v>4357</v>
      </c>
      <c r="B6011" s="2" t="s">
        <v>4353</v>
      </c>
      <c r="C6011" s="2" t="s">
        <v>4550</v>
      </c>
      <c r="D6011" s="3" t="str">
        <f t="shared" si="1054"/>
        <v>12Go Link</v>
      </c>
      <c r="E6011" s="2" t="s">
        <v>4339</v>
      </c>
    </row>
    <row r="6012">
      <c r="A6012" s="2" t="s">
        <v>4357</v>
      </c>
      <c r="B6012" s="2" t="s">
        <v>4353</v>
      </c>
      <c r="C6012" s="2" t="s">
        <v>4550</v>
      </c>
      <c r="D6012" s="3" t="str">
        <f t="shared" si="1054"/>
        <v>12Go Link</v>
      </c>
      <c r="E6012" s="2" t="s">
        <v>4340</v>
      </c>
    </row>
    <row r="6013">
      <c r="A6013" s="2" t="s">
        <v>4357</v>
      </c>
      <c r="B6013" s="2" t="s">
        <v>4353</v>
      </c>
      <c r="C6013" s="2" t="s">
        <v>4551</v>
      </c>
      <c r="D6013" s="3" t="str">
        <f t="shared" ref="D6013:D6018" si="1055">HYPERLINK("https://12go.asia/en/travel/Fes-Hotel-Transfer/Essaouira-Mogador-Airport", "12Go Link")</f>
        <v>12Go Link</v>
      </c>
      <c r="E6013" s="2" t="s">
        <v>4336</v>
      </c>
    </row>
    <row r="6014">
      <c r="A6014" s="2" t="s">
        <v>4357</v>
      </c>
      <c r="B6014" s="2" t="s">
        <v>4353</v>
      </c>
      <c r="C6014" s="2" t="s">
        <v>4551</v>
      </c>
      <c r="D6014" s="3" t="str">
        <f t="shared" si="1055"/>
        <v>12Go Link</v>
      </c>
      <c r="E6014" s="2" t="s">
        <v>4337</v>
      </c>
    </row>
    <row r="6015">
      <c r="A6015" s="2" t="s">
        <v>4357</v>
      </c>
      <c r="B6015" s="2" t="s">
        <v>4353</v>
      </c>
      <c r="C6015" s="2" t="s">
        <v>4551</v>
      </c>
      <c r="D6015" s="3" t="str">
        <f t="shared" si="1055"/>
        <v>12Go Link</v>
      </c>
      <c r="E6015" s="2" t="s">
        <v>4137</v>
      </c>
    </row>
    <row r="6016">
      <c r="A6016" s="2" t="s">
        <v>4357</v>
      </c>
      <c r="B6016" s="2" t="s">
        <v>4353</v>
      </c>
      <c r="C6016" s="2" t="s">
        <v>4551</v>
      </c>
      <c r="D6016" s="3" t="str">
        <f t="shared" si="1055"/>
        <v>12Go Link</v>
      </c>
      <c r="E6016" s="2" t="s">
        <v>4338</v>
      </c>
    </row>
    <row r="6017">
      <c r="A6017" s="2" t="s">
        <v>4357</v>
      </c>
      <c r="B6017" s="2" t="s">
        <v>4353</v>
      </c>
      <c r="C6017" s="2" t="s">
        <v>4551</v>
      </c>
      <c r="D6017" s="3" t="str">
        <f t="shared" si="1055"/>
        <v>12Go Link</v>
      </c>
      <c r="E6017" s="2" t="s">
        <v>4339</v>
      </c>
    </row>
    <row r="6018">
      <c r="A6018" s="2" t="s">
        <v>4357</v>
      </c>
      <c r="B6018" s="2" t="s">
        <v>4353</v>
      </c>
      <c r="C6018" s="2" t="s">
        <v>4551</v>
      </c>
      <c r="D6018" s="3" t="str">
        <f t="shared" si="1055"/>
        <v>12Go Link</v>
      </c>
      <c r="E6018" s="2" t="s">
        <v>4340</v>
      </c>
    </row>
    <row r="6019">
      <c r="A6019" s="2" t="s">
        <v>4357</v>
      </c>
      <c r="B6019" s="2" t="s">
        <v>4357</v>
      </c>
      <c r="C6019" s="2" t="s">
        <v>4552</v>
      </c>
      <c r="D6019" s="3" t="str">
        <f t="shared" ref="D6019:D6024" si="1056">HYPERLINK("https://12go.asia/en/travel/Fes-Airport/Fes-Hotel-Transfer", "12Go Link")</f>
        <v>12Go Link</v>
      </c>
      <c r="E6019" s="2" t="s">
        <v>4336</v>
      </c>
    </row>
    <row r="6020">
      <c r="A6020" s="2" t="s">
        <v>4357</v>
      </c>
      <c r="B6020" s="2" t="s">
        <v>4357</v>
      </c>
      <c r="C6020" s="2" t="s">
        <v>4552</v>
      </c>
      <c r="D6020" s="3" t="str">
        <f t="shared" si="1056"/>
        <v>12Go Link</v>
      </c>
      <c r="E6020" s="2" t="s">
        <v>4337</v>
      </c>
    </row>
    <row r="6021">
      <c r="A6021" s="2" t="s">
        <v>4357</v>
      </c>
      <c r="B6021" s="2" t="s">
        <v>4357</v>
      </c>
      <c r="C6021" s="2" t="s">
        <v>4552</v>
      </c>
      <c r="D6021" s="3" t="str">
        <f t="shared" si="1056"/>
        <v>12Go Link</v>
      </c>
      <c r="E6021" s="2" t="s">
        <v>4137</v>
      </c>
    </row>
    <row r="6022">
      <c r="A6022" s="2" t="s">
        <v>4357</v>
      </c>
      <c r="B6022" s="2" t="s">
        <v>4357</v>
      </c>
      <c r="C6022" s="2" t="s">
        <v>4552</v>
      </c>
      <c r="D6022" s="3" t="str">
        <f t="shared" si="1056"/>
        <v>12Go Link</v>
      </c>
      <c r="E6022" s="2" t="s">
        <v>4338</v>
      </c>
    </row>
    <row r="6023">
      <c r="A6023" s="2" t="s">
        <v>4357</v>
      </c>
      <c r="B6023" s="2" t="s">
        <v>4357</v>
      </c>
      <c r="C6023" s="2" t="s">
        <v>4552</v>
      </c>
      <c r="D6023" s="3" t="str">
        <f t="shared" si="1056"/>
        <v>12Go Link</v>
      </c>
      <c r="E6023" s="2" t="s">
        <v>4339</v>
      </c>
    </row>
    <row r="6024">
      <c r="A6024" s="2" t="s">
        <v>4357</v>
      </c>
      <c r="B6024" s="2" t="s">
        <v>4357</v>
      </c>
      <c r="C6024" s="2" t="s">
        <v>4552</v>
      </c>
      <c r="D6024" s="3" t="str">
        <f t="shared" si="1056"/>
        <v>12Go Link</v>
      </c>
      <c r="E6024" s="2" t="s">
        <v>4340</v>
      </c>
    </row>
    <row r="6025">
      <c r="A6025" s="2" t="s">
        <v>4357</v>
      </c>
      <c r="B6025" s="2" t="s">
        <v>4357</v>
      </c>
      <c r="C6025" s="2" t="s">
        <v>4553</v>
      </c>
      <c r="D6025" s="3" t="str">
        <f t="shared" ref="D6025:D6030" si="1057">HYPERLINK("https://12go.asia/en/travel/Fes-Hotel-Transfer/Fes-Airport", "12Go Link")</f>
        <v>12Go Link</v>
      </c>
      <c r="E6025" s="2" t="s">
        <v>4336</v>
      </c>
    </row>
    <row r="6026">
      <c r="A6026" s="2" t="s">
        <v>4357</v>
      </c>
      <c r="B6026" s="2" t="s">
        <v>4357</v>
      </c>
      <c r="C6026" s="2" t="s">
        <v>4553</v>
      </c>
      <c r="D6026" s="3" t="str">
        <f t="shared" si="1057"/>
        <v>12Go Link</v>
      </c>
      <c r="E6026" s="2" t="s">
        <v>4337</v>
      </c>
    </row>
    <row r="6027">
      <c r="A6027" s="2" t="s">
        <v>4357</v>
      </c>
      <c r="B6027" s="2" t="s">
        <v>4357</v>
      </c>
      <c r="C6027" s="2" t="s">
        <v>4553</v>
      </c>
      <c r="D6027" s="3" t="str">
        <f t="shared" si="1057"/>
        <v>12Go Link</v>
      </c>
      <c r="E6027" s="2" t="s">
        <v>4137</v>
      </c>
    </row>
    <row r="6028">
      <c r="A6028" s="2" t="s">
        <v>4357</v>
      </c>
      <c r="B6028" s="2" t="s">
        <v>4357</v>
      </c>
      <c r="C6028" s="2" t="s">
        <v>4553</v>
      </c>
      <c r="D6028" s="3" t="str">
        <f t="shared" si="1057"/>
        <v>12Go Link</v>
      </c>
      <c r="E6028" s="2" t="s">
        <v>4338</v>
      </c>
    </row>
    <row r="6029">
      <c r="A6029" s="2" t="s">
        <v>4357</v>
      </c>
      <c r="B6029" s="2" t="s">
        <v>4357</v>
      </c>
      <c r="C6029" s="2" t="s">
        <v>4553</v>
      </c>
      <c r="D6029" s="3" t="str">
        <f t="shared" si="1057"/>
        <v>12Go Link</v>
      </c>
      <c r="E6029" s="2" t="s">
        <v>4339</v>
      </c>
    </row>
    <row r="6030">
      <c r="A6030" s="2" t="s">
        <v>4357</v>
      </c>
      <c r="B6030" s="2" t="s">
        <v>4357</v>
      </c>
      <c r="C6030" s="2" t="s">
        <v>4553</v>
      </c>
      <c r="D6030" s="3" t="str">
        <f t="shared" si="1057"/>
        <v>12Go Link</v>
      </c>
      <c r="E6030" s="2" t="s">
        <v>4340</v>
      </c>
    </row>
    <row r="6031">
      <c r="A6031" s="2" t="s">
        <v>4357</v>
      </c>
      <c r="B6031" s="2" t="s">
        <v>4554</v>
      </c>
      <c r="C6031" s="2" t="s">
        <v>4555</v>
      </c>
      <c r="D6031" s="3" t="str">
        <f t="shared" ref="D6031:D6036" si="1058">HYPERLINK("https://12go.asia/en/travel/Fes-Airport/Ifran-Hotel-Transfer", "12Go Link")</f>
        <v>12Go Link</v>
      </c>
      <c r="E6031" s="2" t="s">
        <v>4336</v>
      </c>
    </row>
    <row r="6032">
      <c r="A6032" s="2" t="s">
        <v>4357</v>
      </c>
      <c r="B6032" s="2" t="s">
        <v>4554</v>
      </c>
      <c r="C6032" s="2" t="s">
        <v>4555</v>
      </c>
      <c r="D6032" s="3" t="str">
        <f t="shared" si="1058"/>
        <v>12Go Link</v>
      </c>
      <c r="E6032" s="2" t="s">
        <v>4337</v>
      </c>
    </row>
    <row r="6033">
      <c r="A6033" s="2" t="s">
        <v>4357</v>
      </c>
      <c r="B6033" s="2" t="s">
        <v>4554</v>
      </c>
      <c r="C6033" s="2" t="s">
        <v>4555</v>
      </c>
      <c r="D6033" s="3" t="str">
        <f t="shared" si="1058"/>
        <v>12Go Link</v>
      </c>
      <c r="E6033" s="2" t="s">
        <v>4137</v>
      </c>
    </row>
    <row r="6034">
      <c r="A6034" s="2" t="s">
        <v>4357</v>
      </c>
      <c r="B6034" s="2" t="s">
        <v>4554</v>
      </c>
      <c r="C6034" s="2" t="s">
        <v>4555</v>
      </c>
      <c r="D6034" s="3" t="str">
        <f t="shared" si="1058"/>
        <v>12Go Link</v>
      </c>
      <c r="E6034" s="2" t="s">
        <v>4338</v>
      </c>
    </row>
    <row r="6035">
      <c r="A6035" s="2" t="s">
        <v>4357</v>
      </c>
      <c r="B6035" s="2" t="s">
        <v>4554</v>
      </c>
      <c r="C6035" s="2" t="s">
        <v>4555</v>
      </c>
      <c r="D6035" s="3" t="str">
        <f t="shared" si="1058"/>
        <v>12Go Link</v>
      </c>
      <c r="E6035" s="2" t="s">
        <v>4339</v>
      </c>
    </row>
    <row r="6036">
      <c r="A6036" s="2" t="s">
        <v>4357</v>
      </c>
      <c r="B6036" s="2" t="s">
        <v>4554</v>
      </c>
      <c r="C6036" s="2" t="s">
        <v>4555</v>
      </c>
      <c r="D6036" s="3" t="str">
        <f t="shared" si="1058"/>
        <v>12Go Link</v>
      </c>
      <c r="E6036" s="2" t="s">
        <v>4340</v>
      </c>
    </row>
    <row r="6037">
      <c r="A6037" s="2" t="s">
        <v>4357</v>
      </c>
      <c r="B6037" s="2" t="s">
        <v>4364</v>
      </c>
      <c r="C6037" s="2" t="s">
        <v>4556</v>
      </c>
      <c r="D6037" s="3" t="str">
        <f t="shared" ref="D6037:D6042" si="1059">HYPERLINK("https://12go.asia/en/travel/Fes-Airport/Imi-Ouaddar-Hotel-Transfer", "12Go Link")</f>
        <v>12Go Link</v>
      </c>
      <c r="E6037" s="2" t="s">
        <v>4336</v>
      </c>
    </row>
    <row r="6038">
      <c r="A6038" s="2" t="s">
        <v>4357</v>
      </c>
      <c r="B6038" s="2" t="s">
        <v>4364</v>
      </c>
      <c r="C6038" s="2" t="s">
        <v>4556</v>
      </c>
      <c r="D6038" s="3" t="str">
        <f t="shared" si="1059"/>
        <v>12Go Link</v>
      </c>
      <c r="E6038" s="2" t="s">
        <v>4337</v>
      </c>
    </row>
    <row r="6039">
      <c r="A6039" s="2" t="s">
        <v>4357</v>
      </c>
      <c r="B6039" s="2" t="s">
        <v>4364</v>
      </c>
      <c r="C6039" s="2" t="s">
        <v>4556</v>
      </c>
      <c r="D6039" s="3" t="str">
        <f t="shared" si="1059"/>
        <v>12Go Link</v>
      </c>
      <c r="E6039" s="2" t="s">
        <v>4137</v>
      </c>
    </row>
    <row r="6040">
      <c r="A6040" s="2" t="s">
        <v>4357</v>
      </c>
      <c r="B6040" s="2" t="s">
        <v>4364</v>
      </c>
      <c r="C6040" s="2" t="s">
        <v>4556</v>
      </c>
      <c r="D6040" s="3" t="str">
        <f t="shared" si="1059"/>
        <v>12Go Link</v>
      </c>
      <c r="E6040" s="2" t="s">
        <v>4338</v>
      </c>
    </row>
    <row r="6041">
      <c r="A6041" s="2" t="s">
        <v>4357</v>
      </c>
      <c r="B6041" s="2" t="s">
        <v>4364</v>
      </c>
      <c r="C6041" s="2" t="s">
        <v>4556</v>
      </c>
      <c r="D6041" s="3" t="str">
        <f t="shared" si="1059"/>
        <v>12Go Link</v>
      </c>
      <c r="E6041" s="2" t="s">
        <v>4339</v>
      </c>
    </row>
    <row r="6042">
      <c r="A6042" s="2" t="s">
        <v>4357</v>
      </c>
      <c r="B6042" s="2" t="s">
        <v>4364</v>
      </c>
      <c r="C6042" s="2" t="s">
        <v>4556</v>
      </c>
      <c r="D6042" s="3" t="str">
        <f t="shared" si="1059"/>
        <v>12Go Link</v>
      </c>
      <c r="E6042" s="2" t="s">
        <v>4340</v>
      </c>
    </row>
    <row r="6043">
      <c r="A6043" s="2" t="s">
        <v>4357</v>
      </c>
      <c r="B6043" s="2" t="s">
        <v>4366</v>
      </c>
      <c r="C6043" s="2" t="s">
        <v>4557</v>
      </c>
      <c r="D6043" s="3" t="str">
        <f t="shared" ref="D6043:D6048" si="1060">HYPERLINK("https://12go.asia/en/travel/Fes-Airport/Imlil-Hotel-Transfer", "12Go Link")</f>
        <v>12Go Link</v>
      </c>
      <c r="E6043" s="2" t="s">
        <v>4336</v>
      </c>
    </row>
    <row r="6044">
      <c r="A6044" s="2" t="s">
        <v>4357</v>
      </c>
      <c r="B6044" s="2" t="s">
        <v>4366</v>
      </c>
      <c r="C6044" s="2" t="s">
        <v>4557</v>
      </c>
      <c r="D6044" s="3" t="str">
        <f t="shared" si="1060"/>
        <v>12Go Link</v>
      </c>
      <c r="E6044" s="2" t="s">
        <v>4337</v>
      </c>
    </row>
    <row r="6045">
      <c r="A6045" s="2" t="s">
        <v>4357</v>
      </c>
      <c r="B6045" s="2" t="s">
        <v>4366</v>
      </c>
      <c r="C6045" s="2" t="s">
        <v>4557</v>
      </c>
      <c r="D6045" s="3" t="str">
        <f t="shared" si="1060"/>
        <v>12Go Link</v>
      </c>
      <c r="E6045" s="2" t="s">
        <v>4137</v>
      </c>
    </row>
    <row r="6046">
      <c r="A6046" s="2" t="s">
        <v>4357</v>
      </c>
      <c r="B6046" s="2" t="s">
        <v>4366</v>
      </c>
      <c r="C6046" s="2" t="s">
        <v>4557</v>
      </c>
      <c r="D6046" s="3" t="str">
        <f t="shared" si="1060"/>
        <v>12Go Link</v>
      </c>
      <c r="E6046" s="2" t="s">
        <v>4338</v>
      </c>
    </row>
    <row r="6047">
      <c r="A6047" s="2" t="s">
        <v>4357</v>
      </c>
      <c r="B6047" s="2" t="s">
        <v>4366</v>
      </c>
      <c r="C6047" s="2" t="s">
        <v>4557</v>
      </c>
      <c r="D6047" s="3" t="str">
        <f t="shared" si="1060"/>
        <v>12Go Link</v>
      </c>
      <c r="E6047" s="2" t="s">
        <v>4339</v>
      </c>
    </row>
    <row r="6048">
      <c r="A6048" s="2" t="s">
        <v>4357</v>
      </c>
      <c r="B6048" s="2" t="s">
        <v>4366</v>
      </c>
      <c r="C6048" s="2" t="s">
        <v>4557</v>
      </c>
      <c r="D6048" s="3" t="str">
        <f t="shared" si="1060"/>
        <v>12Go Link</v>
      </c>
      <c r="E6048" s="2" t="s">
        <v>4340</v>
      </c>
    </row>
    <row r="6049">
      <c r="A6049" s="2" t="s">
        <v>4357</v>
      </c>
      <c r="B6049" s="2" t="s">
        <v>4368</v>
      </c>
      <c r="C6049" s="2" t="s">
        <v>4558</v>
      </c>
      <c r="D6049" s="3" t="str">
        <f t="shared" ref="D6049:D6054" si="1061">HYPERLINK("https://12go.asia/en/travel/Fes-Airport/Imsouane-Hotel-Transfer", "12Go Link")</f>
        <v>12Go Link</v>
      </c>
      <c r="E6049" s="2" t="s">
        <v>4336</v>
      </c>
    </row>
    <row r="6050">
      <c r="A6050" s="2" t="s">
        <v>4357</v>
      </c>
      <c r="B6050" s="2" t="s">
        <v>4368</v>
      </c>
      <c r="C6050" s="2" t="s">
        <v>4558</v>
      </c>
      <c r="D6050" s="3" t="str">
        <f t="shared" si="1061"/>
        <v>12Go Link</v>
      </c>
      <c r="E6050" s="2" t="s">
        <v>4337</v>
      </c>
    </row>
    <row r="6051">
      <c r="A6051" s="2" t="s">
        <v>4357</v>
      </c>
      <c r="B6051" s="2" t="s">
        <v>4368</v>
      </c>
      <c r="C6051" s="2" t="s">
        <v>4558</v>
      </c>
      <c r="D6051" s="3" t="str">
        <f t="shared" si="1061"/>
        <v>12Go Link</v>
      </c>
      <c r="E6051" s="2" t="s">
        <v>4137</v>
      </c>
    </row>
    <row r="6052">
      <c r="A6052" s="2" t="s">
        <v>4357</v>
      </c>
      <c r="B6052" s="2" t="s">
        <v>4368</v>
      </c>
      <c r="C6052" s="2" t="s">
        <v>4558</v>
      </c>
      <c r="D6052" s="3" t="str">
        <f t="shared" si="1061"/>
        <v>12Go Link</v>
      </c>
      <c r="E6052" s="2" t="s">
        <v>4338</v>
      </c>
    </row>
    <row r="6053">
      <c r="A6053" s="2" t="s">
        <v>4357</v>
      </c>
      <c r="B6053" s="2" t="s">
        <v>4368</v>
      </c>
      <c r="C6053" s="2" t="s">
        <v>4558</v>
      </c>
      <c r="D6053" s="3" t="str">
        <f t="shared" si="1061"/>
        <v>12Go Link</v>
      </c>
      <c r="E6053" s="2" t="s">
        <v>4339</v>
      </c>
    </row>
    <row r="6054">
      <c r="A6054" s="2" t="s">
        <v>4357</v>
      </c>
      <c r="B6054" s="2" t="s">
        <v>4368</v>
      </c>
      <c r="C6054" s="2" t="s">
        <v>4558</v>
      </c>
      <c r="D6054" s="3" t="str">
        <f t="shared" si="1061"/>
        <v>12Go Link</v>
      </c>
      <c r="E6054" s="2" t="s">
        <v>4340</v>
      </c>
    </row>
    <row r="6055">
      <c r="A6055" s="2" t="s">
        <v>4357</v>
      </c>
      <c r="B6055" s="2" t="s">
        <v>4370</v>
      </c>
      <c r="C6055" s="2" t="s">
        <v>4559</v>
      </c>
      <c r="D6055" s="3" t="str">
        <f t="shared" ref="D6055:D6060" si="1062">HYPERLINK("https://12go.asia/en/travel/Fes-Airport/Inezgane-Hotel-Transfer", "12Go Link")</f>
        <v>12Go Link</v>
      </c>
      <c r="E6055" s="2" t="s">
        <v>4336</v>
      </c>
    </row>
    <row r="6056">
      <c r="A6056" s="2" t="s">
        <v>4357</v>
      </c>
      <c r="B6056" s="2" t="s">
        <v>4370</v>
      </c>
      <c r="C6056" s="2" t="s">
        <v>4559</v>
      </c>
      <c r="D6056" s="3" t="str">
        <f t="shared" si="1062"/>
        <v>12Go Link</v>
      </c>
      <c r="E6056" s="2" t="s">
        <v>4337</v>
      </c>
    </row>
    <row r="6057">
      <c r="A6057" s="2" t="s">
        <v>4357</v>
      </c>
      <c r="B6057" s="2" t="s">
        <v>4370</v>
      </c>
      <c r="C6057" s="2" t="s">
        <v>4559</v>
      </c>
      <c r="D6057" s="3" t="str">
        <f t="shared" si="1062"/>
        <v>12Go Link</v>
      </c>
      <c r="E6057" s="2" t="s">
        <v>4137</v>
      </c>
    </row>
    <row r="6058">
      <c r="A6058" s="2" t="s">
        <v>4357</v>
      </c>
      <c r="B6058" s="2" t="s">
        <v>4370</v>
      </c>
      <c r="C6058" s="2" t="s">
        <v>4559</v>
      </c>
      <c r="D6058" s="3" t="str">
        <f t="shared" si="1062"/>
        <v>12Go Link</v>
      </c>
      <c r="E6058" s="2" t="s">
        <v>4338</v>
      </c>
    </row>
    <row r="6059">
      <c r="A6059" s="2" t="s">
        <v>4357</v>
      </c>
      <c r="B6059" s="2" t="s">
        <v>4370</v>
      </c>
      <c r="C6059" s="2" t="s">
        <v>4559</v>
      </c>
      <c r="D6059" s="3" t="str">
        <f t="shared" si="1062"/>
        <v>12Go Link</v>
      </c>
      <c r="E6059" s="2" t="s">
        <v>4339</v>
      </c>
    </row>
    <row r="6060">
      <c r="A6060" s="2" t="s">
        <v>4357</v>
      </c>
      <c r="B6060" s="2" t="s">
        <v>4370</v>
      </c>
      <c r="C6060" s="2" t="s">
        <v>4559</v>
      </c>
      <c r="D6060" s="3" t="str">
        <f t="shared" si="1062"/>
        <v>12Go Link</v>
      </c>
      <c r="E6060" s="2" t="s">
        <v>4340</v>
      </c>
    </row>
    <row r="6061">
      <c r="A6061" s="2" t="s">
        <v>4357</v>
      </c>
      <c r="B6061" s="2" t="s">
        <v>4372</v>
      </c>
      <c r="C6061" s="2" t="s">
        <v>4560</v>
      </c>
      <c r="D6061" s="3" t="str">
        <f t="shared" ref="D6061:D6066" si="1063">HYPERLINK("https://12go.asia/en/travel/Fes-Airport/Marrakech-Medina-Transfer", "12Go Link")</f>
        <v>12Go Link</v>
      </c>
      <c r="E6061" s="2" t="s">
        <v>4336</v>
      </c>
    </row>
    <row r="6062">
      <c r="A6062" s="2" t="s">
        <v>4357</v>
      </c>
      <c r="B6062" s="2" t="s">
        <v>4372</v>
      </c>
      <c r="C6062" s="2" t="s">
        <v>4560</v>
      </c>
      <c r="D6062" s="3" t="str">
        <f t="shared" si="1063"/>
        <v>12Go Link</v>
      </c>
      <c r="E6062" s="2" t="s">
        <v>4337</v>
      </c>
    </row>
    <row r="6063">
      <c r="A6063" s="2" t="s">
        <v>4357</v>
      </c>
      <c r="B6063" s="2" t="s">
        <v>4372</v>
      </c>
      <c r="C6063" s="2" t="s">
        <v>4560</v>
      </c>
      <c r="D6063" s="3" t="str">
        <f t="shared" si="1063"/>
        <v>12Go Link</v>
      </c>
      <c r="E6063" s="2" t="s">
        <v>4137</v>
      </c>
    </row>
    <row r="6064">
      <c r="A6064" s="2" t="s">
        <v>4357</v>
      </c>
      <c r="B6064" s="2" t="s">
        <v>4372</v>
      </c>
      <c r="C6064" s="2" t="s">
        <v>4560</v>
      </c>
      <c r="D6064" s="3" t="str">
        <f t="shared" si="1063"/>
        <v>12Go Link</v>
      </c>
      <c r="E6064" s="2" t="s">
        <v>4338</v>
      </c>
    </row>
    <row r="6065">
      <c r="A6065" s="2" t="s">
        <v>4357</v>
      </c>
      <c r="B6065" s="2" t="s">
        <v>4372</v>
      </c>
      <c r="C6065" s="2" t="s">
        <v>4560</v>
      </c>
      <c r="D6065" s="3" t="str">
        <f t="shared" si="1063"/>
        <v>12Go Link</v>
      </c>
      <c r="E6065" s="2" t="s">
        <v>4339</v>
      </c>
    </row>
    <row r="6066">
      <c r="A6066" s="2" t="s">
        <v>4357</v>
      </c>
      <c r="B6066" s="2" t="s">
        <v>4372</v>
      </c>
      <c r="C6066" s="2" t="s">
        <v>4560</v>
      </c>
      <c r="D6066" s="3" t="str">
        <f t="shared" si="1063"/>
        <v>12Go Link</v>
      </c>
      <c r="E6066" s="2" t="s">
        <v>4340</v>
      </c>
    </row>
    <row r="6067">
      <c r="A6067" s="2" t="s">
        <v>4357</v>
      </c>
      <c r="B6067" s="2" t="s">
        <v>4372</v>
      </c>
      <c r="C6067" s="2" t="s">
        <v>4561</v>
      </c>
      <c r="D6067" s="3" t="str">
        <f t="shared" ref="D6067:D6072" si="1064">HYPERLINK("https://12go.asia/en/travel/Fes-Airport/Marrakesh-Hotel-Transfer", "12Go Link")</f>
        <v>12Go Link</v>
      </c>
      <c r="E6067" s="2" t="s">
        <v>4336</v>
      </c>
    </row>
    <row r="6068">
      <c r="A6068" s="2" t="s">
        <v>4357</v>
      </c>
      <c r="B6068" s="2" t="s">
        <v>4372</v>
      </c>
      <c r="C6068" s="2" t="s">
        <v>4561</v>
      </c>
      <c r="D6068" s="3" t="str">
        <f t="shared" si="1064"/>
        <v>12Go Link</v>
      </c>
      <c r="E6068" s="2" t="s">
        <v>4337</v>
      </c>
    </row>
    <row r="6069">
      <c r="A6069" s="2" t="s">
        <v>4357</v>
      </c>
      <c r="B6069" s="2" t="s">
        <v>4372</v>
      </c>
      <c r="C6069" s="2" t="s">
        <v>4561</v>
      </c>
      <c r="D6069" s="3" t="str">
        <f t="shared" si="1064"/>
        <v>12Go Link</v>
      </c>
      <c r="E6069" s="2" t="s">
        <v>4137</v>
      </c>
    </row>
    <row r="6070">
      <c r="A6070" s="2" t="s">
        <v>4357</v>
      </c>
      <c r="B6070" s="2" t="s">
        <v>4372</v>
      </c>
      <c r="C6070" s="2" t="s">
        <v>4561</v>
      </c>
      <c r="D6070" s="3" t="str">
        <f t="shared" si="1064"/>
        <v>12Go Link</v>
      </c>
      <c r="E6070" s="2" t="s">
        <v>4338</v>
      </c>
    </row>
    <row r="6071">
      <c r="A6071" s="2" t="s">
        <v>4357</v>
      </c>
      <c r="B6071" s="2" t="s">
        <v>4372</v>
      </c>
      <c r="C6071" s="2" t="s">
        <v>4561</v>
      </c>
      <c r="D6071" s="3" t="str">
        <f t="shared" si="1064"/>
        <v>12Go Link</v>
      </c>
      <c r="E6071" s="2" t="s">
        <v>4339</v>
      </c>
    </row>
    <row r="6072">
      <c r="A6072" s="2" t="s">
        <v>4357</v>
      </c>
      <c r="B6072" s="2" t="s">
        <v>4372</v>
      </c>
      <c r="C6072" s="2" t="s">
        <v>4561</v>
      </c>
      <c r="D6072" s="3" t="str">
        <f t="shared" si="1064"/>
        <v>12Go Link</v>
      </c>
      <c r="E6072" s="2" t="s">
        <v>4340</v>
      </c>
    </row>
    <row r="6073">
      <c r="A6073" s="2" t="s">
        <v>4357</v>
      </c>
      <c r="B6073" s="2" t="s">
        <v>4372</v>
      </c>
      <c r="C6073" s="2" t="s">
        <v>4562</v>
      </c>
      <c r="D6073" s="3" t="str">
        <f t="shared" ref="D6073:D6078" si="1065">HYPERLINK("https://12go.asia/en/travel/Fes-Airport/Marrakesh-Menara-Airport", "12Go Link")</f>
        <v>12Go Link</v>
      </c>
      <c r="E6073" s="2" t="s">
        <v>4336</v>
      </c>
    </row>
    <row r="6074">
      <c r="A6074" s="2" t="s">
        <v>4357</v>
      </c>
      <c r="B6074" s="2" t="s">
        <v>4372</v>
      </c>
      <c r="C6074" s="2" t="s">
        <v>4562</v>
      </c>
      <c r="D6074" s="3" t="str">
        <f t="shared" si="1065"/>
        <v>12Go Link</v>
      </c>
      <c r="E6074" s="2" t="s">
        <v>4337</v>
      </c>
    </row>
    <row r="6075">
      <c r="A6075" s="2" t="s">
        <v>4357</v>
      </c>
      <c r="B6075" s="2" t="s">
        <v>4372</v>
      </c>
      <c r="C6075" s="2" t="s">
        <v>4562</v>
      </c>
      <c r="D6075" s="3" t="str">
        <f t="shared" si="1065"/>
        <v>12Go Link</v>
      </c>
      <c r="E6075" s="2" t="s">
        <v>4137</v>
      </c>
    </row>
    <row r="6076">
      <c r="A6076" s="2" t="s">
        <v>4357</v>
      </c>
      <c r="B6076" s="2" t="s">
        <v>4372</v>
      </c>
      <c r="C6076" s="2" t="s">
        <v>4562</v>
      </c>
      <c r="D6076" s="3" t="str">
        <f t="shared" si="1065"/>
        <v>12Go Link</v>
      </c>
      <c r="E6076" s="2" t="s">
        <v>4338</v>
      </c>
    </row>
    <row r="6077">
      <c r="A6077" s="2" t="s">
        <v>4357</v>
      </c>
      <c r="B6077" s="2" t="s">
        <v>4372</v>
      </c>
      <c r="C6077" s="2" t="s">
        <v>4562</v>
      </c>
      <c r="D6077" s="3" t="str">
        <f t="shared" si="1065"/>
        <v>12Go Link</v>
      </c>
      <c r="E6077" s="2" t="s">
        <v>4339</v>
      </c>
    </row>
    <row r="6078">
      <c r="A6078" s="2" t="s">
        <v>4357</v>
      </c>
      <c r="B6078" s="2" t="s">
        <v>4372</v>
      </c>
      <c r="C6078" s="2" t="s">
        <v>4562</v>
      </c>
      <c r="D6078" s="3" t="str">
        <f t="shared" si="1065"/>
        <v>12Go Link</v>
      </c>
      <c r="E6078" s="2" t="s">
        <v>4340</v>
      </c>
    </row>
    <row r="6079">
      <c r="A6079" s="2" t="s">
        <v>4357</v>
      </c>
      <c r="B6079" s="2" t="s">
        <v>4372</v>
      </c>
      <c r="C6079" s="2" t="s">
        <v>4563</v>
      </c>
      <c r="D6079" s="3" t="str">
        <f t="shared" ref="D6079:D6084" si="1066">HYPERLINK("https://12go.asia/en/travel/Fes-Hotel-Transfer/Marrakesh-Menara-Airport", "12Go Link")</f>
        <v>12Go Link</v>
      </c>
      <c r="E6079" s="2" t="s">
        <v>4336</v>
      </c>
    </row>
    <row r="6080">
      <c r="A6080" s="2" t="s">
        <v>4357</v>
      </c>
      <c r="B6080" s="2" t="s">
        <v>4372</v>
      </c>
      <c r="C6080" s="2" t="s">
        <v>4563</v>
      </c>
      <c r="D6080" s="3" t="str">
        <f t="shared" si="1066"/>
        <v>12Go Link</v>
      </c>
      <c r="E6080" s="2" t="s">
        <v>4337</v>
      </c>
    </row>
    <row r="6081">
      <c r="A6081" s="2" t="s">
        <v>4357</v>
      </c>
      <c r="B6081" s="2" t="s">
        <v>4372</v>
      </c>
      <c r="C6081" s="2" t="s">
        <v>4563</v>
      </c>
      <c r="D6081" s="3" t="str">
        <f t="shared" si="1066"/>
        <v>12Go Link</v>
      </c>
      <c r="E6081" s="2" t="s">
        <v>4137</v>
      </c>
    </row>
    <row r="6082">
      <c r="A6082" s="2" t="s">
        <v>4357</v>
      </c>
      <c r="B6082" s="2" t="s">
        <v>4372</v>
      </c>
      <c r="C6082" s="2" t="s">
        <v>4563</v>
      </c>
      <c r="D6082" s="3" t="str">
        <f t="shared" si="1066"/>
        <v>12Go Link</v>
      </c>
      <c r="E6082" s="2" t="s">
        <v>4338</v>
      </c>
    </row>
    <row r="6083">
      <c r="A6083" s="2" t="s">
        <v>4357</v>
      </c>
      <c r="B6083" s="2" t="s">
        <v>4372</v>
      </c>
      <c r="C6083" s="2" t="s">
        <v>4563</v>
      </c>
      <c r="D6083" s="3" t="str">
        <f t="shared" si="1066"/>
        <v>12Go Link</v>
      </c>
      <c r="E6083" s="2" t="s">
        <v>4339</v>
      </c>
    </row>
    <row r="6084">
      <c r="A6084" s="2" t="s">
        <v>4357</v>
      </c>
      <c r="B6084" s="2" t="s">
        <v>4372</v>
      </c>
      <c r="C6084" s="2" t="s">
        <v>4563</v>
      </c>
      <c r="D6084" s="3" t="str">
        <f t="shared" si="1066"/>
        <v>12Go Link</v>
      </c>
      <c r="E6084" s="2" t="s">
        <v>4340</v>
      </c>
    </row>
    <row r="6085">
      <c r="A6085" s="2" t="s">
        <v>4357</v>
      </c>
      <c r="B6085" s="2" t="s">
        <v>4377</v>
      </c>
      <c r="C6085" s="2" t="s">
        <v>4564</v>
      </c>
      <c r="D6085" s="3" t="str">
        <f t="shared" ref="D6085:D6090" si="1067">HYPERLINK("https://12go.asia/en/travel/Fes-Airport/Meknes-Hotel-Transfer", "12Go Link")</f>
        <v>12Go Link</v>
      </c>
      <c r="E6085" s="2" t="s">
        <v>4336</v>
      </c>
    </row>
    <row r="6086">
      <c r="A6086" s="2" t="s">
        <v>4357</v>
      </c>
      <c r="B6086" s="2" t="s">
        <v>4377</v>
      </c>
      <c r="C6086" s="2" t="s">
        <v>4564</v>
      </c>
      <c r="D6086" s="3" t="str">
        <f t="shared" si="1067"/>
        <v>12Go Link</v>
      </c>
      <c r="E6086" s="2" t="s">
        <v>4337</v>
      </c>
    </row>
    <row r="6087">
      <c r="A6087" s="2" t="s">
        <v>4357</v>
      </c>
      <c r="B6087" s="2" t="s">
        <v>4377</v>
      </c>
      <c r="C6087" s="2" t="s">
        <v>4564</v>
      </c>
      <c r="D6087" s="3" t="str">
        <f t="shared" si="1067"/>
        <v>12Go Link</v>
      </c>
      <c r="E6087" s="2" t="s">
        <v>4137</v>
      </c>
    </row>
    <row r="6088">
      <c r="A6088" s="2" t="s">
        <v>4357</v>
      </c>
      <c r="B6088" s="2" t="s">
        <v>4377</v>
      </c>
      <c r="C6088" s="2" t="s">
        <v>4564</v>
      </c>
      <c r="D6088" s="3" t="str">
        <f t="shared" si="1067"/>
        <v>12Go Link</v>
      </c>
      <c r="E6088" s="2" t="s">
        <v>4338</v>
      </c>
    </row>
    <row r="6089">
      <c r="A6089" s="2" t="s">
        <v>4357</v>
      </c>
      <c r="B6089" s="2" t="s">
        <v>4377</v>
      </c>
      <c r="C6089" s="2" t="s">
        <v>4564</v>
      </c>
      <c r="D6089" s="3" t="str">
        <f t="shared" si="1067"/>
        <v>12Go Link</v>
      </c>
      <c r="E6089" s="2" t="s">
        <v>4339</v>
      </c>
    </row>
    <row r="6090">
      <c r="A6090" s="2" t="s">
        <v>4357</v>
      </c>
      <c r="B6090" s="2" t="s">
        <v>4377</v>
      </c>
      <c r="C6090" s="2" t="s">
        <v>4564</v>
      </c>
      <c r="D6090" s="3" t="str">
        <f t="shared" si="1067"/>
        <v>12Go Link</v>
      </c>
      <c r="E6090" s="2" t="s">
        <v>4340</v>
      </c>
    </row>
    <row r="6091">
      <c r="A6091" s="2" t="s">
        <v>4357</v>
      </c>
      <c r="B6091" s="2" t="s">
        <v>4565</v>
      </c>
      <c r="C6091" s="2" t="s">
        <v>4566</v>
      </c>
      <c r="D6091" s="3" t="str">
        <f t="shared" ref="D6091:D6096" si="1068">HYPERLINK("https://12go.asia/en/travel/Fes-Airport/Moulay-Idriss-Zerhoun", "12Go Link")</f>
        <v>12Go Link</v>
      </c>
      <c r="E6091" s="2" t="s">
        <v>4336</v>
      </c>
    </row>
    <row r="6092">
      <c r="A6092" s="2" t="s">
        <v>4357</v>
      </c>
      <c r="B6092" s="2" t="s">
        <v>4565</v>
      </c>
      <c r="C6092" s="2" t="s">
        <v>4566</v>
      </c>
      <c r="D6092" s="3" t="str">
        <f t="shared" si="1068"/>
        <v>12Go Link</v>
      </c>
      <c r="E6092" s="2" t="s">
        <v>4337</v>
      </c>
    </row>
    <row r="6093">
      <c r="A6093" s="2" t="s">
        <v>4357</v>
      </c>
      <c r="B6093" s="2" t="s">
        <v>4565</v>
      </c>
      <c r="C6093" s="2" t="s">
        <v>4566</v>
      </c>
      <c r="D6093" s="3" t="str">
        <f t="shared" si="1068"/>
        <v>12Go Link</v>
      </c>
      <c r="E6093" s="2" t="s">
        <v>4137</v>
      </c>
    </row>
    <row r="6094">
      <c r="A6094" s="2" t="s">
        <v>4357</v>
      </c>
      <c r="B6094" s="2" t="s">
        <v>4565</v>
      </c>
      <c r="C6094" s="2" t="s">
        <v>4566</v>
      </c>
      <c r="D6094" s="3" t="str">
        <f t="shared" si="1068"/>
        <v>12Go Link</v>
      </c>
      <c r="E6094" s="2" t="s">
        <v>4338</v>
      </c>
    </row>
    <row r="6095">
      <c r="A6095" s="2" t="s">
        <v>4357</v>
      </c>
      <c r="B6095" s="2" t="s">
        <v>4565</v>
      </c>
      <c r="C6095" s="2" t="s">
        <v>4566</v>
      </c>
      <c r="D6095" s="3" t="str">
        <f t="shared" si="1068"/>
        <v>12Go Link</v>
      </c>
      <c r="E6095" s="2" t="s">
        <v>4339</v>
      </c>
    </row>
    <row r="6096">
      <c r="A6096" s="2" t="s">
        <v>4357</v>
      </c>
      <c r="B6096" s="2" t="s">
        <v>4565</v>
      </c>
      <c r="C6096" s="2" t="s">
        <v>4566</v>
      </c>
      <c r="D6096" s="3" t="str">
        <f t="shared" si="1068"/>
        <v>12Go Link</v>
      </c>
      <c r="E6096" s="2" t="s">
        <v>4340</v>
      </c>
    </row>
    <row r="6097">
      <c r="A6097" s="2" t="s">
        <v>4357</v>
      </c>
      <c r="B6097" s="2" t="s">
        <v>4381</v>
      </c>
      <c r="C6097" s="2" t="s">
        <v>4567</v>
      </c>
      <c r="D6097" s="3" t="str">
        <f t="shared" ref="D6097:D6102" si="1069">HYPERLINK("https://12go.asia/en/travel/Fes-Airport/Ouarzazate-Airport", "12Go Link")</f>
        <v>12Go Link</v>
      </c>
      <c r="E6097" s="2" t="s">
        <v>4336</v>
      </c>
    </row>
    <row r="6098">
      <c r="A6098" s="2" t="s">
        <v>4357</v>
      </c>
      <c r="B6098" s="2" t="s">
        <v>4381</v>
      </c>
      <c r="C6098" s="2" t="s">
        <v>4567</v>
      </c>
      <c r="D6098" s="3" t="str">
        <f t="shared" si="1069"/>
        <v>12Go Link</v>
      </c>
      <c r="E6098" s="2" t="s">
        <v>4337</v>
      </c>
    </row>
    <row r="6099">
      <c r="A6099" s="2" t="s">
        <v>4357</v>
      </c>
      <c r="B6099" s="2" t="s">
        <v>4381</v>
      </c>
      <c r="C6099" s="2" t="s">
        <v>4567</v>
      </c>
      <c r="D6099" s="3" t="str">
        <f t="shared" si="1069"/>
        <v>12Go Link</v>
      </c>
      <c r="E6099" s="2" t="s">
        <v>4137</v>
      </c>
    </row>
    <row r="6100">
      <c r="A6100" s="2" t="s">
        <v>4357</v>
      </c>
      <c r="B6100" s="2" t="s">
        <v>4381</v>
      </c>
      <c r="C6100" s="2" t="s">
        <v>4567</v>
      </c>
      <c r="D6100" s="3" t="str">
        <f t="shared" si="1069"/>
        <v>12Go Link</v>
      </c>
      <c r="E6100" s="2" t="s">
        <v>4338</v>
      </c>
    </row>
    <row r="6101">
      <c r="A6101" s="2" t="s">
        <v>4357</v>
      </c>
      <c r="B6101" s="2" t="s">
        <v>4381</v>
      </c>
      <c r="C6101" s="2" t="s">
        <v>4567</v>
      </c>
      <c r="D6101" s="3" t="str">
        <f t="shared" si="1069"/>
        <v>12Go Link</v>
      </c>
      <c r="E6101" s="2" t="s">
        <v>4339</v>
      </c>
    </row>
    <row r="6102">
      <c r="A6102" s="2" t="s">
        <v>4357</v>
      </c>
      <c r="B6102" s="2" t="s">
        <v>4381</v>
      </c>
      <c r="C6102" s="2" t="s">
        <v>4567</v>
      </c>
      <c r="D6102" s="3" t="str">
        <f t="shared" si="1069"/>
        <v>12Go Link</v>
      </c>
      <c r="E6102" s="2" t="s">
        <v>4340</v>
      </c>
    </row>
    <row r="6103">
      <c r="A6103" s="2" t="s">
        <v>4357</v>
      </c>
      <c r="B6103" s="2" t="s">
        <v>4381</v>
      </c>
      <c r="C6103" s="2" t="s">
        <v>4568</v>
      </c>
      <c r="D6103" s="3" t="str">
        <f t="shared" ref="D6103:D6108" si="1070">HYPERLINK("https://12go.asia/en/travel/Fes-Airport/Ouarzazate-Hotel-Transfer", "12Go Link")</f>
        <v>12Go Link</v>
      </c>
      <c r="E6103" s="2" t="s">
        <v>4336</v>
      </c>
    </row>
    <row r="6104">
      <c r="A6104" s="2" t="s">
        <v>4357</v>
      </c>
      <c r="B6104" s="2" t="s">
        <v>4381</v>
      </c>
      <c r="C6104" s="2" t="s">
        <v>4568</v>
      </c>
      <c r="D6104" s="3" t="str">
        <f t="shared" si="1070"/>
        <v>12Go Link</v>
      </c>
      <c r="E6104" s="2" t="s">
        <v>4337</v>
      </c>
    </row>
    <row r="6105">
      <c r="A6105" s="2" t="s">
        <v>4357</v>
      </c>
      <c r="B6105" s="2" t="s">
        <v>4381</v>
      </c>
      <c r="C6105" s="2" t="s">
        <v>4568</v>
      </c>
      <c r="D6105" s="3" t="str">
        <f t="shared" si="1070"/>
        <v>12Go Link</v>
      </c>
      <c r="E6105" s="2" t="s">
        <v>4137</v>
      </c>
    </row>
    <row r="6106">
      <c r="A6106" s="2" t="s">
        <v>4357</v>
      </c>
      <c r="B6106" s="2" t="s">
        <v>4381</v>
      </c>
      <c r="C6106" s="2" t="s">
        <v>4568</v>
      </c>
      <c r="D6106" s="3" t="str">
        <f t="shared" si="1070"/>
        <v>12Go Link</v>
      </c>
      <c r="E6106" s="2" t="s">
        <v>4338</v>
      </c>
    </row>
    <row r="6107">
      <c r="A6107" s="2" t="s">
        <v>4357</v>
      </c>
      <c r="B6107" s="2" t="s">
        <v>4381</v>
      </c>
      <c r="C6107" s="2" t="s">
        <v>4568</v>
      </c>
      <c r="D6107" s="3" t="str">
        <f t="shared" si="1070"/>
        <v>12Go Link</v>
      </c>
      <c r="E6107" s="2" t="s">
        <v>4339</v>
      </c>
    </row>
    <row r="6108">
      <c r="A6108" s="2" t="s">
        <v>4357</v>
      </c>
      <c r="B6108" s="2" t="s">
        <v>4381</v>
      </c>
      <c r="C6108" s="2" t="s">
        <v>4568</v>
      </c>
      <c r="D6108" s="3" t="str">
        <f t="shared" si="1070"/>
        <v>12Go Link</v>
      </c>
      <c r="E6108" s="2" t="s">
        <v>4340</v>
      </c>
    </row>
    <row r="6109">
      <c r="A6109" s="2" t="s">
        <v>4357</v>
      </c>
      <c r="B6109" s="2" t="s">
        <v>4384</v>
      </c>
      <c r="C6109" s="2" t="s">
        <v>4569</v>
      </c>
      <c r="D6109" s="3" t="str">
        <f t="shared" ref="D6109:D6114" si="1071">HYPERLINK("https://12go.asia/en/travel/Fes-Airport/Ouirgane-Hotel-Transfer", "12Go Link")</f>
        <v>12Go Link</v>
      </c>
      <c r="E6109" s="2" t="s">
        <v>4336</v>
      </c>
    </row>
    <row r="6110">
      <c r="A6110" s="2" t="s">
        <v>4357</v>
      </c>
      <c r="B6110" s="2" t="s">
        <v>4384</v>
      </c>
      <c r="C6110" s="2" t="s">
        <v>4569</v>
      </c>
      <c r="D6110" s="3" t="str">
        <f t="shared" si="1071"/>
        <v>12Go Link</v>
      </c>
      <c r="E6110" s="2" t="s">
        <v>4337</v>
      </c>
    </row>
    <row r="6111">
      <c r="A6111" s="2" t="s">
        <v>4357</v>
      </c>
      <c r="B6111" s="2" t="s">
        <v>4384</v>
      </c>
      <c r="C6111" s="2" t="s">
        <v>4569</v>
      </c>
      <c r="D6111" s="3" t="str">
        <f t="shared" si="1071"/>
        <v>12Go Link</v>
      </c>
      <c r="E6111" s="2" t="s">
        <v>4137</v>
      </c>
    </row>
    <row r="6112">
      <c r="A6112" s="2" t="s">
        <v>4357</v>
      </c>
      <c r="B6112" s="2" t="s">
        <v>4384</v>
      </c>
      <c r="C6112" s="2" t="s">
        <v>4569</v>
      </c>
      <c r="D6112" s="3" t="str">
        <f t="shared" si="1071"/>
        <v>12Go Link</v>
      </c>
      <c r="E6112" s="2" t="s">
        <v>4338</v>
      </c>
    </row>
    <row r="6113">
      <c r="A6113" s="2" t="s">
        <v>4357</v>
      </c>
      <c r="B6113" s="2" t="s">
        <v>4384</v>
      </c>
      <c r="C6113" s="2" t="s">
        <v>4569</v>
      </c>
      <c r="D6113" s="3" t="str">
        <f t="shared" si="1071"/>
        <v>12Go Link</v>
      </c>
      <c r="E6113" s="2" t="s">
        <v>4339</v>
      </c>
    </row>
    <row r="6114">
      <c r="A6114" s="2" t="s">
        <v>4357</v>
      </c>
      <c r="B6114" s="2" t="s">
        <v>4384</v>
      </c>
      <c r="C6114" s="2" t="s">
        <v>4569</v>
      </c>
      <c r="D6114" s="3" t="str">
        <f t="shared" si="1071"/>
        <v>12Go Link</v>
      </c>
      <c r="E6114" s="2" t="s">
        <v>4340</v>
      </c>
    </row>
    <row r="6115">
      <c r="A6115" s="2" t="s">
        <v>4357</v>
      </c>
      <c r="B6115" s="2" t="s">
        <v>4413</v>
      </c>
      <c r="C6115" s="2" t="s">
        <v>4570</v>
      </c>
      <c r="D6115" s="3" t="str">
        <f t="shared" ref="D6115:D6120" si="1072">HYPERLINK("https://12go.asia/en/travel/Fes-Airport/Oujda-Hotel-Transfer", "12Go Link")</f>
        <v>12Go Link</v>
      </c>
      <c r="E6115" s="2" t="s">
        <v>4336</v>
      </c>
    </row>
    <row r="6116">
      <c r="A6116" s="2" t="s">
        <v>4357</v>
      </c>
      <c r="B6116" s="2" t="s">
        <v>4413</v>
      </c>
      <c r="C6116" s="2" t="s">
        <v>4570</v>
      </c>
      <c r="D6116" s="3" t="str">
        <f t="shared" si="1072"/>
        <v>12Go Link</v>
      </c>
      <c r="E6116" s="2" t="s">
        <v>4337</v>
      </c>
    </row>
    <row r="6117">
      <c r="A6117" s="2" t="s">
        <v>4357</v>
      </c>
      <c r="B6117" s="2" t="s">
        <v>4413</v>
      </c>
      <c r="C6117" s="2" t="s">
        <v>4570</v>
      </c>
      <c r="D6117" s="3" t="str">
        <f t="shared" si="1072"/>
        <v>12Go Link</v>
      </c>
      <c r="E6117" s="2" t="s">
        <v>4137</v>
      </c>
    </row>
    <row r="6118">
      <c r="A6118" s="2" t="s">
        <v>4357</v>
      </c>
      <c r="B6118" s="2" t="s">
        <v>4413</v>
      </c>
      <c r="C6118" s="2" t="s">
        <v>4570</v>
      </c>
      <c r="D6118" s="3" t="str">
        <f t="shared" si="1072"/>
        <v>12Go Link</v>
      </c>
      <c r="E6118" s="2" t="s">
        <v>4338</v>
      </c>
    </row>
    <row r="6119">
      <c r="A6119" s="2" t="s">
        <v>4357</v>
      </c>
      <c r="B6119" s="2" t="s">
        <v>4413</v>
      </c>
      <c r="C6119" s="2" t="s">
        <v>4570</v>
      </c>
      <c r="D6119" s="3" t="str">
        <f t="shared" si="1072"/>
        <v>12Go Link</v>
      </c>
      <c r="E6119" s="2" t="s">
        <v>4339</v>
      </c>
    </row>
    <row r="6120">
      <c r="A6120" s="2" t="s">
        <v>4357</v>
      </c>
      <c r="B6120" s="2" t="s">
        <v>4413</v>
      </c>
      <c r="C6120" s="2" t="s">
        <v>4570</v>
      </c>
      <c r="D6120" s="3" t="str">
        <f t="shared" si="1072"/>
        <v>12Go Link</v>
      </c>
      <c r="E6120" s="2" t="s">
        <v>4340</v>
      </c>
    </row>
    <row r="6121">
      <c r="A6121" s="2" t="s">
        <v>4357</v>
      </c>
      <c r="B6121" s="2" t="s">
        <v>4413</v>
      </c>
      <c r="C6121" s="2" t="s">
        <v>4571</v>
      </c>
      <c r="D6121" s="3" t="str">
        <f t="shared" ref="D6121:D6126" si="1073">HYPERLINK("https://12go.asia/en/travel/Fes-Hotel-Transfer/Oujda-Angads-Airport", "12Go Link")</f>
        <v>12Go Link</v>
      </c>
      <c r="E6121" s="2" t="s">
        <v>4336</v>
      </c>
    </row>
    <row r="6122">
      <c r="A6122" s="2" t="s">
        <v>4357</v>
      </c>
      <c r="B6122" s="2" t="s">
        <v>4413</v>
      </c>
      <c r="C6122" s="2" t="s">
        <v>4571</v>
      </c>
      <c r="D6122" s="3" t="str">
        <f t="shared" si="1073"/>
        <v>12Go Link</v>
      </c>
      <c r="E6122" s="2" t="s">
        <v>4337</v>
      </c>
    </row>
    <row r="6123">
      <c r="A6123" s="2" t="s">
        <v>4357</v>
      </c>
      <c r="B6123" s="2" t="s">
        <v>4413</v>
      </c>
      <c r="C6123" s="2" t="s">
        <v>4571</v>
      </c>
      <c r="D6123" s="3" t="str">
        <f t="shared" si="1073"/>
        <v>12Go Link</v>
      </c>
      <c r="E6123" s="2" t="s">
        <v>4137</v>
      </c>
    </row>
    <row r="6124">
      <c r="A6124" s="2" t="s">
        <v>4357</v>
      </c>
      <c r="B6124" s="2" t="s">
        <v>4413</v>
      </c>
      <c r="C6124" s="2" t="s">
        <v>4571</v>
      </c>
      <c r="D6124" s="3" t="str">
        <f t="shared" si="1073"/>
        <v>12Go Link</v>
      </c>
      <c r="E6124" s="2" t="s">
        <v>4338</v>
      </c>
    </row>
    <row r="6125">
      <c r="A6125" s="2" t="s">
        <v>4357</v>
      </c>
      <c r="B6125" s="2" t="s">
        <v>4413</v>
      </c>
      <c r="C6125" s="2" t="s">
        <v>4571</v>
      </c>
      <c r="D6125" s="3" t="str">
        <f t="shared" si="1073"/>
        <v>12Go Link</v>
      </c>
      <c r="E6125" s="2" t="s">
        <v>4339</v>
      </c>
    </row>
    <row r="6126">
      <c r="A6126" s="2" t="s">
        <v>4357</v>
      </c>
      <c r="B6126" s="2" t="s">
        <v>4413</v>
      </c>
      <c r="C6126" s="2" t="s">
        <v>4571</v>
      </c>
      <c r="D6126" s="3" t="str">
        <f t="shared" si="1073"/>
        <v>12Go Link</v>
      </c>
      <c r="E6126" s="2" t="s">
        <v>4340</v>
      </c>
    </row>
    <row r="6127">
      <c r="A6127" s="2" t="s">
        <v>4357</v>
      </c>
      <c r="B6127" s="2" t="s">
        <v>4386</v>
      </c>
      <c r="C6127" s="2" t="s">
        <v>4572</v>
      </c>
      <c r="D6127" s="3" t="str">
        <f t="shared" ref="D6127:D6132" si="1074">HYPERLINK("https://12go.asia/en/travel/Fes-Airport/Rabat-Hotel-Transfer", "12Go Link")</f>
        <v>12Go Link</v>
      </c>
      <c r="E6127" s="2" t="s">
        <v>4336</v>
      </c>
    </row>
    <row r="6128">
      <c r="A6128" s="2" t="s">
        <v>4357</v>
      </c>
      <c r="B6128" s="2" t="s">
        <v>4386</v>
      </c>
      <c r="C6128" s="2" t="s">
        <v>4572</v>
      </c>
      <c r="D6128" s="3" t="str">
        <f t="shared" si="1074"/>
        <v>12Go Link</v>
      </c>
      <c r="E6128" s="2" t="s">
        <v>4337</v>
      </c>
    </row>
    <row r="6129">
      <c r="A6129" s="2" t="s">
        <v>4357</v>
      </c>
      <c r="B6129" s="2" t="s">
        <v>4386</v>
      </c>
      <c r="C6129" s="2" t="s">
        <v>4572</v>
      </c>
      <c r="D6129" s="3" t="str">
        <f t="shared" si="1074"/>
        <v>12Go Link</v>
      </c>
      <c r="E6129" s="2" t="s">
        <v>4137</v>
      </c>
    </row>
    <row r="6130">
      <c r="A6130" s="2" t="s">
        <v>4357</v>
      </c>
      <c r="B6130" s="2" t="s">
        <v>4386</v>
      </c>
      <c r="C6130" s="2" t="s">
        <v>4572</v>
      </c>
      <c r="D6130" s="3" t="str">
        <f t="shared" si="1074"/>
        <v>12Go Link</v>
      </c>
      <c r="E6130" s="2" t="s">
        <v>4338</v>
      </c>
    </row>
    <row r="6131">
      <c r="A6131" s="2" t="s">
        <v>4357</v>
      </c>
      <c r="B6131" s="2" t="s">
        <v>4386</v>
      </c>
      <c r="C6131" s="2" t="s">
        <v>4572</v>
      </c>
      <c r="D6131" s="3" t="str">
        <f t="shared" si="1074"/>
        <v>12Go Link</v>
      </c>
      <c r="E6131" s="2" t="s">
        <v>4339</v>
      </c>
    </row>
    <row r="6132">
      <c r="A6132" s="2" t="s">
        <v>4357</v>
      </c>
      <c r="B6132" s="2" t="s">
        <v>4386</v>
      </c>
      <c r="C6132" s="2" t="s">
        <v>4572</v>
      </c>
      <c r="D6132" s="3" t="str">
        <f t="shared" si="1074"/>
        <v>12Go Link</v>
      </c>
      <c r="E6132" s="2" t="s">
        <v>4340</v>
      </c>
    </row>
    <row r="6133">
      <c r="A6133" s="2" t="s">
        <v>4357</v>
      </c>
      <c r="B6133" s="2" t="s">
        <v>4386</v>
      </c>
      <c r="C6133" s="2" t="s">
        <v>4573</v>
      </c>
      <c r="D6133" s="3" t="str">
        <f t="shared" ref="D6133:D6138" si="1075">HYPERLINK("https://12go.asia/en/travel/Fes-Airport/Rabat-Sale-Airport", "12Go Link")</f>
        <v>12Go Link</v>
      </c>
      <c r="E6133" s="2" t="s">
        <v>4336</v>
      </c>
    </row>
    <row r="6134">
      <c r="A6134" s="2" t="s">
        <v>4357</v>
      </c>
      <c r="B6134" s="2" t="s">
        <v>4386</v>
      </c>
      <c r="C6134" s="2" t="s">
        <v>4573</v>
      </c>
      <c r="D6134" s="3" t="str">
        <f t="shared" si="1075"/>
        <v>12Go Link</v>
      </c>
      <c r="E6134" s="2" t="s">
        <v>4337</v>
      </c>
    </row>
    <row r="6135">
      <c r="A6135" s="2" t="s">
        <v>4357</v>
      </c>
      <c r="B6135" s="2" t="s">
        <v>4386</v>
      </c>
      <c r="C6135" s="2" t="s">
        <v>4573</v>
      </c>
      <c r="D6135" s="3" t="str">
        <f t="shared" si="1075"/>
        <v>12Go Link</v>
      </c>
      <c r="E6135" s="2" t="s">
        <v>4137</v>
      </c>
    </row>
    <row r="6136">
      <c r="A6136" s="2" t="s">
        <v>4357</v>
      </c>
      <c r="B6136" s="2" t="s">
        <v>4386</v>
      </c>
      <c r="C6136" s="2" t="s">
        <v>4573</v>
      </c>
      <c r="D6136" s="3" t="str">
        <f t="shared" si="1075"/>
        <v>12Go Link</v>
      </c>
      <c r="E6136" s="2" t="s">
        <v>4338</v>
      </c>
    </row>
    <row r="6137">
      <c r="A6137" s="2" t="s">
        <v>4357</v>
      </c>
      <c r="B6137" s="2" t="s">
        <v>4386</v>
      </c>
      <c r="C6137" s="2" t="s">
        <v>4573</v>
      </c>
      <c r="D6137" s="3" t="str">
        <f t="shared" si="1075"/>
        <v>12Go Link</v>
      </c>
      <c r="E6137" s="2" t="s">
        <v>4339</v>
      </c>
    </row>
    <row r="6138">
      <c r="A6138" s="2" t="s">
        <v>4357</v>
      </c>
      <c r="B6138" s="2" t="s">
        <v>4386</v>
      </c>
      <c r="C6138" s="2" t="s">
        <v>4573</v>
      </c>
      <c r="D6138" s="3" t="str">
        <f t="shared" si="1075"/>
        <v>12Go Link</v>
      </c>
      <c r="E6138" s="2" t="s">
        <v>4340</v>
      </c>
    </row>
    <row r="6139">
      <c r="A6139" s="2" t="s">
        <v>4357</v>
      </c>
      <c r="B6139" s="2" t="s">
        <v>4386</v>
      </c>
      <c r="C6139" s="2" t="s">
        <v>4574</v>
      </c>
      <c r="D6139" s="3" t="str">
        <f t="shared" ref="D6139:D6144" si="1076">HYPERLINK("https://12go.asia/en/travel/Fes-Hotel-Transfer/Rabat-Sale-Airport", "12Go Link")</f>
        <v>12Go Link</v>
      </c>
      <c r="E6139" s="2" t="s">
        <v>4336</v>
      </c>
    </row>
    <row r="6140">
      <c r="A6140" s="2" t="s">
        <v>4357</v>
      </c>
      <c r="B6140" s="2" t="s">
        <v>4386</v>
      </c>
      <c r="C6140" s="2" t="s">
        <v>4574</v>
      </c>
      <c r="D6140" s="3" t="str">
        <f t="shared" si="1076"/>
        <v>12Go Link</v>
      </c>
      <c r="E6140" s="2" t="s">
        <v>4337</v>
      </c>
    </row>
    <row r="6141">
      <c r="A6141" s="2" t="s">
        <v>4357</v>
      </c>
      <c r="B6141" s="2" t="s">
        <v>4386</v>
      </c>
      <c r="C6141" s="2" t="s">
        <v>4574</v>
      </c>
      <c r="D6141" s="3" t="str">
        <f t="shared" si="1076"/>
        <v>12Go Link</v>
      </c>
      <c r="E6141" s="2" t="s">
        <v>4137</v>
      </c>
    </row>
    <row r="6142">
      <c r="A6142" s="2" t="s">
        <v>4357</v>
      </c>
      <c r="B6142" s="2" t="s">
        <v>4386</v>
      </c>
      <c r="C6142" s="2" t="s">
        <v>4574</v>
      </c>
      <c r="D6142" s="3" t="str">
        <f t="shared" si="1076"/>
        <v>12Go Link</v>
      </c>
      <c r="E6142" s="2" t="s">
        <v>4338</v>
      </c>
    </row>
    <row r="6143">
      <c r="A6143" s="2" t="s">
        <v>4357</v>
      </c>
      <c r="B6143" s="2" t="s">
        <v>4386</v>
      </c>
      <c r="C6143" s="2" t="s">
        <v>4574</v>
      </c>
      <c r="D6143" s="3" t="str">
        <f t="shared" si="1076"/>
        <v>12Go Link</v>
      </c>
      <c r="E6143" s="2" t="s">
        <v>4339</v>
      </c>
    </row>
    <row r="6144">
      <c r="A6144" s="2" t="s">
        <v>4357</v>
      </c>
      <c r="B6144" s="2" t="s">
        <v>4386</v>
      </c>
      <c r="C6144" s="2" t="s">
        <v>4574</v>
      </c>
      <c r="D6144" s="3" t="str">
        <f t="shared" si="1076"/>
        <v>12Go Link</v>
      </c>
      <c r="E6144" s="2" t="s">
        <v>4340</v>
      </c>
    </row>
    <row r="6145">
      <c r="A6145" s="2" t="s">
        <v>4357</v>
      </c>
      <c r="B6145" s="2" t="s">
        <v>4484</v>
      </c>
      <c r="C6145" s="2" t="s">
        <v>4575</v>
      </c>
      <c r="D6145" s="3" t="str">
        <f t="shared" ref="D6145:D6150" si="1077">HYPERLINK("https://12go.asia/en/travel/Fes-Airport/Safi-Hotel-Transfer", "12Go Link")</f>
        <v>12Go Link</v>
      </c>
      <c r="E6145" s="2" t="s">
        <v>4336</v>
      </c>
    </row>
    <row r="6146">
      <c r="A6146" s="2" t="s">
        <v>4357</v>
      </c>
      <c r="B6146" s="2" t="s">
        <v>4484</v>
      </c>
      <c r="C6146" s="2" t="s">
        <v>4575</v>
      </c>
      <c r="D6146" s="3" t="str">
        <f t="shared" si="1077"/>
        <v>12Go Link</v>
      </c>
      <c r="E6146" s="2" t="s">
        <v>4337</v>
      </c>
    </row>
    <row r="6147">
      <c r="A6147" s="2" t="s">
        <v>4357</v>
      </c>
      <c r="B6147" s="2" t="s">
        <v>4484</v>
      </c>
      <c r="C6147" s="2" t="s">
        <v>4575</v>
      </c>
      <c r="D6147" s="3" t="str">
        <f t="shared" si="1077"/>
        <v>12Go Link</v>
      </c>
      <c r="E6147" s="2" t="s">
        <v>4137</v>
      </c>
    </row>
    <row r="6148">
      <c r="A6148" s="2" t="s">
        <v>4357</v>
      </c>
      <c r="B6148" s="2" t="s">
        <v>4484</v>
      </c>
      <c r="C6148" s="2" t="s">
        <v>4575</v>
      </c>
      <c r="D6148" s="3" t="str">
        <f t="shared" si="1077"/>
        <v>12Go Link</v>
      </c>
      <c r="E6148" s="2" t="s">
        <v>4338</v>
      </c>
    </row>
    <row r="6149">
      <c r="A6149" s="2" t="s">
        <v>4357</v>
      </c>
      <c r="B6149" s="2" t="s">
        <v>4484</v>
      </c>
      <c r="C6149" s="2" t="s">
        <v>4575</v>
      </c>
      <c r="D6149" s="3" t="str">
        <f t="shared" si="1077"/>
        <v>12Go Link</v>
      </c>
      <c r="E6149" s="2" t="s">
        <v>4339</v>
      </c>
    </row>
    <row r="6150">
      <c r="A6150" s="2" t="s">
        <v>4357</v>
      </c>
      <c r="B6150" s="2" t="s">
        <v>4484</v>
      </c>
      <c r="C6150" s="2" t="s">
        <v>4575</v>
      </c>
      <c r="D6150" s="3" t="str">
        <f t="shared" si="1077"/>
        <v>12Go Link</v>
      </c>
      <c r="E6150" s="2" t="s">
        <v>4340</v>
      </c>
    </row>
    <row r="6151">
      <c r="A6151" s="2" t="s">
        <v>4357</v>
      </c>
      <c r="B6151" s="2" t="s">
        <v>4486</v>
      </c>
      <c r="C6151" s="2" t="s">
        <v>4576</v>
      </c>
      <c r="D6151" s="3" t="str">
        <f t="shared" ref="D6151:D6156" si="1078">HYPERLINK("https://12go.asia/en/travel/Fes-Airport/Sale-Hotel-Transfer", "12Go Link")</f>
        <v>12Go Link</v>
      </c>
      <c r="E6151" s="2" t="s">
        <v>4336</v>
      </c>
    </row>
    <row r="6152">
      <c r="A6152" s="2" t="s">
        <v>4357</v>
      </c>
      <c r="B6152" s="2" t="s">
        <v>4486</v>
      </c>
      <c r="C6152" s="2" t="s">
        <v>4576</v>
      </c>
      <c r="D6152" s="3" t="str">
        <f t="shared" si="1078"/>
        <v>12Go Link</v>
      </c>
      <c r="E6152" s="2" t="s">
        <v>4337</v>
      </c>
    </row>
    <row r="6153">
      <c r="A6153" s="2" t="s">
        <v>4357</v>
      </c>
      <c r="B6153" s="2" t="s">
        <v>4486</v>
      </c>
      <c r="C6153" s="2" t="s">
        <v>4576</v>
      </c>
      <c r="D6153" s="3" t="str">
        <f t="shared" si="1078"/>
        <v>12Go Link</v>
      </c>
      <c r="E6153" s="2" t="s">
        <v>4137</v>
      </c>
    </row>
    <row r="6154">
      <c r="A6154" s="2" t="s">
        <v>4357</v>
      </c>
      <c r="B6154" s="2" t="s">
        <v>4486</v>
      </c>
      <c r="C6154" s="2" t="s">
        <v>4576</v>
      </c>
      <c r="D6154" s="3" t="str">
        <f t="shared" si="1078"/>
        <v>12Go Link</v>
      </c>
      <c r="E6154" s="2" t="s">
        <v>4338</v>
      </c>
    </row>
    <row r="6155">
      <c r="A6155" s="2" t="s">
        <v>4357</v>
      </c>
      <c r="B6155" s="2" t="s">
        <v>4486</v>
      </c>
      <c r="C6155" s="2" t="s">
        <v>4576</v>
      </c>
      <c r="D6155" s="3" t="str">
        <f t="shared" si="1078"/>
        <v>12Go Link</v>
      </c>
      <c r="E6155" s="2" t="s">
        <v>4339</v>
      </c>
    </row>
    <row r="6156">
      <c r="A6156" s="2" t="s">
        <v>4357</v>
      </c>
      <c r="B6156" s="2" t="s">
        <v>4486</v>
      </c>
      <c r="C6156" s="2" t="s">
        <v>4576</v>
      </c>
      <c r="D6156" s="3" t="str">
        <f t="shared" si="1078"/>
        <v>12Go Link</v>
      </c>
      <c r="E6156" s="2" t="s">
        <v>4340</v>
      </c>
    </row>
    <row r="6157">
      <c r="A6157" s="2" t="s">
        <v>4357</v>
      </c>
      <c r="B6157" s="2" t="s">
        <v>4391</v>
      </c>
      <c r="C6157" s="2" t="s">
        <v>4577</v>
      </c>
      <c r="D6157" s="3" t="str">
        <f t="shared" ref="D6157:D6162" si="1079">HYPERLINK("https://12go.asia/en/travel/Fes-Airport/Sidi-Kaouki-Hotel-Transfer", "12Go Link")</f>
        <v>12Go Link</v>
      </c>
      <c r="E6157" s="2" t="s">
        <v>4336</v>
      </c>
    </row>
    <row r="6158">
      <c r="A6158" s="2" t="s">
        <v>4357</v>
      </c>
      <c r="B6158" s="2" t="s">
        <v>4391</v>
      </c>
      <c r="C6158" s="2" t="s">
        <v>4577</v>
      </c>
      <c r="D6158" s="3" t="str">
        <f t="shared" si="1079"/>
        <v>12Go Link</v>
      </c>
      <c r="E6158" s="2" t="s">
        <v>4337</v>
      </c>
    </row>
    <row r="6159">
      <c r="A6159" s="2" t="s">
        <v>4357</v>
      </c>
      <c r="B6159" s="2" t="s">
        <v>4391</v>
      </c>
      <c r="C6159" s="2" t="s">
        <v>4577</v>
      </c>
      <c r="D6159" s="3" t="str">
        <f t="shared" si="1079"/>
        <v>12Go Link</v>
      </c>
      <c r="E6159" s="2" t="s">
        <v>4137</v>
      </c>
    </row>
    <row r="6160">
      <c r="A6160" s="2" t="s">
        <v>4357</v>
      </c>
      <c r="B6160" s="2" t="s">
        <v>4391</v>
      </c>
      <c r="C6160" s="2" t="s">
        <v>4577</v>
      </c>
      <c r="D6160" s="3" t="str">
        <f t="shared" si="1079"/>
        <v>12Go Link</v>
      </c>
      <c r="E6160" s="2" t="s">
        <v>4338</v>
      </c>
    </row>
    <row r="6161">
      <c r="A6161" s="2" t="s">
        <v>4357</v>
      </c>
      <c r="B6161" s="2" t="s">
        <v>4391</v>
      </c>
      <c r="C6161" s="2" t="s">
        <v>4577</v>
      </c>
      <c r="D6161" s="3" t="str">
        <f t="shared" si="1079"/>
        <v>12Go Link</v>
      </c>
      <c r="E6161" s="2" t="s">
        <v>4339</v>
      </c>
    </row>
    <row r="6162">
      <c r="A6162" s="2" t="s">
        <v>4357</v>
      </c>
      <c r="B6162" s="2" t="s">
        <v>4391</v>
      </c>
      <c r="C6162" s="2" t="s">
        <v>4577</v>
      </c>
      <c r="D6162" s="3" t="str">
        <f t="shared" si="1079"/>
        <v>12Go Link</v>
      </c>
      <c r="E6162" s="2" t="s">
        <v>4340</v>
      </c>
    </row>
    <row r="6163">
      <c r="A6163" s="2" t="s">
        <v>4357</v>
      </c>
      <c r="B6163" s="2" t="s">
        <v>4393</v>
      </c>
      <c r="C6163" s="2" t="s">
        <v>4578</v>
      </c>
      <c r="D6163" s="3" t="str">
        <f t="shared" ref="D6163:D6168" si="1080">HYPERLINK("https://12go.asia/en/travel/Fes-Airport/Setti-Fadma-Hotel-Transfer", "12Go Link")</f>
        <v>12Go Link</v>
      </c>
      <c r="E6163" s="2" t="s">
        <v>4336</v>
      </c>
    </row>
    <row r="6164">
      <c r="A6164" s="2" t="s">
        <v>4357</v>
      </c>
      <c r="B6164" s="2" t="s">
        <v>4393</v>
      </c>
      <c r="C6164" s="2" t="s">
        <v>4578</v>
      </c>
      <c r="D6164" s="3" t="str">
        <f t="shared" si="1080"/>
        <v>12Go Link</v>
      </c>
      <c r="E6164" s="2" t="s">
        <v>4337</v>
      </c>
    </row>
    <row r="6165">
      <c r="A6165" s="2" t="s">
        <v>4357</v>
      </c>
      <c r="B6165" s="2" t="s">
        <v>4393</v>
      </c>
      <c r="C6165" s="2" t="s">
        <v>4578</v>
      </c>
      <c r="D6165" s="3" t="str">
        <f t="shared" si="1080"/>
        <v>12Go Link</v>
      </c>
      <c r="E6165" s="2" t="s">
        <v>4137</v>
      </c>
    </row>
    <row r="6166">
      <c r="A6166" s="2" t="s">
        <v>4357</v>
      </c>
      <c r="B6166" s="2" t="s">
        <v>4393</v>
      </c>
      <c r="C6166" s="2" t="s">
        <v>4578</v>
      </c>
      <c r="D6166" s="3" t="str">
        <f t="shared" si="1080"/>
        <v>12Go Link</v>
      </c>
      <c r="E6166" s="2" t="s">
        <v>4338</v>
      </c>
    </row>
    <row r="6167">
      <c r="A6167" s="2" t="s">
        <v>4357</v>
      </c>
      <c r="B6167" s="2" t="s">
        <v>4393</v>
      </c>
      <c r="C6167" s="2" t="s">
        <v>4578</v>
      </c>
      <c r="D6167" s="3" t="str">
        <f t="shared" si="1080"/>
        <v>12Go Link</v>
      </c>
      <c r="E6167" s="2" t="s">
        <v>4339</v>
      </c>
    </row>
    <row r="6168">
      <c r="A6168" s="2" t="s">
        <v>4357</v>
      </c>
      <c r="B6168" s="2" t="s">
        <v>4393</v>
      </c>
      <c r="C6168" s="2" t="s">
        <v>4578</v>
      </c>
      <c r="D6168" s="3" t="str">
        <f t="shared" si="1080"/>
        <v>12Go Link</v>
      </c>
      <c r="E6168" s="2" t="s">
        <v>4340</v>
      </c>
    </row>
    <row r="6169">
      <c r="A6169" s="2" t="s">
        <v>4357</v>
      </c>
      <c r="B6169" s="2" t="s">
        <v>4397</v>
      </c>
      <c r="C6169" s="2" t="s">
        <v>4579</v>
      </c>
      <c r="D6169" s="3" t="str">
        <f t="shared" ref="D6169:D6174" si="1081">HYPERLINK("https://12go.asia/en/travel/Fes-Airport/Taghazout-Hotel-Transfer", "12Go Link")</f>
        <v>12Go Link</v>
      </c>
      <c r="E6169" s="2" t="s">
        <v>4336</v>
      </c>
    </row>
    <row r="6170">
      <c r="A6170" s="2" t="s">
        <v>4357</v>
      </c>
      <c r="B6170" s="2" t="s">
        <v>4397</v>
      </c>
      <c r="C6170" s="2" t="s">
        <v>4579</v>
      </c>
      <c r="D6170" s="3" t="str">
        <f t="shared" si="1081"/>
        <v>12Go Link</v>
      </c>
      <c r="E6170" s="2" t="s">
        <v>4337</v>
      </c>
    </row>
    <row r="6171">
      <c r="A6171" s="2" t="s">
        <v>4357</v>
      </c>
      <c r="B6171" s="2" t="s">
        <v>4397</v>
      </c>
      <c r="C6171" s="2" t="s">
        <v>4579</v>
      </c>
      <c r="D6171" s="3" t="str">
        <f t="shared" si="1081"/>
        <v>12Go Link</v>
      </c>
      <c r="E6171" s="2" t="s">
        <v>4137</v>
      </c>
    </row>
    <row r="6172">
      <c r="A6172" s="2" t="s">
        <v>4357</v>
      </c>
      <c r="B6172" s="2" t="s">
        <v>4397</v>
      </c>
      <c r="C6172" s="2" t="s">
        <v>4579</v>
      </c>
      <c r="D6172" s="3" t="str">
        <f t="shared" si="1081"/>
        <v>12Go Link</v>
      </c>
      <c r="E6172" s="2" t="s">
        <v>4338</v>
      </c>
    </row>
    <row r="6173">
      <c r="A6173" s="2" t="s">
        <v>4357</v>
      </c>
      <c r="B6173" s="2" t="s">
        <v>4397</v>
      </c>
      <c r="C6173" s="2" t="s">
        <v>4579</v>
      </c>
      <c r="D6173" s="3" t="str">
        <f t="shared" si="1081"/>
        <v>12Go Link</v>
      </c>
      <c r="E6173" s="2" t="s">
        <v>4339</v>
      </c>
    </row>
    <row r="6174">
      <c r="A6174" s="2" t="s">
        <v>4357</v>
      </c>
      <c r="B6174" s="2" t="s">
        <v>4397</v>
      </c>
      <c r="C6174" s="2" t="s">
        <v>4579</v>
      </c>
      <c r="D6174" s="3" t="str">
        <f t="shared" si="1081"/>
        <v>12Go Link</v>
      </c>
      <c r="E6174" s="2" t="s">
        <v>4340</v>
      </c>
    </row>
    <row r="6175">
      <c r="A6175" s="2" t="s">
        <v>4357</v>
      </c>
      <c r="B6175" s="2" t="s">
        <v>4399</v>
      </c>
      <c r="C6175" s="2" t="s">
        <v>4580</v>
      </c>
      <c r="D6175" s="3" t="str">
        <f t="shared" ref="D6175:D6180" si="1082">HYPERLINK("https://12go.asia/en/travel/Fes-Airport/Tamraght-Hotel-Transfer", "12Go Link")</f>
        <v>12Go Link</v>
      </c>
      <c r="E6175" s="2" t="s">
        <v>4336</v>
      </c>
    </row>
    <row r="6176">
      <c r="A6176" s="2" t="s">
        <v>4357</v>
      </c>
      <c r="B6176" s="2" t="s">
        <v>4399</v>
      </c>
      <c r="C6176" s="2" t="s">
        <v>4580</v>
      </c>
      <c r="D6176" s="3" t="str">
        <f t="shared" si="1082"/>
        <v>12Go Link</v>
      </c>
      <c r="E6176" s="2" t="s">
        <v>4337</v>
      </c>
    </row>
    <row r="6177">
      <c r="A6177" s="2" t="s">
        <v>4357</v>
      </c>
      <c r="B6177" s="2" t="s">
        <v>4399</v>
      </c>
      <c r="C6177" s="2" t="s">
        <v>4580</v>
      </c>
      <c r="D6177" s="3" t="str">
        <f t="shared" si="1082"/>
        <v>12Go Link</v>
      </c>
      <c r="E6177" s="2" t="s">
        <v>4137</v>
      </c>
    </row>
    <row r="6178">
      <c r="A6178" s="2" t="s">
        <v>4357</v>
      </c>
      <c r="B6178" s="2" t="s">
        <v>4399</v>
      </c>
      <c r="C6178" s="2" t="s">
        <v>4580</v>
      </c>
      <c r="D6178" s="3" t="str">
        <f t="shared" si="1082"/>
        <v>12Go Link</v>
      </c>
      <c r="E6178" s="2" t="s">
        <v>4338</v>
      </c>
    </row>
    <row r="6179">
      <c r="A6179" s="2" t="s">
        <v>4357</v>
      </c>
      <c r="B6179" s="2" t="s">
        <v>4399</v>
      </c>
      <c r="C6179" s="2" t="s">
        <v>4580</v>
      </c>
      <c r="D6179" s="3" t="str">
        <f t="shared" si="1082"/>
        <v>12Go Link</v>
      </c>
      <c r="E6179" s="2" t="s">
        <v>4339</v>
      </c>
    </row>
    <row r="6180">
      <c r="A6180" s="2" t="s">
        <v>4357</v>
      </c>
      <c r="B6180" s="2" t="s">
        <v>4399</v>
      </c>
      <c r="C6180" s="2" t="s">
        <v>4580</v>
      </c>
      <c r="D6180" s="3" t="str">
        <f t="shared" si="1082"/>
        <v>12Go Link</v>
      </c>
      <c r="E6180" s="2" t="s">
        <v>4340</v>
      </c>
    </row>
    <row r="6181">
      <c r="A6181" s="2" t="s">
        <v>4357</v>
      </c>
      <c r="B6181" s="2" t="s">
        <v>4401</v>
      </c>
      <c r="C6181" s="2" t="s">
        <v>4581</v>
      </c>
      <c r="D6181" s="3" t="str">
        <f t="shared" ref="D6181:D6186" si="1083">HYPERLINK("https://12go.asia/en/travel/Fes-Airport/Paradis-Plage", "12Go Link")</f>
        <v>12Go Link</v>
      </c>
      <c r="E6181" s="2" t="s">
        <v>4336</v>
      </c>
    </row>
    <row r="6182">
      <c r="A6182" s="2" t="s">
        <v>4357</v>
      </c>
      <c r="B6182" s="2" t="s">
        <v>4401</v>
      </c>
      <c r="C6182" s="2" t="s">
        <v>4581</v>
      </c>
      <c r="D6182" s="3" t="str">
        <f t="shared" si="1083"/>
        <v>12Go Link</v>
      </c>
      <c r="E6182" s="2" t="s">
        <v>4337</v>
      </c>
    </row>
    <row r="6183">
      <c r="A6183" s="2" t="s">
        <v>4357</v>
      </c>
      <c r="B6183" s="2" t="s">
        <v>4401</v>
      </c>
      <c r="C6183" s="2" t="s">
        <v>4581</v>
      </c>
      <c r="D6183" s="3" t="str">
        <f t="shared" si="1083"/>
        <v>12Go Link</v>
      </c>
      <c r="E6183" s="2" t="s">
        <v>4137</v>
      </c>
    </row>
    <row r="6184">
      <c r="A6184" s="2" t="s">
        <v>4357</v>
      </c>
      <c r="B6184" s="2" t="s">
        <v>4401</v>
      </c>
      <c r="C6184" s="2" t="s">
        <v>4581</v>
      </c>
      <c r="D6184" s="3" t="str">
        <f t="shared" si="1083"/>
        <v>12Go Link</v>
      </c>
      <c r="E6184" s="2" t="s">
        <v>4338</v>
      </c>
    </row>
    <row r="6185">
      <c r="A6185" s="2" t="s">
        <v>4357</v>
      </c>
      <c r="B6185" s="2" t="s">
        <v>4401</v>
      </c>
      <c r="C6185" s="2" t="s">
        <v>4581</v>
      </c>
      <c r="D6185" s="3" t="str">
        <f t="shared" si="1083"/>
        <v>12Go Link</v>
      </c>
      <c r="E6185" s="2" t="s">
        <v>4339</v>
      </c>
    </row>
    <row r="6186">
      <c r="A6186" s="2" t="s">
        <v>4357</v>
      </c>
      <c r="B6186" s="2" t="s">
        <v>4401</v>
      </c>
      <c r="C6186" s="2" t="s">
        <v>4581</v>
      </c>
      <c r="D6186" s="3" t="str">
        <f t="shared" si="1083"/>
        <v>12Go Link</v>
      </c>
      <c r="E6186" s="2" t="s">
        <v>4340</v>
      </c>
    </row>
    <row r="6187">
      <c r="A6187" s="2" t="s">
        <v>4357</v>
      </c>
      <c r="B6187" s="2" t="s">
        <v>4403</v>
      </c>
      <c r="C6187" s="2" t="s">
        <v>4582</v>
      </c>
      <c r="D6187" s="3" t="str">
        <f t="shared" ref="D6187:D6192" si="1084">HYPERLINK("https://12go.asia/en/travel/Fes-Airport/Immouzzer-Hotel-Transfer", "12Go Link")</f>
        <v>12Go Link</v>
      </c>
      <c r="E6187" s="2" t="s">
        <v>4336</v>
      </c>
    </row>
    <row r="6188">
      <c r="A6188" s="2" t="s">
        <v>4357</v>
      </c>
      <c r="B6188" s="2" t="s">
        <v>4403</v>
      </c>
      <c r="C6188" s="2" t="s">
        <v>4582</v>
      </c>
      <c r="D6188" s="3" t="str">
        <f t="shared" si="1084"/>
        <v>12Go Link</v>
      </c>
      <c r="E6188" s="2" t="s">
        <v>4337</v>
      </c>
    </row>
    <row r="6189">
      <c r="A6189" s="2" t="s">
        <v>4357</v>
      </c>
      <c r="B6189" s="2" t="s">
        <v>4403</v>
      </c>
      <c r="C6189" s="2" t="s">
        <v>4582</v>
      </c>
      <c r="D6189" s="3" t="str">
        <f t="shared" si="1084"/>
        <v>12Go Link</v>
      </c>
      <c r="E6189" s="2" t="s">
        <v>4137</v>
      </c>
    </row>
    <row r="6190">
      <c r="A6190" s="2" t="s">
        <v>4357</v>
      </c>
      <c r="B6190" s="2" t="s">
        <v>4403</v>
      </c>
      <c r="C6190" s="2" t="s">
        <v>4582</v>
      </c>
      <c r="D6190" s="3" t="str">
        <f t="shared" si="1084"/>
        <v>12Go Link</v>
      </c>
      <c r="E6190" s="2" t="s">
        <v>4338</v>
      </c>
    </row>
    <row r="6191">
      <c r="A6191" s="2" t="s">
        <v>4357</v>
      </c>
      <c r="B6191" s="2" t="s">
        <v>4403</v>
      </c>
      <c r="C6191" s="2" t="s">
        <v>4582</v>
      </c>
      <c r="D6191" s="3" t="str">
        <f t="shared" si="1084"/>
        <v>12Go Link</v>
      </c>
      <c r="E6191" s="2" t="s">
        <v>4339</v>
      </c>
    </row>
    <row r="6192">
      <c r="A6192" s="2" t="s">
        <v>4357</v>
      </c>
      <c r="B6192" s="2" t="s">
        <v>4403</v>
      </c>
      <c r="C6192" s="2" t="s">
        <v>4582</v>
      </c>
      <c r="D6192" s="3" t="str">
        <f t="shared" si="1084"/>
        <v>12Go Link</v>
      </c>
      <c r="E6192" s="2" t="s">
        <v>4340</v>
      </c>
    </row>
    <row r="6193">
      <c r="A6193" s="2" t="s">
        <v>4357</v>
      </c>
      <c r="B6193" s="2" t="s">
        <v>4403</v>
      </c>
      <c r="C6193" s="2" t="s">
        <v>4583</v>
      </c>
      <c r="D6193" s="3" t="str">
        <f t="shared" ref="D6193:D6198" si="1085">HYPERLINK("https://12go.asia/en/travel/Fes-Airport/Tangier-Hotel-Transfer", "12Go Link")</f>
        <v>12Go Link</v>
      </c>
      <c r="E6193" s="2" t="s">
        <v>4336</v>
      </c>
    </row>
    <row r="6194">
      <c r="A6194" s="2" t="s">
        <v>4357</v>
      </c>
      <c r="B6194" s="2" t="s">
        <v>4403</v>
      </c>
      <c r="C6194" s="2" t="s">
        <v>4583</v>
      </c>
      <c r="D6194" s="3" t="str">
        <f t="shared" si="1085"/>
        <v>12Go Link</v>
      </c>
      <c r="E6194" s="2" t="s">
        <v>4337</v>
      </c>
    </row>
    <row r="6195">
      <c r="A6195" s="2" t="s">
        <v>4357</v>
      </c>
      <c r="B6195" s="2" t="s">
        <v>4403</v>
      </c>
      <c r="C6195" s="2" t="s">
        <v>4583</v>
      </c>
      <c r="D6195" s="3" t="str">
        <f t="shared" si="1085"/>
        <v>12Go Link</v>
      </c>
      <c r="E6195" s="2" t="s">
        <v>4137</v>
      </c>
    </row>
    <row r="6196">
      <c r="A6196" s="2" t="s">
        <v>4357</v>
      </c>
      <c r="B6196" s="2" t="s">
        <v>4403</v>
      </c>
      <c r="C6196" s="2" t="s">
        <v>4583</v>
      </c>
      <c r="D6196" s="3" t="str">
        <f t="shared" si="1085"/>
        <v>12Go Link</v>
      </c>
      <c r="E6196" s="2" t="s">
        <v>4338</v>
      </c>
    </row>
    <row r="6197">
      <c r="A6197" s="2" t="s">
        <v>4357</v>
      </c>
      <c r="B6197" s="2" t="s">
        <v>4403</v>
      </c>
      <c r="C6197" s="2" t="s">
        <v>4583</v>
      </c>
      <c r="D6197" s="3" t="str">
        <f t="shared" si="1085"/>
        <v>12Go Link</v>
      </c>
      <c r="E6197" s="2" t="s">
        <v>4339</v>
      </c>
    </row>
    <row r="6198">
      <c r="A6198" s="2" t="s">
        <v>4357</v>
      </c>
      <c r="B6198" s="2" t="s">
        <v>4403</v>
      </c>
      <c r="C6198" s="2" t="s">
        <v>4583</v>
      </c>
      <c r="D6198" s="3" t="str">
        <f t="shared" si="1085"/>
        <v>12Go Link</v>
      </c>
      <c r="E6198" s="2" t="s">
        <v>4340</v>
      </c>
    </row>
    <row r="6199">
      <c r="A6199" s="2" t="s">
        <v>4357</v>
      </c>
      <c r="B6199" s="2" t="s">
        <v>4403</v>
      </c>
      <c r="C6199" s="2" t="s">
        <v>4584</v>
      </c>
      <c r="D6199" s="3" t="str">
        <f t="shared" ref="D6199:D6204" si="1086">HYPERLINK("https://12go.asia/en/travel/Fes-Hotel-Transfer/Tanger-Ibn-Battouta-Airport", "12Go Link")</f>
        <v>12Go Link</v>
      </c>
      <c r="E6199" s="2" t="s">
        <v>4336</v>
      </c>
    </row>
    <row r="6200">
      <c r="A6200" s="2" t="s">
        <v>4357</v>
      </c>
      <c r="B6200" s="2" t="s">
        <v>4403</v>
      </c>
      <c r="C6200" s="2" t="s">
        <v>4584</v>
      </c>
      <c r="D6200" s="3" t="str">
        <f t="shared" si="1086"/>
        <v>12Go Link</v>
      </c>
      <c r="E6200" s="2" t="s">
        <v>4337</v>
      </c>
    </row>
    <row r="6201">
      <c r="A6201" s="2" t="s">
        <v>4357</v>
      </c>
      <c r="B6201" s="2" t="s">
        <v>4403</v>
      </c>
      <c r="C6201" s="2" t="s">
        <v>4584</v>
      </c>
      <c r="D6201" s="3" t="str">
        <f t="shared" si="1086"/>
        <v>12Go Link</v>
      </c>
      <c r="E6201" s="2" t="s">
        <v>4137</v>
      </c>
    </row>
    <row r="6202">
      <c r="A6202" s="2" t="s">
        <v>4357</v>
      </c>
      <c r="B6202" s="2" t="s">
        <v>4403</v>
      </c>
      <c r="C6202" s="2" t="s">
        <v>4584</v>
      </c>
      <c r="D6202" s="3" t="str">
        <f t="shared" si="1086"/>
        <v>12Go Link</v>
      </c>
      <c r="E6202" s="2" t="s">
        <v>4338</v>
      </c>
    </row>
    <row r="6203">
      <c r="A6203" s="2" t="s">
        <v>4357</v>
      </c>
      <c r="B6203" s="2" t="s">
        <v>4403</v>
      </c>
      <c r="C6203" s="2" t="s">
        <v>4584</v>
      </c>
      <c r="D6203" s="3" t="str">
        <f t="shared" si="1086"/>
        <v>12Go Link</v>
      </c>
      <c r="E6203" s="2" t="s">
        <v>4339</v>
      </c>
    </row>
    <row r="6204">
      <c r="A6204" s="2" t="s">
        <v>4357</v>
      </c>
      <c r="B6204" s="2" t="s">
        <v>4403</v>
      </c>
      <c r="C6204" s="2" t="s">
        <v>4584</v>
      </c>
      <c r="D6204" s="3" t="str">
        <f t="shared" si="1086"/>
        <v>12Go Link</v>
      </c>
      <c r="E6204" s="2" t="s">
        <v>4340</v>
      </c>
    </row>
    <row r="6205">
      <c r="A6205" s="2" t="s">
        <v>4463</v>
      </c>
      <c r="B6205" s="2" t="s">
        <v>4350</v>
      </c>
      <c r="C6205" s="2" t="s">
        <v>4585</v>
      </c>
      <c r="D6205" s="3" t="str">
        <f t="shared" ref="D6205:D6210" si="1087">HYPERLINK("https://12go.asia/en/travel/Fquih-Ben-Salah-Hotel-Transfer/Mohammed-V-International-Airport", "12Go Link")</f>
        <v>12Go Link</v>
      </c>
      <c r="E6205" s="2" t="s">
        <v>4336</v>
      </c>
    </row>
    <row r="6206">
      <c r="A6206" s="2" t="s">
        <v>4463</v>
      </c>
      <c r="B6206" s="2" t="s">
        <v>4350</v>
      </c>
      <c r="C6206" s="2" t="s">
        <v>4585</v>
      </c>
      <c r="D6206" s="3" t="str">
        <f t="shared" si="1087"/>
        <v>12Go Link</v>
      </c>
      <c r="E6206" s="2" t="s">
        <v>4337</v>
      </c>
    </row>
    <row r="6207">
      <c r="A6207" s="2" t="s">
        <v>4463</v>
      </c>
      <c r="B6207" s="2" t="s">
        <v>4350</v>
      </c>
      <c r="C6207" s="2" t="s">
        <v>4585</v>
      </c>
      <c r="D6207" s="3" t="str">
        <f t="shared" si="1087"/>
        <v>12Go Link</v>
      </c>
      <c r="E6207" s="2" t="s">
        <v>4137</v>
      </c>
    </row>
    <row r="6208">
      <c r="A6208" s="2" t="s">
        <v>4463</v>
      </c>
      <c r="B6208" s="2" t="s">
        <v>4350</v>
      </c>
      <c r="C6208" s="2" t="s">
        <v>4585</v>
      </c>
      <c r="D6208" s="3" t="str">
        <f t="shared" si="1087"/>
        <v>12Go Link</v>
      </c>
      <c r="E6208" s="2" t="s">
        <v>4338</v>
      </c>
    </row>
    <row r="6209">
      <c r="A6209" s="2" t="s">
        <v>4463</v>
      </c>
      <c r="B6209" s="2" t="s">
        <v>4350</v>
      </c>
      <c r="C6209" s="2" t="s">
        <v>4585</v>
      </c>
      <c r="D6209" s="3" t="str">
        <f t="shared" si="1087"/>
        <v>12Go Link</v>
      </c>
      <c r="E6209" s="2" t="s">
        <v>4339</v>
      </c>
    </row>
    <row r="6210">
      <c r="A6210" s="2" t="s">
        <v>4463</v>
      </c>
      <c r="B6210" s="2" t="s">
        <v>4350</v>
      </c>
      <c r="C6210" s="2" t="s">
        <v>4585</v>
      </c>
      <c r="D6210" s="3" t="str">
        <f t="shared" si="1087"/>
        <v>12Go Link</v>
      </c>
      <c r="E6210" s="2" t="s">
        <v>4340</v>
      </c>
    </row>
    <row r="6211">
      <c r="A6211" s="2" t="s">
        <v>4362</v>
      </c>
      <c r="B6211" s="2" t="s">
        <v>4334</v>
      </c>
      <c r="C6211" s="2" t="s">
        <v>4586</v>
      </c>
      <c r="D6211" s="3" t="str">
        <f t="shared" ref="D6211:D6216" si="1088">HYPERLINK("https://12go.asia/en/travel/Guelmin-Hotel-Transfer/Agadir-Al-Massira-International-Airport", "12Go Link")</f>
        <v>12Go Link</v>
      </c>
      <c r="E6211" s="2" t="s">
        <v>4336</v>
      </c>
    </row>
    <row r="6212">
      <c r="A6212" s="2" t="s">
        <v>4362</v>
      </c>
      <c r="B6212" s="2" t="s">
        <v>4334</v>
      </c>
      <c r="C6212" s="2" t="s">
        <v>4586</v>
      </c>
      <c r="D6212" s="3" t="str">
        <f t="shared" si="1088"/>
        <v>12Go Link</v>
      </c>
      <c r="E6212" s="2" t="s">
        <v>4337</v>
      </c>
    </row>
    <row r="6213">
      <c r="A6213" s="2" t="s">
        <v>4362</v>
      </c>
      <c r="B6213" s="2" t="s">
        <v>4334</v>
      </c>
      <c r="C6213" s="2" t="s">
        <v>4586</v>
      </c>
      <c r="D6213" s="3" t="str">
        <f t="shared" si="1088"/>
        <v>12Go Link</v>
      </c>
      <c r="E6213" s="2" t="s">
        <v>4137</v>
      </c>
    </row>
    <row r="6214">
      <c r="A6214" s="2" t="s">
        <v>4362</v>
      </c>
      <c r="B6214" s="2" t="s">
        <v>4334</v>
      </c>
      <c r="C6214" s="2" t="s">
        <v>4586</v>
      </c>
      <c r="D6214" s="3" t="str">
        <f t="shared" si="1088"/>
        <v>12Go Link</v>
      </c>
      <c r="E6214" s="2" t="s">
        <v>4338</v>
      </c>
    </row>
    <row r="6215">
      <c r="A6215" s="2" t="s">
        <v>4362</v>
      </c>
      <c r="B6215" s="2" t="s">
        <v>4334</v>
      </c>
      <c r="C6215" s="2" t="s">
        <v>4586</v>
      </c>
      <c r="D6215" s="3" t="str">
        <f t="shared" si="1088"/>
        <v>12Go Link</v>
      </c>
      <c r="E6215" s="2" t="s">
        <v>4339</v>
      </c>
    </row>
    <row r="6216">
      <c r="A6216" s="2" t="s">
        <v>4362</v>
      </c>
      <c r="B6216" s="2" t="s">
        <v>4334</v>
      </c>
      <c r="C6216" s="2" t="s">
        <v>4586</v>
      </c>
      <c r="D6216" s="3" t="str">
        <f t="shared" si="1088"/>
        <v>12Go Link</v>
      </c>
      <c r="E6216" s="2" t="s">
        <v>4340</v>
      </c>
    </row>
    <row r="6217">
      <c r="A6217" s="2" t="s">
        <v>4554</v>
      </c>
      <c r="B6217" s="2" t="s">
        <v>4357</v>
      </c>
      <c r="C6217" s="2" t="s">
        <v>4587</v>
      </c>
      <c r="D6217" s="3" t="str">
        <f t="shared" ref="D6217:D6222" si="1089">HYPERLINK("https://12go.asia/en/travel/Ifran-Hotel-Transfer/Fes-Airport", "12Go Link")</f>
        <v>12Go Link</v>
      </c>
      <c r="E6217" s="2" t="s">
        <v>4336</v>
      </c>
    </row>
    <row r="6218">
      <c r="A6218" s="2" t="s">
        <v>4554</v>
      </c>
      <c r="B6218" s="2" t="s">
        <v>4357</v>
      </c>
      <c r="C6218" s="2" t="s">
        <v>4587</v>
      </c>
      <c r="D6218" s="3" t="str">
        <f t="shared" si="1089"/>
        <v>12Go Link</v>
      </c>
      <c r="E6218" s="2" t="s">
        <v>4337</v>
      </c>
    </row>
    <row r="6219">
      <c r="A6219" s="2" t="s">
        <v>4554</v>
      </c>
      <c r="B6219" s="2" t="s">
        <v>4357</v>
      </c>
      <c r="C6219" s="2" t="s">
        <v>4587</v>
      </c>
      <c r="D6219" s="3" t="str">
        <f t="shared" si="1089"/>
        <v>12Go Link</v>
      </c>
      <c r="E6219" s="2" t="s">
        <v>4137</v>
      </c>
    </row>
    <row r="6220">
      <c r="A6220" s="2" t="s">
        <v>4554</v>
      </c>
      <c r="B6220" s="2" t="s">
        <v>4357</v>
      </c>
      <c r="C6220" s="2" t="s">
        <v>4587</v>
      </c>
      <c r="D6220" s="3" t="str">
        <f t="shared" si="1089"/>
        <v>12Go Link</v>
      </c>
      <c r="E6220" s="2" t="s">
        <v>4338</v>
      </c>
    </row>
    <row r="6221">
      <c r="A6221" s="2" t="s">
        <v>4554</v>
      </c>
      <c r="B6221" s="2" t="s">
        <v>4357</v>
      </c>
      <c r="C6221" s="2" t="s">
        <v>4587</v>
      </c>
      <c r="D6221" s="3" t="str">
        <f t="shared" si="1089"/>
        <v>12Go Link</v>
      </c>
      <c r="E6221" s="2" t="s">
        <v>4339</v>
      </c>
    </row>
    <row r="6222">
      <c r="A6222" s="2" t="s">
        <v>4554</v>
      </c>
      <c r="B6222" s="2" t="s">
        <v>4357</v>
      </c>
      <c r="C6222" s="2" t="s">
        <v>4587</v>
      </c>
      <c r="D6222" s="3" t="str">
        <f t="shared" si="1089"/>
        <v>12Go Link</v>
      </c>
      <c r="E6222" s="2" t="s">
        <v>4340</v>
      </c>
    </row>
    <row r="6223">
      <c r="A6223" s="2" t="s">
        <v>4554</v>
      </c>
      <c r="B6223" s="2" t="s">
        <v>4386</v>
      </c>
      <c r="C6223" s="2" t="s">
        <v>4588</v>
      </c>
      <c r="D6223" s="3" t="str">
        <f t="shared" ref="D6223:D6228" si="1090">HYPERLINK("https://12go.asia/en/travel/Ifran-Hotel-Transfer/Rabat-Sale-Airport", "12Go Link")</f>
        <v>12Go Link</v>
      </c>
      <c r="E6223" s="2" t="s">
        <v>4336</v>
      </c>
    </row>
    <row r="6224">
      <c r="A6224" s="2" t="s">
        <v>4554</v>
      </c>
      <c r="B6224" s="2" t="s">
        <v>4386</v>
      </c>
      <c r="C6224" s="2" t="s">
        <v>4588</v>
      </c>
      <c r="D6224" s="3" t="str">
        <f t="shared" si="1090"/>
        <v>12Go Link</v>
      </c>
      <c r="E6224" s="2" t="s">
        <v>4337</v>
      </c>
    </row>
    <row r="6225">
      <c r="A6225" s="2" t="s">
        <v>4554</v>
      </c>
      <c r="B6225" s="2" t="s">
        <v>4386</v>
      </c>
      <c r="C6225" s="2" t="s">
        <v>4588</v>
      </c>
      <c r="D6225" s="3" t="str">
        <f t="shared" si="1090"/>
        <v>12Go Link</v>
      </c>
      <c r="E6225" s="2" t="s">
        <v>4137</v>
      </c>
    </row>
    <row r="6226">
      <c r="A6226" s="2" t="s">
        <v>4554</v>
      </c>
      <c r="B6226" s="2" t="s">
        <v>4386</v>
      </c>
      <c r="C6226" s="2" t="s">
        <v>4588</v>
      </c>
      <c r="D6226" s="3" t="str">
        <f t="shared" si="1090"/>
        <v>12Go Link</v>
      </c>
      <c r="E6226" s="2" t="s">
        <v>4338</v>
      </c>
    </row>
    <row r="6227">
      <c r="A6227" s="2" t="s">
        <v>4554</v>
      </c>
      <c r="B6227" s="2" t="s">
        <v>4386</v>
      </c>
      <c r="C6227" s="2" t="s">
        <v>4588</v>
      </c>
      <c r="D6227" s="3" t="str">
        <f t="shared" si="1090"/>
        <v>12Go Link</v>
      </c>
      <c r="E6227" s="2" t="s">
        <v>4339</v>
      </c>
    </row>
    <row r="6228">
      <c r="A6228" s="2" t="s">
        <v>4554</v>
      </c>
      <c r="B6228" s="2" t="s">
        <v>4386</v>
      </c>
      <c r="C6228" s="2" t="s">
        <v>4588</v>
      </c>
      <c r="D6228" s="3" t="str">
        <f t="shared" si="1090"/>
        <v>12Go Link</v>
      </c>
      <c r="E6228" s="2" t="s">
        <v>4340</v>
      </c>
    </row>
    <row r="6229">
      <c r="A6229" s="2" t="s">
        <v>4364</v>
      </c>
      <c r="B6229" s="2" t="s">
        <v>4334</v>
      </c>
      <c r="C6229" s="2" t="s">
        <v>4589</v>
      </c>
      <c r="D6229" s="3" t="str">
        <f t="shared" ref="D6229:D6234" si="1091">HYPERLINK("https://12go.asia/en/travel/Imi-Ouaddar-Hotel-Transfer/Agadir-Al-Massira-International-Airport", "12Go Link")</f>
        <v>12Go Link</v>
      </c>
      <c r="E6229" s="2" t="s">
        <v>4336</v>
      </c>
    </row>
    <row r="6230">
      <c r="A6230" s="2" t="s">
        <v>4364</v>
      </c>
      <c r="B6230" s="2" t="s">
        <v>4334</v>
      </c>
      <c r="C6230" s="2" t="s">
        <v>4589</v>
      </c>
      <c r="D6230" s="3" t="str">
        <f t="shared" si="1091"/>
        <v>12Go Link</v>
      </c>
      <c r="E6230" s="2" t="s">
        <v>4337</v>
      </c>
    </row>
    <row r="6231">
      <c r="A6231" s="2" t="s">
        <v>4364</v>
      </c>
      <c r="B6231" s="2" t="s">
        <v>4334</v>
      </c>
      <c r="C6231" s="2" t="s">
        <v>4589</v>
      </c>
      <c r="D6231" s="3" t="str">
        <f t="shared" si="1091"/>
        <v>12Go Link</v>
      </c>
      <c r="E6231" s="2" t="s">
        <v>4137</v>
      </c>
    </row>
    <row r="6232">
      <c r="A6232" s="2" t="s">
        <v>4364</v>
      </c>
      <c r="B6232" s="2" t="s">
        <v>4334</v>
      </c>
      <c r="C6232" s="2" t="s">
        <v>4589</v>
      </c>
      <c r="D6232" s="3" t="str">
        <f t="shared" si="1091"/>
        <v>12Go Link</v>
      </c>
      <c r="E6232" s="2" t="s">
        <v>4338</v>
      </c>
    </row>
    <row r="6233">
      <c r="A6233" s="2" t="s">
        <v>4364</v>
      </c>
      <c r="B6233" s="2" t="s">
        <v>4334</v>
      </c>
      <c r="C6233" s="2" t="s">
        <v>4589</v>
      </c>
      <c r="D6233" s="3" t="str">
        <f t="shared" si="1091"/>
        <v>12Go Link</v>
      </c>
      <c r="E6233" s="2" t="s">
        <v>4339</v>
      </c>
    </row>
    <row r="6234">
      <c r="A6234" s="2" t="s">
        <v>4364</v>
      </c>
      <c r="B6234" s="2" t="s">
        <v>4334</v>
      </c>
      <c r="C6234" s="2" t="s">
        <v>4589</v>
      </c>
      <c r="D6234" s="3" t="str">
        <f t="shared" si="1091"/>
        <v>12Go Link</v>
      </c>
      <c r="E6234" s="2" t="s">
        <v>4340</v>
      </c>
    </row>
    <row r="6235">
      <c r="A6235" s="2" t="s">
        <v>4364</v>
      </c>
      <c r="B6235" s="2" t="s">
        <v>4353</v>
      </c>
      <c r="C6235" s="2" t="s">
        <v>4590</v>
      </c>
      <c r="D6235" s="3" t="str">
        <f t="shared" ref="D6235:D6240" si="1092">HYPERLINK("https://12go.asia/en/travel/Imi-Ouaddar-Hotel-Transfer/Essaouira-Mogador-Airport", "12Go Link")</f>
        <v>12Go Link</v>
      </c>
      <c r="E6235" s="2" t="s">
        <v>4336</v>
      </c>
    </row>
    <row r="6236">
      <c r="A6236" s="2" t="s">
        <v>4364</v>
      </c>
      <c r="B6236" s="2" t="s">
        <v>4353</v>
      </c>
      <c r="C6236" s="2" t="s">
        <v>4590</v>
      </c>
      <c r="D6236" s="3" t="str">
        <f t="shared" si="1092"/>
        <v>12Go Link</v>
      </c>
      <c r="E6236" s="2" t="s">
        <v>4337</v>
      </c>
    </row>
    <row r="6237">
      <c r="A6237" s="2" t="s">
        <v>4364</v>
      </c>
      <c r="B6237" s="2" t="s">
        <v>4353</v>
      </c>
      <c r="C6237" s="2" t="s">
        <v>4590</v>
      </c>
      <c r="D6237" s="3" t="str">
        <f t="shared" si="1092"/>
        <v>12Go Link</v>
      </c>
      <c r="E6237" s="2" t="s">
        <v>4137</v>
      </c>
    </row>
    <row r="6238">
      <c r="A6238" s="2" t="s">
        <v>4364</v>
      </c>
      <c r="B6238" s="2" t="s">
        <v>4353</v>
      </c>
      <c r="C6238" s="2" t="s">
        <v>4590</v>
      </c>
      <c r="D6238" s="3" t="str">
        <f t="shared" si="1092"/>
        <v>12Go Link</v>
      </c>
      <c r="E6238" s="2" t="s">
        <v>4338</v>
      </c>
    </row>
    <row r="6239">
      <c r="A6239" s="2" t="s">
        <v>4364</v>
      </c>
      <c r="B6239" s="2" t="s">
        <v>4353</v>
      </c>
      <c r="C6239" s="2" t="s">
        <v>4590</v>
      </c>
      <c r="D6239" s="3" t="str">
        <f t="shared" si="1092"/>
        <v>12Go Link</v>
      </c>
      <c r="E6239" s="2" t="s">
        <v>4339</v>
      </c>
    </row>
    <row r="6240">
      <c r="A6240" s="2" t="s">
        <v>4364</v>
      </c>
      <c r="B6240" s="2" t="s">
        <v>4353</v>
      </c>
      <c r="C6240" s="2" t="s">
        <v>4590</v>
      </c>
      <c r="D6240" s="3" t="str">
        <f t="shared" si="1092"/>
        <v>12Go Link</v>
      </c>
      <c r="E6240" s="2" t="s">
        <v>4340</v>
      </c>
    </row>
    <row r="6241">
      <c r="A6241" s="2" t="s">
        <v>4364</v>
      </c>
      <c r="B6241" s="2" t="s">
        <v>4357</v>
      </c>
      <c r="C6241" s="2" t="s">
        <v>4591</v>
      </c>
      <c r="D6241" s="3" t="str">
        <f t="shared" ref="D6241:D6246" si="1093">HYPERLINK("https://12go.asia/en/travel/Imi-Ouaddar-Hotel-Transfer/Fes-Airport", "12Go Link")</f>
        <v>12Go Link</v>
      </c>
      <c r="E6241" s="2" t="s">
        <v>4336</v>
      </c>
    </row>
    <row r="6242">
      <c r="A6242" s="2" t="s">
        <v>4364</v>
      </c>
      <c r="B6242" s="2" t="s">
        <v>4357</v>
      </c>
      <c r="C6242" s="2" t="s">
        <v>4591</v>
      </c>
      <c r="D6242" s="3" t="str">
        <f t="shared" si="1093"/>
        <v>12Go Link</v>
      </c>
      <c r="E6242" s="2" t="s">
        <v>4337</v>
      </c>
    </row>
    <row r="6243">
      <c r="A6243" s="2" t="s">
        <v>4364</v>
      </c>
      <c r="B6243" s="2" t="s">
        <v>4357</v>
      </c>
      <c r="C6243" s="2" t="s">
        <v>4591</v>
      </c>
      <c r="D6243" s="3" t="str">
        <f t="shared" si="1093"/>
        <v>12Go Link</v>
      </c>
      <c r="E6243" s="2" t="s">
        <v>4137</v>
      </c>
    </row>
    <row r="6244">
      <c r="A6244" s="2" t="s">
        <v>4364</v>
      </c>
      <c r="B6244" s="2" t="s">
        <v>4357</v>
      </c>
      <c r="C6244" s="2" t="s">
        <v>4591</v>
      </c>
      <c r="D6244" s="3" t="str">
        <f t="shared" si="1093"/>
        <v>12Go Link</v>
      </c>
      <c r="E6244" s="2" t="s">
        <v>4338</v>
      </c>
    </row>
    <row r="6245">
      <c r="A6245" s="2" t="s">
        <v>4364</v>
      </c>
      <c r="B6245" s="2" t="s">
        <v>4357</v>
      </c>
      <c r="C6245" s="2" t="s">
        <v>4591</v>
      </c>
      <c r="D6245" s="3" t="str">
        <f t="shared" si="1093"/>
        <v>12Go Link</v>
      </c>
      <c r="E6245" s="2" t="s">
        <v>4339</v>
      </c>
    </row>
    <row r="6246">
      <c r="A6246" s="2" t="s">
        <v>4364</v>
      </c>
      <c r="B6246" s="2" t="s">
        <v>4357</v>
      </c>
      <c r="C6246" s="2" t="s">
        <v>4591</v>
      </c>
      <c r="D6246" s="3" t="str">
        <f t="shared" si="1093"/>
        <v>12Go Link</v>
      </c>
      <c r="E6246" s="2" t="s">
        <v>4340</v>
      </c>
    </row>
    <row r="6247">
      <c r="A6247" s="2" t="s">
        <v>4366</v>
      </c>
      <c r="B6247" s="2" t="s">
        <v>4334</v>
      </c>
      <c r="C6247" s="2" t="s">
        <v>4592</v>
      </c>
      <c r="D6247" s="3" t="str">
        <f t="shared" ref="D6247:D6252" si="1094">HYPERLINK("https://12go.asia/en/travel/Imlil-Hotel-Transfer/Agadir-Al-Massira-International-Airport", "12Go Link")</f>
        <v>12Go Link</v>
      </c>
      <c r="E6247" s="2" t="s">
        <v>4336</v>
      </c>
    </row>
    <row r="6248">
      <c r="A6248" s="2" t="s">
        <v>4366</v>
      </c>
      <c r="B6248" s="2" t="s">
        <v>4334</v>
      </c>
      <c r="C6248" s="2" t="s">
        <v>4592</v>
      </c>
      <c r="D6248" s="3" t="str">
        <f t="shared" si="1094"/>
        <v>12Go Link</v>
      </c>
      <c r="E6248" s="2" t="s">
        <v>4337</v>
      </c>
    </row>
    <row r="6249">
      <c r="A6249" s="2" t="s">
        <v>4366</v>
      </c>
      <c r="B6249" s="2" t="s">
        <v>4334</v>
      </c>
      <c r="C6249" s="2" t="s">
        <v>4592</v>
      </c>
      <c r="D6249" s="3" t="str">
        <f t="shared" si="1094"/>
        <v>12Go Link</v>
      </c>
      <c r="E6249" s="2" t="s">
        <v>4137</v>
      </c>
    </row>
    <row r="6250">
      <c r="A6250" s="2" t="s">
        <v>4366</v>
      </c>
      <c r="B6250" s="2" t="s">
        <v>4334</v>
      </c>
      <c r="C6250" s="2" t="s">
        <v>4592</v>
      </c>
      <c r="D6250" s="3" t="str">
        <f t="shared" si="1094"/>
        <v>12Go Link</v>
      </c>
      <c r="E6250" s="2" t="s">
        <v>4338</v>
      </c>
    </row>
    <row r="6251">
      <c r="A6251" s="2" t="s">
        <v>4366</v>
      </c>
      <c r="B6251" s="2" t="s">
        <v>4334</v>
      </c>
      <c r="C6251" s="2" t="s">
        <v>4592</v>
      </c>
      <c r="D6251" s="3" t="str">
        <f t="shared" si="1094"/>
        <v>12Go Link</v>
      </c>
      <c r="E6251" s="2" t="s">
        <v>4339</v>
      </c>
    </row>
    <row r="6252">
      <c r="A6252" s="2" t="s">
        <v>4366</v>
      </c>
      <c r="B6252" s="2" t="s">
        <v>4334</v>
      </c>
      <c r="C6252" s="2" t="s">
        <v>4592</v>
      </c>
      <c r="D6252" s="3" t="str">
        <f t="shared" si="1094"/>
        <v>12Go Link</v>
      </c>
      <c r="E6252" s="2" t="s">
        <v>4340</v>
      </c>
    </row>
    <row r="6253">
      <c r="A6253" s="2" t="s">
        <v>4366</v>
      </c>
      <c r="B6253" s="2" t="s">
        <v>4357</v>
      </c>
      <c r="C6253" s="2" t="s">
        <v>4593</v>
      </c>
      <c r="D6253" s="3" t="str">
        <f t="shared" ref="D6253:D6258" si="1095">HYPERLINK("https://12go.asia/en/travel/Imlil-Hotel-Transfer/Fes-Airport", "12Go Link")</f>
        <v>12Go Link</v>
      </c>
      <c r="E6253" s="2" t="s">
        <v>4336</v>
      </c>
    </row>
    <row r="6254">
      <c r="A6254" s="2" t="s">
        <v>4366</v>
      </c>
      <c r="B6254" s="2" t="s">
        <v>4357</v>
      </c>
      <c r="C6254" s="2" t="s">
        <v>4593</v>
      </c>
      <c r="D6254" s="3" t="str">
        <f t="shared" si="1095"/>
        <v>12Go Link</v>
      </c>
      <c r="E6254" s="2" t="s">
        <v>4337</v>
      </c>
    </row>
    <row r="6255">
      <c r="A6255" s="2" t="s">
        <v>4366</v>
      </c>
      <c r="B6255" s="2" t="s">
        <v>4357</v>
      </c>
      <c r="C6255" s="2" t="s">
        <v>4593</v>
      </c>
      <c r="D6255" s="3" t="str">
        <f t="shared" si="1095"/>
        <v>12Go Link</v>
      </c>
      <c r="E6255" s="2" t="s">
        <v>4137</v>
      </c>
    </row>
    <row r="6256">
      <c r="A6256" s="2" t="s">
        <v>4366</v>
      </c>
      <c r="B6256" s="2" t="s">
        <v>4357</v>
      </c>
      <c r="C6256" s="2" t="s">
        <v>4593</v>
      </c>
      <c r="D6256" s="3" t="str">
        <f t="shared" si="1095"/>
        <v>12Go Link</v>
      </c>
      <c r="E6256" s="2" t="s">
        <v>4338</v>
      </c>
    </row>
    <row r="6257">
      <c r="A6257" s="2" t="s">
        <v>4366</v>
      </c>
      <c r="B6257" s="2" t="s">
        <v>4357</v>
      </c>
      <c r="C6257" s="2" t="s">
        <v>4593</v>
      </c>
      <c r="D6257" s="3" t="str">
        <f t="shared" si="1095"/>
        <v>12Go Link</v>
      </c>
      <c r="E6257" s="2" t="s">
        <v>4339</v>
      </c>
    </row>
    <row r="6258">
      <c r="A6258" s="2" t="s">
        <v>4366</v>
      </c>
      <c r="B6258" s="2" t="s">
        <v>4357</v>
      </c>
      <c r="C6258" s="2" t="s">
        <v>4593</v>
      </c>
      <c r="D6258" s="3" t="str">
        <f t="shared" si="1095"/>
        <v>12Go Link</v>
      </c>
      <c r="E6258" s="2" t="s">
        <v>4340</v>
      </c>
    </row>
    <row r="6259">
      <c r="A6259" s="2" t="s">
        <v>4366</v>
      </c>
      <c r="B6259" s="2" t="s">
        <v>4372</v>
      </c>
      <c r="C6259" s="2" t="s">
        <v>4594</v>
      </c>
      <c r="D6259" s="3" t="str">
        <f t="shared" ref="D6259:D6264" si="1096">HYPERLINK("https://12go.asia/en/travel/Imlil-Hotel-Transfer/Marrakesh-Menara-Airport", "12Go Link")</f>
        <v>12Go Link</v>
      </c>
      <c r="E6259" s="2" t="s">
        <v>4336</v>
      </c>
    </row>
    <row r="6260">
      <c r="A6260" s="2" t="s">
        <v>4366</v>
      </c>
      <c r="B6260" s="2" t="s">
        <v>4372</v>
      </c>
      <c r="C6260" s="2" t="s">
        <v>4594</v>
      </c>
      <c r="D6260" s="3" t="str">
        <f t="shared" si="1096"/>
        <v>12Go Link</v>
      </c>
      <c r="E6260" s="2" t="s">
        <v>4337</v>
      </c>
    </row>
    <row r="6261">
      <c r="A6261" s="2" t="s">
        <v>4366</v>
      </c>
      <c r="B6261" s="2" t="s">
        <v>4372</v>
      </c>
      <c r="C6261" s="2" t="s">
        <v>4594</v>
      </c>
      <c r="D6261" s="3" t="str">
        <f t="shared" si="1096"/>
        <v>12Go Link</v>
      </c>
      <c r="E6261" s="2" t="s">
        <v>4137</v>
      </c>
    </row>
    <row r="6262">
      <c r="A6262" s="2" t="s">
        <v>4366</v>
      </c>
      <c r="B6262" s="2" t="s">
        <v>4372</v>
      </c>
      <c r="C6262" s="2" t="s">
        <v>4594</v>
      </c>
      <c r="D6262" s="3" t="str">
        <f t="shared" si="1096"/>
        <v>12Go Link</v>
      </c>
      <c r="E6262" s="2" t="s">
        <v>4338</v>
      </c>
    </row>
    <row r="6263">
      <c r="A6263" s="2" t="s">
        <v>4366</v>
      </c>
      <c r="B6263" s="2" t="s">
        <v>4372</v>
      </c>
      <c r="C6263" s="2" t="s">
        <v>4594</v>
      </c>
      <c r="D6263" s="3" t="str">
        <f t="shared" si="1096"/>
        <v>12Go Link</v>
      </c>
      <c r="E6263" s="2" t="s">
        <v>4339</v>
      </c>
    </row>
    <row r="6264">
      <c r="A6264" s="2" t="s">
        <v>4366</v>
      </c>
      <c r="B6264" s="2" t="s">
        <v>4372</v>
      </c>
      <c r="C6264" s="2" t="s">
        <v>4594</v>
      </c>
      <c r="D6264" s="3" t="str">
        <f t="shared" si="1096"/>
        <v>12Go Link</v>
      </c>
      <c r="E6264" s="2" t="s">
        <v>4340</v>
      </c>
    </row>
    <row r="6265">
      <c r="A6265" s="2" t="s">
        <v>4368</v>
      </c>
      <c r="B6265" s="2" t="s">
        <v>4334</v>
      </c>
      <c r="C6265" s="2" t="s">
        <v>4595</v>
      </c>
      <c r="D6265" s="3" t="str">
        <f t="shared" ref="D6265:D6270" si="1097">HYPERLINK("https://12go.asia/en/travel/Imsouane-Hotel-Transfer/Agadir-Al-Massira-International-Airport", "12Go Link")</f>
        <v>12Go Link</v>
      </c>
      <c r="E6265" s="2" t="s">
        <v>4336</v>
      </c>
    </row>
    <row r="6266">
      <c r="A6266" s="2" t="s">
        <v>4368</v>
      </c>
      <c r="B6266" s="2" t="s">
        <v>4334</v>
      </c>
      <c r="C6266" s="2" t="s">
        <v>4595</v>
      </c>
      <c r="D6266" s="3" t="str">
        <f t="shared" si="1097"/>
        <v>12Go Link</v>
      </c>
      <c r="E6266" s="2" t="s">
        <v>4337</v>
      </c>
    </row>
    <row r="6267">
      <c r="A6267" s="2" t="s">
        <v>4368</v>
      </c>
      <c r="B6267" s="2" t="s">
        <v>4334</v>
      </c>
      <c r="C6267" s="2" t="s">
        <v>4595</v>
      </c>
      <c r="D6267" s="3" t="str">
        <f t="shared" si="1097"/>
        <v>12Go Link</v>
      </c>
      <c r="E6267" s="2" t="s">
        <v>4137</v>
      </c>
    </row>
    <row r="6268">
      <c r="A6268" s="2" t="s">
        <v>4368</v>
      </c>
      <c r="B6268" s="2" t="s">
        <v>4334</v>
      </c>
      <c r="C6268" s="2" t="s">
        <v>4595</v>
      </c>
      <c r="D6268" s="3" t="str">
        <f t="shared" si="1097"/>
        <v>12Go Link</v>
      </c>
      <c r="E6268" s="2" t="s">
        <v>4338</v>
      </c>
    </row>
    <row r="6269">
      <c r="A6269" s="2" t="s">
        <v>4368</v>
      </c>
      <c r="B6269" s="2" t="s">
        <v>4334</v>
      </c>
      <c r="C6269" s="2" t="s">
        <v>4595</v>
      </c>
      <c r="D6269" s="3" t="str">
        <f t="shared" si="1097"/>
        <v>12Go Link</v>
      </c>
      <c r="E6269" s="2" t="s">
        <v>4339</v>
      </c>
    </row>
    <row r="6270">
      <c r="A6270" s="2" t="s">
        <v>4368</v>
      </c>
      <c r="B6270" s="2" t="s">
        <v>4334</v>
      </c>
      <c r="C6270" s="2" t="s">
        <v>4595</v>
      </c>
      <c r="D6270" s="3" t="str">
        <f t="shared" si="1097"/>
        <v>12Go Link</v>
      </c>
      <c r="E6270" s="2" t="s">
        <v>4340</v>
      </c>
    </row>
    <row r="6271">
      <c r="A6271" s="2" t="s">
        <v>4368</v>
      </c>
      <c r="B6271" s="2" t="s">
        <v>4357</v>
      </c>
      <c r="C6271" s="2" t="s">
        <v>4596</v>
      </c>
      <c r="D6271" s="3" t="str">
        <f t="shared" ref="D6271:D6276" si="1098">HYPERLINK("https://12go.asia/en/travel/Imsouane-Hotel-Transfer/Fes-Airport", "12Go Link")</f>
        <v>12Go Link</v>
      </c>
      <c r="E6271" s="2" t="s">
        <v>4336</v>
      </c>
    </row>
    <row r="6272">
      <c r="A6272" s="2" t="s">
        <v>4368</v>
      </c>
      <c r="B6272" s="2" t="s">
        <v>4357</v>
      </c>
      <c r="C6272" s="2" t="s">
        <v>4596</v>
      </c>
      <c r="D6272" s="3" t="str">
        <f t="shared" si="1098"/>
        <v>12Go Link</v>
      </c>
      <c r="E6272" s="2" t="s">
        <v>4337</v>
      </c>
    </row>
    <row r="6273">
      <c r="A6273" s="2" t="s">
        <v>4368</v>
      </c>
      <c r="B6273" s="2" t="s">
        <v>4357</v>
      </c>
      <c r="C6273" s="2" t="s">
        <v>4596</v>
      </c>
      <c r="D6273" s="3" t="str">
        <f t="shared" si="1098"/>
        <v>12Go Link</v>
      </c>
      <c r="E6273" s="2" t="s">
        <v>4137</v>
      </c>
    </row>
    <row r="6274">
      <c r="A6274" s="2" t="s">
        <v>4368</v>
      </c>
      <c r="B6274" s="2" t="s">
        <v>4357</v>
      </c>
      <c r="C6274" s="2" t="s">
        <v>4596</v>
      </c>
      <c r="D6274" s="3" t="str">
        <f t="shared" si="1098"/>
        <v>12Go Link</v>
      </c>
      <c r="E6274" s="2" t="s">
        <v>4338</v>
      </c>
    </row>
    <row r="6275">
      <c r="A6275" s="2" t="s">
        <v>4368</v>
      </c>
      <c r="B6275" s="2" t="s">
        <v>4357</v>
      </c>
      <c r="C6275" s="2" t="s">
        <v>4596</v>
      </c>
      <c r="D6275" s="3" t="str">
        <f t="shared" si="1098"/>
        <v>12Go Link</v>
      </c>
      <c r="E6275" s="2" t="s">
        <v>4339</v>
      </c>
    </row>
    <row r="6276">
      <c r="A6276" s="2" t="s">
        <v>4368</v>
      </c>
      <c r="B6276" s="2" t="s">
        <v>4357</v>
      </c>
      <c r="C6276" s="2" t="s">
        <v>4596</v>
      </c>
      <c r="D6276" s="3" t="str">
        <f t="shared" si="1098"/>
        <v>12Go Link</v>
      </c>
      <c r="E6276" s="2" t="s">
        <v>4340</v>
      </c>
    </row>
    <row r="6277">
      <c r="A6277" s="2" t="s">
        <v>4370</v>
      </c>
      <c r="B6277" s="2" t="s">
        <v>4334</v>
      </c>
      <c r="C6277" s="2" t="s">
        <v>4597</v>
      </c>
      <c r="D6277" s="3" t="str">
        <f t="shared" ref="D6277:D6282" si="1099">HYPERLINK("https://12go.asia/en/travel/Inezgane-Hotel-Transfer/Agadir-Al-Massira-International-Airport", "12Go Link")</f>
        <v>12Go Link</v>
      </c>
      <c r="E6277" s="2" t="s">
        <v>4336</v>
      </c>
    </row>
    <row r="6278">
      <c r="A6278" s="2" t="s">
        <v>4370</v>
      </c>
      <c r="B6278" s="2" t="s">
        <v>4334</v>
      </c>
      <c r="C6278" s="2" t="s">
        <v>4597</v>
      </c>
      <c r="D6278" s="3" t="str">
        <f t="shared" si="1099"/>
        <v>12Go Link</v>
      </c>
      <c r="E6278" s="2" t="s">
        <v>4337</v>
      </c>
    </row>
    <row r="6279">
      <c r="A6279" s="2" t="s">
        <v>4370</v>
      </c>
      <c r="B6279" s="2" t="s">
        <v>4334</v>
      </c>
      <c r="C6279" s="2" t="s">
        <v>4597</v>
      </c>
      <c r="D6279" s="3" t="str">
        <f t="shared" si="1099"/>
        <v>12Go Link</v>
      </c>
      <c r="E6279" s="2" t="s">
        <v>4137</v>
      </c>
    </row>
    <row r="6280">
      <c r="A6280" s="2" t="s">
        <v>4370</v>
      </c>
      <c r="B6280" s="2" t="s">
        <v>4334</v>
      </c>
      <c r="C6280" s="2" t="s">
        <v>4597</v>
      </c>
      <c r="D6280" s="3" t="str">
        <f t="shared" si="1099"/>
        <v>12Go Link</v>
      </c>
      <c r="E6280" s="2" t="s">
        <v>4338</v>
      </c>
    </row>
    <row r="6281">
      <c r="A6281" s="2" t="s">
        <v>4370</v>
      </c>
      <c r="B6281" s="2" t="s">
        <v>4334</v>
      </c>
      <c r="C6281" s="2" t="s">
        <v>4597</v>
      </c>
      <c r="D6281" s="3" t="str">
        <f t="shared" si="1099"/>
        <v>12Go Link</v>
      </c>
      <c r="E6281" s="2" t="s">
        <v>4339</v>
      </c>
    </row>
    <row r="6282">
      <c r="A6282" s="2" t="s">
        <v>4370</v>
      </c>
      <c r="B6282" s="2" t="s">
        <v>4334</v>
      </c>
      <c r="C6282" s="2" t="s">
        <v>4597</v>
      </c>
      <c r="D6282" s="3" t="str">
        <f t="shared" si="1099"/>
        <v>12Go Link</v>
      </c>
      <c r="E6282" s="2" t="s">
        <v>4340</v>
      </c>
    </row>
    <row r="6283">
      <c r="A6283" s="2" t="s">
        <v>4370</v>
      </c>
      <c r="B6283" s="2" t="s">
        <v>4357</v>
      </c>
      <c r="C6283" s="2" t="s">
        <v>4598</v>
      </c>
      <c r="D6283" s="3" t="str">
        <f t="shared" ref="D6283:D6288" si="1100">HYPERLINK("https://12go.asia/en/travel/Inezgane-Hotel-Transfer/Fes-Airport", "12Go Link")</f>
        <v>12Go Link</v>
      </c>
      <c r="E6283" s="2" t="s">
        <v>4336</v>
      </c>
    </row>
    <row r="6284">
      <c r="A6284" s="2" t="s">
        <v>4370</v>
      </c>
      <c r="B6284" s="2" t="s">
        <v>4357</v>
      </c>
      <c r="C6284" s="2" t="s">
        <v>4598</v>
      </c>
      <c r="D6284" s="3" t="str">
        <f t="shared" si="1100"/>
        <v>12Go Link</v>
      </c>
      <c r="E6284" s="2" t="s">
        <v>4337</v>
      </c>
    </row>
    <row r="6285">
      <c r="A6285" s="2" t="s">
        <v>4370</v>
      </c>
      <c r="B6285" s="2" t="s">
        <v>4357</v>
      </c>
      <c r="C6285" s="2" t="s">
        <v>4598</v>
      </c>
      <c r="D6285" s="3" t="str">
        <f t="shared" si="1100"/>
        <v>12Go Link</v>
      </c>
      <c r="E6285" s="2" t="s">
        <v>4137</v>
      </c>
    </row>
    <row r="6286">
      <c r="A6286" s="2" t="s">
        <v>4370</v>
      </c>
      <c r="B6286" s="2" t="s">
        <v>4357</v>
      </c>
      <c r="C6286" s="2" t="s">
        <v>4598</v>
      </c>
      <c r="D6286" s="3" t="str">
        <f t="shared" si="1100"/>
        <v>12Go Link</v>
      </c>
      <c r="E6286" s="2" t="s">
        <v>4338</v>
      </c>
    </row>
    <row r="6287">
      <c r="A6287" s="2" t="s">
        <v>4370</v>
      </c>
      <c r="B6287" s="2" t="s">
        <v>4357</v>
      </c>
      <c r="C6287" s="2" t="s">
        <v>4598</v>
      </c>
      <c r="D6287" s="3" t="str">
        <f t="shared" si="1100"/>
        <v>12Go Link</v>
      </c>
      <c r="E6287" s="2" t="s">
        <v>4339</v>
      </c>
    </row>
    <row r="6288">
      <c r="A6288" s="2" t="s">
        <v>4370</v>
      </c>
      <c r="B6288" s="2" t="s">
        <v>4357</v>
      </c>
      <c r="C6288" s="2" t="s">
        <v>4598</v>
      </c>
      <c r="D6288" s="3" t="str">
        <f t="shared" si="1100"/>
        <v>12Go Link</v>
      </c>
      <c r="E6288" s="2" t="s">
        <v>4340</v>
      </c>
    </row>
    <row r="6289">
      <c r="A6289" s="2" t="s">
        <v>4465</v>
      </c>
      <c r="B6289" s="2" t="s">
        <v>4350</v>
      </c>
      <c r="C6289" s="2" t="s">
        <v>4599</v>
      </c>
      <c r="D6289" s="3" t="str">
        <f t="shared" ref="D6289:D6294" si="1101">HYPERLINK("https://12go.asia/en/travel/Kenitra-Hotel-Transfer/Mohammed-V-International-Airport", "12Go Link")</f>
        <v>12Go Link</v>
      </c>
      <c r="E6289" s="2" t="s">
        <v>4336</v>
      </c>
    </row>
    <row r="6290">
      <c r="A6290" s="2" t="s">
        <v>4465</v>
      </c>
      <c r="B6290" s="2" t="s">
        <v>4350</v>
      </c>
      <c r="C6290" s="2" t="s">
        <v>4599</v>
      </c>
      <c r="D6290" s="3" t="str">
        <f t="shared" si="1101"/>
        <v>12Go Link</v>
      </c>
      <c r="E6290" s="2" t="s">
        <v>4337</v>
      </c>
    </row>
    <row r="6291">
      <c r="A6291" s="2" t="s">
        <v>4465</v>
      </c>
      <c r="B6291" s="2" t="s">
        <v>4350</v>
      </c>
      <c r="C6291" s="2" t="s">
        <v>4599</v>
      </c>
      <c r="D6291" s="3" t="str">
        <f t="shared" si="1101"/>
        <v>12Go Link</v>
      </c>
      <c r="E6291" s="2" t="s">
        <v>4137</v>
      </c>
    </row>
    <row r="6292">
      <c r="A6292" s="2" t="s">
        <v>4465</v>
      </c>
      <c r="B6292" s="2" t="s">
        <v>4350</v>
      </c>
      <c r="C6292" s="2" t="s">
        <v>4599</v>
      </c>
      <c r="D6292" s="3" t="str">
        <f t="shared" si="1101"/>
        <v>12Go Link</v>
      </c>
      <c r="E6292" s="2" t="s">
        <v>4338</v>
      </c>
    </row>
    <row r="6293">
      <c r="A6293" s="2" t="s">
        <v>4465</v>
      </c>
      <c r="B6293" s="2" t="s">
        <v>4350</v>
      </c>
      <c r="C6293" s="2" t="s">
        <v>4599</v>
      </c>
      <c r="D6293" s="3" t="str">
        <f t="shared" si="1101"/>
        <v>12Go Link</v>
      </c>
      <c r="E6293" s="2" t="s">
        <v>4339</v>
      </c>
    </row>
    <row r="6294">
      <c r="A6294" s="2" t="s">
        <v>4465</v>
      </c>
      <c r="B6294" s="2" t="s">
        <v>4350</v>
      </c>
      <c r="C6294" s="2" t="s">
        <v>4599</v>
      </c>
      <c r="D6294" s="3" t="str">
        <f t="shared" si="1101"/>
        <v>12Go Link</v>
      </c>
      <c r="E6294" s="2" t="s">
        <v>4340</v>
      </c>
    </row>
    <row r="6295">
      <c r="A6295" s="2" t="s">
        <v>4465</v>
      </c>
      <c r="B6295" s="2" t="s">
        <v>4386</v>
      </c>
      <c r="C6295" s="2" t="s">
        <v>4600</v>
      </c>
      <c r="D6295" s="3" t="str">
        <f t="shared" ref="D6295:D6300" si="1102">HYPERLINK("https://12go.asia/en/travel/Kenitra-Hotel-Transfer/Rabat-Sale-Airport", "12Go Link")</f>
        <v>12Go Link</v>
      </c>
      <c r="E6295" s="2" t="s">
        <v>4336</v>
      </c>
    </row>
    <row r="6296">
      <c r="A6296" s="2" t="s">
        <v>4465</v>
      </c>
      <c r="B6296" s="2" t="s">
        <v>4386</v>
      </c>
      <c r="C6296" s="2" t="s">
        <v>4600</v>
      </c>
      <c r="D6296" s="3" t="str">
        <f t="shared" si="1102"/>
        <v>12Go Link</v>
      </c>
      <c r="E6296" s="2" t="s">
        <v>4337</v>
      </c>
    </row>
    <row r="6297">
      <c r="A6297" s="2" t="s">
        <v>4465</v>
      </c>
      <c r="B6297" s="2" t="s">
        <v>4386</v>
      </c>
      <c r="C6297" s="2" t="s">
        <v>4600</v>
      </c>
      <c r="D6297" s="3" t="str">
        <f t="shared" si="1102"/>
        <v>12Go Link</v>
      </c>
      <c r="E6297" s="2" t="s">
        <v>4137</v>
      </c>
    </row>
    <row r="6298">
      <c r="A6298" s="2" t="s">
        <v>4465</v>
      </c>
      <c r="B6298" s="2" t="s">
        <v>4386</v>
      </c>
      <c r="C6298" s="2" t="s">
        <v>4600</v>
      </c>
      <c r="D6298" s="3" t="str">
        <f t="shared" si="1102"/>
        <v>12Go Link</v>
      </c>
      <c r="E6298" s="2" t="s">
        <v>4338</v>
      </c>
    </row>
    <row r="6299">
      <c r="A6299" s="2" t="s">
        <v>4465</v>
      </c>
      <c r="B6299" s="2" t="s">
        <v>4386</v>
      </c>
      <c r="C6299" s="2" t="s">
        <v>4600</v>
      </c>
      <c r="D6299" s="3" t="str">
        <f t="shared" si="1102"/>
        <v>12Go Link</v>
      </c>
      <c r="E6299" s="2" t="s">
        <v>4339</v>
      </c>
    </row>
    <row r="6300">
      <c r="A6300" s="2" t="s">
        <v>4465</v>
      </c>
      <c r="B6300" s="2" t="s">
        <v>4386</v>
      </c>
      <c r="C6300" s="2" t="s">
        <v>4600</v>
      </c>
      <c r="D6300" s="3" t="str">
        <f t="shared" si="1102"/>
        <v>12Go Link</v>
      </c>
      <c r="E6300" s="2" t="s">
        <v>4340</v>
      </c>
    </row>
    <row r="6301">
      <c r="A6301" s="2" t="s">
        <v>4467</v>
      </c>
      <c r="B6301" s="2" t="s">
        <v>4350</v>
      </c>
      <c r="C6301" s="2" t="s">
        <v>4601</v>
      </c>
      <c r="D6301" s="3" t="str">
        <f t="shared" ref="D6301:D6306" si="1103">HYPERLINK("https://12go.asia/en/travel/Khouribga-Hotel-Transfer/Mohammed-V-International-Airport", "12Go Link")</f>
        <v>12Go Link</v>
      </c>
      <c r="E6301" s="2" t="s">
        <v>4336</v>
      </c>
    </row>
    <row r="6302">
      <c r="A6302" s="2" t="s">
        <v>4467</v>
      </c>
      <c r="B6302" s="2" t="s">
        <v>4350</v>
      </c>
      <c r="C6302" s="2" t="s">
        <v>4601</v>
      </c>
      <c r="D6302" s="3" t="str">
        <f t="shared" si="1103"/>
        <v>12Go Link</v>
      </c>
      <c r="E6302" s="2" t="s">
        <v>4337</v>
      </c>
    </row>
    <row r="6303">
      <c r="A6303" s="2" t="s">
        <v>4467</v>
      </c>
      <c r="B6303" s="2" t="s">
        <v>4350</v>
      </c>
      <c r="C6303" s="2" t="s">
        <v>4601</v>
      </c>
      <c r="D6303" s="3" t="str">
        <f t="shared" si="1103"/>
        <v>12Go Link</v>
      </c>
      <c r="E6303" s="2" t="s">
        <v>4137</v>
      </c>
    </row>
    <row r="6304">
      <c r="A6304" s="2" t="s">
        <v>4467</v>
      </c>
      <c r="B6304" s="2" t="s">
        <v>4350</v>
      </c>
      <c r="C6304" s="2" t="s">
        <v>4601</v>
      </c>
      <c r="D6304" s="3" t="str">
        <f t="shared" si="1103"/>
        <v>12Go Link</v>
      </c>
      <c r="E6304" s="2" t="s">
        <v>4338</v>
      </c>
    </row>
    <row r="6305">
      <c r="A6305" s="2" t="s">
        <v>4467</v>
      </c>
      <c r="B6305" s="2" t="s">
        <v>4350</v>
      </c>
      <c r="C6305" s="2" t="s">
        <v>4601</v>
      </c>
      <c r="D6305" s="3" t="str">
        <f t="shared" si="1103"/>
        <v>12Go Link</v>
      </c>
      <c r="E6305" s="2" t="s">
        <v>4339</v>
      </c>
    </row>
    <row r="6306">
      <c r="A6306" s="2" t="s">
        <v>4467</v>
      </c>
      <c r="B6306" s="2" t="s">
        <v>4350</v>
      </c>
      <c r="C6306" s="2" t="s">
        <v>4601</v>
      </c>
      <c r="D6306" s="3" t="str">
        <f t="shared" si="1103"/>
        <v>12Go Link</v>
      </c>
      <c r="E6306" s="2" t="s">
        <v>4340</v>
      </c>
    </row>
    <row r="6307">
      <c r="A6307" s="2" t="s">
        <v>4602</v>
      </c>
      <c r="B6307" s="2" t="s">
        <v>4372</v>
      </c>
      <c r="C6307" s="2" t="s">
        <v>4603</v>
      </c>
      <c r="D6307" s="3" t="str">
        <f t="shared" ref="D6307:D6312" si="1104">HYPERLINK("https://12go.asia/en/travel/Lalla-Takerkoust-Hotel-Transfer/Marrakesh-Menara-Airport", "12Go Link")</f>
        <v>12Go Link</v>
      </c>
      <c r="E6307" s="2" t="s">
        <v>4336</v>
      </c>
    </row>
    <row r="6308">
      <c r="A6308" s="2" t="s">
        <v>4602</v>
      </c>
      <c r="B6308" s="2" t="s">
        <v>4372</v>
      </c>
      <c r="C6308" s="2" t="s">
        <v>4603</v>
      </c>
      <c r="D6308" s="3" t="str">
        <f t="shared" si="1104"/>
        <v>12Go Link</v>
      </c>
      <c r="E6308" s="2" t="s">
        <v>4337</v>
      </c>
    </row>
    <row r="6309">
      <c r="A6309" s="2" t="s">
        <v>4602</v>
      </c>
      <c r="B6309" s="2" t="s">
        <v>4372</v>
      </c>
      <c r="C6309" s="2" t="s">
        <v>4603</v>
      </c>
      <c r="D6309" s="3" t="str">
        <f t="shared" si="1104"/>
        <v>12Go Link</v>
      </c>
      <c r="E6309" s="2" t="s">
        <v>4137</v>
      </c>
    </row>
    <row r="6310">
      <c r="A6310" s="2" t="s">
        <v>4602</v>
      </c>
      <c r="B6310" s="2" t="s">
        <v>4372</v>
      </c>
      <c r="C6310" s="2" t="s">
        <v>4603</v>
      </c>
      <c r="D6310" s="3" t="str">
        <f t="shared" si="1104"/>
        <v>12Go Link</v>
      </c>
      <c r="E6310" s="2" t="s">
        <v>4338</v>
      </c>
    </row>
    <row r="6311">
      <c r="A6311" s="2" t="s">
        <v>4602</v>
      </c>
      <c r="B6311" s="2" t="s">
        <v>4372</v>
      </c>
      <c r="C6311" s="2" t="s">
        <v>4603</v>
      </c>
      <c r="D6311" s="3" t="str">
        <f t="shared" si="1104"/>
        <v>12Go Link</v>
      </c>
      <c r="E6311" s="2" t="s">
        <v>4339</v>
      </c>
    </row>
    <row r="6312">
      <c r="A6312" s="2" t="s">
        <v>4602</v>
      </c>
      <c r="B6312" s="2" t="s">
        <v>4372</v>
      </c>
      <c r="C6312" s="2" t="s">
        <v>4603</v>
      </c>
      <c r="D6312" s="3" t="str">
        <f t="shared" si="1104"/>
        <v>12Go Link</v>
      </c>
      <c r="E6312" s="2" t="s">
        <v>4340</v>
      </c>
    </row>
    <row r="6313">
      <c r="A6313" s="2" t="s">
        <v>4604</v>
      </c>
      <c r="B6313" s="2" t="s">
        <v>4403</v>
      </c>
      <c r="C6313" s="2" t="s">
        <v>4605</v>
      </c>
      <c r="D6313" s="3" t="str">
        <f t="shared" ref="D6313:D6318" si="1105">HYPERLINK("https://12go.asia/en/travel/Marina-Smir-Hotel-Transfer/Tanger-Ibn-Battouta-Airport", "12Go Link")</f>
        <v>12Go Link</v>
      </c>
      <c r="E6313" s="2" t="s">
        <v>4336</v>
      </c>
    </row>
    <row r="6314">
      <c r="A6314" s="2" t="s">
        <v>4604</v>
      </c>
      <c r="B6314" s="2" t="s">
        <v>4403</v>
      </c>
      <c r="C6314" s="2" t="s">
        <v>4605</v>
      </c>
      <c r="D6314" s="3" t="str">
        <f t="shared" si="1105"/>
        <v>12Go Link</v>
      </c>
      <c r="E6314" s="2" t="s">
        <v>4337</v>
      </c>
    </row>
    <row r="6315">
      <c r="A6315" s="2" t="s">
        <v>4604</v>
      </c>
      <c r="B6315" s="2" t="s">
        <v>4403</v>
      </c>
      <c r="C6315" s="2" t="s">
        <v>4605</v>
      </c>
      <c r="D6315" s="3" t="str">
        <f t="shared" si="1105"/>
        <v>12Go Link</v>
      </c>
      <c r="E6315" s="2" t="s">
        <v>4137</v>
      </c>
    </row>
    <row r="6316">
      <c r="A6316" s="2" t="s">
        <v>4604</v>
      </c>
      <c r="B6316" s="2" t="s">
        <v>4403</v>
      </c>
      <c r="C6316" s="2" t="s">
        <v>4605</v>
      </c>
      <c r="D6316" s="3" t="str">
        <f t="shared" si="1105"/>
        <v>12Go Link</v>
      </c>
      <c r="E6316" s="2" t="s">
        <v>4338</v>
      </c>
    </row>
    <row r="6317">
      <c r="A6317" s="2" t="s">
        <v>4604</v>
      </c>
      <c r="B6317" s="2" t="s">
        <v>4403</v>
      </c>
      <c r="C6317" s="2" t="s">
        <v>4605</v>
      </c>
      <c r="D6317" s="3" t="str">
        <f t="shared" si="1105"/>
        <v>12Go Link</v>
      </c>
      <c r="E6317" s="2" t="s">
        <v>4339</v>
      </c>
    </row>
    <row r="6318">
      <c r="A6318" s="2" t="s">
        <v>4604</v>
      </c>
      <c r="B6318" s="2" t="s">
        <v>4403</v>
      </c>
      <c r="C6318" s="2" t="s">
        <v>4605</v>
      </c>
      <c r="D6318" s="3" t="str">
        <f t="shared" si="1105"/>
        <v>12Go Link</v>
      </c>
      <c r="E6318" s="2" t="s">
        <v>4340</v>
      </c>
    </row>
    <row r="6319">
      <c r="A6319" s="2" t="s">
        <v>4372</v>
      </c>
      <c r="B6319" s="2" t="s">
        <v>4334</v>
      </c>
      <c r="C6319" s="2" t="s">
        <v>4606</v>
      </c>
      <c r="D6319" s="3" t="str">
        <f t="shared" ref="D6319:D6324" si="1106">HYPERLINK("https://12go.asia/en/travel/Marrakech-Medina-Transfer/Agadir-Al-Massira-International-Airport", "12Go Link")</f>
        <v>12Go Link</v>
      </c>
      <c r="E6319" s="2" t="s">
        <v>4336</v>
      </c>
    </row>
    <row r="6320">
      <c r="A6320" s="2" t="s">
        <v>4372</v>
      </c>
      <c r="B6320" s="2" t="s">
        <v>4334</v>
      </c>
      <c r="C6320" s="2" t="s">
        <v>4606</v>
      </c>
      <c r="D6320" s="3" t="str">
        <f t="shared" si="1106"/>
        <v>12Go Link</v>
      </c>
      <c r="E6320" s="2" t="s">
        <v>4337</v>
      </c>
    </row>
    <row r="6321">
      <c r="A6321" s="2" t="s">
        <v>4372</v>
      </c>
      <c r="B6321" s="2" t="s">
        <v>4334</v>
      </c>
      <c r="C6321" s="2" t="s">
        <v>4606</v>
      </c>
      <c r="D6321" s="3" t="str">
        <f t="shared" si="1106"/>
        <v>12Go Link</v>
      </c>
      <c r="E6321" s="2" t="s">
        <v>4137</v>
      </c>
    </row>
    <row r="6322">
      <c r="A6322" s="2" t="s">
        <v>4372</v>
      </c>
      <c r="B6322" s="2" t="s">
        <v>4334</v>
      </c>
      <c r="C6322" s="2" t="s">
        <v>4606</v>
      </c>
      <c r="D6322" s="3" t="str">
        <f t="shared" si="1106"/>
        <v>12Go Link</v>
      </c>
      <c r="E6322" s="2" t="s">
        <v>4338</v>
      </c>
    </row>
    <row r="6323">
      <c r="A6323" s="2" t="s">
        <v>4372</v>
      </c>
      <c r="B6323" s="2" t="s">
        <v>4334</v>
      </c>
      <c r="C6323" s="2" t="s">
        <v>4606</v>
      </c>
      <c r="D6323" s="3" t="str">
        <f t="shared" si="1106"/>
        <v>12Go Link</v>
      </c>
      <c r="E6323" s="2" t="s">
        <v>4339</v>
      </c>
    </row>
    <row r="6324">
      <c r="A6324" s="2" t="s">
        <v>4372</v>
      </c>
      <c r="B6324" s="2" t="s">
        <v>4334</v>
      </c>
      <c r="C6324" s="2" t="s">
        <v>4606</v>
      </c>
      <c r="D6324" s="3" t="str">
        <f t="shared" si="1106"/>
        <v>12Go Link</v>
      </c>
      <c r="E6324" s="2" t="s">
        <v>4340</v>
      </c>
    </row>
    <row r="6325">
      <c r="A6325" s="2" t="s">
        <v>4372</v>
      </c>
      <c r="B6325" s="2" t="s">
        <v>4334</v>
      </c>
      <c r="C6325" s="2" t="s">
        <v>4607</v>
      </c>
      <c r="D6325" s="3" t="str">
        <f t="shared" ref="D6325:D6330" si="1107">HYPERLINK("https://12go.asia/en/travel/Marrakesh-Hotel-Transfer/Agadir-Al-Massira-International-Airport", "12Go Link")</f>
        <v>12Go Link</v>
      </c>
      <c r="E6325" s="2" t="s">
        <v>4336</v>
      </c>
    </row>
    <row r="6326">
      <c r="A6326" s="2" t="s">
        <v>4372</v>
      </c>
      <c r="B6326" s="2" t="s">
        <v>4334</v>
      </c>
      <c r="C6326" s="2" t="s">
        <v>4607</v>
      </c>
      <c r="D6326" s="3" t="str">
        <f t="shared" si="1107"/>
        <v>12Go Link</v>
      </c>
      <c r="E6326" s="2" t="s">
        <v>4337</v>
      </c>
    </row>
    <row r="6327">
      <c r="A6327" s="2" t="s">
        <v>4372</v>
      </c>
      <c r="B6327" s="2" t="s">
        <v>4334</v>
      </c>
      <c r="C6327" s="2" t="s">
        <v>4607</v>
      </c>
      <c r="D6327" s="3" t="str">
        <f t="shared" si="1107"/>
        <v>12Go Link</v>
      </c>
      <c r="E6327" s="2" t="s">
        <v>4137</v>
      </c>
    </row>
    <row r="6328">
      <c r="A6328" s="2" t="s">
        <v>4372</v>
      </c>
      <c r="B6328" s="2" t="s">
        <v>4334</v>
      </c>
      <c r="C6328" s="2" t="s">
        <v>4607</v>
      </c>
      <c r="D6328" s="3" t="str">
        <f t="shared" si="1107"/>
        <v>12Go Link</v>
      </c>
      <c r="E6328" s="2" t="s">
        <v>4338</v>
      </c>
    </row>
    <row r="6329">
      <c r="A6329" s="2" t="s">
        <v>4372</v>
      </c>
      <c r="B6329" s="2" t="s">
        <v>4334</v>
      </c>
      <c r="C6329" s="2" t="s">
        <v>4607</v>
      </c>
      <c r="D6329" s="3" t="str">
        <f t="shared" si="1107"/>
        <v>12Go Link</v>
      </c>
      <c r="E6329" s="2" t="s">
        <v>4339</v>
      </c>
    </row>
    <row r="6330">
      <c r="A6330" s="2" t="s">
        <v>4372</v>
      </c>
      <c r="B6330" s="2" t="s">
        <v>4334</v>
      </c>
      <c r="C6330" s="2" t="s">
        <v>4607</v>
      </c>
      <c r="D6330" s="3" t="str">
        <f t="shared" si="1107"/>
        <v>12Go Link</v>
      </c>
      <c r="E6330" s="2" t="s">
        <v>4340</v>
      </c>
    </row>
    <row r="6331">
      <c r="A6331" s="2" t="s">
        <v>4372</v>
      </c>
      <c r="B6331" s="2" t="s">
        <v>4334</v>
      </c>
      <c r="C6331" s="2" t="s">
        <v>4608</v>
      </c>
      <c r="D6331" s="3" t="str">
        <f t="shared" ref="D6331:D6336" si="1108">HYPERLINK("https://12go.asia/en/travel/Marrakesh-Menara-Airport/Agadir-Al-Massira-International-Airport", "12Go Link")</f>
        <v>12Go Link</v>
      </c>
      <c r="E6331" s="2" t="s">
        <v>4336</v>
      </c>
    </row>
    <row r="6332">
      <c r="A6332" s="2" t="s">
        <v>4372</v>
      </c>
      <c r="B6332" s="2" t="s">
        <v>4334</v>
      </c>
      <c r="C6332" s="2" t="s">
        <v>4608</v>
      </c>
      <c r="D6332" s="3" t="str">
        <f t="shared" si="1108"/>
        <v>12Go Link</v>
      </c>
      <c r="E6332" s="2" t="s">
        <v>4337</v>
      </c>
    </row>
    <row r="6333">
      <c r="A6333" s="2" t="s">
        <v>4372</v>
      </c>
      <c r="B6333" s="2" t="s">
        <v>4334</v>
      </c>
      <c r="C6333" s="2" t="s">
        <v>4608</v>
      </c>
      <c r="D6333" s="3" t="str">
        <f t="shared" si="1108"/>
        <v>12Go Link</v>
      </c>
      <c r="E6333" s="2" t="s">
        <v>4137</v>
      </c>
    </row>
    <row r="6334">
      <c r="A6334" s="2" t="s">
        <v>4372</v>
      </c>
      <c r="B6334" s="2" t="s">
        <v>4334</v>
      </c>
      <c r="C6334" s="2" t="s">
        <v>4608</v>
      </c>
      <c r="D6334" s="3" t="str">
        <f t="shared" si="1108"/>
        <v>12Go Link</v>
      </c>
      <c r="E6334" s="2" t="s">
        <v>4338</v>
      </c>
    </row>
    <row r="6335">
      <c r="A6335" s="2" t="s">
        <v>4372</v>
      </c>
      <c r="B6335" s="2" t="s">
        <v>4334</v>
      </c>
      <c r="C6335" s="2" t="s">
        <v>4608</v>
      </c>
      <c r="D6335" s="3" t="str">
        <f t="shared" si="1108"/>
        <v>12Go Link</v>
      </c>
      <c r="E6335" s="2" t="s">
        <v>4339</v>
      </c>
    </row>
    <row r="6336">
      <c r="A6336" s="2" t="s">
        <v>4372</v>
      </c>
      <c r="B6336" s="2" t="s">
        <v>4334</v>
      </c>
      <c r="C6336" s="2" t="s">
        <v>4608</v>
      </c>
      <c r="D6336" s="3" t="str">
        <f t="shared" si="1108"/>
        <v>12Go Link</v>
      </c>
      <c r="E6336" s="2" t="s">
        <v>4340</v>
      </c>
    </row>
    <row r="6337">
      <c r="A6337" s="2" t="s">
        <v>4372</v>
      </c>
      <c r="B6337" s="2" t="s">
        <v>4334</v>
      </c>
      <c r="C6337" s="2" t="s">
        <v>4609</v>
      </c>
      <c r="D6337" s="3" t="str">
        <f t="shared" ref="D6337:D6342" si="1109">HYPERLINK("https://12go.asia/en/travel/Marrakesh-Menara-Airport/Agadir-Hotel-Transfer", "12Go Link")</f>
        <v>12Go Link</v>
      </c>
      <c r="E6337" s="2" t="s">
        <v>4336</v>
      </c>
    </row>
    <row r="6338">
      <c r="A6338" s="2" t="s">
        <v>4372</v>
      </c>
      <c r="B6338" s="2" t="s">
        <v>4334</v>
      </c>
      <c r="C6338" s="2" t="s">
        <v>4609</v>
      </c>
      <c r="D6338" s="3" t="str">
        <f t="shared" si="1109"/>
        <v>12Go Link</v>
      </c>
      <c r="E6338" s="2" t="s">
        <v>4337</v>
      </c>
    </row>
    <row r="6339">
      <c r="A6339" s="2" t="s">
        <v>4372</v>
      </c>
      <c r="B6339" s="2" t="s">
        <v>4334</v>
      </c>
      <c r="C6339" s="2" t="s">
        <v>4609</v>
      </c>
      <c r="D6339" s="3" t="str">
        <f t="shared" si="1109"/>
        <v>12Go Link</v>
      </c>
      <c r="E6339" s="2" t="s">
        <v>4137</v>
      </c>
    </row>
    <row r="6340">
      <c r="A6340" s="2" t="s">
        <v>4372</v>
      </c>
      <c r="B6340" s="2" t="s">
        <v>4334</v>
      </c>
      <c r="C6340" s="2" t="s">
        <v>4609</v>
      </c>
      <c r="D6340" s="3" t="str">
        <f t="shared" si="1109"/>
        <v>12Go Link</v>
      </c>
      <c r="E6340" s="2" t="s">
        <v>4338</v>
      </c>
    </row>
    <row r="6341">
      <c r="A6341" s="2" t="s">
        <v>4372</v>
      </c>
      <c r="B6341" s="2" t="s">
        <v>4334</v>
      </c>
      <c r="C6341" s="2" t="s">
        <v>4609</v>
      </c>
      <c r="D6341" s="3" t="str">
        <f t="shared" si="1109"/>
        <v>12Go Link</v>
      </c>
      <c r="E6341" s="2" t="s">
        <v>4339</v>
      </c>
    </row>
    <row r="6342">
      <c r="A6342" s="2" t="s">
        <v>4372</v>
      </c>
      <c r="B6342" s="2" t="s">
        <v>4334</v>
      </c>
      <c r="C6342" s="2" t="s">
        <v>4609</v>
      </c>
      <c r="D6342" s="3" t="str">
        <f t="shared" si="1109"/>
        <v>12Go Link</v>
      </c>
      <c r="E6342" s="2" t="s">
        <v>4340</v>
      </c>
    </row>
    <row r="6343">
      <c r="A6343" s="2" t="s">
        <v>4372</v>
      </c>
      <c r="B6343" s="2" t="s">
        <v>4409</v>
      </c>
      <c r="C6343" s="2" t="s">
        <v>4610</v>
      </c>
      <c r="D6343" s="3" t="str">
        <f t="shared" ref="D6343:D6348" si="1110">HYPERLINK("https://12go.asia/en/travel/Marrakesh-Menara-Airport/Ait-Si-Hammou-Hotel-Transfer", "12Go Link")</f>
        <v>12Go Link</v>
      </c>
      <c r="E6343" s="2" t="s">
        <v>4336</v>
      </c>
    </row>
    <row r="6344">
      <c r="A6344" s="2" t="s">
        <v>4372</v>
      </c>
      <c r="B6344" s="2" t="s">
        <v>4409</v>
      </c>
      <c r="C6344" s="2" t="s">
        <v>4610</v>
      </c>
      <c r="D6344" s="3" t="str">
        <f t="shared" si="1110"/>
        <v>12Go Link</v>
      </c>
      <c r="E6344" s="2" t="s">
        <v>4337</v>
      </c>
    </row>
    <row r="6345">
      <c r="A6345" s="2" t="s">
        <v>4372</v>
      </c>
      <c r="B6345" s="2" t="s">
        <v>4409</v>
      </c>
      <c r="C6345" s="2" t="s">
        <v>4610</v>
      </c>
      <c r="D6345" s="3" t="str">
        <f t="shared" si="1110"/>
        <v>12Go Link</v>
      </c>
      <c r="E6345" s="2" t="s">
        <v>4137</v>
      </c>
    </row>
    <row r="6346">
      <c r="A6346" s="2" t="s">
        <v>4372</v>
      </c>
      <c r="B6346" s="2" t="s">
        <v>4409</v>
      </c>
      <c r="C6346" s="2" t="s">
        <v>4610</v>
      </c>
      <c r="D6346" s="3" t="str">
        <f t="shared" si="1110"/>
        <v>12Go Link</v>
      </c>
      <c r="E6346" s="2" t="s">
        <v>4338</v>
      </c>
    </row>
    <row r="6347">
      <c r="A6347" s="2" t="s">
        <v>4372</v>
      </c>
      <c r="B6347" s="2" t="s">
        <v>4409</v>
      </c>
      <c r="C6347" s="2" t="s">
        <v>4610</v>
      </c>
      <c r="D6347" s="3" t="str">
        <f t="shared" si="1110"/>
        <v>12Go Link</v>
      </c>
      <c r="E6347" s="2" t="s">
        <v>4339</v>
      </c>
    </row>
    <row r="6348">
      <c r="A6348" s="2" t="s">
        <v>4372</v>
      </c>
      <c r="B6348" s="2" t="s">
        <v>4409</v>
      </c>
      <c r="C6348" s="2" t="s">
        <v>4610</v>
      </c>
      <c r="D6348" s="3" t="str">
        <f t="shared" si="1110"/>
        <v>12Go Link</v>
      </c>
      <c r="E6348" s="2" t="s">
        <v>4340</v>
      </c>
    </row>
    <row r="6349">
      <c r="A6349" s="2" t="s">
        <v>4372</v>
      </c>
      <c r="B6349" s="2" t="s">
        <v>4346</v>
      </c>
      <c r="C6349" s="2" t="s">
        <v>4611</v>
      </c>
      <c r="D6349" s="3" t="str">
        <f t="shared" ref="D6349:D6354" si="1111">HYPERLINK("https://12go.asia/en/travel/Marrakesh-Menara-Airport/Asni-Hotel-Transfer", "12Go Link")</f>
        <v>12Go Link</v>
      </c>
      <c r="E6349" s="2" t="s">
        <v>4336</v>
      </c>
    </row>
    <row r="6350">
      <c r="A6350" s="2" t="s">
        <v>4372</v>
      </c>
      <c r="B6350" s="2" t="s">
        <v>4346</v>
      </c>
      <c r="C6350" s="2" t="s">
        <v>4611</v>
      </c>
      <c r="D6350" s="3" t="str">
        <f t="shared" si="1111"/>
        <v>12Go Link</v>
      </c>
      <c r="E6350" s="2" t="s">
        <v>4337</v>
      </c>
    </row>
    <row r="6351">
      <c r="A6351" s="2" t="s">
        <v>4372</v>
      </c>
      <c r="B6351" s="2" t="s">
        <v>4346</v>
      </c>
      <c r="C6351" s="2" t="s">
        <v>4611</v>
      </c>
      <c r="D6351" s="3" t="str">
        <f t="shared" si="1111"/>
        <v>12Go Link</v>
      </c>
      <c r="E6351" s="2" t="s">
        <v>4137</v>
      </c>
    </row>
    <row r="6352">
      <c r="A6352" s="2" t="s">
        <v>4372</v>
      </c>
      <c r="B6352" s="2" t="s">
        <v>4346</v>
      </c>
      <c r="C6352" s="2" t="s">
        <v>4611</v>
      </c>
      <c r="D6352" s="3" t="str">
        <f t="shared" si="1111"/>
        <v>12Go Link</v>
      </c>
      <c r="E6352" s="2" t="s">
        <v>4338</v>
      </c>
    </row>
    <row r="6353">
      <c r="A6353" s="2" t="s">
        <v>4372</v>
      </c>
      <c r="B6353" s="2" t="s">
        <v>4346</v>
      </c>
      <c r="C6353" s="2" t="s">
        <v>4611</v>
      </c>
      <c r="D6353" s="3" t="str">
        <f t="shared" si="1111"/>
        <v>12Go Link</v>
      </c>
      <c r="E6353" s="2" t="s">
        <v>4339</v>
      </c>
    </row>
    <row r="6354">
      <c r="A6354" s="2" t="s">
        <v>4372</v>
      </c>
      <c r="B6354" s="2" t="s">
        <v>4346</v>
      </c>
      <c r="C6354" s="2" t="s">
        <v>4611</v>
      </c>
      <c r="D6354" s="3" t="str">
        <f t="shared" si="1111"/>
        <v>12Go Link</v>
      </c>
      <c r="E6354" s="2" t="s">
        <v>4340</v>
      </c>
    </row>
    <row r="6355">
      <c r="A6355" s="2" t="s">
        <v>4372</v>
      </c>
      <c r="B6355" s="2" t="s">
        <v>4433</v>
      </c>
      <c r="C6355" s="2" t="s">
        <v>4612</v>
      </c>
      <c r="D6355" s="3" t="str">
        <f t="shared" ref="D6355:D6360" si="1112">HYPERLINK("https://12go.asia/en/travel/Marrakesh-Menara-Airport/Bin-El-Ouidane-Hotel-Transfer", "12Go Link")</f>
        <v>12Go Link</v>
      </c>
      <c r="E6355" s="2" t="s">
        <v>4336</v>
      </c>
    </row>
    <row r="6356">
      <c r="A6356" s="2" t="s">
        <v>4372</v>
      </c>
      <c r="B6356" s="2" t="s">
        <v>4433</v>
      </c>
      <c r="C6356" s="2" t="s">
        <v>4612</v>
      </c>
      <c r="D6356" s="3" t="str">
        <f t="shared" si="1112"/>
        <v>12Go Link</v>
      </c>
      <c r="E6356" s="2" t="s">
        <v>4337</v>
      </c>
    </row>
    <row r="6357">
      <c r="A6357" s="2" t="s">
        <v>4372</v>
      </c>
      <c r="B6357" s="2" t="s">
        <v>4433</v>
      </c>
      <c r="C6357" s="2" t="s">
        <v>4612</v>
      </c>
      <c r="D6357" s="3" t="str">
        <f t="shared" si="1112"/>
        <v>12Go Link</v>
      </c>
      <c r="E6357" s="2" t="s">
        <v>4137</v>
      </c>
    </row>
    <row r="6358">
      <c r="A6358" s="2" t="s">
        <v>4372</v>
      </c>
      <c r="B6358" s="2" t="s">
        <v>4433</v>
      </c>
      <c r="C6358" s="2" t="s">
        <v>4612</v>
      </c>
      <c r="D6358" s="3" t="str">
        <f t="shared" si="1112"/>
        <v>12Go Link</v>
      </c>
      <c r="E6358" s="2" t="s">
        <v>4338</v>
      </c>
    </row>
    <row r="6359">
      <c r="A6359" s="2" t="s">
        <v>4372</v>
      </c>
      <c r="B6359" s="2" t="s">
        <v>4433</v>
      </c>
      <c r="C6359" s="2" t="s">
        <v>4612</v>
      </c>
      <c r="D6359" s="3" t="str">
        <f t="shared" si="1112"/>
        <v>12Go Link</v>
      </c>
      <c r="E6359" s="2" t="s">
        <v>4339</v>
      </c>
    </row>
    <row r="6360">
      <c r="A6360" s="2" t="s">
        <v>4372</v>
      </c>
      <c r="B6360" s="2" t="s">
        <v>4433</v>
      </c>
      <c r="C6360" s="2" t="s">
        <v>4612</v>
      </c>
      <c r="D6360" s="3" t="str">
        <f t="shared" si="1112"/>
        <v>12Go Link</v>
      </c>
      <c r="E6360" s="2" t="s">
        <v>4340</v>
      </c>
    </row>
    <row r="6361">
      <c r="A6361" s="2" t="s">
        <v>4372</v>
      </c>
      <c r="B6361" s="2" t="s">
        <v>4350</v>
      </c>
      <c r="C6361" s="2" t="s">
        <v>4613</v>
      </c>
      <c r="D6361" s="3" t="str">
        <f t="shared" ref="D6361:D6366" si="1113">HYPERLINK("https://12go.asia/en/travel/La-Palmeraie/Mohammed-V-International-Airport", "12Go Link")</f>
        <v>12Go Link</v>
      </c>
      <c r="E6361" s="2" t="s">
        <v>4336</v>
      </c>
    </row>
    <row r="6362">
      <c r="A6362" s="2" t="s">
        <v>4372</v>
      </c>
      <c r="B6362" s="2" t="s">
        <v>4350</v>
      </c>
      <c r="C6362" s="2" t="s">
        <v>4613</v>
      </c>
      <c r="D6362" s="3" t="str">
        <f t="shared" si="1113"/>
        <v>12Go Link</v>
      </c>
      <c r="E6362" s="2" t="s">
        <v>4337</v>
      </c>
    </row>
    <row r="6363">
      <c r="A6363" s="2" t="s">
        <v>4372</v>
      </c>
      <c r="B6363" s="2" t="s">
        <v>4350</v>
      </c>
      <c r="C6363" s="2" t="s">
        <v>4613</v>
      </c>
      <c r="D6363" s="3" t="str">
        <f t="shared" si="1113"/>
        <v>12Go Link</v>
      </c>
      <c r="E6363" s="2" t="s">
        <v>4137</v>
      </c>
    </row>
    <row r="6364">
      <c r="A6364" s="2" t="s">
        <v>4372</v>
      </c>
      <c r="B6364" s="2" t="s">
        <v>4350</v>
      </c>
      <c r="C6364" s="2" t="s">
        <v>4613</v>
      </c>
      <c r="D6364" s="3" t="str">
        <f t="shared" si="1113"/>
        <v>12Go Link</v>
      </c>
      <c r="E6364" s="2" t="s">
        <v>4338</v>
      </c>
    </row>
    <row r="6365">
      <c r="A6365" s="2" t="s">
        <v>4372</v>
      </c>
      <c r="B6365" s="2" t="s">
        <v>4350</v>
      </c>
      <c r="C6365" s="2" t="s">
        <v>4613</v>
      </c>
      <c r="D6365" s="3" t="str">
        <f t="shared" si="1113"/>
        <v>12Go Link</v>
      </c>
      <c r="E6365" s="2" t="s">
        <v>4339</v>
      </c>
    </row>
    <row r="6366">
      <c r="A6366" s="2" t="s">
        <v>4372</v>
      </c>
      <c r="B6366" s="2" t="s">
        <v>4350</v>
      </c>
      <c r="C6366" s="2" t="s">
        <v>4613</v>
      </c>
      <c r="D6366" s="3" t="str">
        <f t="shared" si="1113"/>
        <v>12Go Link</v>
      </c>
      <c r="E6366" s="2" t="s">
        <v>4340</v>
      </c>
    </row>
    <row r="6367">
      <c r="A6367" s="2" t="s">
        <v>4372</v>
      </c>
      <c r="B6367" s="2" t="s">
        <v>4350</v>
      </c>
      <c r="C6367" s="2" t="s">
        <v>4614</v>
      </c>
      <c r="D6367" s="3" t="str">
        <f t="shared" ref="D6367:D6372" si="1114">HYPERLINK("https://12go.asia/en/travel/Marrakesh-Hotel-Transfer/Mohammed-V-International-Airport", "12Go Link")</f>
        <v>12Go Link</v>
      </c>
      <c r="E6367" s="2" t="s">
        <v>4336</v>
      </c>
    </row>
    <row r="6368">
      <c r="A6368" s="2" t="s">
        <v>4372</v>
      </c>
      <c r="B6368" s="2" t="s">
        <v>4350</v>
      </c>
      <c r="C6368" s="2" t="s">
        <v>4614</v>
      </c>
      <c r="D6368" s="3" t="str">
        <f t="shared" si="1114"/>
        <v>12Go Link</v>
      </c>
      <c r="E6368" s="2" t="s">
        <v>4337</v>
      </c>
    </row>
    <row r="6369">
      <c r="A6369" s="2" t="s">
        <v>4372</v>
      </c>
      <c r="B6369" s="2" t="s">
        <v>4350</v>
      </c>
      <c r="C6369" s="2" t="s">
        <v>4614</v>
      </c>
      <c r="D6369" s="3" t="str">
        <f t="shared" si="1114"/>
        <v>12Go Link</v>
      </c>
      <c r="E6369" s="2" t="s">
        <v>4137</v>
      </c>
    </row>
    <row r="6370">
      <c r="A6370" s="2" t="s">
        <v>4372</v>
      </c>
      <c r="B6370" s="2" t="s">
        <v>4350</v>
      </c>
      <c r="C6370" s="2" t="s">
        <v>4614</v>
      </c>
      <c r="D6370" s="3" t="str">
        <f t="shared" si="1114"/>
        <v>12Go Link</v>
      </c>
      <c r="E6370" s="2" t="s">
        <v>4338</v>
      </c>
    </row>
    <row r="6371">
      <c r="A6371" s="2" t="s">
        <v>4372</v>
      </c>
      <c r="B6371" s="2" t="s">
        <v>4350</v>
      </c>
      <c r="C6371" s="2" t="s">
        <v>4614</v>
      </c>
      <c r="D6371" s="3" t="str">
        <f t="shared" si="1114"/>
        <v>12Go Link</v>
      </c>
      <c r="E6371" s="2" t="s">
        <v>4339</v>
      </c>
    </row>
    <row r="6372">
      <c r="A6372" s="2" t="s">
        <v>4372</v>
      </c>
      <c r="B6372" s="2" t="s">
        <v>4350</v>
      </c>
      <c r="C6372" s="2" t="s">
        <v>4614</v>
      </c>
      <c r="D6372" s="3" t="str">
        <f t="shared" si="1114"/>
        <v>12Go Link</v>
      </c>
      <c r="E6372" s="2" t="s">
        <v>4340</v>
      </c>
    </row>
    <row r="6373">
      <c r="A6373" s="2" t="s">
        <v>4372</v>
      </c>
      <c r="B6373" s="2" t="s">
        <v>4350</v>
      </c>
      <c r="C6373" s="2" t="s">
        <v>4615</v>
      </c>
      <c r="D6373" s="3" t="str">
        <f t="shared" ref="D6373:D6378" si="1115">HYPERLINK("https://12go.asia/en/travel/Marrakesh-Menara-Airport/Casablanca-Hotel-Transfer", "12Go Link")</f>
        <v>12Go Link</v>
      </c>
      <c r="E6373" s="2" t="s">
        <v>4336</v>
      </c>
    </row>
    <row r="6374">
      <c r="A6374" s="2" t="s">
        <v>4372</v>
      </c>
      <c r="B6374" s="2" t="s">
        <v>4350</v>
      </c>
      <c r="C6374" s="2" t="s">
        <v>4615</v>
      </c>
      <c r="D6374" s="3" t="str">
        <f t="shared" si="1115"/>
        <v>12Go Link</v>
      </c>
      <c r="E6374" s="2" t="s">
        <v>4337</v>
      </c>
    </row>
    <row r="6375">
      <c r="A6375" s="2" t="s">
        <v>4372</v>
      </c>
      <c r="B6375" s="2" t="s">
        <v>4350</v>
      </c>
      <c r="C6375" s="2" t="s">
        <v>4615</v>
      </c>
      <c r="D6375" s="3" t="str">
        <f t="shared" si="1115"/>
        <v>12Go Link</v>
      </c>
      <c r="E6375" s="2" t="s">
        <v>4137</v>
      </c>
    </row>
    <row r="6376">
      <c r="A6376" s="2" t="s">
        <v>4372</v>
      </c>
      <c r="B6376" s="2" t="s">
        <v>4350</v>
      </c>
      <c r="C6376" s="2" t="s">
        <v>4615</v>
      </c>
      <c r="D6376" s="3" t="str">
        <f t="shared" si="1115"/>
        <v>12Go Link</v>
      </c>
      <c r="E6376" s="2" t="s">
        <v>4338</v>
      </c>
    </row>
    <row r="6377">
      <c r="A6377" s="2" t="s">
        <v>4372</v>
      </c>
      <c r="B6377" s="2" t="s">
        <v>4350</v>
      </c>
      <c r="C6377" s="2" t="s">
        <v>4615</v>
      </c>
      <c r="D6377" s="3" t="str">
        <f t="shared" si="1115"/>
        <v>12Go Link</v>
      </c>
      <c r="E6377" s="2" t="s">
        <v>4339</v>
      </c>
    </row>
    <row r="6378">
      <c r="A6378" s="2" t="s">
        <v>4372</v>
      </c>
      <c r="B6378" s="2" t="s">
        <v>4350</v>
      </c>
      <c r="C6378" s="2" t="s">
        <v>4615</v>
      </c>
      <c r="D6378" s="3" t="str">
        <f t="shared" si="1115"/>
        <v>12Go Link</v>
      </c>
      <c r="E6378" s="2" t="s">
        <v>4340</v>
      </c>
    </row>
    <row r="6379">
      <c r="A6379" s="2" t="s">
        <v>4372</v>
      </c>
      <c r="B6379" s="2" t="s">
        <v>4350</v>
      </c>
      <c r="C6379" s="2" t="s">
        <v>4616</v>
      </c>
      <c r="D6379" s="3" t="str">
        <f t="shared" ref="D6379:D6384" si="1116">HYPERLINK("https://12go.asia/en/travel/Royal-Golf-Park/Mohammed-V-International-Airport", "12Go Link")</f>
        <v>12Go Link</v>
      </c>
      <c r="E6379" s="2" t="s">
        <v>4336</v>
      </c>
    </row>
    <row r="6380">
      <c r="A6380" s="2" t="s">
        <v>4372</v>
      </c>
      <c r="B6380" s="2" t="s">
        <v>4350</v>
      </c>
      <c r="C6380" s="2" t="s">
        <v>4616</v>
      </c>
      <c r="D6380" s="3" t="str">
        <f t="shared" si="1116"/>
        <v>12Go Link</v>
      </c>
      <c r="E6380" s="2" t="s">
        <v>4337</v>
      </c>
    </row>
    <row r="6381">
      <c r="A6381" s="2" t="s">
        <v>4372</v>
      </c>
      <c r="B6381" s="2" t="s">
        <v>4350</v>
      </c>
      <c r="C6381" s="2" t="s">
        <v>4616</v>
      </c>
      <c r="D6381" s="3" t="str">
        <f t="shared" si="1116"/>
        <v>12Go Link</v>
      </c>
      <c r="E6381" s="2" t="s">
        <v>4137</v>
      </c>
    </row>
    <row r="6382">
      <c r="A6382" s="2" t="s">
        <v>4372</v>
      </c>
      <c r="B6382" s="2" t="s">
        <v>4350</v>
      </c>
      <c r="C6382" s="2" t="s">
        <v>4616</v>
      </c>
      <c r="D6382" s="3" t="str">
        <f t="shared" si="1116"/>
        <v>12Go Link</v>
      </c>
      <c r="E6382" s="2" t="s">
        <v>4338</v>
      </c>
    </row>
    <row r="6383">
      <c r="A6383" s="2" t="s">
        <v>4372</v>
      </c>
      <c r="B6383" s="2" t="s">
        <v>4350</v>
      </c>
      <c r="C6383" s="2" t="s">
        <v>4616</v>
      </c>
      <c r="D6383" s="3" t="str">
        <f t="shared" si="1116"/>
        <v>12Go Link</v>
      </c>
      <c r="E6383" s="2" t="s">
        <v>4339</v>
      </c>
    </row>
    <row r="6384">
      <c r="A6384" s="2" t="s">
        <v>4372</v>
      </c>
      <c r="B6384" s="2" t="s">
        <v>4350</v>
      </c>
      <c r="C6384" s="2" t="s">
        <v>4616</v>
      </c>
      <c r="D6384" s="3" t="str">
        <f t="shared" si="1116"/>
        <v>12Go Link</v>
      </c>
      <c r="E6384" s="2" t="s">
        <v>4340</v>
      </c>
    </row>
    <row r="6385">
      <c r="A6385" s="2" t="s">
        <v>4372</v>
      </c>
      <c r="B6385" s="2" t="s">
        <v>4450</v>
      </c>
      <c r="C6385" s="2" t="s">
        <v>4617</v>
      </c>
      <c r="D6385" s="3" t="str">
        <f t="shared" ref="D6385:D6390" si="1117">HYPERLINK("https://12go.asia/en/travel/Marrakesh-Menara-Airport/Chefchaouen-Hotel-Transfer", "12Go Link")</f>
        <v>12Go Link</v>
      </c>
      <c r="E6385" s="2" t="s">
        <v>4336</v>
      </c>
    </row>
    <row r="6386">
      <c r="A6386" s="2" t="s">
        <v>4372</v>
      </c>
      <c r="B6386" s="2" t="s">
        <v>4450</v>
      </c>
      <c r="C6386" s="2" t="s">
        <v>4617</v>
      </c>
      <c r="D6386" s="3" t="str">
        <f t="shared" si="1117"/>
        <v>12Go Link</v>
      </c>
      <c r="E6386" s="2" t="s">
        <v>4337</v>
      </c>
    </row>
    <row r="6387">
      <c r="A6387" s="2" t="s">
        <v>4372</v>
      </c>
      <c r="B6387" s="2" t="s">
        <v>4450</v>
      </c>
      <c r="C6387" s="2" t="s">
        <v>4617</v>
      </c>
      <c r="D6387" s="3" t="str">
        <f t="shared" si="1117"/>
        <v>12Go Link</v>
      </c>
      <c r="E6387" s="2" t="s">
        <v>4137</v>
      </c>
    </row>
    <row r="6388">
      <c r="A6388" s="2" t="s">
        <v>4372</v>
      </c>
      <c r="B6388" s="2" t="s">
        <v>4450</v>
      </c>
      <c r="C6388" s="2" t="s">
        <v>4617</v>
      </c>
      <c r="D6388" s="3" t="str">
        <f t="shared" si="1117"/>
        <v>12Go Link</v>
      </c>
      <c r="E6388" s="2" t="s">
        <v>4338</v>
      </c>
    </row>
    <row r="6389">
      <c r="A6389" s="2" t="s">
        <v>4372</v>
      </c>
      <c r="B6389" s="2" t="s">
        <v>4450</v>
      </c>
      <c r="C6389" s="2" t="s">
        <v>4617</v>
      </c>
      <c r="D6389" s="3" t="str">
        <f t="shared" si="1117"/>
        <v>12Go Link</v>
      </c>
      <c r="E6389" s="2" t="s">
        <v>4339</v>
      </c>
    </row>
    <row r="6390">
      <c r="A6390" s="2" t="s">
        <v>4372</v>
      </c>
      <c r="B6390" s="2" t="s">
        <v>4450</v>
      </c>
      <c r="C6390" s="2" t="s">
        <v>4617</v>
      </c>
      <c r="D6390" s="3" t="str">
        <f t="shared" si="1117"/>
        <v>12Go Link</v>
      </c>
      <c r="E6390" s="2" t="s">
        <v>4340</v>
      </c>
    </row>
    <row r="6391">
      <c r="A6391" s="2" t="s">
        <v>4372</v>
      </c>
      <c r="B6391" s="2" t="s">
        <v>4456</v>
      </c>
      <c r="C6391" s="2" t="s">
        <v>4618</v>
      </c>
      <c r="D6391" s="3" t="str">
        <f t="shared" ref="D6391:D6396" si="1118">HYPERLINK("https://12go.asia/en/travel/Marrakesh-Menara-Airport/El-Jadida-Hotel-Transfer", "12Go Link")</f>
        <v>12Go Link</v>
      </c>
      <c r="E6391" s="2" t="s">
        <v>4336</v>
      </c>
    </row>
    <row r="6392">
      <c r="A6392" s="2" t="s">
        <v>4372</v>
      </c>
      <c r="B6392" s="2" t="s">
        <v>4456</v>
      </c>
      <c r="C6392" s="2" t="s">
        <v>4618</v>
      </c>
      <c r="D6392" s="3" t="str">
        <f t="shared" si="1118"/>
        <v>12Go Link</v>
      </c>
      <c r="E6392" s="2" t="s">
        <v>4337</v>
      </c>
    </row>
    <row r="6393">
      <c r="A6393" s="2" t="s">
        <v>4372</v>
      </c>
      <c r="B6393" s="2" t="s">
        <v>4456</v>
      </c>
      <c r="C6393" s="2" t="s">
        <v>4618</v>
      </c>
      <c r="D6393" s="3" t="str">
        <f t="shared" si="1118"/>
        <v>12Go Link</v>
      </c>
      <c r="E6393" s="2" t="s">
        <v>4137</v>
      </c>
    </row>
    <row r="6394">
      <c r="A6394" s="2" t="s">
        <v>4372</v>
      </c>
      <c r="B6394" s="2" t="s">
        <v>4456</v>
      </c>
      <c r="C6394" s="2" t="s">
        <v>4618</v>
      </c>
      <c r="D6394" s="3" t="str">
        <f t="shared" si="1118"/>
        <v>12Go Link</v>
      </c>
      <c r="E6394" s="2" t="s">
        <v>4338</v>
      </c>
    </row>
    <row r="6395">
      <c r="A6395" s="2" t="s">
        <v>4372</v>
      </c>
      <c r="B6395" s="2" t="s">
        <v>4456</v>
      </c>
      <c r="C6395" s="2" t="s">
        <v>4618</v>
      </c>
      <c r="D6395" s="3" t="str">
        <f t="shared" si="1118"/>
        <v>12Go Link</v>
      </c>
      <c r="E6395" s="2" t="s">
        <v>4339</v>
      </c>
    </row>
    <row r="6396">
      <c r="A6396" s="2" t="s">
        <v>4372</v>
      </c>
      <c r="B6396" s="2" t="s">
        <v>4456</v>
      </c>
      <c r="C6396" s="2" t="s">
        <v>4618</v>
      </c>
      <c r="D6396" s="3" t="str">
        <f t="shared" si="1118"/>
        <v>12Go Link</v>
      </c>
      <c r="E6396" s="2" t="s">
        <v>4340</v>
      </c>
    </row>
    <row r="6397">
      <c r="A6397" s="2" t="s">
        <v>4372</v>
      </c>
      <c r="B6397" s="2" t="s">
        <v>4353</v>
      </c>
      <c r="C6397" s="2" t="s">
        <v>4619</v>
      </c>
      <c r="D6397" s="3" t="str">
        <f t="shared" ref="D6397:D6402" si="1119">HYPERLINK("https://12go.asia/en/travel/Marrakech-Medina-Transfer/Essaouira-Mogador-Airport", "12Go Link")</f>
        <v>12Go Link</v>
      </c>
      <c r="E6397" s="2" t="s">
        <v>4336</v>
      </c>
    </row>
    <row r="6398">
      <c r="A6398" s="2" t="s">
        <v>4372</v>
      </c>
      <c r="B6398" s="2" t="s">
        <v>4353</v>
      </c>
      <c r="C6398" s="2" t="s">
        <v>4619</v>
      </c>
      <c r="D6398" s="3" t="str">
        <f t="shared" si="1119"/>
        <v>12Go Link</v>
      </c>
      <c r="E6398" s="2" t="s">
        <v>4337</v>
      </c>
    </row>
    <row r="6399">
      <c r="A6399" s="2" t="s">
        <v>4372</v>
      </c>
      <c r="B6399" s="2" t="s">
        <v>4353</v>
      </c>
      <c r="C6399" s="2" t="s">
        <v>4619</v>
      </c>
      <c r="D6399" s="3" t="str">
        <f t="shared" si="1119"/>
        <v>12Go Link</v>
      </c>
      <c r="E6399" s="2" t="s">
        <v>4137</v>
      </c>
    </row>
    <row r="6400">
      <c r="A6400" s="2" t="s">
        <v>4372</v>
      </c>
      <c r="B6400" s="2" t="s">
        <v>4353</v>
      </c>
      <c r="C6400" s="2" t="s">
        <v>4619</v>
      </c>
      <c r="D6400" s="3" t="str">
        <f t="shared" si="1119"/>
        <v>12Go Link</v>
      </c>
      <c r="E6400" s="2" t="s">
        <v>4338</v>
      </c>
    </row>
    <row r="6401">
      <c r="A6401" s="2" t="s">
        <v>4372</v>
      </c>
      <c r="B6401" s="2" t="s">
        <v>4353</v>
      </c>
      <c r="C6401" s="2" t="s">
        <v>4619</v>
      </c>
      <c r="D6401" s="3" t="str">
        <f t="shared" si="1119"/>
        <v>12Go Link</v>
      </c>
      <c r="E6401" s="2" t="s">
        <v>4339</v>
      </c>
    </row>
    <row r="6402">
      <c r="A6402" s="2" t="s">
        <v>4372</v>
      </c>
      <c r="B6402" s="2" t="s">
        <v>4353</v>
      </c>
      <c r="C6402" s="2" t="s">
        <v>4619</v>
      </c>
      <c r="D6402" s="3" t="str">
        <f t="shared" si="1119"/>
        <v>12Go Link</v>
      </c>
      <c r="E6402" s="2" t="s">
        <v>4340</v>
      </c>
    </row>
    <row r="6403">
      <c r="A6403" s="2" t="s">
        <v>4372</v>
      </c>
      <c r="B6403" s="2" t="s">
        <v>4353</v>
      </c>
      <c r="C6403" s="2" t="s">
        <v>4620</v>
      </c>
      <c r="D6403" s="3" t="str">
        <f t="shared" ref="D6403:D6408" si="1120">HYPERLINK("https://12go.asia/en/travel/Marrakesh-Hotel-Transfer/Essaouira-Mogador-Airport", "12Go Link")</f>
        <v>12Go Link</v>
      </c>
      <c r="E6403" s="2" t="s">
        <v>4336</v>
      </c>
    </row>
    <row r="6404">
      <c r="A6404" s="2" t="s">
        <v>4372</v>
      </c>
      <c r="B6404" s="2" t="s">
        <v>4353</v>
      </c>
      <c r="C6404" s="2" t="s">
        <v>4620</v>
      </c>
      <c r="D6404" s="3" t="str">
        <f t="shared" si="1120"/>
        <v>12Go Link</v>
      </c>
      <c r="E6404" s="2" t="s">
        <v>4337</v>
      </c>
    </row>
    <row r="6405">
      <c r="A6405" s="2" t="s">
        <v>4372</v>
      </c>
      <c r="B6405" s="2" t="s">
        <v>4353</v>
      </c>
      <c r="C6405" s="2" t="s">
        <v>4620</v>
      </c>
      <c r="D6405" s="3" t="str">
        <f t="shared" si="1120"/>
        <v>12Go Link</v>
      </c>
      <c r="E6405" s="2" t="s">
        <v>4137</v>
      </c>
    </row>
    <row r="6406">
      <c r="A6406" s="2" t="s">
        <v>4372</v>
      </c>
      <c r="B6406" s="2" t="s">
        <v>4353</v>
      </c>
      <c r="C6406" s="2" t="s">
        <v>4620</v>
      </c>
      <c r="D6406" s="3" t="str">
        <f t="shared" si="1120"/>
        <v>12Go Link</v>
      </c>
      <c r="E6406" s="2" t="s">
        <v>4338</v>
      </c>
    </row>
    <row r="6407">
      <c r="A6407" s="2" t="s">
        <v>4372</v>
      </c>
      <c r="B6407" s="2" t="s">
        <v>4353</v>
      </c>
      <c r="C6407" s="2" t="s">
        <v>4620</v>
      </c>
      <c r="D6407" s="3" t="str">
        <f t="shared" si="1120"/>
        <v>12Go Link</v>
      </c>
      <c r="E6407" s="2" t="s">
        <v>4339</v>
      </c>
    </row>
    <row r="6408">
      <c r="A6408" s="2" t="s">
        <v>4372</v>
      </c>
      <c r="B6408" s="2" t="s">
        <v>4353</v>
      </c>
      <c r="C6408" s="2" t="s">
        <v>4620</v>
      </c>
      <c r="D6408" s="3" t="str">
        <f t="shared" si="1120"/>
        <v>12Go Link</v>
      </c>
      <c r="E6408" s="2" t="s">
        <v>4340</v>
      </c>
    </row>
    <row r="6409">
      <c r="A6409" s="2" t="s">
        <v>4372</v>
      </c>
      <c r="B6409" s="2" t="s">
        <v>4353</v>
      </c>
      <c r="C6409" s="2" t="s">
        <v>4621</v>
      </c>
      <c r="D6409" s="3" t="str">
        <f t="shared" ref="D6409:D6414" si="1121">HYPERLINK("https://12go.asia/en/travel/Marrakesh-Menara-Airport/Essaouira-Hotel-Transfer", "12Go Link")</f>
        <v>12Go Link</v>
      </c>
      <c r="E6409" s="2" t="s">
        <v>4336</v>
      </c>
    </row>
    <row r="6410">
      <c r="A6410" s="2" t="s">
        <v>4372</v>
      </c>
      <c r="B6410" s="2" t="s">
        <v>4353</v>
      </c>
      <c r="C6410" s="2" t="s">
        <v>4621</v>
      </c>
      <c r="D6410" s="3" t="str">
        <f t="shared" si="1121"/>
        <v>12Go Link</v>
      </c>
      <c r="E6410" s="2" t="s">
        <v>4337</v>
      </c>
    </row>
    <row r="6411">
      <c r="A6411" s="2" t="s">
        <v>4372</v>
      </c>
      <c r="B6411" s="2" t="s">
        <v>4353</v>
      </c>
      <c r="C6411" s="2" t="s">
        <v>4621</v>
      </c>
      <c r="D6411" s="3" t="str">
        <f t="shared" si="1121"/>
        <v>12Go Link</v>
      </c>
      <c r="E6411" s="2" t="s">
        <v>4137</v>
      </c>
    </row>
    <row r="6412">
      <c r="A6412" s="2" t="s">
        <v>4372</v>
      </c>
      <c r="B6412" s="2" t="s">
        <v>4353</v>
      </c>
      <c r="C6412" s="2" t="s">
        <v>4621</v>
      </c>
      <c r="D6412" s="3" t="str">
        <f t="shared" si="1121"/>
        <v>12Go Link</v>
      </c>
      <c r="E6412" s="2" t="s">
        <v>4338</v>
      </c>
    </row>
    <row r="6413">
      <c r="A6413" s="2" t="s">
        <v>4372</v>
      </c>
      <c r="B6413" s="2" t="s">
        <v>4353</v>
      </c>
      <c r="C6413" s="2" t="s">
        <v>4621</v>
      </c>
      <c r="D6413" s="3" t="str">
        <f t="shared" si="1121"/>
        <v>12Go Link</v>
      </c>
      <c r="E6413" s="2" t="s">
        <v>4339</v>
      </c>
    </row>
    <row r="6414">
      <c r="A6414" s="2" t="s">
        <v>4372</v>
      </c>
      <c r="B6414" s="2" t="s">
        <v>4353</v>
      </c>
      <c r="C6414" s="2" t="s">
        <v>4621</v>
      </c>
      <c r="D6414" s="3" t="str">
        <f t="shared" si="1121"/>
        <v>12Go Link</v>
      </c>
      <c r="E6414" s="2" t="s">
        <v>4340</v>
      </c>
    </row>
    <row r="6415">
      <c r="A6415" s="2" t="s">
        <v>4372</v>
      </c>
      <c r="B6415" s="2" t="s">
        <v>4353</v>
      </c>
      <c r="C6415" s="2" t="s">
        <v>4622</v>
      </c>
      <c r="D6415" s="3" t="str">
        <f t="shared" ref="D6415:D6420" si="1122">HYPERLINK("https://12go.asia/en/travel/Marrakesh-Menara-Airport/Essaouira-Mogador-Airport", "12Go Link")</f>
        <v>12Go Link</v>
      </c>
      <c r="E6415" s="2" t="s">
        <v>4336</v>
      </c>
    </row>
    <row r="6416">
      <c r="A6416" s="2" t="s">
        <v>4372</v>
      </c>
      <c r="B6416" s="2" t="s">
        <v>4353</v>
      </c>
      <c r="C6416" s="2" t="s">
        <v>4622</v>
      </c>
      <c r="D6416" s="3" t="str">
        <f t="shared" si="1122"/>
        <v>12Go Link</v>
      </c>
      <c r="E6416" s="2" t="s">
        <v>4337</v>
      </c>
    </row>
    <row r="6417">
      <c r="A6417" s="2" t="s">
        <v>4372</v>
      </c>
      <c r="B6417" s="2" t="s">
        <v>4353</v>
      </c>
      <c r="C6417" s="2" t="s">
        <v>4622</v>
      </c>
      <c r="D6417" s="3" t="str">
        <f t="shared" si="1122"/>
        <v>12Go Link</v>
      </c>
      <c r="E6417" s="2" t="s">
        <v>4137</v>
      </c>
    </row>
    <row r="6418">
      <c r="A6418" s="2" t="s">
        <v>4372</v>
      </c>
      <c r="B6418" s="2" t="s">
        <v>4353</v>
      </c>
      <c r="C6418" s="2" t="s">
        <v>4622</v>
      </c>
      <c r="D6418" s="3" t="str">
        <f t="shared" si="1122"/>
        <v>12Go Link</v>
      </c>
      <c r="E6418" s="2" t="s">
        <v>4338</v>
      </c>
    </row>
    <row r="6419">
      <c r="A6419" s="2" t="s">
        <v>4372</v>
      </c>
      <c r="B6419" s="2" t="s">
        <v>4353</v>
      </c>
      <c r="C6419" s="2" t="s">
        <v>4622</v>
      </c>
      <c r="D6419" s="3" t="str">
        <f t="shared" si="1122"/>
        <v>12Go Link</v>
      </c>
      <c r="E6419" s="2" t="s">
        <v>4339</v>
      </c>
    </row>
    <row r="6420">
      <c r="A6420" s="2" t="s">
        <v>4372</v>
      </c>
      <c r="B6420" s="2" t="s">
        <v>4353</v>
      </c>
      <c r="C6420" s="2" t="s">
        <v>4622</v>
      </c>
      <c r="D6420" s="3" t="str">
        <f t="shared" si="1122"/>
        <v>12Go Link</v>
      </c>
      <c r="E6420" s="2" t="s">
        <v>4340</v>
      </c>
    </row>
    <row r="6421">
      <c r="A6421" s="2" t="s">
        <v>4372</v>
      </c>
      <c r="B6421" s="2" t="s">
        <v>4357</v>
      </c>
      <c r="C6421" s="2" t="s">
        <v>4623</v>
      </c>
      <c r="D6421" s="3" t="str">
        <f t="shared" ref="D6421:D6426" si="1123">HYPERLINK("https://12go.asia/en/travel/Marrakech-Medina-Transfer/Fes-Airport", "12Go Link")</f>
        <v>12Go Link</v>
      </c>
      <c r="E6421" s="2" t="s">
        <v>4336</v>
      </c>
    </row>
    <row r="6422">
      <c r="A6422" s="2" t="s">
        <v>4372</v>
      </c>
      <c r="B6422" s="2" t="s">
        <v>4357</v>
      </c>
      <c r="C6422" s="2" t="s">
        <v>4623</v>
      </c>
      <c r="D6422" s="3" t="str">
        <f t="shared" si="1123"/>
        <v>12Go Link</v>
      </c>
      <c r="E6422" s="2" t="s">
        <v>4337</v>
      </c>
    </row>
    <row r="6423">
      <c r="A6423" s="2" t="s">
        <v>4372</v>
      </c>
      <c r="B6423" s="2" t="s">
        <v>4357</v>
      </c>
      <c r="C6423" s="2" t="s">
        <v>4623</v>
      </c>
      <c r="D6423" s="3" t="str">
        <f t="shared" si="1123"/>
        <v>12Go Link</v>
      </c>
      <c r="E6423" s="2" t="s">
        <v>4137</v>
      </c>
    </row>
    <row r="6424">
      <c r="A6424" s="2" t="s">
        <v>4372</v>
      </c>
      <c r="B6424" s="2" t="s">
        <v>4357</v>
      </c>
      <c r="C6424" s="2" t="s">
        <v>4623</v>
      </c>
      <c r="D6424" s="3" t="str">
        <f t="shared" si="1123"/>
        <v>12Go Link</v>
      </c>
      <c r="E6424" s="2" t="s">
        <v>4338</v>
      </c>
    </row>
    <row r="6425">
      <c r="A6425" s="2" t="s">
        <v>4372</v>
      </c>
      <c r="B6425" s="2" t="s">
        <v>4357</v>
      </c>
      <c r="C6425" s="2" t="s">
        <v>4623</v>
      </c>
      <c r="D6425" s="3" t="str">
        <f t="shared" si="1123"/>
        <v>12Go Link</v>
      </c>
      <c r="E6425" s="2" t="s">
        <v>4339</v>
      </c>
    </row>
    <row r="6426">
      <c r="A6426" s="2" t="s">
        <v>4372</v>
      </c>
      <c r="B6426" s="2" t="s">
        <v>4357</v>
      </c>
      <c r="C6426" s="2" t="s">
        <v>4623</v>
      </c>
      <c r="D6426" s="3" t="str">
        <f t="shared" si="1123"/>
        <v>12Go Link</v>
      </c>
      <c r="E6426" s="2" t="s">
        <v>4340</v>
      </c>
    </row>
    <row r="6427">
      <c r="A6427" s="2" t="s">
        <v>4372</v>
      </c>
      <c r="B6427" s="2" t="s">
        <v>4357</v>
      </c>
      <c r="C6427" s="2" t="s">
        <v>4624</v>
      </c>
      <c r="D6427" s="3" t="str">
        <f t="shared" ref="D6427:D6432" si="1124">HYPERLINK("https://12go.asia/en/travel/Marrakesh-Hotel-Transfer/Fes-Airport", "12Go Link")</f>
        <v>12Go Link</v>
      </c>
      <c r="E6427" s="2" t="s">
        <v>4336</v>
      </c>
    </row>
    <row r="6428">
      <c r="A6428" s="2" t="s">
        <v>4372</v>
      </c>
      <c r="B6428" s="2" t="s">
        <v>4357</v>
      </c>
      <c r="C6428" s="2" t="s">
        <v>4624</v>
      </c>
      <c r="D6428" s="3" t="str">
        <f t="shared" si="1124"/>
        <v>12Go Link</v>
      </c>
      <c r="E6428" s="2" t="s">
        <v>4337</v>
      </c>
    </row>
    <row r="6429">
      <c r="A6429" s="2" t="s">
        <v>4372</v>
      </c>
      <c r="B6429" s="2" t="s">
        <v>4357</v>
      </c>
      <c r="C6429" s="2" t="s">
        <v>4624</v>
      </c>
      <c r="D6429" s="3" t="str">
        <f t="shared" si="1124"/>
        <v>12Go Link</v>
      </c>
      <c r="E6429" s="2" t="s">
        <v>4137</v>
      </c>
    </row>
    <row r="6430">
      <c r="A6430" s="2" t="s">
        <v>4372</v>
      </c>
      <c r="B6430" s="2" t="s">
        <v>4357</v>
      </c>
      <c r="C6430" s="2" t="s">
        <v>4624</v>
      </c>
      <c r="D6430" s="3" t="str">
        <f t="shared" si="1124"/>
        <v>12Go Link</v>
      </c>
      <c r="E6430" s="2" t="s">
        <v>4338</v>
      </c>
    </row>
    <row r="6431">
      <c r="A6431" s="2" t="s">
        <v>4372</v>
      </c>
      <c r="B6431" s="2" t="s">
        <v>4357</v>
      </c>
      <c r="C6431" s="2" t="s">
        <v>4624</v>
      </c>
      <c r="D6431" s="3" t="str">
        <f t="shared" si="1124"/>
        <v>12Go Link</v>
      </c>
      <c r="E6431" s="2" t="s">
        <v>4339</v>
      </c>
    </row>
    <row r="6432">
      <c r="A6432" s="2" t="s">
        <v>4372</v>
      </c>
      <c r="B6432" s="2" t="s">
        <v>4357</v>
      </c>
      <c r="C6432" s="2" t="s">
        <v>4624</v>
      </c>
      <c r="D6432" s="3" t="str">
        <f t="shared" si="1124"/>
        <v>12Go Link</v>
      </c>
      <c r="E6432" s="2" t="s">
        <v>4340</v>
      </c>
    </row>
    <row r="6433">
      <c r="A6433" s="2" t="s">
        <v>4372</v>
      </c>
      <c r="B6433" s="2" t="s">
        <v>4357</v>
      </c>
      <c r="C6433" s="2" t="s">
        <v>4625</v>
      </c>
      <c r="D6433" s="3" t="str">
        <f t="shared" ref="D6433:D6438" si="1125">HYPERLINK("https://12go.asia/en/travel/Marrakesh-Menara-Airport/Fes-Airport", "12Go Link")</f>
        <v>12Go Link</v>
      </c>
      <c r="E6433" s="2" t="s">
        <v>4336</v>
      </c>
    </row>
    <row r="6434">
      <c r="A6434" s="2" t="s">
        <v>4372</v>
      </c>
      <c r="B6434" s="2" t="s">
        <v>4357</v>
      </c>
      <c r="C6434" s="2" t="s">
        <v>4625</v>
      </c>
      <c r="D6434" s="3" t="str">
        <f t="shared" si="1125"/>
        <v>12Go Link</v>
      </c>
      <c r="E6434" s="2" t="s">
        <v>4337</v>
      </c>
    </row>
    <row r="6435">
      <c r="A6435" s="2" t="s">
        <v>4372</v>
      </c>
      <c r="B6435" s="2" t="s">
        <v>4357</v>
      </c>
      <c r="C6435" s="2" t="s">
        <v>4625</v>
      </c>
      <c r="D6435" s="3" t="str">
        <f t="shared" si="1125"/>
        <v>12Go Link</v>
      </c>
      <c r="E6435" s="2" t="s">
        <v>4137</v>
      </c>
    </row>
    <row r="6436">
      <c r="A6436" s="2" t="s">
        <v>4372</v>
      </c>
      <c r="B6436" s="2" t="s">
        <v>4357</v>
      </c>
      <c r="C6436" s="2" t="s">
        <v>4625</v>
      </c>
      <c r="D6436" s="3" t="str">
        <f t="shared" si="1125"/>
        <v>12Go Link</v>
      </c>
      <c r="E6436" s="2" t="s">
        <v>4338</v>
      </c>
    </row>
    <row r="6437">
      <c r="A6437" s="2" t="s">
        <v>4372</v>
      </c>
      <c r="B6437" s="2" t="s">
        <v>4357</v>
      </c>
      <c r="C6437" s="2" t="s">
        <v>4625</v>
      </c>
      <c r="D6437" s="3" t="str">
        <f t="shared" si="1125"/>
        <v>12Go Link</v>
      </c>
      <c r="E6437" s="2" t="s">
        <v>4339</v>
      </c>
    </row>
    <row r="6438">
      <c r="A6438" s="2" t="s">
        <v>4372</v>
      </c>
      <c r="B6438" s="2" t="s">
        <v>4357</v>
      </c>
      <c r="C6438" s="2" t="s">
        <v>4625</v>
      </c>
      <c r="D6438" s="3" t="str">
        <f t="shared" si="1125"/>
        <v>12Go Link</v>
      </c>
      <c r="E6438" s="2" t="s">
        <v>4340</v>
      </c>
    </row>
    <row r="6439">
      <c r="A6439" s="2" t="s">
        <v>4372</v>
      </c>
      <c r="B6439" s="2" t="s">
        <v>4357</v>
      </c>
      <c r="C6439" s="2" t="s">
        <v>4626</v>
      </c>
      <c r="D6439" s="3" t="str">
        <f t="shared" ref="D6439:D6444" si="1126">HYPERLINK("https://12go.asia/en/travel/Marrakesh-Menara-Airport/Fes-Hotel-Transfer", "12Go Link")</f>
        <v>12Go Link</v>
      </c>
      <c r="E6439" s="2" t="s">
        <v>4336</v>
      </c>
    </row>
    <row r="6440">
      <c r="A6440" s="2" t="s">
        <v>4372</v>
      </c>
      <c r="B6440" s="2" t="s">
        <v>4357</v>
      </c>
      <c r="C6440" s="2" t="s">
        <v>4626</v>
      </c>
      <c r="D6440" s="3" t="str">
        <f t="shared" si="1126"/>
        <v>12Go Link</v>
      </c>
      <c r="E6440" s="2" t="s">
        <v>4337</v>
      </c>
    </row>
    <row r="6441">
      <c r="A6441" s="2" t="s">
        <v>4372</v>
      </c>
      <c r="B6441" s="2" t="s">
        <v>4357</v>
      </c>
      <c r="C6441" s="2" t="s">
        <v>4626</v>
      </c>
      <c r="D6441" s="3" t="str">
        <f t="shared" si="1126"/>
        <v>12Go Link</v>
      </c>
      <c r="E6441" s="2" t="s">
        <v>4137</v>
      </c>
    </row>
    <row r="6442">
      <c r="A6442" s="2" t="s">
        <v>4372</v>
      </c>
      <c r="B6442" s="2" t="s">
        <v>4357</v>
      </c>
      <c r="C6442" s="2" t="s">
        <v>4626</v>
      </c>
      <c r="D6442" s="3" t="str">
        <f t="shared" si="1126"/>
        <v>12Go Link</v>
      </c>
      <c r="E6442" s="2" t="s">
        <v>4338</v>
      </c>
    </row>
    <row r="6443">
      <c r="A6443" s="2" t="s">
        <v>4372</v>
      </c>
      <c r="B6443" s="2" t="s">
        <v>4357</v>
      </c>
      <c r="C6443" s="2" t="s">
        <v>4626</v>
      </c>
      <c r="D6443" s="3" t="str">
        <f t="shared" si="1126"/>
        <v>12Go Link</v>
      </c>
      <c r="E6443" s="2" t="s">
        <v>4339</v>
      </c>
    </row>
    <row r="6444">
      <c r="A6444" s="2" t="s">
        <v>4372</v>
      </c>
      <c r="B6444" s="2" t="s">
        <v>4357</v>
      </c>
      <c r="C6444" s="2" t="s">
        <v>4626</v>
      </c>
      <c r="D6444" s="3" t="str">
        <f t="shared" si="1126"/>
        <v>12Go Link</v>
      </c>
      <c r="E6444" s="2" t="s">
        <v>4340</v>
      </c>
    </row>
    <row r="6445">
      <c r="A6445" s="2" t="s">
        <v>4372</v>
      </c>
      <c r="B6445" s="2" t="s">
        <v>4366</v>
      </c>
      <c r="C6445" s="2" t="s">
        <v>4627</v>
      </c>
      <c r="D6445" s="3" t="str">
        <f t="shared" ref="D6445:D6450" si="1127">HYPERLINK("https://12go.asia/en/travel/Marrakesh-Menara-Airport/Imlil-Hotel-Transfer", "12Go Link")</f>
        <v>12Go Link</v>
      </c>
      <c r="E6445" s="2" t="s">
        <v>4336</v>
      </c>
    </row>
    <row r="6446">
      <c r="A6446" s="2" t="s">
        <v>4372</v>
      </c>
      <c r="B6446" s="2" t="s">
        <v>4366</v>
      </c>
      <c r="C6446" s="2" t="s">
        <v>4627</v>
      </c>
      <c r="D6446" s="3" t="str">
        <f t="shared" si="1127"/>
        <v>12Go Link</v>
      </c>
      <c r="E6446" s="2" t="s">
        <v>4337</v>
      </c>
    </row>
    <row r="6447">
      <c r="A6447" s="2" t="s">
        <v>4372</v>
      </c>
      <c r="B6447" s="2" t="s">
        <v>4366</v>
      </c>
      <c r="C6447" s="2" t="s">
        <v>4627</v>
      </c>
      <c r="D6447" s="3" t="str">
        <f t="shared" si="1127"/>
        <v>12Go Link</v>
      </c>
      <c r="E6447" s="2" t="s">
        <v>4137</v>
      </c>
    </row>
    <row r="6448">
      <c r="A6448" s="2" t="s">
        <v>4372</v>
      </c>
      <c r="B6448" s="2" t="s">
        <v>4366</v>
      </c>
      <c r="C6448" s="2" t="s">
        <v>4627</v>
      </c>
      <c r="D6448" s="3" t="str">
        <f t="shared" si="1127"/>
        <v>12Go Link</v>
      </c>
      <c r="E6448" s="2" t="s">
        <v>4338</v>
      </c>
    </row>
    <row r="6449">
      <c r="A6449" s="2" t="s">
        <v>4372</v>
      </c>
      <c r="B6449" s="2" t="s">
        <v>4366</v>
      </c>
      <c r="C6449" s="2" t="s">
        <v>4627</v>
      </c>
      <c r="D6449" s="3" t="str">
        <f t="shared" si="1127"/>
        <v>12Go Link</v>
      </c>
      <c r="E6449" s="2" t="s">
        <v>4339</v>
      </c>
    </row>
    <row r="6450">
      <c r="A6450" s="2" t="s">
        <v>4372</v>
      </c>
      <c r="B6450" s="2" t="s">
        <v>4366</v>
      </c>
      <c r="C6450" s="2" t="s">
        <v>4627</v>
      </c>
      <c r="D6450" s="3" t="str">
        <f t="shared" si="1127"/>
        <v>12Go Link</v>
      </c>
      <c r="E6450" s="2" t="s">
        <v>4340</v>
      </c>
    </row>
    <row r="6451">
      <c r="A6451" s="2" t="s">
        <v>4372</v>
      </c>
      <c r="B6451" s="2" t="s">
        <v>4602</v>
      </c>
      <c r="C6451" s="2" t="s">
        <v>4628</v>
      </c>
      <c r="D6451" s="3" t="str">
        <f t="shared" ref="D6451:D6456" si="1128">HYPERLINK("https://12go.asia/en/travel/Marrakesh-Menara-Airport/Lalla-Takerkoust-Hotel-Transfer", "12Go Link")</f>
        <v>12Go Link</v>
      </c>
      <c r="E6451" s="2" t="s">
        <v>4336</v>
      </c>
    </row>
    <row r="6452">
      <c r="A6452" s="2" t="s">
        <v>4372</v>
      </c>
      <c r="B6452" s="2" t="s">
        <v>4602</v>
      </c>
      <c r="C6452" s="2" t="s">
        <v>4628</v>
      </c>
      <c r="D6452" s="3" t="str">
        <f t="shared" si="1128"/>
        <v>12Go Link</v>
      </c>
      <c r="E6452" s="2" t="s">
        <v>4337</v>
      </c>
    </row>
    <row r="6453">
      <c r="A6453" s="2" t="s">
        <v>4372</v>
      </c>
      <c r="B6453" s="2" t="s">
        <v>4602</v>
      </c>
      <c r="C6453" s="2" t="s">
        <v>4628</v>
      </c>
      <c r="D6453" s="3" t="str">
        <f t="shared" si="1128"/>
        <v>12Go Link</v>
      </c>
      <c r="E6453" s="2" t="s">
        <v>4137</v>
      </c>
    </row>
    <row r="6454">
      <c r="A6454" s="2" t="s">
        <v>4372</v>
      </c>
      <c r="B6454" s="2" t="s">
        <v>4602</v>
      </c>
      <c r="C6454" s="2" t="s">
        <v>4628</v>
      </c>
      <c r="D6454" s="3" t="str">
        <f t="shared" si="1128"/>
        <v>12Go Link</v>
      </c>
      <c r="E6454" s="2" t="s">
        <v>4338</v>
      </c>
    </row>
    <row r="6455">
      <c r="A6455" s="2" t="s">
        <v>4372</v>
      </c>
      <c r="B6455" s="2" t="s">
        <v>4602</v>
      </c>
      <c r="C6455" s="2" t="s">
        <v>4628</v>
      </c>
      <c r="D6455" s="3" t="str">
        <f t="shared" si="1128"/>
        <v>12Go Link</v>
      </c>
      <c r="E6455" s="2" t="s">
        <v>4339</v>
      </c>
    </row>
    <row r="6456">
      <c r="A6456" s="2" t="s">
        <v>4372</v>
      </c>
      <c r="B6456" s="2" t="s">
        <v>4602</v>
      </c>
      <c r="C6456" s="2" t="s">
        <v>4628</v>
      </c>
      <c r="D6456" s="3" t="str">
        <f t="shared" si="1128"/>
        <v>12Go Link</v>
      </c>
      <c r="E6456" s="2" t="s">
        <v>4340</v>
      </c>
    </row>
    <row r="6457">
      <c r="A6457" s="2" t="s">
        <v>4372</v>
      </c>
      <c r="B6457" s="2" t="s">
        <v>4372</v>
      </c>
      <c r="C6457" s="2" t="s">
        <v>4629</v>
      </c>
      <c r="D6457" s="3" t="str">
        <f t="shared" ref="D6457:D6462" si="1129">HYPERLINK("https://12go.asia/en/travel/Ain-Itti-Hotel-Transfer/Marrakesh-Menara-Airport", "12Go Link")</f>
        <v>12Go Link</v>
      </c>
      <c r="E6457" s="2" t="s">
        <v>4336</v>
      </c>
    </row>
    <row r="6458">
      <c r="A6458" s="2" t="s">
        <v>4372</v>
      </c>
      <c r="B6458" s="2" t="s">
        <v>4372</v>
      </c>
      <c r="C6458" s="2" t="s">
        <v>4629</v>
      </c>
      <c r="D6458" s="3" t="str">
        <f t="shared" si="1129"/>
        <v>12Go Link</v>
      </c>
      <c r="E6458" s="2" t="s">
        <v>4337</v>
      </c>
    </row>
    <row r="6459">
      <c r="A6459" s="2" t="s">
        <v>4372</v>
      </c>
      <c r="B6459" s="2" t="s">
        <v>4372</v>
      </c>
      <c r="C6459" s="2" t="s">
        <v>4629</v>
      </c>
      <c r="D6459" s="3" t="str">
        <f t="shared" si="1129"/>
        <v>12Go Link</v>
      </c>
      <c r="E6459" s="2" t="s">
        <v>4137</v>
      </c>
    </row>
    <row r="6460">
      <c r="A6460" s="2" t="s">
        <v>4372</v>
      </c>
      <c r="B6460" s="2" t="s">
        <v>4372</v>
      </c>
      <c r="C6460" s="2" t="s">
        <v>4629</v>
      </c>
      <c r="D6460" s="3" t="str">
        <f t="shared" si="1129"/>
        <v>12Go Link</v>
      </c>
      <c r="E6460" s="2" t="s">
        <v>4338</v>
      </c>
    </row>
    <row r="6461">
      <c r="A6461" s="2" t="s">
        <v>4372</v>
      </c>
      <c r="B6461" s="2" t="s">
        <v>4372</v>
      </c>
      <c r="C6461" s="2" t="s">
        <v>4629</v>
      </c>
      <c r="D6461" s="3" t="str">
        <f t="shared" si="1129"/>
        <v>12Go Link</v>
      </c>
      <c r="E6461" s="2" t="s">
        <v>4339</v>
      </c>
    </row>
    <row r="6462">
      <c r="A6462" s="2" t="s">
        <v>4372</v>
      </c>
      <c r="B6462" s="2" t="s">
        <v>4372</v>
      </c>
      <c r="C6462" s="2" t="s">
        <v>4629</v>
      </c>
      <c r="D6462" s="3" t="str">
        <f t="shared" si="1129"/>
        <v>12Go Link</v>
      </c>
      <c r="E6462" s="2" t="s">
        <v>4340</v>
      </c>
    </row>
    <row r="6463">
      <c r="A6463" s="2" t="s">
        <v>4372</v>
      </c>
      <c r="B6463" s="2" t="s">
        <v>4372</v>
      </c>
      <c r="C6463" s="2" t="s">
        <v>4630</v>
      </c>
      <c r="D6463" s="3" t="str">
        <f t="shared" ref="D6463:D6468" si="1130">HYPERLINK("https://12go.asia/en/travel/Aqua-Fun-Club/Marrakesh-Menara-Airport", "12Go Link")</f>
        <v>12Go Link</v>
      </c>
      <c r="E6463" s="2" t="s">
        <v>4336</v>
      </c>
    </row>
    <row r="6464">
      <c r="A6464" s="2" t="s">
        <v>4372</v>
      </c>
      <c r="B6464" s="2" t="s">
        <v>4372</v>
      </c>
      <c r="C6464" s="2" t="s">
        <v>4630</v>
      </c>
      <c r="D6464" s="3" t="str">
        <f t="shared" si="1130"/>
        <v>12Go Link</v>
      </c>
      <c r="E6464" s="2" t="s">
        <v>4337</v>
      </c>
    </row>
    <row r="6465">
      <c r="A6465" s="2" t="s">
        <v>4372</v>
      </c>
      <c r="B6465" s="2" t="s">
        <v>4372</v>
      </c>
      <c r="C6465" s="2" t="s">
        <v>4630</v>
      </c>
      <c r="D6465" s="3" t="str">
        <f t="shared" si="1130"/>
        <v>12Go Link</v>
      </c>
      <c r="E6465" s="2" t="s">
        <v>4137</v>
      </c>
    </row>
    <row r="6466">
      <c r="A6466" s="2" t="s">
        <v>4372</v>
      </c>
      <c r="B6466" s="2" t="s">
        <v>4372</v>
      </c>
      <c r="C6466" s="2" t="s">
        <v>4630</v>
      </c>
      <c r="D6466" s="3" t="str">
        <f t="shared" si="1130"/>
        <v>12Go Link</v>
      </c>
      <c r="E6466" s="2" t="s">
        <v>4338</v>
      </c>
    </row>
    <row r="6467">
      <c r="A6467" s="2" t="s">
        <v>4372</v>
      </c>
      <c r="B6467" s="2" t="s">
        <v>4372</v>
      </c>
      <c r="C6467" s="2" t="s">
        <v>4630</v>
      </c>
      <c r="D6467" s="3" t="str">
        <f t="shared" si="1130"/>
        <v>12Go Link</v>
      </c>
      <c r="E6467" s="2" t="s">
        <v>4339</v>
      </c>
    </row>
    <row r="6468">
      <c r="A6468" s="2" t="s">
        <v>4372</v>
      </c>
      <c r="B6468" s="2" t="s">
        <v>4372</v>
      </c>
      <c r="C6468" s="2" t="s">
        <v>4630</v>
      </c>
      <c r="D6468" s="3" t="str">
        <f t="shared" si="1130"/>
        <v>12Go Link</v>
      </c>
      <c r="E6468" s="2" t="s">
        <v>4340</v>
      </c>
    </row>
    <row r="6469">
      <c r="A6469" s="2" t="s">
        <v>4372</v>
      </c>
      <c r="B6469" s="2" t="s">
        <v>4372</v>
      </c>
      <c r="C6469" s="2" t="s">
        <v>4631</v>
      </c>
      <c r="D6469" s="3" t="str">
        <f t="shared" ref="D6469:D6474" si="1131">HYPERLINK("https://12go.asia/en/travel/Aqua-Mirage-Club/Marrakesh-Menara-Airport", "12Go Link")</f>
        <v>12Go Link</v>
      </c>
      <c r="E6469" s="2" t="s">
        <v>4336</v>
      </c>
    </row>
    <row r="6470">
      <c r="A6470" s="2" t="s">
        <v>4372</v>
      </c>
      <c r="B6470" s="2" t="s">
        <v>4372</v>
      </c>
      <c r="C6470" s="2" t="s">
        <v>4631</v>
      </c>
      <c r="D6470" s="3" t="str">
        <f t="shared" si="1131"/>
        <v>12Go Link</v>
      </c>
      <c r="E6470" s="2" t="s">
        <v>4337</v>
      </c>
    </row>
    <row r="6471">
      <c r="A6471" s="2" t="s">
        <v>4372</v>
      </c>
      <c r="B6471" s="2" t="s">
        <v>4372</v>
      </c>
      <c r="C6471" s="2" t="s">
        <v>4631</v>
      </c>
      <c r="D6471" s="3" t="str">
        <f t="shared" si="1131"/>
        <v>12Go Link</v>
      </c>
      <c r="E6471" s="2" t="s">
        <v>4137</v>
      </c>
    </row>
    <row r="6472">
      <c r="A6472" s="2" t="s">
        <v>4372</v>
      </c>
      <c r="B6472" s="2" t="s">
        <v>4372</v>
      </c>
      <c r="C6472" s="2" t="s">
        <v>4631</v>
      </c>
      <c r="D6472" s="3" t="str">
        <f t="shared" si="1131"/>
        <v>12Go Link</v>
      </c>
      <c r="E6472" s="2" t="s">
        <v>4338</v>
      </c>
    </row>
    <row r="6473">
      <c r="A6473" s="2" t="s">
        <v>4372</v>
      </c>
      <c r="B6473" s="2" t="s">
        <v>4372</v>
      </c>
      <c r="C6473" s="2" t="s">
        <v>4631</v>
      </c>
      <c r="D6473" s="3" t="str">
        <f t="shared" si="1131"/>
        <v>12Go Link</v>
      </c>
      <c r="E6473" s="2" t="s">
        <v>4339</v>
      </c>
    </row>
    <row r="6474">
      <c r="A6474" s="2" t="s">
        <v>4372</v>
      </c>
      <c r="B6474" s="2" t="s">
        <v>4372</v>
      </c>
      <c r="C6474" s="2" t="s">
        <v>4631</v>
      </c>
      <c r="D6474" s="3" t="str">
        <f t="shared" si="1131"/>
        <v>12Go Link</v>
      </c>
      <c r="E6474" s="2" t="s">
        <v>4340</v>
      </c>
    </row>
    <row r="6475">
      <c r="A6475" s="2" t="s">
        <v>4372</v>
      </c>
      <c r="B6475" s="2" t="s">
        <v>4372</v>
      </c>
      <c r="C6475" s="2" t="s">
        <v>4632</v>
      </c>
      <c r="D6475" s="3" t="str">
        <f t="shared" ref="D6475:D6480" si="1132">HYPERLINK("https://12go.asia/en/travel/Atlas-Targa-Resort/Marrakesh-Menara-Airport", "12Go Link")</f>
        <v>12Go Link</v>
      </c>
      <c r="E6475" s="2" t="s">
        <v>4336</v>
      </c>
    </row>
    <row r="6476">
      <c r="A6476" s="2" t="s">
        <v>4372</v>
      </c>
      <c r="B6476" s="2" t="s">
        <v>4372</v>
      </c>
      <c r="C6476" s="2" t="s">
        <v>4632</v>
      </c>
      <c r="D6476" s="3" t="str">
        <f t="shared" si="1132"/>
        <v>12Go Link</v>
      </c>
      <c r="E6476" s="2" t="s">
        <v>4337</v>
      </c>
    </row>
    <row r="6477">
      <c r="A6477" s="2" t="s">
        <v>4372</v>
      </c>
      <c r="B6477" s="2" t="s">
        <v>4372</v>
      </c>
      <c r="C6477" s="2" t="s">
        <v>4632</v>
      </c>
      <c r="D6477" s="3" t="str">
        <f t="shared" si="1132"/>
        <v>12Go Link</v>
      </c>
      <c r="E6477" s="2" t="s">
        <v>4137</v>
      </c>
    </row>
    <row r="6478">
      <c r="A6478" s="2" t="s">
        <v>4372</v>
      </c>
      <c r="B6478" s="2" t="s">
        <v>4372</v>
      </c>
      <c r="C6478" s="2" t="s">
        <v>4632</v>
      </c>
      <c r="D6478" s="3" t="str">
        <f t="shared" si="1132"/>
        <v>12Go Link</v>
      </c>
      <c r="E6478" s="2" t="s">
        <v>4338</v>
      </c>
    </row>
    <row r="6479">
      <c r="A6479" s="2" t="s">
        <v>4372</v>
      </c>
      <c r="B6479" s="2" t="s">
        <v>4372</v>
      </c>
      <c r="C6479" s="2" t="s">
        <v>4632</v>
      </c>
      <c r="D6479" s="3" t="str">
        <f t="shared" si="1132"/>
        <v>12Go Link</v>
      </c>
      <c r="E6479" s="2" t="s">
        <v>4339</v>
      </c>
    </row>
    <row r="6480">
      <c r="A6480" s="2" t="s">
        <v>4372</v>
      </c>
      <c r="B6480" s="2" t="s">
        <v>4372</v>
      </c>
      <c r="C6480" s="2" t="s">
        <v>4632</v>
      </c>
      <c r="D6480" s="3" t="str">
        <f t="shared" si="1132"/>
        <v>12Go Link</v>
      </c>
      <c r="E6480" s="2" t="s">
        <v>4340</v>
      </c>
    </row>
    <row r="6481">
      <c r="A6481" s="2" t="s">
        <v>4372</v>
      </c>
      <c r="B6481" s="2" t="s">
        <v>4372</v>
      </c>
      <c r="C6481" s="2" t="s">
        <v>4633</v>
      </c>
      <c r="D6481" s="3" t="str">
        <f t="shared" ref="D6481:D6486" si="1133">HYPERLINK("https://12go.asia/en/travel/Blue-Bay-Marrakech/Marrakesh-Menara-Airport", "12Go Link")</f>
        <v>12Go Link</v>
      </c>
      <c r="E6481" s="2" t="s">
        <v>4336</v>
      </c>
    </row>
    <row r="6482">
      <c r="A6482" s="2" t="s">
        <v>4372</v>
      </c>
      <c r="B6482" s="2" t="s">
        <v>4372</v>
      </c>
      <c r="C6482" s="2" t="s">
        <v>4633</v>
      </c>
      <c r="D6482" s="3" t="str">
        <f t="shared" si="1133"/>
        <v>12Go Link</v>
      </c>
      <c r="E6482" s="2" t="s">
        <v>4337</v>
      </c>
    </row>
    <row r="6483">
      <c r="A6483" s="2" t="s">
        <v>4372</v>
      </c>
      <c r="B6483" s="2" t="s">
        <v>4372</v>
      </c>
      <c r="C6483" s="2" t="s">
        <v>4633</v>
      </c>
      <c r="D6483" s="3" t="str">
        <f t="shared" si="1133"/>
        <v>12Go Link</v>
      </c>
      <c r="E6483" s="2" t="s">
        <v>4137</v>
      </c>
    </row>
    <row r="6484">
      <c r="A6484" s="2" t="s">
        <v>4372</v>
      </c>
      <c r="B6484" s="2" t="s">
        <v>4372</v>
      </c>
      <c r="C6484" s="2" t="s">
        <v>4633</v>
      </c>
      <c r="D6484" s="3" t="str">
        <f t="shared" si="1133"/>
        <v>12Go Link</v>
      </c>
      <c r="E6484" s="2" t="s">
        <v>4338</v>
      </c>
    </row>
    <row r="6485">
      <c r="A6485" s="2" t="s">
        <v>4372</v>
      </c>
      <c r="B6485" s="2" t="s">
        <v>4372</v>
      </c>
      <c r="C6485" s="2" t="s">
        <v>4633</v>
      </c>
      <c r="D6485" s="3" t="str">
        <f t="shared" si="1133"/>
        <v>12Go Link</v>
      </c>
      <c r="E6485" s="2" t="s">
        <v>4339</v>
      </c>
    </row>
    <row r="6486">
      <c r="A6486" s="2" t="s">
        <v>4372</v>
      </c>
      <c r="B6486" s="2" t="s">
        <v>4372</v>
      </c>
      <c r="C6486" s="2" t="s">
        <v>4633</v>
      </c>
      <c r="D6486" s="3" t="str">
        <f t="shared" si="1133"/>
        <v>12Go Link</v>
      </c>
      <c r="E6486" s="2" t="s">
        <v>4340</v>
      </c>
    </row>
    <row r="6487">
      <c r="A6487" s="2" t="s">
        <v>4372</v>
      </c>
      <c r="B6487" s="2" t="s">
        <v>4372</v>
      </c>
      <c r="C6487" s="2" t="s">
        <v>4634</v>
      </c>
      <c r="D6487" s="3" t="str">
        <f t="shared" ref="D6487:D6492" si="1134">HYPERLINK("https://12go.asia/en/travel/Caravanserai-Hotel-Transfer/Marrakesh-Menara-Airport", "12Go Link")</f>
        <v>12Go Link</v>
      </c>
      <c r="E6487" s="2" t="s">
        <v>4336</v>
      </c>
    </row>
    <row r="6488">
      <c r="A6488" s="2" t="s">
        <v>4372</v>
      </c>
      <c r="B6488" s="2" t="s">
        <v>4372</v>
      </c>
      <c r="C6488" s="2" t="s">
        <v>4634</v>
      </c>
      <c r="D6488" s="3" t="str">
        <f t="shared" si="1134"/>
        <v>12Go Link</v>
      </c>
      <c r="E6488" s="2" t="s">
        <v>4337</v>
      </c>
    </row>
    <row r="6489">
      <c r="A6489" s="2" t="s">
        <v>4372</v>
      </c>
      <c r="B6489" s="2" t="s">
        <v>4372</v>
      </c>
      <c r="C6489" s="2" t="s">
        <v>4634</v>
      </c>
      <c r="D6489" s="3" t="str">
        <f t="shared" si="1134"/>
        <v>12Go Link</v>
      </c>
      <c r="E6489" s="2" t="s">
        <v>4137</v>
      </c>
    </row>
    <row r="6490">
      <c r="A6490" s="2" t="s">
        <v>4372</v>
      </c>
      <c r="B6490" s="2" t="s">
        <v>4372</v>
      </c>
      <c r="C6490" s="2" t="s">
        <v>4634</v>
      </c>
      <c r="D6490" s="3" t="str">
        <f t="shared" si="1134"/>
        <v>12Go Link</v>
      </c>
      <c r="E6490" s="2" t="s">
        <v>4338</v>
      </c>
    </row>
    <row r="6491">
      <c r="A6491" s="2" t="s">
        <v>4372</v>
      </c>
      <c r="B6491" s="2" t="s">
        <v>4372</v>
      </c>
      <c r="C6491" s="2" t="s">
        <v>4634</v>
      </c>
      <c r="D6491" s="3" t="str">
        <f t="shared" si="1134"/>
        <v>12Go Link</v>
      </c>
      <c r="E6491" s="2" t="s">
        <v>4339</v>
      </c>
    </row>
    <row r="6492">
      <c r="A6492" s="2" t="s">
        <v>4372</v>
      </c>
      <c r="B6492" s="2" t="s">
        <v>4372</v>
      </c>
      <c r="C6492" s="2" t="s">
        <v>4634</v>
      </c>
      <c r="D6492" s="3" t="str">
        <f t="shared" si="1134"/>
        <v>12Go Link</v>
      </c>
      <c r="E6492" s="2" t="s">
        <v>4340</v>
      </c>
    </row>
    <row r="6493">
      <c r="A6493" s="2" t="s">
        <v>4372</v>
      </c>
      <c r="B6493" s="2" t="s">
        <v>4372</v>
      </c>
      <c r="C6493" s="2" t="s">
        <v>4635</v>
      </c>
      <c r="D6493" s="3" t="str">
        <f t="shared" ref="D6493:D6498" si="1135">HYPERLINK("https://12go.asia/en/travel/Chrifia-Hotel-Transfer/Marrakesh-Menara-Airport", "12Go Link")</f>
        <v>12Go Link</v>
      </c>
      <c r="E6493" s="2" t="s">
        <v>4336</v>
      </c>
    </row>
    <row r="6494">
      <c r="A6494" s="2" t="s">
        <v>4372</v>
      </c>
      <c r="B6494" s="2" t="s">
        <v>4372</v>
      </c>
      <c r="C6494" s="2" t="s">
        <v>4635</v>
      </c>
      <c r="D6494" s="3" t="str">
        <f t="shared" si="1135"/>
        <v>12Go Link</v>
      </c>
      <c r="E6494" s="2" t="s">
        <v>4337</v>
      </c>
    </row>
    <row r="6495">
      <c r="A6495" s="2" t="s">
        <v>4372</v>
      </c>
      <c r="B6495" s="2" t="s">
        <v>4372</v>
      </c>
      <c r="C6495" s="2" t="s">
        <v>4635</v>
      </c>
      <c r="D6495" s="3" t="str">
        <f t="shared" si="1135"/>
        <v>12Go Link</v>
      </c>
      <c r="E6495" s="2" t="s">
        <v>4137</v>
      </c>
    </row>
    <row r="6496">
      <c r="A6496" s="2" t="s">
        <v>4372</v>
      </c>
      <c r="B6496" s="2" t="s">
        <v>4372</v>
      </c>
      <c r="C6496" s="2" t="s">
        <v>4635</v>
      </c>
      <c r="D6496" s="3" t="str">
        <f t="shared" si="1135"/>
        <v>12Go Link</v>
      </c>
      <c r="E6496" s="2" t="s">
        <v>4338</v>
      </c>
    </row>
    <row r="6497">
      <c r="A6497" s="2" t="s">
        <v>4372</v>
      </c>
      <c r="B6497" s="2" t="s">
        <v>4372</v>
      </c>
      <c r="C6497" s="2" t="s">
        <v>4635</v>
      </c>
      <c r="D6497" s="3" t="str">
        <f t="shared" si="1135"/>
        <v>12Go Link</v>
      </c>
      <c r="E6497" s="2" t="s">
        <v>4339</v>
      </c>
    </row>
    <row r="6498">
      <c r="A6498" s="2" t="s">
        <v>4372</v>
      </c>
      <c r="B6498" s="2" t="s">
        <v>4372</v>
      </c>
      <c r="C6498" s="2" t="s">
        <v>4635</v>
      </c>
      <c r="D6498" s="3" t="str">
        <f t="shared" si="1135"/>
        <v>12Go Link</v>
      </c>
      <c r="E6498" s="2" t="s">
        <v>4340</v>
      </c>
    </row>
    <row r="6499">
      <c r="A6499" s="2" t="s">
        <v>4372</v>
      </c>
      <c r="B6499" s="2" t="s">
        <v>4372</v>
      </c>
      <c r="C6499" s="2" t="s">
        <v>4636</v>
      </c>
      <c r="D6499" s="3" t="str">
        <f t="shared" ref="D6499:D6504" si="1136">HYPERLINK("https://12go.asia/en/travel/Club-Dar-Atlas-Marmara/Marrakesh-Menara-Airport", "12Go Link")</f>
        <v>12Go Link</v>
      </c>
      <c r="E6499" s="2" t="s">
        <v>4336</v>
      </c>
    </row>
    <row r="6500">
      <c r="A6500" s="2" t="s">
        <v>4372</v>
      </c>
      <c r="B6500" s="2" t="s">
        <v>4372</v>
      </c>
      <c r="C6500" s="2" t="s">
        <v>4636</v>
      </c>
      <c r="D6500" s="3" t="str">
        <f t="shared" si="1136"/>
        <v>12Go Link</v>
      </c>
      <c r="E6500" s="2" t="s">
        <v>4337</v>
      </c>
    </row>
    <row r="6501">
      <c r="A6501" s="2" t="s">
        <v>4372</v>
      </c>
      <c r="B6501" s="2" t="s">
        <v>4372</v>
      </c>
      <c r="C6501" s="2" t="s">
        <v>4636</v>
      </c>
      <c r="D6501" s="3" t="str">
        <f t="shared" si="1136"/>
        <v>12Go Link</v>
      </c>
      <c r="E6501" s="2" t="s">
        <v>4137</v>
      </c>
    </row>
    <row r="6502">
      <c r="A6502" s="2" t="s">
        <v>4372</v>
      </c>
      <c r="B6502" s="2" t="s">
        <v>4372</v>
      </c>
      <c r="C6502" s="2" t="s">
        <v>4636</v>
      </c>
      <c r="D6502" s="3" t="str">
        <f t="shared" si="1136"/>
        <v>12Go Link</v>
      </c>
      <c r="E6502" s="2" t="s">
        <v>4338</v>
      </c>
    </row>
    <row r="6503">
      <c r="A6503" s="2" t="s">
        <v>4372</v>
      </c>
      <c r="B6503" s="2" t="s">
        <v>4372</v>
      </c>
      <c r="C6503" s="2" t="s">
        <v>4636</v>
      </c>
      <c r="D6503" s="3" t="str">
        <f t="shared" si="1136"/>
        <v>12Go Link</v>
      </c>
      <c r="E6503" s="2" t="s">
        <v>4339</v>
      </c>
    </row>
    <row r="6504">
      <c r="A6504" s="2" t="s">
        <v>4372</v>
      </c>
      <c r="B6504" s="2" t="s">
        <v>4372</v>
      </c>
      <c r="C6504" s="2" t="s">
        <v>4636</v>
      </c>
      <c r="D6504" s="3" t="str">
        <f t="shared" si="1136"/>
        <v>12Go Link</v>
      </c>
      <c r="E6504" s="2" t="s">
        <v>4340</v>
      </c>
    </row>
    <row r="6505">
      <c r="A6505" s="2" t="s">
        <v>4372</v>
      </c>
      <c r="B6505" s="2" t="s">
        <v>4372</v>
      </c>
      <c r="C6505" s="2" t="s">
        <v>4637</v>
      </c>
      <c r="D6505" s="3" t="str">
        <f t="shared" ref="D6505:D6510" si="1137">HYPERLINK("https://12go.asia/en/travel/Club-Palmeraie-Marrakech/Marrakesh-Menara-Airport", "12Go Link")</f>
        <v>12Go Link</v>
      </c>
      <c r="E6505" s="2" t="s">
        <v>4336</v>
      </c>
    </row>
    <row r="6506">
      <c r="A6506" s="2" t="s">
        <v>4372</v>
      </c>
      <c r="B6506" s="2" t="s">
        <v>4372</v>
      </c>
      <c r="C6506" s="2" t="s">
        <v>4637</v>
      </c>
      <c r="D6506" s="3" t="str">
        <f t="shared" si="1137"/>
        <v>12Go Link</v>
      </c>
      <c r="E6506" s="2" t="s">
        <v>4337</v>
      </c>
    </row>
    <row r="6507">
      <c r="A6507" s="2" t="s">
        <v>4372</v>
      </c>
      <c r="B6507" s="2" t="s">
        <v>4372</v>
      </c>
      <c r="C6507" s="2" t="s">
        <v>4637</v>
      </c>
      <c r="D6507" s="3" t="str">
        <f t="shared" si="1137"/>
        <v>12Go Link</v>
      </c>
      <c r="E6507" s="2" t="s">
        <v>4137</v>
      </c>
    </row>
    <row r="6508">
      <c r="A6508" s="2" t="s">
        <v>4372</v>
      </c>
      <c r="B6508" s="2" t="s">
        <v>4372</v>
      </c>
      <c r="C6508" s="2" t="s">
        <v>4637</v>
      </c>
      <c r="D6508" s="3" t="str">
        <f t="shared" si="1137"/>
        <v>12Go Link</v>
      </c>
      <c r="E6508" s="2" t="s">
        <v>4338</v>
      </c>
    </row>
    <row r="6509">
      <c r="A6509" s="2" t="s">
        <v>4372</v>
      </c>
      <c r="B6509" s="2" t="s">
        <v>4372</v>
      </c>
      <c r="C6509" s="2" t="s">
        <v>4637</v>
      </c>
      <c r="D6509" s="3" t="str">
        <f t="shared" si="1137"/>
        <v>12Go Link</v>
      </c>
      <c r="E6509" s="2" t="s">
        <v>4339</v>
      </c>
    </row>
    <row r="6510">
      <c r="A6510" s="2" t="s">
        <v>4372</v>
      </c>
      <c r="B6510" s="2" t="s">
        <v>4372</v>
      </c>
      <c r="C6510" s="2" t="s">
        <v>4637</v>
      </c>
      <c r="D6510" s="3" t="str">
        <f t="shared" si="1137"/>
        <v>12Go Link</v>
      </c>
      <c r="E6510" s="2" t="s">
        <v>4340</v>
      </c>
    </row>
    <row r="6511">
      <c r="A6511" s="2" t="s">
        <v>4372</v>
      </c>
      <c r="B6511" s="2" t="s">
        <v>4372</v>
      </c>
      <c r="C6511" s="2" t="s">
        <v>4638</v>
      </c>
      <c r="D6511" s="3" t="str">
        <f t="shared" ref="D6511:D6516" si="1138">HYPERLINK("https://12go.asia/en/travel/Dar-Tamsna-Hotel-Transfer/Marrakesh-Menara-Airport", "12Go Link")</f>
        <v>12Go Link</v>
      </c>
      <c r="E6511" s="2" t="s">
        <v>4336</v>
      </c>
    </row>
    <row r="6512">
      <c r="A6512" s="2" t="s">
        <v>4372</v>
      </c>
      <c r="B6512" s="2" t="s">
        <v>4372</v>
      </c>
      <c r="C6512" s="2" t="s">
        <v>4638</v>
      </c>
      <c r="D6512" s="3" t="str">
        <f t="shared" si="1138"/>
        <v>12Go Link</v>
      </c>
      <c r="E6512" s="2" t="s">
        <v>4337</v>
      </c>
    </row>
    <row r="6513">
      <c r="A6513" s="2" t="s">
        <v>4372</v>
      </c>
      <c r="B6513" s="2" t="s">
        <v>4372</v>
      </c>
      <c r="C6513" s="2" t="s">
        <v>4638</v>
      </c>
      <c r="D6513" s="3" t="str">
        <f t="shared" si="1138"/>
        <v>12Go Link</v>
      </c>
      <c r="E6513" s="2" t="s">
        <v>4137</v>
      </c>
    </row>
    <row r="6514">
      <c r="A6514" s="2" t="s">
        <v>4372</v>
      </c>
      <c r="B6514" s="2" t="s">
        <v>4372</v>
      </c>
      <c r="C6514" s="2" t="s">
        <v>4638</v>
      </c>
      <c r="D6514" s="3" t="str">
        <f t="shared" si="1138"/>
        <v>12Go Link</v>
      </c>
      <c r="E6514" s="2" t="s">
        <v>4338</v>
      </c>
    </row>
    <row r="6515">
      <c r="A6515" s="2" t="s">
        <v>4372</v>
      </c>
      <c r="B6515" s="2" t="s">
        <v>4372</v>
      </c>
      <c r="C6515" s="2" t="s">
        <v>4638</v>
      </c>
      <c r="D6515" s="3" t="str">
        <f t="shared" si="1138"/>
        <v>12Go Link</v>
      </c>
      <c r="E6515" s="2" t="s">
        <v>4339</v>
      </c>
    </row>
    <row r="6516">
      <c r="A6516" s="2" t="s">
        <v>4372</v>
      </c>
      <c r="B6516" s="2" t="s">
        <v>4372</v>
      </c>
      <c r="C6516" s="2" t="s">
        <v>4638</v>
      </c>
      <c r="D6516" s="3" t="str">
        <f t="shared" si="1138"/>
        <v>12Go Link</v>
      </c>
      <c r="E6516" s="2" t="s">
        <v>4340</v>
      </c>
    </row>
    <row r="6517">
      <c r="A6517" s="2" t="s">
        <v>4372</v>
      </c>
      <c r="B6517" s="2" t="s">
        <v>4372</v>
      </c>
      <c r="C6517" s="2" t="s">
        <v>4639</v>
      </c>
      <c r="D6517" s="3" t="str">
        <f t="shared" ref="D6517:D6522" si="1139">HYPERLINK("https://12go.asia/en/travel/Dar-Tounsi-Hotel-Transfer/Marrakesh-Menara-Airport", "12Go Link")</f>
        <v>12Go Link</v>
      </c>
      <c r="E6517" s="2" t="s">
        <v>4336</v>
      </c>
    </row>
    <row r="6518">
      <c r="A6518" s="2" t="s">
        <v>4372</v>
      </c>
      <c r="B6518" s="2" t="s">
        <v>4372</v>
      </c>
      <c r="C6518" s="2" t="s">
        <v>4639</v>
      </c>
      <c r="D6518" s="3" t="str">
        <f t="shared" si="1139"/>
        <v>12Go Link</v>
      </c>
      <c r="E6518" s="2" t="s">
        <v>4337</v>
      </c>
    </row>
    <row r="6519">
      <c r="A6519" s="2" t="s">
        <v>4372</v>
      </c>
      <c r="B6519" s="2" t="s">
        <v>4372</v>
      </c>
      <c r="C6519" s="2" t="s">
        <v>4639</v>
      </c>
      <c r="D6519" s="3" t="str">
        <f t="shared" si="1139"/>
        <v>12Go Link</v>
      </c>
      <c r="E6519" s="2" t="s">
        <v>4137</v>
      </c>
    </row>
    <row r="6520">
      <c r="A6520" s="2" t="s">
        <v>4372</v>
      </c>
      <c r="B6520" s="2" t="s">
        <v>4372</v>
      </c>
      <c r="C6520" s="2" t="s">
        <v>4639</v>
      </c>
      <c r="D6520" s="3" t="str">
        <f t="shared" si="1139"/>
        <v>12Go Link</v>
      </c>
      <c r="E6520" s="2" t="s">
        <v>4338</v>
      </c>
    </row>
    <row r="6521">
      <c r="A6521" s="2" t="s">
        <v>4372</v>
      </c>
      <c r="B6521" s="2" t="s">
        <v>4372</v>
      </c>
      <c r="C6521" s="2" t="s">
        <v>4639</v>
      </c>
      <c r="D6521" s="3" t="str">
        <f t="shared" si="1139"/>
        <v>12Go Link</v>
      </c>
      <c r="E6521" s="2" t="s">
        <v>4339</v>
      </c>
    </row>
    <row r="6522">
      <c r="A6522" s="2" t="s">
        <v>4372</v>
      </c>
      <c r="B6522" s="2" t="s">
        <v>4372</v>
      </c>
      <c r="C6522" s="2" t="s">
        <v>4639</v>
      </c>
      <c r="D6522" s="3" t="str">
        <f t="shared" si="1139"/>
        <v>12Go Link</v>
      </c>
      <c r="E6522" s="2" t="s">
        <v>4340</v>
      </c>
    </row>
    <row r="6523">
      <c r="A6523" s="2" t="s">
        <v>4372</v>
      </c>
      <c r="B6523" s="2" t="s">
        <v>4372</v>
      </c>
      <c r="C6523" s="2" t="s">
        <v>4640</v>
      </c>
      <c r="D6523" s="3" t="str">
        <f t="shared" ref="D6523:D6528" si="1140">HYPERLINK("https://12go.asia/en/travel/Douar-Laataouna-Hotel-Transfer/Marrakesh-Menara-Airport", "12Go Link")</f>
        <v>12Go Link</v>
      </c>
      <c r="E6523" s="2" t="s">
        <v>4336</v>
      </c>
    </row>
    <row r="6524">
      <c r="A6524" s="2" t="s">
        <v>4372</v>
      </c>
      <c r="B6524" s="2" t="s">
        <v>4372</v>
      </c>
      <c r="C6524" s="2" t="s">
        <v>4640</v>
      </c>
      <c r="D6524" s="3" t="str">
        <f t="shared" si="1140"/>
        <v>12Go Link</v>
      </c>
      <c r="E6524" s="2" t="s">
        <v>4337</v>
      </c>
    </row>
    <row r="6525">
      <c r="A6525" s="2" t="s">
        <v>4372</v>
      </c>
      <c r="B6525" s="2" t="s">
        <v>4372</v>
      </c>
      <c r="C6525" s="2" t="s">
        <v>4640</v>
      </c>
      <c r="D6525" s="3" t="str">
        <f t="shared" si="1140"/>
        <v>12Go Link</v>
      </c>
      <c r="E6525" s="2" t="s">
        <v>4137</v>
      </c>
    </row>
    <row r="6526">
      <c r="A6526" s="2" t="s">
        <v>4372</v>
      </c>
      <c r="B6526" s="2" t="s">
        <v>4372</v>
      </c>
      <c r="C6526" s="2" t="s">
        <v>4640</v>
      </c>
      <c r="D6526" s="3" t="str">
        <f t="shared" si="1140"/>
        <v>12Go Link</v>
      </c>
      <c r="E6526" s="2" t="s">
        <v>4338</v>
      </c>
    </row>
    <row r="6527">
      <c r="A6527" s="2" t="s">
        <v>4372</v>
      </c>
      <c r="B6527" s="2" t="s">
        <v>4372</v>
      </c>
      <c r="C6527" s="2" t="s">
        <v>4640</v>
      </c>
      <c r="D6527" s="3" t="str">
        <f t="shared" si="1140"/>
        <v>12Go Link</v>
      </c>
      <c r="E6527" s="2" t="s">
        <v>4339</v>
      </c>
    </row>
    <row r="6528">
      <c r="A6528" s="2" t="s">
        <v>4372</v>
      </c>
      <c r="B6528" s="2" t="s">
        <v>4372</v>
      </c>
      <c r="C6528" s="2" t="s">
        <v>4640</v>
      </c>
      <c r="D6528" s="3" t="str">
        <f t="shared" si="1140"/>
        <v>12Go Link</v>
      </c>
      <c r="E6528" s="2" t="s">
        <v>4340</v>
      </c>
    </row>
    <row r="6529">
      <c r="A6529" s="2" t="s">
        <v>4372</v>
      </c>
      <c r="B6529" s="2" t="s">
        <v>4372</v>
      </c>
      <c r="C6529" s="2" t="s">
        <v>4641</v>
      </c>
      <c r="D6529" s="3" t="str">
        <f t="shared" ref="D6529:D6534" si="1141">HYPERLINK("https://12go.asia/en/travel/Douar-Lahna-Hotel-Transfer/Marrakesh-Menara-Airport", "12Go Link")</f>
        <v>12Go Link</v>
      </c>
      <c r="E6529" s="2" t="s">
        <v>4336</v>
      </c>
    </row>
    <row r="6530">
      <c r="A6530" s="2" t="s">
        <v>4372</v>
      </c>
      <c r="B6530" s="2" t="s">
        <v>4372</v>
      </c>
      <c r="C6530" s="2" t="s">
        <v>4641</v>
      </c>
      <c r="D6530" s="3" t="str">
        <f t="shared" si="1141"/>
        <v>12Go Link</v>
      </c>
      <c r="E6530" s="2" t="s">
        <v>4337</v>
      </c>
    </row>
    <row r="6531">
      <c r="A6531" s="2" t="s">
        <v>4372</v>
      </c>
      <c r="B6531" s="2" t="s">
        <v>4372</v>
      </c>
      <c r="C6531" s="2" t="s">
        <v>4641</v>
      </c>
      <c r="D6531" s="3" t="str">
        <f t="shared" si="1141"/>
        <v>12Go Link</v>
      </c>
      <c r="E6531" s="2" t="s">
        <v>4137</v>
      </c>
    </row>
    <row r="6532">
      <c r="A6532" s="2" t="s">
        <v>4372</v>
      </c>
      <c r="B6532" s="2" t="s">
        <v>4372</v>
      </c>
      <c r="C6532" s="2" t="s">
        <v>4641</v>
      </c>
      <c r="D6532" s="3" t="str">
        <f t="shared" si="1141"/>
        <v>12Go Link</v>
      </c>
      <c r="E6532" s="2" t="s">
        <v>4338</v>
      </c>
    </row>
    <row r="6533">
      <c r="A6533" s="2" t="s">
        <v>4372</v>
      </c>
      <c r="B6533" s="2" t="s">
        <v>4372</v>
      </c>
      <c r="C6533" s="2" t="s">
        <v>4641</v>
      </c>
      <c r="D6533" s="3" t="str">
        <f t="shared" si="1141"/>
        <v>12Go Link</v>
      </c>
      <c r="E6533" s="2" t="s">
        <v>4339</v>
      </c>
    </row>
    <row r="6534">
      <c r="A6534" s="2" t="s">
        <v>4372</v>
      </c>
      <c r="B6534" s="2" t="s">
        <v>4372</v>
      </c>
      <c r="C6534" s="2" t="s">
        <v>4641</v>
      </c>
      <c r="D6534" s="3" t="str">
        <f t="shared" si="1141"/>
        <v>12Go Link</v>
      </c>
      <c r="E6534" s="2" t="s">
        <v>4340</v>
      </c>
    </row>
    <row r="6535">
      <c r="A6535" s="2" t="s">
        <v>4372</v>
      </c>
      <c r="B6535" s="2" t="s">
        <v>4372</v>
      </c>
      <c r="C6535" s="2" t="s">
        <v>4642</v>
      </c>
      <c r="D6535" s="3" t="str">
        <f t="shared" ref="D6535:D6540" si="1142">HYPERLINK("https://12go.asia/en/travel/Douar-Zemrane-Hotel-Transfer/Marrakesh-Menara-Airport", "12Go Link")</f>
        <v>12Go Link</v>
      </c>
      <c r="E6535" s="2" t="s">
        <v>4336</v>
      </c>
    </row>
    <row r="6536">
      <c r="A6536" s="2" t="s">
        <v>4372</v>
      </c>
      <c r="B6536" s="2" t="s">
        <v>4372</v>
      </c>
      <c r="C6536" s="2" t="s">
        <v>4642</v>
      </c>
      <c r="D6536" s="3" t="str">
        <f t="shared" si="1142"/>
        <v>12Go Link</v>
      </c>
      <c r="E6536" s="2" t="s">
        <v>4337</v>
      </c>
    </row>
    <row r="6537">
      <c r="A6537" s="2" t="s">
        <v>4372</v>
      </c>
      <c r="B6537" s="2" t="s">
        <v>4372</v>
      </c>
      <c r="C6537" s="2" t="s">
        <v>4642</v>
      </c>
      <c r="D6537" s="3" t="str">
        <f t="shared" si="1142"/>
        <v>12Go Link</v>
      </c>
      <c r="E6537" s="2" t="s">
        <v>4137</v>
      </c>
    </row>
    <row r="6538">
      <c r="A6538" s="2" t="s">
        <v>4372</v>
      </c>
      <c r="B6538" s="2" t="s">
        <v>4372</v>
      </c>
      <c r="C6538" s="2" t="s">
        <v>4642</v>
      </c>
      <c r="D6538" s="3" t="str">
        <f t="shared" si="1142"/>
        <v>12Go Link</v>
      </c>
      <c r="E6538" s="2" t="s">
        <v>4338</v>
      </c>
    </row>
    <row r="6539">
      <c r="A6539" s="2" t="s">
        <v>4372</v>
      </c>
      <c r="B6539" s="2" t="s">
        <v>4372</v>
      </c>
      <c r="C6539" s="2" t="s">
        <v>4642</v>
      </c>
      <c r="D6539" s="3" t="str">
        <f t="shared" si="1142"/>
        <v>12Go Link</v>
      </c>
      <c r="E6539" s="2" t="s">
        <v>4339</v>
      </c>
    </row>
    <row r="6540">
      <c r="A6540" s="2" t="s">
        <v>4372</v>
      </c>
      <c r="B6540" s="2" t="s">
        <v>4372</v>
      </c>
      <c r="C6540" s="2" t="s">
        <v>4642</v>
      </c>
      <c r="D6540" s="3" t="str">
        <f t="shared" si="1142"/>
        <v>12Go Link</v>
      </c>
      <c r="E6540" s="2" t="s">
        <v>4340</v>
      </c>
    </row>
    <row r="6541">
      <c r="A6541" s="2" t="s">
        <v>4372</v>
      </c>
      <c r="B6541" s="2" t="s">
        <v>4372</v>
      </c>
      <c r="C6541" s="2" t="s">
        <v>4643</v>
      </c>
      <c r="D6541" s="3" t="str">
        <f t="shared" ref="D6541:D6546" si="1143">HYPERLINK("https://12go.asia/en/travel/Eden-Andalou-Spa-Resort/Marrakesh-Menara-Airport", "12Go Link")</f>
        <v>12Go Link</v>
      </c>
      <c r="E6541" s="2" t="s">
        <v>4336</v>
      </c>
    </row>
    <row r="6542">
      <c r="A6542" s="2" t="s">
        <v>4372</v>
      </c>
      <c r="B6542" s="2" t="s">
        <v>4372</v>
      </c>
      <c r="C6542" s="2" t="s">
        <v>4643</v>
      </c>
      <c r="D6542" s="3" t="str">
        <f t="shared" si="1143"/>
        <v>12Go Link</v>
      </c>
      <c r="E6542" s="2" t="s">
        <v>4337</v>
      </c>
    </row>
    <row r="6543">
      <c r="A6543" s="2" t="s">
        <v>4372</v>
      </c>
      <c r="B6543" s="2" t="s">
        <v>4372</v>
      </c>
      <c r="C6543" s="2" t="s">
        <v>4643</v>
      </c>
      <c r="D6543" s="3" t="str">
        <f t="shared" si="1143"/>
        <v>12Go Link</v>
      </c>
      <c r="E6543" s="2" t="s">
        <v>4137</v>
      </c>
    </row>
    <row r="6544">
      <c r="A6544" s="2" t="s">
        <v>4372</v>
      </c>
      <c r="B6544" s="2" t="s">
        <v>4372</v>
      </c>
      <c r="C6544" s="2" t="s">
        <v>4643</v>
      </c>
      <c r="D6544" s="3" t="str">
        <f t="shared" si="1143"/>
        <v>12Go Link</v>
      </c>
      <c r="E6544" s="2" t="s">
        <v>4338</v>
      </c>
    </row>
    <row r="6545">
      <c r="A6545" s="2" t="s">
        <v>4372</v>
      </c>
      <c r="B6545" s="2" t="s">
        <v>4372</v>
      </c>
      <c r="C6545" s="2" t="s">
        <v>4643</v>
      </c>
      <c r="D6545" s="3" t="str">
        <f t="shared" si="1143"/>
        <v>12Go Link</v>
      </c>
      <c r="E6545" s="2" t="s">
        <v>4339</v>
      </c>
    </row>
    <row r="6546">
      <c r="A6546" s="2" t="s">
        <v>4372</v>
      </c>
      <c r="B6546" s="2" t="s">
        <v>4372</v>
      </c>
      <c r="C6546" s="2" t="s">
        <v>4643</v>
      </c>
      <c r="D6546" s="3" t="str">
        <f t="shared" si="1143"/>
        <v>12Go Link</v>
      </c>
      <c r="E6546" s="2" t="s">
        <v>4340</v>
      </c>
    </row>
    <row r="6547">
      <c r="A6547" s="2" t="s">
        <v>4372</v>
      </c>
      <c r="B6547" s="2" t="s">
        <v>4372</v>
      </c>
      <c r="C6547" s="2" t="s">
        <v>4644</v>
      </c>
      <c r="D6547" s="3" t="str">
        <f t="shared" ref="D6547:D6552" si="1144">HYPERLINK("https://12go.asia/en/travel/Kenzi-Club-Oasis-Hotel/Marrakesh-Menara-Airport", "12Go Link")</f>
        <v>12Go Link</v>
      </c>
      <c r="E6547" s="2" t="s">
        <v>4336</v>
      </c>
    </row>
    <row r="6548">
      <c r="A6548" s="2" t="s">
        <v>4372</v>
      </c>
      <c r="B6548" s="2" t="s">
        <v>4372</v>
      </c>
      <c r="C6548" s="2" t="s">
        <v>4644</v>
      </c>
      <c r="D6548" s="3" t="str">
        <f t="shared" si="1144"/>
        <v>12Go Link</v>
      </c>
      <c r="E6548" s="2" t="s">
        <v>4337</v>
      </c>
    </row>
    <row r="6549">
      <c r="A6549" s="2" t="s">
        <v>4372</v>
      </c>
      <c r="B6549" s="2" t="s">
        <v>4372</v>
      </c>
      <c r="C6549" s="2" t="s">
        <v>4644</v>
      </c>
      <c r="D6549" s="3" t="str">
        <f t="shared" si="1144"/>
        <v>12Go Link</v>
      </c>
      <c r="E6549" s="2" t="s">
        <v>4137</v>
      </c>
    </row>
    <row r="6550">
      <c r="A6550" s="2" t="s">
        <v>4372</v>
      </c>
      <c r="B6550" s="2" t="s">
        <v>4372</v>
      </c>
      <c r="C6550" s="2" t="s">
        <v>4644</v>
      </c>
      <c r="D6550" s="3" t="str">
        <f t="shared" si="1144"/>
        <v>12Go Link</v>
      </c>
      <c r="E6550" s="2" t="s">
        <v>4338</v>
      </c>
    </row>
    <row r="6551">
      <c r="A6551" s="2" t="s">
        <v>4372</v>
      </c>
      <c r="B6551" s="2" t="s">
        <v>4372</v>
      </c>
      <c r="C6551" s="2" t="s">
        <v>4644</v>
      </c>
      <c r="D6551" s="3" t="str">
        <f t="shared" si="1144"/>
        <v>12Go Link</v>
      </c>
      <c r="E6551" s="2" t="s">
        <v>4339</v>
      </c>
    </row>
    <row r="6552">
      <c r="A6552" s="2" t="s">
        <v>4372</v>
      </c>
      <c r="B6552" s="2" t="s">
        <v>4372</v>
      </c>
      <c r="C6552" s="2" t="s">
        <v>4644</v>
      </c>
      <c r="D6552" s="3" t="str">
        <f t="shared" si="1144"/>
        <v>12Go Link</v>
      </c>
      <c r="E6552" s="2" t="s">
        <v>4340</v>
      </c>
    </row>
    <row r="6553">
      <c r="A6553" s="2" t="s">
        <v>4372</v>
      </c>
      <c r="B6553" s="2" t="s">
        <v>4372</v>
      </c>
      <c r="C6553" s="2" t="s">
        <v>4645</v>
      </c>
      <c r="D6553" s="3" t="str">
        <f t="shared" ref="D6553:D6558" si="1145">HYPERLINK("https://12go.asia/en/travel/La-Palmeraie/Marrakesh-Menara-Airport", "12Go Link")</f>
        <v>12Go Link</v>
      </c>
      <c r="E6553" s="2" t="s">
        <v>4336</v>
      </c>
    </row>
    <row r="6554">
      <c r="A6554" s="2" t="s">
        <v>4372</v>
      </c>
      <c r="B6554" s="2" t="s">
        <v>4372</v>
      </c>
      <c r="C6554" s="2" t="s">
        <v>4645</v>
      </c>
      <c r="D6554" s="3" t="str">
        <f t="shared" si="1145"/>
        <v>12Go Link</v>
      </c>
      <c r="E6554" s="2" t="s">
        <v>4337</v>
      </c>
    </row>
    <row r="6555">
      <c r="A6555" s="2" t="s">
        <v>4372</v>
      </c>
      <c r="B6555" s="2" t="s">
        <v>4372</v>
      </c>
      <c r="C6555" s="2" t="s">
        <v>4645</v>
      </c>
      <c r="D6555" s="3" t="str">
        <f t="shared" si="1145"/>
        <v>12Go Link</v>
      </c>
      <c r="E6555" s="2" t="s">
        <v>4137</v>
      </c>
    </row>
    <row r="6556">
      <c r="A6556" s="2" t="s">
        <v>4372</v>
      </c>
      <c r="B6556" s="2" t="s">
        <v>4372</v>
      </c>
      <c r="C6556" s="2" t="s">
        <v>4645</v>
      </c>
      <c r="D6556" s="3" t="str">
        <f t="shared" si="1145"/>
        <v>12Go Link</v>
      </c>
      <c r="E6556" s="2" t="s">
        <v>4338</v>
      </c>
    </row>
    <row r="6557">
      <c r="A6557" s="2" t="s">
        <v>4372</v>
      </c>
      <c r="B6557" s="2" t="s">
        <v>4372</v>
      </c>
      <c r="C6557" s="2" t="s">
        <v>4645</v>
      </c>
      <c r="D6557" s="3" t="str">
        <f t="shared" si="1145"/>
        <v>12Go Link</v>
      </c>
      <c r="E6557" s="2" t="s">
        <v>4339</v>
      </c>
    </row>
    <row r="6558">
      <c r="A6558" s="2" t="s">
        <v>4372</v>
      </c>
      <c r="B6558" s="2" t="s">
        <v>4372</v>
      </c>
      <c r="C6558" s="2" t="s">
        <v>4645</v>
      </c>
      <c r="D6558" s="3" t="str">
        <f t="shared" si="1145"/>
        <v>12Go Link</v>
      </c>
      <c r="E6558" s="2" t="s">
        <v>4340</v>
      </c>
    </row>
    <row r="6559">
      <c r="A6559" s="2" t="s">
        <v>4372</v>
      </c>
      <c r="B6559" s="2" t="s">
        <v>4372</v>
      </c>
      <c r="C6559" s="2" t="s">
        <v>4646</v>
      </c>
      <c r="D6559" s="3" t="str">
        <f t="shared" ref="D6559:D6564" si="1146">HYPERLINK("https://12go.asia/en/travel/Marrakech-Medina-Transfer/Marrakesh-Menara-Airport", "12Go Link")</f>
        <v>12Go Link</v>
      </c>
      <c r="E6559" s="2" t="s">
        <v>4336</v>
      </c>
    </row>
    <row r="6560">
      <c r="A6560" s="2" t="s">
        <v>4372</v>
      </c>
      <c r="B6560" s="2" t="s">
        <v>4372</v>
      </c>
      <c r="C6560" s="2" t="s">
        <v>4646</v>
      </c>
      <c r="D6560" s="3" t="str">
        <f t="shared" si="1146"/>
        <v>12Go Link</v>
      </c>
      <c r="E6560" s="2" t="s">
        <v>4337</v>
      </c>
    </row>
    <row r="6561">
      <c r="A6561" s="2" t="s">
        <v>4372</v>
      </c>
      <c r="B6561" s="2" t="s">
        <v>4372</v>
      </c>
      <c r="C6561" s="2" t="s">
        <v>4646</v>
      </c>
      <c r="D6561" s="3" t="str">
        <f t="shared" si="1146"/>
        <v>12Go Link</v>
      </c>
      <c r="E6561" s="2" t="s">
        <v>4137</v>
      </c>
    </row>
    <row r="6562">
      <c r="A6562" s="2" t="s">
        <v>4372</v>
      </c>
      <c r="B6562" s="2" t="s">
        <v>4372</v>
      </c>
      <c r="C6562" s="2" t="s">
        <v>4646</v>
      </c>
      <c r="D6562" s="3" t="str">
        <f t="shared" si="1146"/>
        <v>12Go Link</v>
      </c>
      <c r="E6562" s="2" t="s">
        <v>4338</v>
      </c>
    </row>
    <row r="6563">
      <c r="A6563" s="2" t="s">
        <v>4372</v>
      </c>
      <c r="B6563" s="2" t="s">
        <v>4372</v>
      </c>
      <c r="C6563" s="2" t="s">
        <v>4646</v>
      </c>
      <c r="D6563" s="3" t="str">
        <f t="shared" si="1146"/>
        <v>12Go Link</v>
      </c>
      <c r="E6563" s="2" t="s">
        <v>4339</v>
      </c>
    </row>
    <row r="6564">
      <c r="A6564" s="2" t="s">
        <v>4372</v>
      </c>
      <c r="B6564" s="2" t="s">
        <v>4372</v>
      </c>
      <c r="C6564" s="2" t="s">
        <v>4646</v>
      </c>
      <c r="D6564" s="3" t="str">
        <f t="shared" si="1146"/>
        <v>12Go Link</v>
      </c>
      <c r="E6564" s="2" t="s">
        <v>4340</v>
      </c>
    </row>
    <row r="6565">
      <c r="A6565" s="2" t="s">
        <v>4372</v>
      </c>
      <c r="B6565" s="2" t="s">
        <v>4372</v>
      </c>
      <c r="C6565" s="2" t="s">
        <v>4647</v>
      </c>
      <c r="D6565" s="3" t="str">
        <f t="shared" ref="D6565:D6570" si="1147">HYPERLINK("https://12go.asia/en/travel/Marrakesh-Hotel-Transfer/Marrakesh-Menara-Airport", "12Go Link")</f>
        <v>12Go Link</v>
      </c>
      <c r="E6565" s="2" t="s">
        <v>4336</v>
      </c>
    </row>
    <row r="6566">
      <c r="A6566" s="2" t="s">
        <v>4372</v>
      </c>
      <c r="B6566" s="2" t="s">
        <v>4372</v>
      </c>
      <c r="C6566" s="2" t="s">
        <v>4647</v>
      </c>
      <c r="D6566" s="3" t="str">
        <f t="shared" si="1147"/>
        <v>12Go Link</v>
      </c>
      <c r="E6566" s="2" t="s">
        <v>4337</v>
      </c>
    </row>
    <row r="6567">
      <c r="A6567" s="2" t="s">
        <v>4372</v>
      </c>
      <c r="B6567" s="2" t="s">
        <v>4372</v>
      </c>
      <c r="C6567" s="2" t="s">
        <v>4647</v>
      </c>
      <c r="D6567" s="3" t="str">
        <f t="shared" si="1147"/>
        <v>12Go Link</v>
      </c>
      <c r="E6567" s="2" t="s">
        <v>4137</v>
      </c>
    </row>
    <row r="6568">
      <c r="A6568" s="2" t="s">
        <v>4372</v>
      </c>
      <c r="B6568" s="2" t="s">
        <v>4372</v>
      </c>
      <c r="C6568" s="2" t="s">
        <v>4647</v>
      </c>
      <c r="D6568" s="3" t="str">
        <f t="shared" si="1147"/>
        <v>12Go Link</v>
      </c>
      <c r="E6568" s="2" t="s">
        <v>4338</v>
      </c>
    </row>
    <row r="6569">
      <c r="A6569" s="2" t="s">
        <v>4372</v>
      </c>
      <c r="B6569" s="2" t="s">
        <v>4372</v>
      </c>
      <c r="C6569" s="2" t="s">
        <v>4647</v>
      </c>
      <c r="D6569" s="3" t="str">
        <f t="shared" si="1147"/>
        <v>12Go Link</v>
      </c>
      <c r="E6569" s="2" t="s">
        <v>4339</v>
      </c>
    </row>
    <row r="6570">
      <c r="A6570" s="2" t="s">
        <v>4372</v>
      </c>
      <c r="B6570" s="2" t="s">
        <v>4372</v>
      </c>
      <c r="C6570" s="2" t="s">
        <v>4647</v>
      </c>
      <c r="D6570" s="3" t="str">
        <f t="shared" si="1147"/>
        <v>12Go Link</v>
      </c>
      <c r="E6570" s="2" t="s">
        <v>4340</v>
      </c>
    </row>
    <row r="6571">
      <c r="A6571" s="2" t="s">
        <v>4372</v>
      </c>
      <c r="B6571" s="2" t="s">
        <v>4372</v>
      </c>
      <c r="C6571" s="2" t="s">
        <v>4648</v>
      </c>
      <c r="D6571" s="3" t="str">
        <f t="shared" ref="D6571:D6576" si="1148">HYPERLINK("https://12go.asia/en/travel/Marrakesh-Menara-Airport/Ain-Itti-Hotel-Transfer", "12Go Link")</f>
        <v>12Go Link</v>
      </c>
      <c r="E6571" s="2" t="s">
        <v>4336</v>
      </c>
    </row>
    <row r="6572">
      <c r="A6572" s="2" t="s">
        <v>4372</v>
      </c>
      <c r="B6572" s="2" t="s">
        <v>4372</v>
      </c>
      <c r="C6572" s="2" t="s">
        <v>4648</v>
      </c>
      <c r="D6572" s="3" t="str">
        <f t="shared" si="1148"/>
        <v>12Go Link</v>
      </c>
      <c r="E6572" s="2" t="s">
        <v>4337</v>
      </c>
    </row>
    <row r="6573">
      <c r="A6573" s="2" t="s">
        <v>4372</v>
      </c>
      <c r="B6573" s="2" t="s">
        <v>4372</v>
      </c>
      <c r="C6573" s="2" t="s">
        <v>4648</v>
      </c>
      <c r="D6573" s="3" t="str">
        <f t="shared" si="1148"/>
        <v>12Go Link</v>
      </c>
      <c r="E6573" s="2" t="s">
        <v>4137</v>
      </c>
    </row>
    <row r="6574">
      <c r="A6574" s="2" t="s">
        <v>4372</v>
      </c>
      <c r="B6574" s="2" t="s">
        <v>4372</v>
      </c>
      <c r="C6574" s="2" t="s">
        <v>4648</v>
      </c>
      <c r="D6574" s="3" t="str">
        <f t="shared" si="1148"/>
        <v>12Go Link</v>
      </c>
      <c r="E6574" s="2" t="s">
        <v>4338</v>
      </c>
    </row>
    <row r="6575">
      <c r="A6575" s="2" t="s">
        <v>4372</v>
      </c>
      <c r="B6575" s="2" t="s">
        <v>4372</v>
      </c>
      <c r="C6575" s="2" t="s">
        <v>4648</v>
      </c>
      <c r="D6575" s="3" t="str">
        <f t="shared" si="1148"/>
        <v>12Go Link</v>
      </c>
      <c r="E6575" s="2" t="s">
        <v>4339</v>
      </c>
    </row>
    <row r="6576">
      <c r="A6576" s="2" t="s">
        <v>4372</v>
      </c>
      <c r="B6576" s="2" t="s">
        <v>4372</v>
      </c>
      <c r="C6576" s="2" t="s">
        <v>4648</v>
      </c>
      <c r="D6576" s="3" t="str">
        <f t="shared" si="1148"/>
        <v>12Go Link</v>
      </c>
      <c r="E6576" s="2" t="s">
        <v>4340</v>
      </c>
    </row>
    <row r="6577">
      <c r="A6577" s="2" t="s">
        <v>4372</v>
      </c>
      <c r="B6577" s="2" t="s">
        <v>4372</v>
      </c>
      <c r="C6577" s="2" t="s">
        <v>4649</v>
      </c>
      <c r="D6577" s="3" t="str">
        <f t="shared" ref="D6577:D6582" si="1149">HYPERLINK("https://12go.asia/en/travel/Marrakesh-Menara-Airport/Aqua-Fun-Club", "12Go Link")</f>
        <v>12Go Link</v>
      </c>
      <c r="E6577" s="2" t="s">
        <v>4336</v>
      </c>
    </row>
    <row r="6578">
      <c r="A6578" s="2" t="s">
        <v>4372</v>
      </c>
      <c r="B6578" s="2" t="s">
        <v>4372</v>
      </c>
      <c r="C6578" s="2" t="s">
        <v>4649</v>
      </c>
      <c r="D6578" s="3" t="str">
        <f t="shared" si="1149"/>
        <v>12Go Link</v>
      </c>
      <c r="E6578" s="2" t="s">
        <v>4337</v>
      </c>
    </row>
    <row r="6579">
      <c r="A6579" s="2" t="s">
        <v>4372</v>
      </c>
      <c r="B6579" s="2" t="s">
        <v>4372</v>
      </c>
      <c r="C6579" s="2" t="s">
        <v>4649</v>
      </c>
      <c r="D6579" s="3" t="str">
        <f t="shared" si="1149"/>
        <v>12Go Link</v>
      </c>
      <c r="E6579" s="2" t="s">
        <v>4137</v>
      </c>
    </row>
    <row r="6580">
      <c r="A6580" s="2" t="s">
        <v>4372</v>
      </c>
      <c r="B6580" s="2" t="s">
        <v>4372</v>
      </c>
      <c r="C6580" s="2" t="s">
        <v>4649</v>
      </c>
      <c r="D6580" s="3" t="str">
        <f t="shared" si="1149"/>
        <v>12Go Link</v>
      </c>
      <c r="E6580" s="2" t="s">
        <v>4338</v>
      </c>
    </row>
    <row r="6581">
      <c r="A6581" s="2" t="s">
        <v>4372</v>
      </c>
      <c r="B6581" s="2" t="s">
        <v>4372</v>
      </c>
      <c r="C6581" s="2" t="s">
        <v>4649</v>
      </c>
      <c r="D6581" s="3" t="str">
        <f t="shared" si="1149"/>
        <v>12Go Link</v>
      </c>
      <c r="E6581" s="2" t="s">
        <v>4339</v>
      </c>
    </row>
    <row r="6582">
      <c r="A6582" s="2" t="s">
        <v>4372</v>
      </c>
      <c r="B6582" s="2" t="s">
        <v>4372</v>
      </c>
      <c r="C6582" s="2" t="s">
        <v>4649</v>
      </c>
      <c r="D6582" s="3" t="str">
        <f t="shared" si="1149"/>
        <v>12Go Link</v>
      </c>
      <c r="E6582" s="2" t="s">
        <v>4340</v>
      </c>
    </row>
    <row r="6583">
      <c r="A6583" s="2" t="s">
        <v>4372</v>
      </c>
      <c r="B6583" s="2" t="s">
        <v>4372</v>
      </c>
      <c r="C6583" s="2" t="s">
        <v>4650</v>
      </c>
      <c r="D6583" s="3" t="str">
        <f t="shared" ref="D6583:D6588" si="1150">HYPERLINK("https://12go.asia/en/travel/Marrakesh-Menara-Airport/Aqua-Mirage-Club", "12Go Link")</f>
        <v>12Go Link</v>
      </c>
      <c r="E6583" s="2" t="s">
        <v>4336</v>
      </c>
    </row>
    <row r="6584">
      <c r="A6584" s="2" t="s">
        <v>4372</v>
      </c>
      <c r="B6584" s="2" t="s">
        <v>4372</v>
      </c>
      <c r="C6584" s="2" t="s">
        <v>4650</v>
      </c>
      <c r="D6584" s="3" t="str">
        <f t="shared" si="1150"/>
        <v>12Go Link</v>
      </c>
      <c r="E6584" s="2" t="s">
        <v>4337</v>
      </c>
    </row>
    <row r="6585">
      <c r="A6585" s="2" t="s">
        <v>4372</v>
      </c>
      <c r="B6585" s="2" t="s">
        <v>4372</v>
      </c>
      <c r="C6585" s="2" t="s">
        <v>4650</v>
      </c>
      <c r="D6585" s="3" t="str">
        <f t="shared" si="1150"/>
        <v>12Go Link</v>
      </c>
      <c r="E6585" s="2" t="s">
        <v>4137</v>
      </c>
    </row>
    <row r="6586">
      <c r="A6586" s="2" t="s">
        <v>4372</v>
      </c>
      <c r="B6586" s="2" t="s">
        <v>4372</v>
      </c>
      <c r="C6586" s="2" t="s">
        <v>4650</v>
      </c>
      <c r="D6586" s="3" t="str">
        <f t="shared" si="1150"/>
        <v>12Go Link</v>
      </c>
      <c r="E6586" s="2" t="s">
        <v>4338</v>
      </c>
    </row>
    <row r="6587">
      <c r="A6587" s="2" t="s">
        <v>4372</v>
      </c>
      <c r="B6587" s="2" t="s">
        <v>4372</v>
      </c>
      <c r="C6587" s="2" t="s">
        <v>4650</v>
      </c>
      <c r="D6587" s="3" t="str">
        <f t="shared" si="1150"/>
        <v>12Go Link</v>
      </c>
      <c r="E6587" s="2" t="s">
        <v>4339</v>
      </c>
    </row>
    <row r="6588">
      <c r="A6588" s="2" t="s">
        <v>4372</v>
      </c>
      <c r="B6588" s="2" t="s">
        <v>4372</v>
      </c>
      <c r="C6588" s="2" t="s">
        <v>4650</v>
      </c>
      <c r="D6588" s="3" t="str">
        <f t="shared" si="1150"/>
        <v>12Go Link</v>
      </c>
      <c r="E6588" s="2" t="s">
        <v>4340</v>
      </c>
    </row>
    <row r="6589">
      <c r="A6589" s="2" t="s">
        <v>4372</v>
      </c>
      <c r="B6589" s="2" t="s">
        <v>4372</v>
      </c>
      <c r="C6589" s="2" t="s">
        <v>4651</v>
      </c>
      <c r="D6589" s="3" t="str">
        <f t="shared" ref="D6589:D6594" si="1151">HYPERLINK("https://12go.asia/en/travel/Marrakesh-Menara-Airport/Atlas-Targa-Resort", "12Go Link")</f>
        <v>12Go Link</v>
      </c>
      <c r="E6589" s="2" t="s">
        <v>4336</v>
      </c>
    </row>
    <row r="6590">
      <c r="A6590" s="2" t="s">
        <v>4372</v>
      </c>
      <c r="B6590" s="2" t="s">
        <v>4372</v>
      </c>
      <c r="C6590" s="2" t="s">
        <v>4651</v>
      </c>
      <c r="D6590" s="3" t="str">
        <f t="shared" si="1151"/>
        <v>12Go Link</v>
      </c>
      <c r="E6590" s="2" t="s">
        <v>4337</v>
      </c>
    </row>
    <row r="6591">
      <c r="A6591" s="2" t="s">
        <v>4372</v>
      </c>
      <c r="B6591" s="2" t="s">
        <v>4372</v>
      </c>
      <c r="C6591" s="2" t="s">
        <v>4651</v>
      </c>
      <c r="D6591" s="3" t="str">
        <f t="shared" si="1151"/>
        <v>12Go Link</v>
      </c>
      <c r="E6591" s="2" t="s">
        <v>4137</v>
      </c>
    </row>
    <row r="6592">
      <c r="A6592" s="2" t="s">
        <v>4372</v>
      </c>
      <c r="B6592" s="2" t="s">
        <v>4372</v>
      </c>
      <c r="C6592" s="2" t="s">
        <v>4651</v>
      </c>
      <c r="D6592" s="3" t="str">
        <f t="shared" si="1151"/>
        <v>12Go Link</v>
      </c>
      <c r="E6592" s="2" t="s">
        <v>4338</v>
      </c>
    </row>
    <row r="6593">
      <c r="A6593" s="2" t="s">
        <v>4372</v>
      </c>
      <c r="B6593" s="2" t="s">
        <v>4372</v>
      </c>
      <c r="C6593" s="2" t="s">
        <v>4651</v>
      </c>
      <c r="D6593" s="3" t="str">
        <f t="shared" si="1151"/>
        <v>12Go Link</v>
      </c>
      <c r="E6593" s="2" t="s">
        <v>4339</v>
      </c>
    </row>
    <row r="6594">
      <c r="A6594" s="2" t="s">
        <v>4372</v>
      </c>
      <c r="B6594" s="2" t="s">
        <v>4372</v>
      </c>
      <c r="C6594" s="2" t="s">
        <v>4651</v>
      </c>
      <c r="D6594" s="3" t="str">
        <f t="shared" si="1151"/>
        <v>12Go Link</v>
      </c>
      <c r="E6594" s="2" t="s">
        <v>4340</v>
      </c>
    </row>
    <row r="6595">
      <c r="A6595" s="2" t="s">
        <v>4372</v>
      </c>
      <c r="B6595" s="2" t="s">
        <v>4372</v>
      </c>
      <c r="C6595" s="2" t="s">
        <v>4652</v>
      </c>
      <c r="D6595" s="3" t="str">
        <f t="shared" ref="D6595:D6600" si="1152">HYPERLINK("https://12go.asia/en/travel/Marrakesh-Menara-Airport/Blue-Bay-Marrakech", "12Go Link")</f>
        <v>12Go Link</v>
      </c>
      <c r="E6595" s="2" t="s">
        <v>4336</v>
      </c>
    </row>
    <row r="6596">
      <c r="A6596" s="2" t="s">
        <v>4372</v>
      </c>
      <c r="B6596" s="2" t="s">
        <v>4372</v>
      </c>
      <c r="C6596" s="2" t="s">
        <v>4652</v>
      </c>
      <c r="D6596" s="3" t="str">
        <f t="shared" si="1152"/>
        <v>12Go Link</v>
      </c>
      <c r="E6596" s="2" t="s">
        <v>4337</v>
      </c>
    </row>
    <row r="6597">
      <c r="A6597" s="2" t="s">
        <v>4372</v>
      </c>
      <c r="B6597" s="2" t="s">
        <v>4372</v>
      </c>
      <c r="C6597" s="2" t="s">
        <v>4652</v>
      </c>
      <c r="D6597" s="3" t="str">
        <f t="shared" si="1152"/>
        <v>12Go Link</v>
      </c>
      <c r="E6597" s="2" t="s">
        <v>4137</v>
      </c>
    </row>
    <row r="6598">
      <c r="A6598" s="2" t="s">
        <v>4372</v>
      </c>
      <c r="B6598" s="2" t="s">
        <v>4372</v>
      </c>
      <c r="C6598" s="2" t="s">
        <v>4652</v>
      </c>
      <c r="D6598" s="3" t="str">
        <f t="shared" si="1152"/>
        <v>12Go Link</v>
      </c>
      <c r="E6598" s="2" t="s">
        <v>4338</v>
      </c>
    </row>
    <row r="6599">
      <c r="A6599" s="2" t="s">
        <v>4372</v>
      </c>
      <c r="B6599" s="2" t="s">
        <v>4372</v>
      </c>
      <c r="C6599" s="2" t="s">
        <v>4652</v>
      </c>
      <c r="D6599" s="3" t="str">
        <f t="shared" si="1152"/>
        <v>12Go Link</v>
      </c>
      <c r="E6599" s="2" t="s">
        <v>4339</v>
      </c>
    </row>
    <row r="6600">
      <c r="A6600" s="2" t="s">
        <v>4372</v>
      </c>
      <c r="B6600" s="2" t="s">
        <v>4372</v>
      </c>
      <c r="C6600" s="2" t="s">
        <v>4652</v>
      </c>
      <c r="D6600" s="3" t="str">
        <f t="shared" si="1152"/>
        <v>12Go Link</v>
      </c>
      <c r="E6600" s="2" t="s">
        <v>4340</v>
      </c>
    </row>
    <row r="6601">
      <c r="A6601" s="2" t="s">
        <v>4372</v>
      </c>
      <c r="B6601" s="2" t="s">
        <v>4372</v>
      </c>
      <c r="C6601" s="2" t="s">
        <v>4653</v>
      </c>
      <c r="D6601" s="3" t="str">
        <f t="shared" ref="D6601:D6606" si="1153">HYPERLINK("https://12go.asia/en/travel/Marrakesh-Menara-Airport/Caravanserai-Hotel-Transfer", "12Go Link")</f>
        <v>12Go Link</v>
      </c>
      <c r="E6601" s="2" t="s">
        <v>4336</v>
      </c>
    </row>
    <row r="6602">
      <c r="A6602" s="2" t="s">
        <v>4372</v>
      </c>
      <c r="B6602" s="2" t="s">
        <v>4372</v>
      </c>
      <c r="C6602" s="2" t="s">
        <v>4653</v>
      </c>
      <c r="D6602" s="3" t="str">
        <f t="shared" si="1153"/>
        <v>12Go Link</v>
      </c>
      <c r="E6602" s="2" t="s">
        <v>4337</v>
      </c>
    </row>
    <row r="6603">
      <c r="A6603" s="2" t="s">
        <v>4372</v>
      </c>
      <c r="B6603" s="2" t="s">
        <v>4372</v>
      </c>
      <c r="C6603" s="2" t="s">
        <v>4653</v>
      </c>
      <c r="D6603" s="3" t="str">
        <f t="shared" si="1153"/>
        <v>12Go Link</v>
      </c>
      <c r="E6603" s="2" t="s">
        <v>4137</v>
      </c>
    </row>
    <row r="6604">
      <c r="A6604" s="2" t="s">
        <v>4372</v>
      </c>
      <c r="B6604" s="2" t="s">
        <v>4372</v>
      </c>
      <c r="C6604" s="2" t="s">
        <v>4653</v>
      </c>
      <c r="D6604" s="3" t="str">
        <f t="shared" si="1153"/>
        <v>12Go Link</v>
      </c>
      <c r="E6604" s="2" t="s">
        <v>4338</v>
      </c>
    </row>
    <row r="6605">
      <c r="A6605" s="2" t="s">
        <v>4372</v>
      </c>
      <c r="B6605" s="2" t="s">
        <v>4372</v>
      </c>
      <c r="C6605" s="2" t="s">
        <v>4653</v>
      </c>
      <c r="D6605" s="3" t="str">
        <f t="shared" si="1153"/>
        <v>12Go Link</v>
      </c>
      <c r="E6605" s="2" t="s">
        <v>4339</v>
      </c>
    </row>
    <row r="6606">
      <c r="A6606" s="2" t="s">
        <v>4372</v>
      </c>
      <c r="B6606" s="2" t="s">
        <v>4372</v>
      </c>
      <c r="C6606" s="2" t="s">
        <v>4653</v>
      </c>
      <c r="D6606" s="3" t="str">
        <f t="shared" si="1153"/>
        <v>12Go Link</v>
      </c>
      <c r="E6606" s="2" t="s">
        <v>4340</v>
      </c>
    </row>
    <row r="6607">
      <c r="A6607" s="2" t="s">
        <v>4372</v>
      </c>
      <c r="B6607" s="2" t="s">
        <v>4372</v>
      </c>
      <c r="C6607" s="2" t="s">
        <v>4654</v>
      </c>
      <c r="D6607" s="3" t="str">
        <f t="shared" ref="D6607:D6612" si="1154">HYPERLINK("https://12go.asia/en/travel/Marrakesh-Menara-Airport/Chrifia-Hotel-Transfer", "12Go Link")</f>
        <v>12Go Link</v>
      </c>
      <c r="E6607" s="2" t="s">
        <v>4336</v>
      </c>
    </row>
    <row r="6608">
      <c r="A6608" s="2" t="s">
        <v>4372</v>
      </c>
      <c r="B6608" s="2" t="s">
        <v>4372</v>
      </c>
      <c r="C6608" s="2" t="s">
        <v>4654</v>
      </c>
      <c r="D6608" s="3" t="str">
        <f t="shared" si="1154"/>
        <v>12Go Link</v>
      </c>
      <c r="E6608" s="2" t="s">
        <v>4337</v>
      </c>
    </row>
    <row r="6609">
      <c r="A6609" s="2" t="s">
        <v>4372</v>
      </c>
      <c r="B6609" s="2" t="s">
        <v>4372</v>
      </c>
      <c r="C6609" s="2" t="s">
        <v>4654</v>
      </c>
      <c r="D6609" s="3" t="str">
        <f t="shared" si="1154"/>
        <v>12Go Link</v>
      </c>
      <c r="E6609" s="2" t="s">
        <v>4137</v>
      </c>
    </row>
    <row r="6610">
      <c r="A6610" s="2" t="s">
        <v>4372</v>
      </c>
      <c r="B6610" s="2" t="s">
        <v>4372</v>
      </c>
      <c r="C6610" s="2" t="s">
        <v>4654</v>
      </c>
      <c r="D6610" s="3" t="str">
        <f t="shared" si="1154"/>
        <v>12Go Link</v>
      </c>
      <c r="E6610" s="2" t="s">
        <v>4338</v>
      </c>
    </row>
    <row r="6611">
      <c r="A6611" s="2" t="s">
        <v>4372</v>
      </c>
      <c r="B6611" s="2" t="s">
        <v>4372</v>
      </c>
      <c r="C6611" s="2" t="s">
        <v>4654</v>
      </c>
      <c r="D6611" s="3" t="str">
        <f t="shared" si="1154"/>
        <v>12Go Link</v>
      </c>
      <c r="E6611" s="2" t="s">
        <v>4339</v>
      </c>
    </row>
    <row r="6612">
      <c r="A6612" s="2" t="s">
        <v>4372</v>
      </c>
      <c r="B6612" s="2" t="s">
        <v>4372</v>
      </c>
      <c r="C6612" s="2" t="s">
        <v>4654</v>
      </c>
      <c r="D6612" s="3" t="str">
        <f t="shared" si="1154"/>
        <v>12Go Link</v>
      </c>
      <c r="E6612" s="2" t="s">
        <v>4340</v>
      </c>
    </row>
    <row r="6613">
      <c r="A6613" s="2" t="s">
        <v>4372</v>
      </c>
      <c r="B6613" s="2" t="s">
        <v>4372</v>
      </c>
      <c r="C6613" s="2" t="s">
        <v>4655</v>
      </c>
      <c r="D6613" s="3" t="str">
        <f t="shared" ref="D6613:D6618" si="1155">HYPERLINK("https://12go.asia/en/travel/Marrakesh-Menara-Airport/Club-Dar-Atlas-Marmara", "12Go Link")</f>
        <v>12Go Link</v>
      </c>
      <c r="E6613" s="2" t="s">
        <v>4336</v>
      </c>
    </row>
    <row r="6614">
      <c r="A6614" s="2" t="s">
        <v>4372</v>
      </c>
      <c r="B6614" s="2" t="s">
        <v>4372</v>
      </c>
      <c r="C6614" s="2" t="s">
        <v>4655</v>
      </c>
      <c r="D6614" s="3" t="str">
        <f t="shared" si="1155"/>
        <v>12Go Link</v>
      </c>
      <c r="E6614" s="2" t="s">
        <v>4337</v>
      </c>
    </row>
    <row r="6615">
      <c r="A6615" s="2" t="s">
        <v>4372</v>
      </c>
      <c r="B6615" s="2" t="s">
        <v>4372</v>
      </c>
      <c r="C6615" s="2" t="s">
        <v>4655</v>
      </c>
      <c r="D6615" s="3" t="str">
        <f t="shared" si="1155"/>
        <v>12Go Link</v>
      </c>
      <c r="E6615" s="2" t="s">
        <v>4137</v>
      </c>
    </row>
    <row r="6616">
      <c r="A6616" s="2" t="s">
        <v>4372</v>
      </c>
      <c r="B6616" s="2" t="s">
        <v>4372</v>
      </c>
      <c r="C6616" s="2" t="s">
        <v>4655</v>
      </c>
      <c r="D6616" s="3" t="str">
        <f t="shared" si="1155"/>
        <v>12Go Link</v>
      </c>
      <c r="E6616" s="2" t="s">
        <v>4338</v>
      </c>
    </row>
    <row r="6617">
      <c r="A6617" s="2" t="s">
        <v>4372</v>
      </c>
      <c r="B6617" s="2" t="s">
        <v>4372</v>
      </c>
      <c r="C6617" s="2" t="s">
        <v>4655</v>
      </c>
      <c r="D6617" s="3" t="str">
        <f t="shared" si="1155"/>
        <v>12Go Link</v>
      </c>
      <c r="E6617" s="2" t="s">
        <v>4339</v>
      </c>
    </row>
    <row r="6618">
      <c r="A6618" s="2" t="s">
        <v>4372</v>
      </c>
      <c r="B6618" s="2" t="s">
        <v>4372</v>
      </c>
      <c r="C6618" s="2" t="s">
        <v>4655</v>
      </c>
      <c r="D6618" s="3" t="str">
        <f t="shared" si="1155"/>
        <v>12Go Link</v>
      </c>
      <c r="E6618" s="2" t="s">
        <v>4340</v>
      </c>
    </row>
    <row r="6619">
      <c r="A6619" s="2" t="s">
        <v>4372</v>
      </c>
      <c r="B6619" s="2" t="s">
        <v>4372</v>
      </c>
      <c r="C6619" s="2" t="s">
        <v>4656</v>
      </c>
      <c r="D6619" s="3" t="str">
        <f t="shared" ref="D6619:D6624" si="1156">HYPERLINK("https://12go.asia/en/travel/Marrakesh-Menara-Airport/Club-Palmeraie-Marrakech", "12Go Link")</f>
        <v>12Go Link</v>
      </c>
      <c r="E6619" s="2" t="s">
        <v>4336</v>
      </c>
    </row>
    <row r="6620">
      <c r="A6620" s="2" t="s">
        <v>4372</v>
      </c>
      <c r="B6620" s="2" t="s">
        <v>4372</v>
      </c>
      <c r="C6620" s="2" t="s">
        <v>4656</v>
      </c>
      <c r="D6620" s="3" t="str">
        <f t="shared" si="1156"/>
        <v>12Go Link</v>
      </c>
      <c r="E6620" s="2" t="s">
        <v>4337</v>
      </c>
    </row>
    <row r="6621">
      <c r="A6621" s="2" t="s">
        <v>4372</v>
      </c>
      <c r="B6621" s="2" t="s">
        <v>4372</v>
      </c>
      <c r="C6621" s="2" t="s">
        <v>4656</v>
      </c>
      <c r="D6621" s="3" t="str">
        <f t="shared" si="1156"/>
        <v>12Go Link</v>
      </c>
      <c r="E6621" s="2" t="s">
        <v>4137</v>
      </c>
    </row>
    <row r="6622">
      <c r="A6622" s="2" t="s">
        <v>4372</v>
      </c>
      <c r="B6622" s="2" t="s">
        <v>4372</v>
      </c>
      <c r="C6622" s="2" t="s">
        <v>4656</v>
      </c>
      <c r="D6622" s="3" t="str">
        <f t="shared" si="1156"/>
        <v>12Go Link</v>
      </c>
      <c r="E6622" s="2" t="s">
        <v>4338</v>
      </c>
    </row>
    <row r="6623">
      <c r="A6623" s="2" t="s">
        <v>4372</v>
      </c>
      <c r="B6623" s="2" t="s">
        <v>4372</v>
      </c>
      <c r="C6623" s="2" t="s">
        <v>4656</v>
      </c>
      <c r="D6623" s="3" t="str">
        <f t="shared" si="1156"/>
        <v>12Go Link</v>
      </c>
      <c r="E6623" s="2" t="s">
        <v>4339</v>
      </c>
    </row>
    <row r="6624">
      <c r="A6624" s="2" t="s">
        <v>4372</v>
      </c>
      <c r="B6624" s="2" t="s">
        <v>4372</v>
      </c>
      <c r="C6624" s="2" t="s">
        <v>4656</v>
      </c>
      <c r="D6624" s="3" t="str">
        <f t="shared" si="1156"/>
        <v>12Go Link</v>
      </c>
      <c r="E6624" s="2" t="s">
        <v>4340</v>
      </c>
    </row>
    <row r="6625">
      <c r="A6625" s="2" t="s">
        <v>4372</v>
      </c>
      <c r="B6625" s="2" t="s">
        <v>4372</v>
      </c>
      <c r="C6625" s="2" t="s">
        <v>4657</v>
      </c>
      <c r="D6625" s="3" t="str">
        <f t="shared" ref="D6625:D6630" si="1157">HYPERLINK("https://12go.asia/en/travel/Marrakesh-Menara-Airport/Dar-Tamsna-Hotel-Transfer", "12Go Link")</f>
        <v>12Go Link</v>
      </c>
      <c r="E6625" s="2" t="s">
        <v>4336</v>
      </c>
    </row>
    <row r="6626">
      <c r="A6626" s="2" t="s">
        <v>4372</v>
      </c>
      <c r="B6626" s="2" t="s">
        <v>4372</v>
      </c>
      <c r="C6626" s="2" t="s">
        <v>4657</v>
      </c>
      <c r="D6626" s="3" t="str">
        <f t="shared" si="1157"/>
        <v>12Go Link</v>
      </c>
      <c r="E6626" s="2" t="s">
        <v>4337</v>
      </c>
    </row>
    <row r="6627">
      <c r="A6627" s="2" t="s">
        <v>4372</v>
      </c>
      <c r="B6627" s="2" t="s">
        <v>4372</v>
      </c>
      <c r="C6627" s="2" t="s">
        <v>4657</v>
      </c>
      <c r="D6627" s="3" t="str">
        <f t="shared" si="1157"/>
        <v>12Go Link</v>
      </c>
      <c r="E6627" s="2" t="s">
        <v>4137</v>
      </c>
    </row>
    <row r="6628">
      <c r="A6628" s="2" t="s">
        <v>4372</v>
      </c>
      <c r="B6628" s="2" t="s">
        <v>4372</v>
      </c>
      <c r="C6628" s="2" t="s">
        <v>4657</v>
      </c>
      <c r="D6628" s="3" t="str">
        <f t="shared" si="1157"/>
        <v>12Go Link</v>
      </c>
      <c r="E6628" s="2" t="s">
        <v>4338</v>
      </c>
    </row>
    <row r="6629">
      <c r="A6629" s="2" t="s">
        <v>4372</v>
      </c>
      <c r="B6629" s="2" t="s">
        <v>4372</v>
      </c>
      <c r="C6629" s="2" t="s">
        <v>4657</v>
      </c>
      <c r="D6629" s="3" t="str">
        <f t="shared" si="1157"/>
        <v>12Go Link</v>
      </c>
      <c r="E6629" s="2" t="s">
        <v>4339</v>
      </c>
    </row>
    <row r="6630">
      <c r="A6630" s="2" t="s">
        <v>4372</v>
      </c>
      <c r="B6630" s="2" t="s">
        <v>4372</v>
      </c>
      <c r="C6630" s="2" t="s">
        <v>4657</v>
      </c>
      <c r="D6630" s="3" t="str">
        <f t="shared" si="1157"/>
        <v>12Go Link</v>
      </c>
      <c r="E6630" s="2" t="s">
        <v>4340</v>
      </c>
    </row>
    <row r="6631">
      <c r="A6631" s="2" t="s">
        <v>4372</v>
      </c>
      <c r="B6631" s="2" t="s">
        <v>4372</v>
      </c>
      <c r="C6631" s="2" t="s">
        <v>4658</v>
      </c>
      <c r="D6631" s="3" t="str">
        <f t="shared" ref="D6631:D6636" si="1158">HYPERLINK("https://12go.asia/en/travel/Marrakesh-Menara-Airport/Dar-Tounsi-Hotel-Transfer", "12Go Link")</f>
        <v>12Go Link</v>
      </c>
      <c r="E6631" s="2" t="s">
        <v>4336</v>
      </c>
    </row>
    <row r="6632">
      <c r="A6632" s="2" t="s">
        <v>4372</v>
      </c>
      <c r="B6632" s="2" t="s">
        <v>4372</v>
      </c>
      <c r="C6632" s="2" t="s">
        <v>4658</v>
      </c>
      <c r="D6632" s="3" t="str">
        <f t="shared" si="1158"/>
        <v>12Go Link</v>
      </c>
      <c r="E6632" s="2" t="s">
        <v>4337</v>
      </c>
    </row>
    <row r="6633">
      <c r="A6633" s="2" t="s">
        <v>4372</v>
      </c>
      <c r="B6633" s="2" t="s">
        <v>4372</v>
      </c>
      <c r="C6633" s="2" t="s">
        <v>4658</v>
      </c>
      <c r="D6633" s="3" t="str">
        <f t="shared" si="1158"/>
        <v>12Go Link</v>
      </c>
      <c r="E6633" s="2" t="s">
        <v>4137</v>
      </c>
    </row>
    <row r="6634">
      <c r="A6634" s="2" t="s">
        <v>4372</v>
      </c>
      <c r="B6634" s="2" t="s">
        <v>4372</v>
      </c>
      <c r="C6634" s="2" t="s">
        <v>4658</v>
      </c>
      <c r="D6634" s="3" t="str">
        <f t="shared" si="1158"/>
        <v>12Go Link</v>
      </c>
      <c r="E6634" s="2" t="s">
        <v>4338</v>
      </c>
    </row>
    <row r="6635">
      <c r="A6635" s="2" t="s">
        <v>4372</v>
      </c>
      <c r="B6635" s="2" t="s">
        <v>4372</v>
      </c>
      <c r="C6635" s="2" t="s">
        <v>4658</v>
      </c>
      <c r="D6635" s="3" t="str">
        <f t="shared" si="1158"/>
        <v>12Go Link</v>
      </c>
      <c r="E6635" s="2" t="s">
        <v>4339</v>
      </c>
    </row>
    <row r="6636">
      <c r="A6636" s="2" t="s">
        <v>4372</v>
      </c>
      <c r="B6636" s="2" t="s">
        <v>4372</v>
      </c>
      <c r="C6636" s="2" t="s">
        <v>4658</v>
      </c>
      <c r="D6636" s="3" t="str">
        <f t="shared" si="1158"/>
        <v>12Go Link</v>
      </c>
      <c r="E6636" s="2" t="s">
        <v>4340</v>
      </c>
    </row>
    <row r="6637">
      <c r="A6637" s="2" t="s">
        <v>4372</v>
      </c>
      <c r="B6637" s="2" t="s">
        <v>4372</v>
      </c>
      <c r="C6637" s="2" t="s">
        <v>4659</v>
      </c>
      <c r="D6637" s="3" t="str">
        <f t="shared" ref="D6637:D6642" si="1159">HYPERLINK("https://12go.asia/en/travel/Marrakesh-Menara-Airport/Douar-Laataouna-Hotel-Transfer", "12Go Link")</f>
        <v>12Go Link</v>
      </c>
      <c r="E6637" s="2" t="s">
        <v>4336</v>
      </c>
    </row>
    <row r="6638">
      <c r="A6638" s="2" t="s">
        <v>4372</v>
      </c>
      <c r="B6638" s="2" t="s">
        <v>4372</v>
      </c>
      <c r="C6638" s="2" t="s">
        <v>4659</v>
      </c>
      <c r="D6638" s="3" t="str">
        <f t="shared" si="1159"/>
        <v>12Go Link</v>
      </c>
      <c r="E6638" s="2" t="s">
        <v>4337</v>
      </c>
    </row>
    <row r="6639">
      <c r="A6639" s="2" t="s">
        <v>4372</v>
      </c>
      <c r="B6639" s="2" t="s">
        <v>4372</v>
      </c>
      <c r="C6639" s="2" t="s">
        <v>4659</v>
      </c>
      <c r="D6639" s="3" t="str">
        <f t="shared" si="1159"/>
        <v>12Go Link</v>
      </c>
      <c r="E6639" s="2" t="s">
        <v>4137</v>
      </c>
    </row>
    <row r="6640">
      <c r="A6640" s="2" t="s">
        <v>4372</v>
      </c>
      <c r="B6640" s="2" t="s">
        <v>4372</v>
      </c>
      <c r="C6640" s="2" t="s">
        <v>4659</v>
      </c>
      <c r="D6640" s="3" t="str">
        <f t="shared" si="1159"/>
        <v>12Go Link</v>
      </c>
      <c r="E6640" s="2" t="s">
        <v>4338</v>
      </c>
    </row>
    <row r="6641">
      <c r="A6641" s="2" t="s">
        <v>4372</v>
      </c>
      <c r="B6641" s="2" t="s">
        <v>4372</v>
      </c>
      <c r="C6641" s="2" t="s">
        <v>4659</v>
      </c>
      <c r="D6641" s="3" t="str">
        <f t="shared" si="1159"/>
        <v>12Go Link</v>
      </c>
      <c r="E6641" s="2" t="s">
        <v>4339</v>
      </c>
    </row>
    <row r="6642">
      <c r="A6642" s="2" t="s">
        <v>4372</v>
      </c>
      <c r="B6642" s="2" t="s">
        <v>4372</v>
      </c>
      <c r="C6642" s="2" t="s">
        <v>4659</v>
      </c>
      <c r="D6642" s="3" t="str">
        <f t="shared" si="1159"/>
        <v>12Go Link</v>
      </c>
      <c r="E6642" s="2" t="s">
        <v>4340</v>
      </c>
    </row>
    <row r="6643">
      <c r="A6643" s="2" t="s">
        <v>4372</v>
      </c>
      <c r="B6643" s="2" t="s">
        <v>4372</v>
      </c>
      <c r="C6643" s="2" t="s">
        <v>4660</v>
      </c>
      <c r="D6643" s="3" t="str">
        <f t="shared" ref="D6643:D6648" si="1160">HYPERLINK("https://12go.asia/en/travel/Marrakesh-Menara-Airport/Douar-Lahna-Hotel-Transfer", "12Go Link")</f>
        <v>12Go Link</v>
      </c>
      <c r="E6643" s="2" t="s">
        <v>4336</v>
      </c>
    </row>
    <row r="6644">
      <c r="A6644" s="2" t="s">
        <v>4372</v>
      </c>
      <c r="B6644" s="2" t="s">
        <v>4372</v>
      </c>
      <c r="C6644" s="2" t="s">
        <v>4660</v>
      </c>
      <c r="D6644" s="3" t="str">
        <f t="shared" si="1160"/>
        <v>12Go Link</v>
      </c>
      <c r="E6644" s="2" t="s">
        <v>4337</v>
      </c>
    </row>
    <row r="6645">
      <c r="A6645" s="2" t="s">
        <v>4372</v>
      </c>
      <c r="B6645" s="2" t="s">
        <v>4372</v>
      </c>
      <c r="C6645" s="2" t="s">
        <v>4660</v>
      </c>
      <c r="D6645" s="3" t="str">
        <f t="shared" si="1160"/>
        <v>12Go Link</v>
      </c>
      <c r="E6645" s="2" t="s">
        <v>4137</v>
      </c>
    </row>
    <row r="6646">
      <c r="A6646" s="2" t="s">
        <v>4372</v>
      </c>
      <c r="B6646" s="2" t="s">
        <v>4372</v>
      </c>
      <c r="C6646" s="2" t="s">
        <v>4660</v>
      </c>
      <c r="D6646" s="3" t="str">
        <f t="shared" si="1160"/>
        <v>12Go Link</v>
      </c>
      <c r="E6646" s="2" t="s">
        <v>4338</v>
      </c>
    </row>
    <row r="6647">
      <c r="A6647" s="2" t="s">
        <v>4372</v>
      </c>
      <c r="B6647" s="2" t="s">
        <v>4372</v>
      </c>
      <c r="C6647" s="2" t="s">
        <v>4660</v>
      </c>
      <c r="D6647" s="3" t="str">
        <f t="shared" si="1160"/>
        <v>12Go Link</v>
      </c>
      <c r="E6647" s="2" t="s">
        <v>4339</v>
      </c>
    </row>
    <row r="6648">
      <c r="A6648" s="2" t="s">
        <v>4372</v>
      </c>
      <c r="B6648" s="2" t="s">
        <v>4372</v>
      </c>
      <c r="C6648" s="2" t="s">
        <v>4660</v>
      </c>
      <c r="D6648" s="3" t="str">
        <f t="shared" si="1160"/>
        <v>12Go Link</v>
      </c>
      <c r="E6648" s="2" t="s">
        <v>4340</v>
      </c>
    </row>
    <row r="6649">
      <c r="A6649" s="2" t="s">
        <v>4372</v>
      </c>
      <c r="B6649" s="2" t="s">
        <v>4372</v>
      </c>
      <c r="C6649" s="2" t="s">
        <v>4661</v>
      </c>
      <c r="D6649" s="3" t="str">
        <f t="shared" ref="D6649:D6654" si="1161">HYPERLINK("https://12go.asia/en/travel/Marrakesh-Menara-Airport/Douar-Zemrane-Hotel-Transfer", "12Go Link")</f>
        <v>12Go Link</v>
      </c>
      <c r="E6649" s="2" t="s">
        <v>4336</v>
      </c>
    </row>
    <row r="6650">
      <c r="A6650" s="2" t="s">
        <v>4372</v>
      </c>
      <c r="B6650" s="2" t="s">
        <v>4372</v>
      </c>
      <c r="C6650" s="2" t="s">
        <v>4661</v>
      </c>
      <c r="D6650" s="3" t="str">
        <f t="shared" si="1161"/>
        <v>12Go Link</v>
      </c>
      <c r="E6650" s="2" t="s">
        <v>4337</v>
      </c>
    </row>
    <row r="6651">
      <c r="A6651" s="2" t="s">
        <v>4372</v>
      </c>
      <c r="B6651" s="2" t="s">
        <v>4372</v>
      </c>
      <c r="C6651" s="2" t="s">
        <v>4661</v>
      </c>
      <c r="D6651" s="3" t="str">
        <f t="shared" si="1161"/>
        <v>12Go Link</v>
      </c>
      <c r="E6651" s="2" t="s">
        <v>4137</v>
      </c>
    </row>
    <row r="6652">
      <c r="A6652" s="2" t="s">
        <v>4372</v>
      </c>
      <c r="B6652" s="2" t="s">
        <v>4372</v>
      </c>
      <c r="C6652" s="2" t="s">
        <v>4661</v>
      </c>
      <c r="D6652" s="3" t="str">
        <f t="shared" si="1161"/>
        <v>12Go Link</v>
      </c>
      <c r="E6652" s="2" t="s">
        <v>4338</v>
      </c>
    </row>
    <row r="6653">
      <c r="A6653" s="2" t="s">
        <v>4372</v>
      </c>
      <c r="B6653" s="2" t="s">
        <v>4372</v>
      </c>
      <c r="C6653" s="2" t="s">
        <v>4661</v>
      </c>
      <c r="D6653" s="3" t="str">
        <f t="shared" si="1161"/>
        <v>12Go Link</v>
      </c>
      <c r="E6653" s="2" t="s">
        <v>4339</v>
      </c>
    </row>
    <row r="6654">
      <c r="A6654" s="2" t="s">
        <v>4372</v>
      </c>
      <c r="B6654" s="2" t="s">
        <v>4372</v>
      </c>
      <c r="C6654" s="2" t="s">
        <v>4661</v>
      </c>
      <c r="D6654" s="3" t="str">
        <f t="shared" si="1161"/>
        <v>12Go Link</v>
      </c>
      <c r="E6654" s="2" t="s">
        <v>4340</v>
      </c>
    </row>
    <row r="6655">
      <c r="A6655" s="2" t="s">
        <v>4372</v>
      </c>
      <c r="B6655" s="2" t="s">
        <v>4372</v>
      </c>
      <c r="C6655" s="2" t="s">
        <v>4662</v>
      </c>
      <c r="D6655" s="3" t="str">
        <f t="shared" ref="D6655:D6660" si="1162">HYPERLINK("https://12go.asia/en/travel/Marrakesh-Menara-Airport/Eden-Andalou-Spa-Resort", "12Go Link")</f>
        <v>12Go Link</v>
      </c>
      <c r="E6655" s="2" t="s">
        <v>4336</v>
      </c>
    </row>
    <row r="6656">
      <c r="A6656" s="2" t="s">
        <v>4372</v>
      </c>
      <c r="B6656" s="2" t="s">
        <v>4372</v>
      </c>
      <c r="C6656" s="2" t="s">
        <v>4662</v>
      </c>
      <c r="D6656" s="3" t="str">
        <f t="shared" si="1162"/>
        <v>12Go Link</v>
      </c>
      <c r="E6656" s="2" t="s">
        <v>4337</v>
      </c>
    </row>
    <row r="6657">
      <c r="A6657" s="2" t="s">
        <v>4372</v>
      </c>
      <c r="B6657" s="2" t="s">
        <v>4372</v>
      </c>
      <c r="C6657" s="2" t="s">
        <v>4662</v>
      </c>
      <c r="D6657" s="3" t="str">
        <f t="shared" si="1162"/>
        <v>12Go Link</v>
      </c>
      <c r="E6657" s="2" t="s">
        <v>4137</v>
      </c>
    </row>
    <row r="6658">
      <c r="A6658" s="2" t="s">
        <v>4372</v>
      </c>
      <c r="B6658" s="2" t="s">
        <v>4372</v>
      </c>
      <c r="C6658" s="2" t="s">
        <v>4662</v>
      </c>
      <c r="D6658" s="3" t="str">
        <f t="shared" si="1162"/>
        <v>12Go Link</v>
      </c>
      <c r="E6658" s="2" t="s">
        <v>4338</v>
      </c>
    </row>
    <row r="6659">
      <c r="A6659" s="2" t="s">
        <v>4372</v>
      </c>
      <c r="B6659" s="2" t="s">
        <v>4372</v>
      </c>
      <c r="C6659" s="2" t="s">
        <v>4662</v>
      </c>
      <c r="D6659" s="3" t="str">
        <f t="shared" si="1162"/>
        <v>12Go Link</v>
      </c>
      <c r="E6659" s="2" t="s">
        <v>4339</v>
      </c>
    </row>
    <row r="6660">
      <c r="A6660" s="2" t="s">
        <v>4372</v>
      </c>
      <c r="B6660" s="2" t="s">
        <v>4372</v>
      </c>
      <c r="C6660" s="2" t="s">
        <v>4662</v>
      </c>
      <c r="D6660" s="3" t="str">
        <f t="shared" si="1162"/>
        <v>12Go Link</v>
      </c>
      <c r="E6660" s="2" t="s">
        <v>4340</v>
      </c>
    </row>
    <row r="6661">
      <c r="A6661" s="2" t="s">
        <v>4372</v>
      </c>
      <c r="B6661" s="2" t="s">
        <v>4372</v>
      </c>
      <c r="C6661" s="2" t="s">
        <v>4663</v>
      </c>
      <c r="D6661" s="3" t="str">
        <f t="shared" ref="D6661:D6666" si="1163">HYPERLINK("https://12go.asia/en/travel/Marrakesh-Menara-Airport/Kenzi-Club-Oasis-Hotel", "12Go Link")</f>
        <v>12Go Link</v>
      </c>
      <c r="E6661" s="2" t="s">
        <v>4336</v>
      </c>
    </row>
    <row r="6662">
      <c r="A6662" s="2" t="s">
        <v>4372</v>
      </c>
      <c r="B6662" s="2" t="s">
        <v>4372</v>
      </c>
      <c r="C6662" s="2" t="s">
        <v>4663</v>
      </c>
      <c r="D6662" s="3" t="str">
        <f t="shared" si="1163"/>
        <v>12Go Link</v>
      </c>
      <c r="E6662" s="2" t="s">
        <v>4337</v>
      </c>
    </row>
    <row r="6663">
      <c r="A6663" s="2" t="s">
        <v>4372</v>
      </c>
      <c r="B6663" s="2" t="s">
        <v>4372</v>
      </c>
      <c r="C6663" s="2" t="s">
        <v>4663</v>
      </c>
      <c r="D6663" s="3" t="str">
        <f t="shared" si="1163"/>
        <v>12Go Link</v>
      </c>
      <c r="E6663" s="2" t="s">
        <v>4137</v>
      </c>
    </row>
    <row r="6664">
      <c r="A6664" s="2" t="s">
        <v>4372</v>
      </c>
      <c r="B6664" s="2" t="s">
        <v>4372</v>
      </c>
      <c r="C6664" s="2" t="s">
        <v>4663</v>
      </c>
      <c r="D6664" s="3" t="str">
        <f t="shared" si="1163"/>
        <v>12Go Link</v>
      </c>
      <c r="E6664" s="2" t="s">
        <v>4338</v>
      </c>
    </row>
    <row r="6665">
      <c r="A6665" s="2" t="s">
        <v>4372</v>
      </c>
      <c r="B6665" s="2" t="s">
        <v>4372</v>
      </c>
      <c r="C6665" s="2" t="s">
        <v>4663</v>
      </c>
      <c r="D6665" s="3" t="str">
        <f t="shared" si="1163"/>
        <v>12Go Link</v>
      </c>
      <c r="E6665" s="2" t="s">
        <v>4339</v>
      </c>
    </row>
    <row r="6666">
      <c r="A6666" s="2" t="s">
        <v>4372</v>
      </c>
      <c r="B6666" s="2" t="s">
        <v>4372</v>
      </c>
      <c r="C6666" s="2" t="s">
        <v>4663</v>
      </c>
      <c r="D6666" s="3" t="str">
        <f t="shared" si="1163"/>
        <v>12Go Link</v>
      </c>
      <c r="E6666" s="2" t="s">
        <v>4340</v>
      </c>
    </row>
    <row r="6667">
      <c r="A6667" s="2" t="s">
        <v>4372</v>
      </c>
      <c r="B6667" s="2" t="s">
        <v>4372</v>
      </c>
      <c r="C6667" s="2" t="s">
        <v>4664</v>
      </c>
      <c r="D6667" s="3" t="str">
        <f t="shared" ref="D6667:D6672" si="1164">HYPERLINK("https://12go.asia/en/travel/Marrakesh-Menara-Airport/La-Palmeraie", "12Go Link")</f>
        <v>12Go Link</v>
      </c>
      <c r="E6667" s="2" t="s">
        <v>4336</v>
      </c>
    </row>
    <row r="6668">
      <c r="A6668" s="2" t="s">
        <v>4372</v>
      </c>
      <c r="B6668" s="2" t="s">
        <v>4372</v>
      </c>
      <c r="C6668" s="2" t="s">
        <v>4664</v>
      </c>
      <c r="D6668" s="3" t="str">
        <f t="shared" si="1164"/>
        <v>12Go Link</v>
      </c>
      <c r="E6668" s="2" t="s">
        <v>4337</v>
      </c>
    </row>
    <row r="6669">
      <c r="A6669" s="2" t="s">
        <v>4372</v>
      </c>
      <c r="B6669" s="2" t="s">
        <v>4372</v>
      </c>
      <c r="C6669" s="2" t="s">
        <v>4664</v>
      </c>
      <c r="D6669" s="3" t="str">
        <f t="shared" si="1164"/>
        <v>12Go Link</v>
      </c>
      <c r="E6669" s="2" t="s">
        <v>4137</v>
      </c>
    </row>
    <row r="6670">
      <c r="A6670" s="2" t="s">
        <v>4372</v>
      </c>
      <c r="B6670" s="2" t="s">
        <v>4372</v>
      </c>
      <c r="C6670" s="2" t="s">
        <v>4664</v>
      </c>
      <c r="D6670" s="3" t="str">
        <f t="shared" si="1164"/>
        <v>12Go Link</v>
      </c>
      <c r="E6670" s="2" t="s">
        <v>4338</v>
      </c>
    </row>
    <row r="6671">
      <c r="A6671" s="2" t="s">
        <v>4372</v>
      </c>
      <c r="B6671" s="2" t="s">
        <v>4372</v>
      </c>
      <c r="C6671" s="2" t="s">
        <v>4664</v>
      </c>
      <c r="D6671" s="3" t="str">
        <f t="shared" si="1164"/>
        <v>12Go Link</v>
      </c>
      <c r="E6671" s="2" t="s">
        <v>4339</v>
      </c>
    </row>
    <row r="6672">
      <c r="A6672" s="2" t="s">
        <v>4372</v>
      </c>
      <c r="B6672" s="2" t="s">
        <v>4372</v>
      </c>
      <c r="C6672" s="2" t="s">
        <v>4664</v>
      </c>
      <c r="D6672" s="3" t="str">
        <f t="shared" si="1164"/>
        <v>12Go Link</v>
      </c>
      <c r="E6672" s="2" t="s">
        <v>4340</v>
      </c>
    </row>
    <row r="6673">
      <c r="A6673" s="2" t="s">
        <v>4372</v>
      </c>
      <c r="B6673" s="2" t="s">
        <v>4372</v>
      </c>
      <c r="C6673" s="2" t="s">
        <v>4665</v>
      </c>
      <c r="D6673" s="3" t="str">
        <f t="shared" ref="D6673:D6678" si="1165">HYPERLINK("https://12go.asia/en/travel/Marrakesh-Menara-Airport/Marrakech-Medina-Transfer", "12Go Link")</f>
        <v>12Go Link</v>
      </c>
      <c r="E6673" s="2" t="s">
        <v>4336</v>
      </c>
    </row>
    <row r="6674">
      <c r="A6674" s="2" t="s">
        <v>4372</v>
      </c>
      <c r="B6674" s="2" t="s">
        <v>4372</v>
      </c>
      <c r="C6674" s="2" t="s">
        <v>4665</v>
      </c>
      <c r="D6674" s="3" t="str">
        <f t="shared" si="1165"/>
        <v>12Go Link</v>
      </c>
      <c r="E6674" s="2" t="s">
        <v>4337</v>
      </c>
    </row>
    <row r="6675">
      <c r="A6675" s="2" t="s">
        <v>4372</v>
      </c>
      <c r="B6675" s="2" t="s">
        <v>4372</v>
      </c>
      <c r="C6675" s="2" t="s">
        <v>4665</v>
      </c>
      <c r="D6675" s="3" t="str">
        <f t="shared" si="1165"/>
        <v>12Go Link</v>
      </c>
      <c r="E6675" s="2" t="s">
        <v>4137</v>
      </c>
    </row>
    <row r="6676">
      <c r="A6676" s="2" t="s">
        <v>4372</v>
      </c>
      <c r="B6676" s="2" t="s">
        <v>4372</v>
      </c>
      <c r="C6676" s="2" t="s">
        <v>4665</v>
      </c>
      <c r="D6676" s="3" t="str">
        <f t="shared" si="1165"/>
        <v>12Go Link</v>
      </c>
      <c r="E6676" s="2" t="s">
        <v>4338</v>
      </c>
    </row>
    <row r="6677">
      <c r="A6677" s="2" t="s">
        <v>4372</v>
      </c>
      <c r="B6677" s="2" t="s">
        <v>4372</v>
      </c>
      <c r="C6677" s="2" t="s">
        <v>4665</v>
      </c>
      <c r="D6677" s="3" t="str">
        <f t="shared" si="1165"/>
        <v>12Go Link</v>
      </c>
      <c r="E6677" s="2" t="s">
        <v>4339</v>
      </c>
    </row>
    <row r="6678">
      <c r="A6678" s="2" t="s">
        <v>4372</v>
      </c>
      <c r="B6678" s="2" t="s">
        <v>4372</v>
      </c>
      <c r="C6678" s="2" t="s">
        <v>4665</v>
      </c>
      <c r="D6678" s="3" t="str">
        <f t="shared" si="1165"/>
        <v>12Go Link</v>
      </c>
      <c r="E6678" s="2" t="s">
        <v>4340</v>
      </c>
    </row>
    <row r="6679">
      <c r="A6679" s="2" t="s">
        <v>4372</v>
      </c>
      <c r="B6679" s="2" t="s">
        <v>4372</v>
      </c>
      <c r="C6679" s="2" t="s">
        <v>4666</v>
      </c>
      <c r="D6679" s="3" t="str">
        <f t="shared" ref="D6679:D6684" si="1166">HYPERLINK("https://12go.asia/en/travel/Marrakesh-Menara-Airport/Marrakesh-Hotel-Transfer", "12Go Link")</f>
        <v>12Go Link</v>
      </c>
      <c r="E6679" s="2" t="s">
        <v>4336</v>
      </c>
    </row>
    <row r="6680">
      <c r="A6680" s="2" t="s">
        <v>4372</v>
      </c>
      <c r="B6680" s="2" t="s">
        <v>4372</v>
      </c>
      <c r="C6680" s="2" t="s">
        <v>4666</v>
      </c>
      <c r="D6680" s="3" t="str">
        <f t="shared" si="1166"/>
        <v>12Go Link</v>
      </c>
      <c r="E6680" s="2" t="s">
        <v>4337</v>
      </c>
    </row>
    <row r="6681">
      <c r="A6681" s="2" t="s">
        <v>4372</v>
      </c>
      <c r="B6681" s="2" t="s">
        <v>4372</v>
      </c>
      <c r="C6681" s="2" t="s">
        <v>4666</v>
      </c>
      <c r="D6681" s="3" t="str">
        <f t="shared" si="1166"/>
        <v>12Go Link</v>
      </c>
      <c r="E6681" s="2" t="s">
        <v>4137</v>
      </c>
    </row>
    <row r="6682">
      <c r="A6682" s="2" t="s">
        <v>4372</v>
      </c>
      <c r="B6682" s="2" t="s">
        <v>4372</v>
      </c>
      <c r="C6682" s="2" t="s">
        <v>4666</v>
      </c>
      <c r="D6682" s="3" t="str">
        <f t="shared" si="1166"/>
        <v>12Go Link</v>
      </c>
      <c r="E6682" s="2" t="s">
        <v>4338</v>
      </c>
    </row>
    <row r="6683">
      <c r="A6683" s="2" t="s">
        <v>4372</v>
      </c>
      <c r="B6683" s="2" t="s">
        <v>4372</v>
      </c>
      <c r="C6683" s="2" t="s">
        <v>4666</v>
      </c>
      <c r="D6683" s="3" t="str">
        <f t="shared" si="1166"/>
        <v>12Go Link</v>
      </c>
      <c r="E6683" s="2" t="s">
        <v>4339</v>
      </c>
    </row>
    <row r="6684">
      <c r="A6684" s="2" t="s">
        <v>4372</v>
      </c>
      <c r="B6684" s="2" t="s">
        <v>4372</v>
      </c>
      <c r="C6684" s="2" t="s">
        <v>4666</v>
      </c>
      <c r="D6684" s="3" t="str">
        <f t="shared" si="1166"/>
        <v>12Go Link</v>
      </c>
      <c r="E6684" s="2" t="s">
        <v>4340</v>
      </c>
    </row>
    <row r="6685">
      <c r="A6685" s="2" t="s">
        <v>4372</v>
      </c>
      <c r="B6685" s="2" t="s">
        <v>4372</v>
      </c>
      <c r="C6685" s="2" t="s">
        <v>4667</v>
      </c>
      <c r="D6685" s="3" t="str">
        <f t="shared" ref="D6685:D6690" si="1167">HYPERLINK("https://12go.asia/en/travel/Marrakesh-Menara-Airport/Palais-Namaskar-Hotel-Transfer", "12Go Link")</f>
        <v>12Go Link</v>
      </c>
      <c r="E6685" s="2" t="s">
        <v>4336</v>
      </c>
    </row>
    <row r="6686">
      <c r="A6686" s="2" t="s">
        <v>4372</v>
      </c>
      <c r="B6686" s="2" t="s">
        <v>4372</v>
      </c>
      <c r="C6686" s="2" t="s">
        <v>4667</v>
      </c>
      <c r="D6686" s="3" t="str">
        <f t="shared" si="1167"/>
        <v>12Go Link</v>
      </c>
      <c r="E6686" s="2" t="s">
        <v>4337</v>
      </c>
    </row>
    <row r="6687">
      <c r="A6687" s="2" t="s">
        <v>4372</v>
      </c>
      <c r="B6687" s="2" t="s">
        <v>4372</v>
      </c>
      <c r="C6687" s="2" t="s">
        <v>4667</v>
      </c>
      <c r="D6687" s="3" t="str">
        <f t="shared" si="1167"/>
        <v>12Go Link</v>
      </c>
      <c r="E6687" s="2" t="s">
        <v>4137</v>
      </c>
    </row>
    <row r="6688">
      <c r="A6688" s="2" t="s">
        <v>4372</v>
      </c>
      <c r="B6688" s="2" t="s">
        <v>4372</v>
      </c>
      <c r="C6688" s="2" t="s">
        <v>4667</v>
      </c>
      <c r="D6688" s="3" t="str">
        <f t="shared" si="1167"/>
        <v>12Go Link</v>
      </c>
      <c r="E6688" s="2" t="s">
        <v>4338</v>
      </c>
    </row>
    <row r="6689">
      <c r="A6689" s="2" t="s">
        <v>4372</v>
      </c>
      <c r="B6689" s="2" t="s">
        <v>4372</v>
      </c>
      <c r="C6689" s="2" t="s">
        <v>4667</v>
      </c>
      <c r="D6689" s="3" t="str">
        <f t="shared" si="1167"/>
        <v>12Go Link</v>
      </c>
      <c r="E6689" s="2" t="s">
        <v>4339</v>
      </c>
    </row>
    <row r="6690">
      <c r="A6690" s="2" t="s">
        <v>4372</v>
      </c>
      <c r="B6690" s="2" t="s">
        <v>4372</v>
      </c>
      <c r="C6690" s="2" t="s">
        <v>4667</v>
      </c>
      <c r="D6690" s="3" t="str">
        <f t="shared" si="1167"/>
        <v>12Go Link</v>
      </c>
      <c r="E6690" s="2" t="s">
        <v>4340</v>
      </c>
    </row>
    <row r="6691">
      <c r="A6691" s="2" t="s">
        <v>4372</v>
      </c>
      <c r="B6691" s="2" t="s">
        <v>4372</v>
      </c>
      <c r="C6691" s="2" t="s">
        <v>4668</v>
      </c>
      <c r="D6691" s="3" t="str">
        <f t="shared" ref="D6691:D6696" si="1168">HYPERLINK("https://12go.asia/en/travel/Marrakesh-Menara-Airport/Semlalia-Hotel-Transfer", "12Go Link")</f>
        <v>12Go Link</v>
      </c>
      <c r="E6691" s="2" t="s">
        <v>4336</v>
      </c>
    </row>
    <row r="6692">
      <c r="A6692" s="2" t="s">
        <v>4372</v>
      </c>
      <c r="B6692" s="2" t="s">
        <v>4372</v>
      </c>
      <c r="C6692" s="2" t="s">
        <v>4668</v>
      </c>
      <c r="D6692" s="3" t="str">
        <f t="shared" si="1168"/>
        <v>12Go Link</v>
      </c>
      <c r="E6692" s="2" t="s">
        <v>4337</v>
      </c>
    </row>
    <row r="6693">
      <c r="A6693" s="2" t="s">
        <v>4372</v>
      </c>
      <c r="B6693" s="2" t="s">
        <v>4372</v>
      </c>
      <c r="C6693" s="2" t="s">
        <v>4668</v>
      </c>
      <c r="D6693" s="3" t="str">
        <f t="shared" si="1168"/>
        <v>12Go Link</v>
      </c>
      <c r="E6693" s="2" t="s">
        <v>4137</v>
      </c>
    </row>
    <row r="6694">
      <c r="A6694" s="2" t="s">
        <v>4372</v>
      </c>
      <c r="B6694" s="2" t="s">
        <v>4372</v>
      </c>
      <c r="C6694" s="2" t="s">
        <v>4668</v>
      </c>
      <c r="D6694" s="3" t="str">
        <f t="shared" si="1168"/>
        <v>12Go Link</v>
      </c>
      <c r="E6694" s="2" t="s">
        <v>4338</v>
      </c>
    </row>
    <row r="6695">
      <c r="A6695" s="2" t="s">
        <v>4372</v>
      </c>
      <c r="B6695" s="2" t="s">
        <v>4372</v>
      </c>
      <c r="C6695" s="2" t="s">
        <v>4668</v>
      </c>
      <c r="D6695" s="3" t="str">
        <f t="shared" si="1168"/>
        <v>12Go Link</v>
      </c>
      <c r="E6695" s="2" t="s">
        <v>4339</v>
      </c>
    </row>
    <row r="6696">
      <c r="A6696" s="2" t="s">
        <v>4372</v>
      </c>
      <c r="B6696" s="2" t="s">
        <v>4372</v>
      </c>
      <c r="C6696" s="2" t="s">
        <v>4668</v>
      </c>
      <c r="D6696" s="3" t="str">
        <f t="shared" si="1168"/>
        <v>12Go Link</v>
      </c>
      <c r="E6696" s="2" t="s">
        <v>4340</v>
      </c>
    </row>
    <row r="6697">
      <c r="A6697" s="2" t="s">
        <v>4372</v>
      </c>
      <c r="B6697" s="2" t="s">
        <v>4372</v>
      </c>
      <c r="C6697" s="2" t="s">
        <v>4669</v>
      </c>
      <c r="D6697" s="3" t="str">
        <f t="shared" ref="D6697:D6702" si="1169">HYPERLINK("https://12go.asia/en/travel/Marrakesh-Menara-Airport/Sirayane-Boutique-Hotel-and-Spa", "12Go Link")</f>
        <v>12Go Link</v>
      </c>
      <c r="E6697" s="2" t="s">
        <v>4336</v>
      </c>
    </row>
    <row r="6698">
      <c r="A6698" s="2" t="s">
        <v>4372</v>
      </c>
      <c r="B6698" s="2" t="s">
        <v>4372</v>
      </c>
      <c r="C6698" s="2" t="s">
        <v>4669</v>
      </c>
      <c r="D6698" s="3" t="str">
        <f t="shared" si="1169"/>
        <v>12Go Link</v>
      </c>
      <c r="E6698" s="2" t="s">
        <v>4337</v>
      </c>
    </row>
    <row r="6699">
      <c r="A6699" s="2" t="s">
        <v>4372</v>
      </c>
      <c r="B6699" s="2" t="s">
        <v>4372</v>
      </c>
      <c r="C6699" s="2" t="s">
        <v>4669</v>
      </c>
      <c r="D6699" s="3" t="str">
        <f t="shared" si="1169"/>
        <v>12Go Link</v>
      </c>
      <c r="E6699" s="2" t="s">
        <v>4137</v>
      </c>
    </row>
    <row r="6700">
      <c r="A6700" s="2" t="s">
        <v>4372</v>
      </c>
      <c r="B6700" s="2" t="s">
        <v>4372</v>
      </c>
      <c r="C6700" s="2" t="s">
        <v>4669</v>
      </c>
      <c r="D6700" s="3" t="str">
        <f t="shared" si="1169"/>
        <v>12Go Link</v>
      </c>
      <c r="E6700" s="2" t="s">
        <v>4338</v>
      </c>
    </row>
    <row r="6701">
      <c r="A6701" s="2" t="s">
        <v>4372</v>
      </c>
      <c r="B6701" s="2" t="s">
        <v>4372</v>
      </c>
      <c r="C6701" s="2" t="s">
        <v>4669</v>
      </c>
      <c r="D6701" s="3" t="str">
        <f t="shared" si="1169"/>
        <v>12Go Link</v>
      </c>
      <c r="E6701" s="2" t="s">
        <v>4339</v>
      </c>
    </row>
    <row r="6702">
      <c r="A6702" s="2" t="s">
        <v>4372</v>
      </c>
      <c r="B6702" s="2" t="s">
        <v>4372</v>
      </c>
      <c r="C6702" s="2" t="s">
        <v>4669</v>
      </c>
      <c r="D6702" s="3" t="str">
        <f t="shared" si="1169"/>
        <v>12Go Link</v>
      </c>
      <c r="E6702" s="2" t="s">
        <v>4340</v>
      </c>
    </row>
    <row r="6703">
      <c r="A6703" s="2" t="s">
        <v>4372</v>
      </c>
      <c r="B6703" s="2" t="s">
        <v>4372</v>
      </c>
      <c r="C6703" s="2" t="s">
        <v>4670</v>
      </c>
      <c r="D6703" s="3" t="str">
        <f t="shared" ref="D6703:D6708" si="1170">HYPERLINK("https://12go.asia/en/travel/Marrakesh-Menara-Airport/Taj-Palace-Marrakech", "12Go Link")</f>
        <v>12Go Link</v>
      </c>
      <c r="E6703" s="2" t="s">
        <v>4336</v>
      </c>
    </row>
    <row r="6704">
      <c r="A6704" s="2" t="s">
        <v>4372</v>
      </c>
      <c r="B6704" s="2" t="s">
        <v>4372</v>
      </c>
      <c r="C6704" s="2" t="s">
        <v>4670</v>
      </c>
      <c r="D6704" s="3" t="str">
        <f t="shared" si="1170"/>
        <v>12Go Link</v>
      </c>
      <c r="E6704" s="2" t="s">
        <v>4337</v>
      </c>
    </row>
    <row r="6705">
      <c r="A6705" s="2" t="s">
        <v>4372</v>
      </c>
      <c r="B6705" s="2" t="s">
        <v>4372</v>
      </c>
      <c r="C6705" s="2" t="s">
        <v>4670</v>
      </c>
      <c r="D6705" s="3" t="str">
        <f t="shared" si="1170"/>
        <v>12Go Link</v>
      </c>
      <c r="E6705" s="2" t="s">
        <v>4137</v>
      </c>
    </row>
    <row r="6706">
      <c r="A6706" s="2" t="s">
        <v>4372</v>
      </c>
      <c r="B6706" s="2" t="s">
        <v>4372</v>
      </c>
      <c r="C6706" s="2" t="s">
        <v>4670</v>
      </c>
      <c r="D6706" s="3" t="str">
        <f t="shared" si="1170"/>
        <v>12Go Link</v>
      </c>
      <c r="E6706" s="2" t="s">
        <v>4338</v>
      </c>
    </row>
    <row r="6707">
      <c r="A6707" s="2" t="s">
        <v>4372</v>
      </c>
      <c r="B6707" s="2" t="s">
        <v>4372</v>
      </c>
      <c r="C6707" s="2" t="s">
        <v>4670</v>
      </c>
      <c r="D6707" s="3" t="str">
        <f t="shared" si="1170"/>
        <v>12Go Link</v>
      </c>
      <c r="E6707" s="2" t="s">
        <v>4339</v>
      </c>
    </row>
    <row r="6708">
      <c r="A6708" s="2" t="s">
        <v>4372</v>
      </c>
      <c r="B6708" s="2" t="s">
        <v>4372</v>
      </c>
      <c r="C6708" s="2" t="s">
        <v>4670</v>
      </c>
      <c r="D6708" s="3" t="str">
        <f t="shared" si="1170"/>
        <v>12Go Link</v>
      </c>
      <c r="E6708" s="2" t="s">
        <v>4340</v>
      </c>
    </row>
    <row r="6709">
      <c r="A6709" s="2" t="s">
        <v>4372</v>
      </c>
      <c r="B6709" s="2" t="s">
        <v>4372</v>
      </c>
      <c r="C6709" s="2" t="s">
        <v>4671</v>
      </c>
      <c r="D6709" s="3" t="str">
        <f t="shared" ref="D6709:D6714" si="1171">HYPERLINK("https://12go.asia/en/travel/Palais-Namaskar-Hotel-Transfer/Marrakesh-Menara-Airport", "12Go Link")</f>
        <v>12Go Link</v>
      </c>
      <c r="E6709" s="2" t="s">
        <v>4336</v>
      </c>
    </row>
    <row r="6710">
      <c r="A6710" s="2" t="s">
        <v>4372</v>
      </c>
      <c r="B6710" s="2" t="s">
        <v>4372</v>
      </c>
      <c r="C6710" s="2" t="s">
        <v>4671</v>
      </c>
      <c r="D6710" s="3" t="str">
        <f t="shared" si="1171"/>
        <v>12Go Link</v>
      </c>
      <c r="E6710" s="2" t="s">
        <v>4337</v>
      </c>
    </row>
    <row r="6711">
      <c r="A6711" s="2" t="s">
        <v>4372</v>
      </c>
      <c r="B6711" s="2" t="s">
        <v>4372</v>
      </c>
      <c r="C6711" s="2" t="s">
        <v>4671</v>
      </c>
      <c r="D6711" s="3" t="str">
        <f t="shared" si="1171"/>
        <v>12Go Link</v>
      </c>
      <c r="E6711" s="2" t="s">
        <v>4137</v>
      </c>
    </row>
    <row r="6712">
      <c r="A6712" s="2" t="s">
        <v>4372</v>
      </c>
      <c r="B6712" s="2" t="s">
        <v>4372</v>
      </c>
      <c r="C6712" s="2" t="s">
        <v>4671</v>
      </c>
      <c r="D6712" s="3" t="str">
        <f t="shared" si="1171"/>
        <v>12Go Link</v>
      </c>
      <c r="E6712" s="2" t="s">
        <v>4338</v>
      </c>
    </row>
    <row r="6713">
      <c r="A6713" s="2" t="s">
        <v>4372</v>
      </c>
      <c r="B6713" s="2" t="s">
        <v>4372</v>
      </c>
      <c r="C6713" s="2" t="s">
        <v>4671</v>
      </c>
      <c r="D6713" s="3" t="str">
        <f t="shared" si="1171"/>
        <v>12Go Link</v>
      </c>
      <c r="E6713" s="2" t="s">
        <v>4339</v>
      </c>
    </row>
    <row r="6714">
      <c r="A6714" s="2" t="s">
        <v>4372</v>
      </c>
      <c r="B6714" s="2" t="s">
        <v>4372</v>
      </c>
      <c r="C6714" s="2" t="s">
        <v>4671</v>
      </c>
      <c r="D6714" s="3" t="str">
        <f t="shared" si="1171"/>
        <v>12Go Link</v>
      </c>
      <c r="E6714" s="2" t="s">
        <v>4340</v>
      </c>
    </row>
    <row r="6715">
      <c r="A6715" s="2" t="s">
        <v>4372</v>
      </c>
      <c r="B6715" s="2" t="s">
        <v>4372</v>
      </c>
      <c r="C6715" s="2" t="s">
        <v>4672</v>
      </c>
      <c r="D6715" s="3" t="str">
        <f t="shared" ref="D6715:D6720" si="1172">HYPERLINK("https://12go.asia/en/travel/Semlalia-Hotel-Transfer/Marrakesh-Menara-Airport", "12Go Link")</f>
        <v>12Go Link</v>
      </c>
      <c r="E6715" s="2" t="s">
        <v>4336</v>
      </c>
    </row>
    <row r="6716">
      <c r="A6716" s="2" t="s">
        <v>4372</v>
      </c>
      <c r="B6716" s="2" t="s">
        <v>4372</v>
      </c>
      <c r="C6716" s="2" t="s">
        <v>4672</v>
      </c>
      <c r="D6716" s="3" t="str">
        <f t="shared" si="1172"/>
        <v>12Go Link</v>
      </c>
      <c r="E6716" s="2" t="s">
        <v>4337</v>
      </c>
    </row>
    <row r="6717">
      <c r="A6717" s="2" t="s">
        <v>4372</v>
      </c>
      <c r="B6717" s="2" t="s">
        <v>4372</v>
      </c>
      <c r="C6717" s="2" t="s">
        <v>4672</v>
      </c>
      <c r="D6717" s="3" t="str">
        <f t="shared" si="1172"/>
        <v>12Go Link</v>
      </c>
      <c r="E6717" s="2" t="s">
        <v>4137</v>
      </c>
    </row>
    <row r="6718">
      <c r="A6718" s="2" t="s">
        <v>4372</v>
      </c>
      <c r="B6718" s="2" t="s">
        <v>4372</v>
      </c>
      <c r="C6718" s="2" t="s">
        <v>4672</v>
      </c>
      <c r="D6718" s="3" t="str">
        <f t="shared" si="1172"/>
        <v>12Go Link</v>
      </c>
      <c r="E6718" s="2" t="s">
        <v>4338</v>
      </c>
    </row>
    <row r="6719">
      <c r="A6719" s="2" t="s">
        <v>4372</v>
      </c>
      <c r="B6719" s="2" t="s">
        <v>4372</v>
      </c>
      <c r="C6719" s="2" t="s">
        <v>4672</v>
      </c>
      <c r="D6719" s="3" t="str">
        <f t="shared" si="1172"/>
        <v>12Go Link</v>
      </c>
      <c r="E6719" s="2" t="s">
        <v>4339</v>
      </c>
    </row>
    <row r="6720">
      <c r="A6720" s="2" t="s">
        <v>4372</v>
      </c>
      <c r="B6720" s="2" t="s">
        <v>4372</v>
      </c>
      <c r="C6720" s="2" t="s">
        <v>4672</v>
      </c>
      <c r="D6720" s="3" t="str">
        <f t="shared" si="1172"/>
        <v>12Go Link</v>
      </c>
      <c r="E6720" s="2" t="s">
        <v>4340</v>
      </c>
    </row>
    <row r="6721">
      <c r="A6721" s="2" t="s">
        <v>4372</v>
      </c>
      <c r="B6721" s="2" t="s">
        <v>4372</v>
      </c>
      <c r="C6721" s="2" t="s">
        <v>4673</v>
      </c>
      <c r="D6721" s="3" t="str">
        <f t="shared" ref="D6721:D6726" si="1173">HYPERLINK("https://12go.asia/en/travel/Sirayane-Boutique-Hotel-and-Spa/Marrakesh-Menara-Airport", "12Go Link")</f>
        <v>12Go Link</v>
      </c>
      <c r="E6721" s="2" t="s">
        <v>4336</v>
      </c>
    </row>
    <row r="6722">
      <c r="A6722" s="2" t="s">
        <v>4372</v>
      </c>
      <c r="B6722" s="2" t="s">
        <v>4372</v>
      </c>
      <c r="C6722" s="2" t="s">
        <v>4673</v>
      </c>
      <c r="D6722" s="3" t="str">
        <f t="shared" si="1173"/>
        <v>12Go Link</v>
      </c>
      <c r="E6722" s="2" t="s">
        <v>4337</v>
      </c>
    </row>
    <row r="6723">
      <c r="A6723" s="2" t="s">
        <v>4372</v>
      </c>
      <c r="B6723" s="2" t="s">
        <v>4372</v>
      </c>
      <c r="C6723" s="2" t="s">
        <v>4673</v>
      </c>
      <c r="D6723" s="3" t="str">
        <f t="shared" si="1173"/>
        <v>12Go Link</v>
      </c>
      <c r="E6723" s="2" t="s">
        <v>4137</v>
      </c>
    </row>
    <row r="6724">
      <c r="A6724" s="2" t="s">
        <v>4372</v>
      </c>
      <c r="B6724" s="2" t="s">
        <v>4372</v>
      </c>
      <c r="C6724" s="2" t="s">
        <v>4673</v>
      </c>
      <c r="D6724" s="3" t="str">
        <f t="shared" si="1173"/>
        <v>12Go Link</v>
      </c>
      <c r="E6724" s="2" t="s">
        <v>4338</v>
      </c>
    </row>
    <row r="6725">
      <c r="A6725" s="2" t="s">
        <v>4372</v>
      </c>
      <c r="B6725" s="2" t="s">
        <v>4372</v>
      </c>
      <c r="C6725" s="2" t="s">
        <v>4673</v>
      </c>
      <c r="D6725" s="3" t="str">
        <f t="shared" si="1173"/>
        <v>12Go Link</v>
      </c>
      <c r="E6725" s="2" t="s">
        <v>4339</v>
      </c>
    </row>
    <row r="6726">
      <c r="A6726" s="2" t="s">
        <v>4372</v>
      </c>
      <c r="B6726" s="2" t="s">
        <v>4372</v>
      </c>
      <c r="C6726" s="2" t="s">
        <v>4673</v>
      </c>
      <c r="D6726" s="3" t="str">
        <f t="shared" si="1173"/>
        <v>12Go Link</v>
      </c>
      <c r="E6726" s="2" t="s">
        <v>4340</v>
      </c>
    </row>
    <row r="6727">
      <c r="A6727" s="2" t="s">
        <v>4372</v>
      </c>
      <c r="B6727" s="2" t="s">
        <v>4372</v>
      </c>
      <c r="C6727" s="2" t="s">
        <v>4674</v>
      </c>
      <c r="D6727" s="3" t="str">
        <f t="shared" ref="D6727:D6732" si="1174">HYPERLINK("https://12go.asia/en/travel/Taj-Palace-Marrakech/Marrakesh-Menara-Airport", "12Go Link")</f>
        <v>12Go Link</v>
      </c>
      <c r="E6727" s="2" t="s">
        <v>4336</v>
      </c>
    </row>
    <row r="6728">
      <c r="A6728" s="2" t="s">
        <v>4372</v>
      </c>
      <c r="B6728" s="2" t="s">
        <v>4372</v>
      </c>
      <c r="C6728" s="2" t="s">
        <v>4674</v>
      </c>
      <c r="D6728" s="3" t="str">
        <f t="shared" si="1174"/>
        <v>12Go Link</v>
      </c>
      <c r="E6728" s="2" t="s">
        <v>4337</v>
      </c>
    </row>
    <row r="6729">
      <c r="A6729" s="2" t="s">
        <v>4372</v>
      </c>
      <c r="B6729" s="2" t="s">
        <v>4372</v>
      </c>
      <c r="C6729" s="2" t="s">
        <v>4674</v>
      </c>
      <c r="D6729" s="3" t="str">
        <f t="shared" si="1174"/>
        <v>12Go Link</v>
      </c>
      <c r="E6729" s="2" t="s">
        <v>4137</v>
      </c>
    </row>
    <row r="6730">
      <c r="A6730" s="2" t="s">
        <v>4372</v>
      </c>
      <c r="B6730" s="2" t="s">
        <v>4372</v>
      </c>
      <c r="C6730" s="2" t="s">
        <v>4674</v>
      </c>
      <c r="D6730" s="3" t="str">
        <f t="shared" si="1174"/>
        <v>12Go Link</v>
      </c>
      <c r="E6730" s="2" t="s">
        <v>4338</v>
      </c>
    </row>
    <row r="6731">
      <c r="A6731" s="2" t="s">
        <v>4372</v>
      </c>
      <c r="B6731" s="2" t="s">
        <v>4372</v>
      </c>
      <c r="C6731" s="2" t="s">
        <v>4674</v>
      </c>
      <c r="D6731" s="3" t="str">
        <f t="shared" si="1174"/>
        <v>12Go Link</v>
      </c>
      <c r="E6731" s="2" t="s">
        <v>4339</v>
      </c>
    </row>
    <row r="6732">
      <c r="A6732" s="2" t="s">
        <v>4372</v>
      </c>
      <c r="B6732" s="2" t="s">
        <v>4372</v>
      </c>
      <c r="C6732" s="2" t="s">
        <v>4674</v>
      </c>
      <c r="D6732" s="3" t="str">
        <f t="shared" si="1174"/>
        <v>12Go Link</v>
      </c>
      <c r="E6732" s="2" t="s">
        <v>4340</v>
      </c>
    </row>
    <row r="6733">
      <c r="A6733" s="2" t="s">
        <v>4372</v>
      </c>
      <c r="B6733" s="2" t="s">
        <v>4377</v>
      </c>
      <c r="C6733" s="2" t="s">
        <v>4675</v>
      </c>
      <c r="D6733" s="3" t="str">
        <f t="shared" ref="D6733:D6738" si="1175">HYPERLINK("https://12go.asia/en/travel/Marrakesh-Menara-Airport/Meknes-Hotel-Transfer", "12Go Link")</f>
        <v>12Go Link</v>
      </c>
      <c r="E6733" s="2" t="s">
        <v>4336</v>
      </c>
    </row>
    <row r="6734">
      <c r="A6734" s="2" t="s">
        <v>4372</v>
      </c>
      <c r="B6734" s="2" t="s">
        <v>4377</v>
      </c>
      <c r="C6734" s="2" t="s">
        <v>4675</v>
      </c>
      <c r="D6734" s="3" t="str">
        <f t="shared" si="1175"/>
        <v>12Go Link</v>
      </c>
      <c r="E6734" s="2" t="s">
        <v>4337</v>
      </c>
    </row>
    <row r="6735">
      <c r="A6735" s="2" t="s">
        <v>4372</v>
      </c>
      <c r="B6735" s="2" t="s">
        <v>4377</v>
      </c>
      <c r="C6735" s="2" t="s">
        <v>4675</v>
      </c>
      <c r="D6735" s="3" t="str">
        <f t="shared" si="1175"/>
        <v>12Go Link</v>
      </c>
      <c r="E6735" s="2" t="s">
        <v>4137</v>
      </c>
    </row>
    <row r="6736">
      <c r="A6736" s="2" t="s">
        <v>4372</v>
      </c>
      <c r="B6736" s="2" t="s">
        <v>4377</v>
      </c>
      <c r="C6736" s="2" t="s">
        <v>4675</v>
      </c>
      <c r="D6736" s="3" t="str">
        <f t="shared" si="1175"/>
        <v>12Go Link</v>
      </c>
      <c r="E6736" s="2" t="s">
        <v>4338</v>
      </c>
    </row>
    <row r="6737">
      <c r="A6737" s="2" t="s">
        <v>4372</v>
      </c>
      <c r="B6737" s="2" t="s">
        <v>4377</v>
      </c>
      <c r="C6737" s="2" t="s">
        <v>4675</v>
      </c>
      <c r="D6737" s="3" t="str">
        <f t="shared" si="1175"/>
        <v>12Go Link</v>
      </c>
      <c r="E6737" s="2" t="s">
        <v>4339</v>
      </c>
    </row>
    <row r="6738">
      <c r="A6738" s="2" t="s">
        <v>4372</v>
      </c>
      <c r="B6738" s="2" t="s">
        <v>4377</v>
      </c>
      <c r="C6738" s="2" t="s">
        <v>4675</v>
      </c>
      <c r="D6738" s="3" t="str">
        <f t="shared" si="1175"/>
        <v>12Go Link</v>
      </c>
      <c r="E6738" s="2" t="s">
        <v>4340</v>
      </c>
    </row>
    <row r="6739">
      <c r="A6739" s="2" t="s">
        <v>4372</v>
      </c>
      <c r="B6739" s="2" t="s">
        <v>4676</v>
      </c>
      <c r="C6739" s="2" t="s">
        <v>4677</v>
      </c>
      <c r="D6739" s="3" t="str">
        <f t="shared" ref="D6739:D6744" si="1176">HYPERLINK("https://12go.asia/en/travel/Marrakesh-Menara-Airport/Merzouga-Hotel-Transfer", "12Go Link")</f>
        <v>12Go Link</v>
      </c>
      <c r="E6739" s="2" t="s">
        <v>4336</v>
      </c>
    </row>
    <row r="6740">
      <c r="A6740" s="2" t="s">
        <v>4372</v>
      </c>
      <c r="B6740" s="2" t="s">
        <v>4676</v>
      </c>
      <c r="C6740" s="2" t="s">
        <v>4677</v>
      </c>
      <c r="D6740" s="3" t="str">
        <f t="shared" si="1176"/>
        <v>12Go Link</v>
      </c>
      <c r="E6740" s="2" t="s">
        <v>4337</v>
      </c>
    </row>
    <row r="6741">
      <c r="A6741" s="2" t="s">
        <v>4372</v>
      </c>
      <c r="B6741" s="2" t="s">
        <v>4676</v>
      </c>
      <c r="C6741" s="2" t="s">
        <v>4677</v>
      </c>
      <c r="D6741" s="3" t="str">
        <f t="shared" si="1176"/>
        <v>12Go Link</v>
      </c>
      <c r="E6741" s="2" t="s">
        <v>4137</v>
      </c>
    </row>
    <row r="6742">
      <c r="A6742" s="2" t="s">
        <v>4372</v>
      </c>
      <c r="B6742" s="2" t="s">
        <v>4676</v>
      </c>
      <c r="C6742" s="2" t="s">
        <v>4677</v>
      </c>
      <c r="D6742" s="3" t="str">
        <f t="shared" si="1176"/>
        <v>12Go Link</v>
      </c>
      <c r="E6742" s="2" t="s">
        <v>4338</v>
      </c>
    </row>
    <row r="6743">
      <c r="A6743" s="2" t="s">
        <v>4372</v>
      </c>
      <c r="B6743" s="2" t="s">
        <v>4676</v>
      </c>
      <c r="C6743" s="2" t="s">
        <v>4677</v>
      </c>
      <c r="D6743" s="3" t="str">
        <f t="shared" si="1176"/>
        <v>12Go Link</v>
      </c>
      <c r="E6743" s="2" t="s">
        <v>4339</v>
      </c>
    </row>
    <row r="6744">
      <c r="A6744" s="2" t="s">
        <v>4372</v>
      </c>
      <c r="B6744" s="2" t="s">
        <v>4676</v>
      </c>
      <c r="C6744" s="2" t="s">
        <v>4677</v>
      </c>
      <c r="D6744" s="3" t="str">
        <f t="shared" si="1176"/>
        <v>12Go Link</v>
      </c>
      <c r="E6744" s="2" t="s">
        <v>4340</v>
      </c>
    </row>
    <row r="6745">
      <c r="A6745" s="2" t="s">
        <v>4372</v>
      </c>
      <c r="B6745" s="2" t="s">
        <v>4379</v>
      </c>
      <c r="C6745" s="2" t="s">
        <v>4678</v>
      </c>
      <c r="D6745" s="3" t="str">
        <f t="shared" ref="D6745:D6750" si="1177">HYPERLINK("https://12go.asia/en/travel/Marrakesh-Menara-Airport/Mirleft-Hotel-Transfer", "12Go Link")</f>
        <v>12Go Link</v>
      </c>
      <c r="E6745" s="2" t="s">
        <v>4336</v>
      </c>
    </row>
    <row r="6746">
      <c r="A6746" s="2" t="s">
        <v>4372</v>
      </c>
      <c r="B6746" s="2" t="s">
        <v>4379</v>
      </c>
      <c r="C6746" s="2" t="s">
        <v>4678</v>
      </c>
      <c r="D6746" s="3" t="str">
        <f t="shared" si="1177"/>
        <v>12Go Link</v>
      </c>
      <c r="E6746" s="2" t="s">
        <v>4337</v>
      </c>
    </row>
    <row r="6747">
      <c r="A6747" s="2" t="s">
        <v>4372</v>
      </c>
      <c r="B6747" s="2" t="s">
        <v>4379</v>
      </c>
      <c r="C6747" s="2" t="s">
        <v>4678</v>
      </c>
      <c r="D6747" s="3" t="str">
        <f t="shared" si="1177"/>
        <v>12Go Link</v>
      </c>
      <c r="E6747" s="2" t="s">
        <v>4137</v>
      </c>
    </row>
    <row r="6748">
      <c r="A6748" s="2" t="s">
        <v>4372</v>
      </c>
      <c r="B6748" s="2" t="s">
        <v>4379</v>
      </c>
      <c r="C6748" s="2" t="s">
        <v>4678</v>
      </c>
      <c r="D6748" s="3" t="str">
        <f t="shared" si="1177"/>
        <v>12Go Link</v>
      </c>
      <c r="E6748" s="2" t="s">
        <v>4338</v>
      </c>
    </row>
    <row r="6749">
      <c r="A6749" s="2" t="s">
        <v>4372</v>
      </c>
      <c r="B6749" s="2" t="s">
        <v>4379</v>
      </c>
      <c r="C6749" s="2" t="s">
        <v>4678</v>
      </c>
      <c r="D6749" s="3" t="str">
        <f t="shared" si="1177"/>
        <v>12Go Link</v>
      </c>
      <c r="E6749" s="2" t="s">
        <v>4339</v>
      </c>
    </row>
    <row r="6750">
      <c r="A6750" s="2" t="s">
        <v>4372</v>
      </c>
      <c r="B6750" s="2" t="s">
        <v>4379</v>
      </c>
      <c r="C6750" s="2" t="s">
        <v>4678</v>
      </c>
      <c r="D6750" s="3" t="str">
        <f t="shared" si="1177"/>
        <v>12Go Link</v>
      </c>
      <c r="E6750" s="2" t="s">
        <v>4340</v>
      </c>
    </row>
    <row r="6751">
      <c r="A6751" s="2" t="s">
        <v>4372</v>
      </c>
      <c r="B6751" s="2" t="s">
        <v>4474</v>
      </c>
      <c r="C6751" s="2" t="s">
        <v>4679</v>
      </c>
      <c r="D6751" s="3" t="str">
        <f t="shared" ref="D6751:D6756" si="1178">HYPERLINK("https://12go.asia/en/travel/Marrakesh-Menara-Airport/Mohammedia-Hotel-Transfer", "12Go Link")</f>
        <v>12Go Link</v>
      </c>
      <c r="E6751" s="2" t="s">
        <v>4336</v>
      </c>
    </row>
    <row r="6752">
      <c r="A6752" s="2" t="s">
        <v>4372</v>
      </c>
      <c r="B6752" s="2" t="s">
        <v>4474</v>
      </c>
      <c r="C6752" s="2" t="s">
        <v>4679</v>
      </c>
      <c r="D6752" s="3" t="str">
        <f t="shared" si="1178"/>
        <v>12Go Link</v>
      </c>
      <c r="E6752" s="2" t="s">
        <v>4337</v>
      </c>
    </row>
    <row r="6753">
      <c r="A6753" s="2" t="s">
        <v>4372</v>
      </c>
      <c r="B6753" s="2" t="s">
        <v>4474</v>
      </c>
      <c r="C6753" s="2" t="s">
        <v>4679</v>
      </c>
      <c r="D6753" s="3" t="str">
        <f t="shared" si="1178"/>
        <v>12Go Link</v>
      </c>
      <c r="E6753" s="2" t="s">
        <v>4137</v>
      </c>
    </row>
    <row r="6754">
      <c r="A6754" s="2" t="s">
        <v>4372</v>
      </c>
      <c r="B6754" s="2" t="s">
        <v>4474</v>
      </c>
      <c r="C6754" s="2" t="s">
        <v>4679</v>
      </c>
      <c r="D6754" s="3" t="str">
        <f t="shared" si="1178"/>
        <v>12Go Link</v>
      </c>
      <c r="E6754" s="2" t="s">
        <v>4338</v>
      </c>
    </row>
    <row r="6755">
      <c r="A6755" s="2" t="s">
        <v>4372</v>
      </c>
      <c r="B6755" s="2" t="s">
        <v>4474</v>
      </c>
      <c r="C6755" s="2" t="s">
        <v>4679</v>
      </c>
      <c r="D6755" s="3" t="str">
        <f t="shared" si="1178"/>
        <v>12Go Link</v>
      </c>
      <c r="E6755" s="2" t="s">
        <v>4339</v>
      </c>
    </row>
    <row r="6756">
      <c r="A6756" s="2" t="s">
        <v>4372</v>
      </c>
      <c r="B6756" s="2" t="s">
        <v>4474</v>
      </c>
      <c r="C6756" s="2" t="s">
        <v>4679</v>
      </c>
      <c r="D6756" s="3" t="str">
        <f t="shared" si="1178"/>
        <v>12Go Link</v>
      </c>
      <c r="E6756" s="2" t="s">
        <v>4340</v>
      </c>
    </row>
    <row r="6757">
      <c r="A6757" s="2" t="s">
        <v>4372</v>
      </c>
      <c r="B6757" s="2" t="s">
        <v>4680</v>
      </c>
      <c r="C6757" s="2" t="s">
        <v>4681</v>
      </c>
      <c r="D6757" s="3" t="str">
        <f t="shared" ref="D6757:D6762" si="1179">HYPERLINK("https://12go.asia/en/travel/Marrakesh-Menara-Airport/Ouahat-Sidi-Brahim-Hotel-Transfer", "12Go Link")</f>
        <v>12Go Link</v>
      </c>
      <c r="E6757" s="2" t="s">
        <v>4336</v>
      </c>
    </row>
    <row r="6758">
      <c r="A6758" s="2" t="s">
        <v>4372</v>
      </c>
      <c r="B6758" s="2" t="s">
        <v>4680</v>
      </c>
      <c r="C6758" s="2" t="s">
        <v>4681</v>
      </c>
      <c r="D6758" s="3" t="str">
        <f t="shared" si="1179"/>
        <v>12Go Link</v>
      </c>
      <c r="E6758" s="2" t="s">
        <v>4337</v>
      </c>
    </row>
    <row r="6759">
      <c r="A6759" s="2" t="s">
        <v>4372</v>
      </c>
      <c r="B6759" s="2" t="s">
        <v>4680</v>
      </c>
      <c r="C6759" s="2" t="s">
        <v>4681</v>
      </c>
      <c r="D6759" s="3" t="str">
        <f t="shared" si="1179"/>
        <v>12Go Link</v>
      </c>
      <c r="E6759" s="2" t="s">
        <v>4137</v>
      </c>
    </row>
    <row r="6760">
      <c r="A6760" s="2" t="s">
        <v>4372</v>
      </c>
      <c r="B6760" s="2" t="s">
        <v>4680</v>
      </c>
      <c r="C6760" s="2" t="s">
        <v>4681</v>
      </c>
      <c r="D6760" s="3" t="str">
        <f t="shared" si="1179"/>
        <v>12Go Link</v>
      </c>
      <c r="E6760" s="2" t="s">
        <v>4338</v>
      </c>
    </row>
    <row r="6761">
      <c r="A6761" s="2" t="s">
        <v>4372</v>
      </c>
      <c r="B6761" s="2" t="s">
        <v>4680</v>
      </c>
      <c r="C6761" s="2" t="s">
        <v>4681</v>
      </c>
      <c r="D6761" s="3" t="str">
        <f t="shared" si="1179"/>
        <v>12Go Link</v>
      </c>
      <c r="E6761" s="2" t="s">
        <v>4339</v>
      </c>
    </row>
    <row r="6762">
      <c r="A6762" s="2" t="s">
        <v>4372</v>
      </c>
      <c r="B6762" s="2" t="s">
        <v>4680</v>
      </c>
      <c r="C6762" s="2" t="s">
        <v>4681</v>
      </c>
      <c r="D6762" s="3" t="str">
        <f t="shared" si="1179"/>
        <v>12Go Link</v>
      </c>
      <c r="E6762" s="2" t="s">
        <v>4340</v>
      </c>
    </row>
    <row r="6763">
      <c r="A6763" s="2" t="s">
        <v>4372</v>
      </c>
      <c r="B6763" s="2" t="s">
        <v>4476</v>
      </c>
      <c r="C6763" s="2" t="s">
        <v>4682</v>
      </c>
      <c r="D6763" s="3" t="str">
        <f t="shared" ref="D6763:D6768" si="1180">HYPERLINK("https://12go.asia/en/travel/Marrakesh-Menara-Airport/Oualidia-Hotel-Transfer", "12Go Link")</f>
        <v>12Go Link</v>
      </c>
      <c r="E6763" s="2" t="s">
        <v>4336</v>
      </c>
    </row>
    <row r="6764">
      <c r="A6764" s="2" t="s">
        <v>4372</v>
      </c>
      <c r="B6764" s="2" t="s">
        <v>4476</v>
      </c>
      <c r="C6764" s="2" t="s">
        <v>4682</v>
      </c>
      <c r="D6764" s="3" t="str">
        <f t="shared" si="1180"/>
        <v>12Go Link</v>
      </c>
      <c r="E6764" s="2" t="s">
        <v>4337</v>
      </c>
    </row>
    <row r="6765">
      <c r="A6765" s="2" t="s">
        <v>4372</v>
      </c>
      <c r="B6765" s="2" t="s">
        <v>4476</v>
      </c>
      <c r="C6765" s="2" t="s">
        <v>4682</v>
      </c>
      <c r="D6765" s="3" t="str">
        <f t="shared" si="1180"/>
        <v>12Go Link</v>
      </c>
      <c r="E6765" s="2" t="s">
        <v>4137</v>
      </c>
    </row>
    <row r="6766">
      <c r="A6766" s="2" t="s">
        <v>4372</v>
      </c>
      <c r="B6766" s="2" t="s">
        <v>4476</v>
      </c>
      <c r="C6766" s="2" t="s">
        <v>4682</v>
      </c>
      <c r="D6766" s="3" t="str">
        <f t="shared" si="1180"/>
        <v>12Go Link</v>
      </c>
      <c r="E6766" s="2" t="s">
        <v>4338</v>
      </c>
    </row>
    <row r="6767">
      <c r="A6767" s="2" t="s">
        <v>4372</v>
      </c>
      <c r="B6767" s="2" t="s">
        <v>4476</v>
      </c>
      <c r="C6767" s="2" t="s">
        <v>4682</v>
      </c>
      <c r="D6767" s="3" t="str">
        <f t="shared" si="1180"/>
        <v>12Go Link</v>
      </c>
      <c r="E6767" s="2" t="s">
        <v>4339</v>
      </c>
    </row>
    <row r="6768">
      <c r="A6768" s="2" t="s">
        <v>4372</v>
      </c>
      <c r="B6768" s="2" t="s">
        <v>4476</v>
      </c>
      <c r="C6768" s="2" t="s">
        <v>4682</v>
      </c>
      <c r="D6768" s="3" t="str">
        <f t="shared" si="1180"/>
        <v>12Go Link</v>
      </c>
      <c r="E6768" s="2" t="s">
        <v>4340</v>
      </c>
    </row>
    <row r="6769">
      <c r="A6769" s="2" t="s">
        <v>4372</v>
      </c>
      <c r="B6769" s="2" t="s">
        <v>4381</v>
      </c>
      <c r="C6769" s="2" t="s">
        <v>4683</v>
      </c>
      <c r="D6769" s="3" t="str">
        <f t="shared" ref="D6769:D6774" si="1181">HYPERLINK("https://12go.asia/en/travel/Marrakesh-Menara-Airport/Ouarzazate-Hotel-Transfer", "12Go Link")</f>
        <v>12Go Link</v>
      </c>
      <c r="E6769" s="2" t="s">
        <v>4336</v>
      </c>
    </row>
    <row r="6770">
      <c r="A6770" s="2" t="s">
        <v>4372</v>
      </c>
      <c r="B6770" s="2" t="s">
        <v>4381</v>
      </c>
      <c r="C6770" s="2" t="s">
        <v>4683</v>
      </c>
      <c r="D6770" s="3" t="str">
        <f t="shared" si="1181"/>
        <v>12Go Link</v>
      </c>
      <c r="E6770" s="2" t="s">
        <v>4337</v>
      </c>
    </row>
    <row r="6771">
      <c r="A6771" s="2" t="s">
        <v>4372</v>
      </c>
      <c r="B6771" s="2" t="s">
        <v>4381</v>
      </c>
      <c r="C6771" s="2" t="s">
        <v>4683</v>
      </c>
      <c r="D6771" s="3" t="str">
        <f t="shared" si="1181"/>
        <v>12Go Link</v>
      </c>
      <c r="E6771" s="2" t="s">
        <v>4137</v>
      </c>
    </row>
    <row r="6772">
      <c r="A6772" s="2" t="s">
        <v>4372</v>
      </c>
      <c r="B6772" s="2" t="s">
        <v>4381</v>
      </c>
      <c r="C6772" s="2" t="s">
        <v>4683</v>
      </c>
      <c r="D6772" s="3" t="str">
        <f t="shared" si="1181"/>
        <v>12Go Link</v>
      </c>
      <c r="E6772" s="2" t="s">
        <v>4338</v>
      </c>
    </row>
    <row r="6773">
      <c r="A6773" s="2" t="s">
        <v>4372</v>
      </c>
      <c r="B6773" s="2" t="s">
        <v>4381</v>
      </c>
      <c r="C6773" s="2" t="s">
        <v>4683</v>
      </c>
      <c r="D6773" s="3" t="str">
        <f t="shared" si="1181"/>
        <v>12Go Link</v>
      </c>
      <c r="E6773" s="2" t="s">
        <v>4339</v>
      </c>
    </row>
    <row r="6774">
      <c r="A6774" s="2" t="s">
        <v>4372</v>
      </c>
      <c r="B6774" s="2" t="s">
        <v>4381</v>
      </c>
      <c r="C6774" s="2" t="s">
        <v>4683</v>
      </c>
      <c r="D6774" s="3" t="str">
        <f t="shared" si="1181"/>
        <v>12Go Link</v>
      </c>
      <c r="E6774" s="2" t="s">
        <v>4340</v>
      </c>
    </row>
    <row r="6775">
      <c r="A6775" s="2" t="s">
        <v>4372</v>
      </c>
      <c r="B6775" s="2" t="s">
        <v>4384</v>
      </c>
      <c r="C6775" s="2" t="s">
        <v>4684</v>
      </c>
      <c r="D6775" s="3" t="str">
        <f t="shared" ref="D6775:D6780" si="1182">HYPERLINK("https://12go.asia/en/travel/Marrakesh-Menara-Airport/Ouirgane-Hotel-Transfer", "12Go Link")</f>
        <v>12Go Link</v>
      </c>
      <c r="E6775" s="2" t="s">
        <v>4336</v>
      </c>
    </row>
    <row r="6776">
      <c r="A6776" s="2" t="s">
        <v>4372</v>
      </c>
      <c r="B6776" s="2" t="s">
        <v>4384</v>
      </c>
      <c r="C6776" s="2" t="s">
        <v>4684</v>
      </c>
      <c r="D6776" s="3" t="str">
        <f t="shared" si="1182"/>
        <v>12Go Link</v>
      </c>
      <c r="E6776" s="2" t="s">
        <v>4337</v>
      </c>
    </row>
    <row r="6777">
      <c r="A6777" s="2" t="s">
        <v>4372</v>
      </c>
      <c r="B6777" s="2" t="s">
        <v>4384</v>
      </c>
      <c r="C6777" s="2" t="s">
        <v>4684</v>
      </c>
      <c r="D6777" s="3" t="str">
        <f t="shared" si="1182"/>
        <v>12Go Link</v>
      </c>
      <c r="E6777" s="2" t="s">
        <v>4137</v>
      </c>
    </row>
    <row r="6778">
      <c r="A6778" s="2" t="s">
        <v>4372</v>
      </c>
      <c r="B6778" s="2" t="s">
        <v>4384</v>
      </c>
      <c r="C6778" s="2" t="s">
        <v>4684</v>
      </c>
      <c r="D6778" s="3" t="str">
        <f t="shared" si="1182"/>
        <v>12Go Link</v>
      </c>
      <c r="E6778" s="2" t="s">
        <v>4338</v>
      </c>
    </row>
    <row r="6779">
      <c r="A6779" s="2" t="s">
        <v>4372</v>
      </c>
      <c r="B6779" s="2" t="s">
        <v>4384</v>
      </c>
      <c r="C6779" s="2" t="s">
        <v>4684</v>
      </c>
      <c r="D6779" s="3" t="str">
        <f t="shared" si="1182"/>
        <v>12Go Link</v>
      </c>
      <c r="E6779" s="2" t="s">
        <v>4339</v>
      </c>
    </row>
    <row r="6780">
      <c r="A6780" s="2" t="s">
        <v>4372</v>
      </c>
      <c r="B6780" s="2" t="s">
        <v>4384</v>
      </c>
      <c r="C6780" s="2" t="s">
        <v>4684</v>
      </c>
      <c r="D6780" s="3" t="str">
        <f t="shared" si="1182"/>
        <v>12Go Link</v>
      </c>
      <c r="E6780" s="2" t="s">
        <v>4340</v>
      </c>
    </row>
    <row r="6781">
      <c r="A6781" s="2" t="s">
        <v>4372</v>
      </c>
      <c r="B6781" s="2" t="s">
        <v>4685</v>
      </c>
      <c r="C6781" s="2" t="s">
        <v>4686</v>
      </c>
      <c r="D6781" s="3" t="str">
        <f t="shared" ref="D6781:D6786" si="1183">HYPERLINK("https://12go.asia/en/travel/Marrakesh-Menara-Airport/Oukaïmeden-Hotel-Transfer", "12Go Link")</f>
        <v>12Go Link</v>
      </c>
      <c r="E6781" s="2" t="s">
        <v>4336</v>
      </c>
    </row>
    <row r="6782">
      <c r="A6782" s="2" t="s">
        <v>4372</v>
      </c>
      <c r="B6782" s="2" t="s">
        <v>4685</v>
      </c>
      <c r="C6782" s="2" t="s">
        <v>4686</v>
      </c>
      <c r="D6782" s="3" t="str">
        <f t="shared" si="1183"/>
        <v>12Go Link</v>
      </c>
      <c r="E6782" s="2" t="s">
        <v>4337</v>
      </c>
    </row>
    <row r="6783">
      <c r="A6783" s="2" t="s">
        <v>4372</v>
      </c>
      <c r="B6783" s="2" t="s">
        <v>4685</v>
      </c>
      <c r="C6783" s="2" t="s">
        <v>4686</v>
      </c>
      <c r="D6783" s="3" t="str">
        <f t="shared" si="1183"/>
        <v>12Go Link</v>
      </c>
      <c r="E6783" s="2" t="s">
        <v>4137</v>
      </c>
    </row>
    <row r="6784">
      <c r="A6784" s="2" t="s">
        <v>4372</v>
      </c>
      <c r="B6784" s="2" t="s">
        <v>4685</v>
      </c>
      <c r="C6784" s="2" t="s">
        <v>4686</v>
      </c>
      <c r="D6784" s="3" t="str">
        <f t="shared" si="1183"/>
        <v>12Go Link</v>
      </c>
      <c r="E6784" s="2" t="s">
        <v>4338</v>
      </c>
    </row>
    <row r="6785">
      <c r="A6785" s="2" t="s">
        <v>4372</v>
      </c>
      <c r="B6785" s="2" t="s">
        <v>4685</v>
      </c>
      <c r="C6785" s="2" t="s">
        <v>4686</v>
      </c>
      <c r="D6785" s="3" t="str">
        <f t="shared" si="1183"/>
        <v>12Go Link</v>
      </c>
      <c r="E6785" s="2" t="s">
        <v>4339</v>
      </c>
    </row>
    <row r="6786">
      <c r="A6786" s="2" t="s">
        <v>4372</v>
      </c>
      <c r="B6786" s="2" t="s">
        <v>4685</v>
      </c>
      <c r="C6786" s="2" t="s">
        <v>4686</v>
      </c>
      <c r="D6786" s="3" t="str">
        <f t="shared" si="1183"/>
        <v>12Go Link</v>
      </c>
      <c r="E6786" s="2" t="s">
        <v>4340</v>
      </c>
    </row>
    <row r="6787">
      <c r="A6787" s="2" t="s">
        <v>4372</v>
      </c>
      <c r="B6787" s="2" t="s">
        <v>4687</v>
      </c>
      <c r="C6787" s="2" t="s">
        <v>4688</v>
      </c>
      <c r="D6787" s="3" t="str">
        <f t="shared" ref="D6787:D6792" si="1184">HYPERLINK("https://12go.asia/en/travel/Marrakesh-Menara-Airport/Ourika-Hotel-Transfer", "12Go Link")</f>
        <v>12Go Link</v>
      </c>
      <c r="E6787" s="2" t="s">
        <v>4336</v>
      </c>
    </row>
    <row r="6788">
      <c r="A6788" s="2" t="s">
        <v>4372</v>
      </c>
      <c r="B6788" s="2" t="s">
        <v>4687</v>
      </c>
      <c r="C6788" s="2" t="s">
        <v>4688</v>
      </c>
      <c r="D6788" s="3" t="str">
        <f t="shared" si="1184"/>
        <v>12Go Link</v>
      </c>
      <c r="E6788" s="2" t="s">
        <v>4337</v>
      </c>
    </row>
    <row r="6789">
      <c r="A6789" s="2" t="s">
        <v>4372</v>
      </c>
      <c r="B6789" s="2" t="s">
        <v>4687</v>
      </c>
      <c r="C6789" s="2" t="s">
        <v>4688</v>
      </c>
      <c r="D6789" s="3" t="str">
        <f t="shared" si="1184"/>
        <v>12Go Link</v>
      </c>
      <c r="E6789" s="2" t="s">
        <v>4137</v>
      </c>
    </row>
    <row r="6790">
      <c r="A6790" s="2" t="s">
        <v>4372</v>
      </c>
      <c r="B6790" s="2" t="s">
        <v>4687</v>
      </c>
      <c r="C6790" s="2" t="s">
        <v>4688</v>
      </c>
      <c r="D6790" s="3" t="str">
        <f t="shared" si="1184"/>
        <v>12Go Link</v>
      </c>
      <c r="E6790" s="2" t="s">
        <v>4338</v>
      </c>
    </row>
    <row r="6791">
      <c r="A6791" s="2" t="s">
        <v>4372</v>
      </c>
      <c r="B6791" s="2" t="s">
        <v>4687</v>
      </c>
      <c r="C6791" s="2" t="s">
        <v>4688</v>
      </c>
      <c r="D6791" s="3" t="str">
        <f t="shared" si="1184"/>
        <v>12Go Link</v>
      </c>
      <c r="E6791" s="2" t="s">
        <v>4339</v>
      </c>
    </row>
    <row r="6792">
      <c r="A6792" s="2" t="s">
        <v>4372</v>
      </c>
      <c r="B6792" s="2" t="s">
        <v>4687</v>
      </c>
      <c r="C6792" s="2" t="s">
        <v>4688</v>
      </c>
      <c r="D6792" s="3" t="str">
        <f t="shared" si="1184"/>
        <v>12Go Link</v>
      </c>
      <c r="E6792" s="2" t="s">
        <v>4340</v>
      </c>
    </row>
    <row r="6793">
      <c r="A6793" s="2" t="s">
        <v>4372</v>
      </c>
      <c r="B6793" s="2" t="s">
        <v>4386</v>
      </c>
      <c r="C6793" s="2" t="s">
        <v>4689</v>
      </c>
      <c r="D6793" s="3" t="str">
        <f t="shared" ref="D6793:D6798" si="1185">HYPERLINK("https://12go.asia/en/travel/Marrakech-Medina-Transfer/Rabat-Sale-Airport", "12Go Link")</f>
        <v>12Go Link</v>
      </c>
      <c r="E6793" s="2" t="s">
        <v>4336</v>
      </c>
    </row>
    <row r="6794">
      <c r="A6794" s="2" t="s">
        <v>4372</v>
      </c>
      <c r="B6794" s="2" t="s">
        <v>4386</v>
      </c>
      <c r="C6794" s="2" t="s">
        <v>4689</v>
      </c>
      <c r="D6794" s="3" t="str">
        <f t="shared" si="1185"/>
        <v>12Go Link</v>
      </c>
      <c r="E6794" s="2" t="s">
        <v>4337</v>
      </c>
    </row>
    <row r="6795">
      <c r="A6795" s="2" t="s">
        <v>4372</v>
      </c>
      <c r="B6795" s="2" t="s">
        <v>4386</v>
      </c>
      <c r="C6795" s="2" t="s">
        <v>4689</v>
      </c>
      <c r="D6795" s="3" t="str">
        <f t="shared" si="1185"/>
        <v>12Go Link</v>
      </c>
      <c r="E6795" s="2" t="s">
        <v>4137</v>
      </c>
    </row>
    <row r="6796">
      <c r="A6796" s="2" t="s">
        <v>4372</v>
      </c>
      <c r="B6796" s="2" t="s">
        <v>4386</v>
      </c>
      <c r="C6796" s="2" t="s">
        <v>4689</v>
      </c>
      <c r="D6796" s="3" t="str">
        <f t="shared" si="1185"/>
        <v>12Go Link</v>
      </c>
      <c r="E6796" s="2" t="s">
        <v>4338</v>
      </c>
    </row>
    <row r="6797">
      <c r="A6797" s="2" t="s">
        <v>4372</v>
      </c>
      <c r="B6797" s="2" t="s">
        <v>4386</v>
      </c>
      <c r="C6797" s="2" t="s">
        <v>4689</v>
      </c>
      <c r="D6797" s="3" t="str">
        <f t="shared" si="1185"/>
        <v>12Go Link</v>
      </c>
      <c r="E6797" s="2" t="s">
        <v>4339</v>
      </c>
    </row>
    <row r="6798">
      <c r="A6798" s="2" t="s">
        <v>4372</v>
      </c>
      <c r="B6798" s="2" t="s">
        <v>4386</v>
      </c>
      <c r="C6798" s="2" t="s">
        <v>4689</v>
      </c>
      <c r="D6798" s="3" t="str">
        <f t="shared" si="1185"/>
        <v>12Go Link</v>
      </c>
      <c r="E6798" s="2" t="s">
        <v>4340</v>
      </c>
    </row>
    <row r="6799">
      <c r="A6799" s="2" t="s">
        <v>4372</v>
      </c>
      <c r="B6799" s="2" t="s">
        <v>4386</v>
      </c>
      <c r="C6799" s="2" t="s">
        <v>4690</v>
      </c>
      <c r="D6799" s="3" t="str">
        <f t="shared" ref="D6799:D6804" si="1186">HYPERLINK("https://12go.asia/en/travel/Marrakesh-Hotel-Transfer/Rabat-Sale-Airport", "12Go Link")</f>
        <v>12Go Link</v>
      </c>
      <c r="E6799" s="2" t="s">
        <v>4336</v>
      </c>
    </row>
    <row r="6800">
      <c r="A6800" s="2" t="s">
        <v>4372</v>
      </c>
      <c r="B6800" s="2" t="s">
        <v>4386</v>
      </c>
      <c r="C6800" s="2" t="s">
        <v>4690</v>
      </c>
      <c r="D6800" s="3" t="str">
        <f t="shared" si="1186"/>
        <v>12Go Link</v>
      </c>
      <c r="E6800" s="2" t="s">
        <v>4337</v>
      </c>
    </row>
    <row r="6801">
      <c r="A6801" s="2" t="s">
        <v>4372</v>
      </c>
      <c r="B6801" s="2" t="s">
        <v>4386</v>
      </c>
      <c r="C6801" s="2" t="s">
        <v>4690</v>
      </c>
      <c r="D6801" s="3" t="str">
        <f t="shared" si="1186"/>
        <v>12Go Link</v>
      </c>
      <c r="E6801" s="2" t="s">
        <v>4137</v>
      </c>
    </row>
    <row r="6802">
      <c r="A6802" s="2" t="s">
        <v>4372</v>
      </c>
      <c r="B6802" s="2" t="s">
        <v>4386</v>
      </c>
      <c r="C6802" s="2" t="s">
        <v>4690</v>
      </c>
      <c r="D6802" s="3" t="str">
        <f t="shared" si="1186"/>
        <v>12Go Link</v>
      </c>
      <c r="E6802" s="2" t="s">
        <v>4338</v>
      </c>
    </row>
    <row r="6803">
      <c r="A6803" s="2" t="s">
        <v>4372</v>
      </c>
      <c r="B6803" s="2" t="s">
        <v>4386</v>
      </c>
      <c r="C6803" s="2" t="s">
        <v>4690</v>
      </c>
      <c r="D6803" s="3" t="str">
        <f t="shared" si="1186"/>
        <v>12Go Link</v>
      </c>
      <c r="E6803" s="2" t="s">
        <v>4339</v>
      </c>
    </row>
    <row r="6804">
      <c r="A6804" s="2" t="s">
        <v>4372</v>
      </c>
      <c r="B6804" s="2" t="s">
        <v>4386</v>
      </c>
      <c r="C6804" s="2" t="s">
        <v>4690</v>
      </c>
      <c r="D6804" s="3" t="str">
        <f t="shared" si="1186"/>
        <v>12Go Link</v>
      </c>
      <c r="E6804" s="2" t="s">
        <v>4340</v>
      </c>
    </row>
    <row r="6805">
      <c r="A6805" s="2" t="s">
        <v>4372</v>
      </c>
      <c r="B6805" s="2" t="s">
        <v>4386</v>
      </c>
      <c r="C6805" s="2" t="s">
        <v>4691</v>
      </c>
      <c r="D6805" s="3" t="str">
        <f t="shared" ref="D6805:D6810" si="1187">HYPERLINK("https://12go.asia/en/travel/Marrakesh-Menara-Airport/Agdal-Rabat-Hotel-Transfer", "12Go Link")</f>
        <v>12Go Link</v>
      </c>
      <c r="E6805" s="2" t="s">
        <v>4336</v>
      </c>
    </row>
    <row r="6806">
      <c r="A6806" s="2" t="s">
        <v>4372</v>
      </c>
      <c r="B6806" s="2" t="s">
        <v>4386</v>
      </c>
      <c r="C6806" s="2" t="s">
        <v>4691</v>
      </c>
      <c r="D6806" s="3" t="str">
        <f t="shared" si="1187"/>
        <v>12Go Link</v>
      </c>
      <c r="E6806" s="2" t="s">
        <v>4337</v>
      </c>
    </row>
    <row r="6807">
      <c r="A6807" s="2" t="s">
        <v>4372</v>
      </c>
      <c r="B6807" s="2" t="s">
        <v>4386</v>
      </c>
      <c r="C6807" s="2" t="s">
        <v>4691</v>
      </c>
      <c r="D6807" s="3" t="str">
        <f t="shared" si="1187"/>
        <v>12Go Link</v>
      </c>
      <c r="E6807" s="2" t="s">
        <v>4137</v>
      </c>
    </row>
    <row r="6808">
      <c r="A6808" s="2" t="s">
        <v>4372</v>
      </c>
      <c r="B6808" s="2" t="s">
        <v>4386</v>
      </c>
      <c r="C6808" s="2" t="s">
        <v>4691</v>
      </c>
      <c r="D6808" s="3" t="str">
        <f t="shared" si="1187"/>
        <v>12Go Link</v>
      </c>
      <c r="E6808" s="2" t="s">
        <v>4338</v>
      </c>
    </row>
    <row r="6809">
      <c r="A6809" s="2" t="s">
        <v>4372</v>
      </c>
      <c r="B6809" s="2" t="s">
        <v>4386</v>
      </c>
      <c r="C6809" s="2" t="s">
        <v>4691</v>
      </c>
      <c r="D6809" s="3" t="str">
        <f t="shared" si="1187"/>
        <v>12Go Link</v>
      </c>
      <c r="E6809" s="2" t="s">
        <v>4339</v>
      </c>
    </row>
    <row r="6810">
      <c r="A6810" s="2" t="s">
        <v>4372</v>
      </c>
      <c r="B6810" s="2" t="s">
        <v>4386</v>
      </c>
      <c r="C6810" s="2" t="s">
        <v>4691</v>
      </c>
      <c r="D6810" s="3" t="str">
        <f t="shared" si="1187"/>
        <v>12Go Link</v>
      </c>
      <c r="E6810" s="2" t="s">
        <v>4340</v>
      </c>
    </row>
    <row r="6811">
      <c r="A6811" s="2" t="s">
        <v>4372</v>
      </c>
      <c r="B6811" s="2" t="s">
        <v>4386</v>
      </c>
      <c r="C6811" s="2" t="s">
        <v>4692</v>
      </c>
      <c r="D6811" s="3" t="str">
        <f t="shared" ref="D6811:D6816" si="1188">HYPERLINK("https://12go.asia/en/travel/Marrakesh-Menara-Airport/Rabat-Hotel-Transfer", "12Go Link")</f>
        <v>12Go Link</v>
      </c>
      <c r="E6811" s="2" t="s">
        <v>4336</v>
      </c>
    </row>
    <row r="6812">
      <c r="A6812" s="2" t="s">
        <v>4372</v>
      </c>
      <c r="B6812" s="2" t="s">
        <v>4386</v>
      </c>
      <c r="C6812" s="2" t="s">
        <v>4692</v>
      </c>
      <c r="D6812" s="3" t="str">
        <f t="shared" si="1188"/>
        <v>12Go Link</v>
      </c>
      <c r="E6812" s="2" t="s">
        <v>4337</v>
      </c>
    </row>
    <row r="6813">
      <c r="A6813" s="2" t="s">
        <v>4372</v>
      </c>
      <c r="B6813" s="2" t="s">
        <v>4386</v>
      </c>
      <c r="C6813" s="2" t="s">
        <v>4692</v>
      </c>
      <c r="D6813" s="3" t="str">
        <f t="shared" si="1188"/>
        <v>12Go Link</v>
      </c>
      <c r="E6813" s="2" t="s">
        <v>4137</v>
      </c>
    </row>
    <row r="6814">
      <c r="A6814" s="2" t="s">
        <v>4372</v>
      </c>
      <c r="B6814" s="2" t="s">
        <v>4386</v>
      </c>
      <c r="C6814" s="2" t="s">
        <v>4692</v>
      </c>
      <c r="D6814" s="3" t="str">
        <f t="shared" si="1188"/>
        <v>12Go Link</v>
      </c>
      <c r="E6814" s="2" t="s">
        <v>4338</v>
      </c>
    </row>
    <row r="6815">
      <c r="A6815" s="2" t="s">
        <v>4372</v>
      </c>
      <c r="B6815" s="2" t="s">
        <v>4386</v>
      </c>
      <c r="C6815" s="2" t="s">
        <v>4692</v>
      </c>
      <c r="D6815" s="3" t="str">
        <f t="shared" si="1188"/>
        <v>12Go Link</v>
      </c>
      <c r="E6815" s="2" t="s">
        <v>4339</v>
      </c>
    </row>
    <row r="6816">
      <c r="A6816" s="2" t="s">
        <v>4372</v>
      </c>
      <c r="B6816" s="2" t="s">
        <v>4386</v>
      </c>
      <c r="C6816" s="2" t="s">
        <v>4692</v>
      </c>
      <c r="D6816" s="3" t="str">
        <f t="shared" si="1188"/>
        <v>12Go Link</v>
      </c>
      <c r="E6816" s="2" t="s">
        <v>4340</v>
      </c>
    </row>
    <row r="6817">
      <c r="A6817" s="2" t="s">
        <v>4372</v>
      </c>
      <c r="B6817" s="2" t="s">
        <v>4693</v>
      </c>
      <c r="C6817" s="2" t="s">
        <v>4694</v>
      </c>
      <c r="D6817" s="3" t="str">
        <f t="shared" ref="D6817:D6822" si="1189">HYPERLINK("https://12go.asia/en/travel/Marrakesh-Menara-Airport/Sidi-Abdallah-Ghiat-Hotel-Transfer", "12Go Link")</f>
        <v>12Go Link</v>
      </c>
      <c r="E6817" s="2" t="s">
        <v>4336</v>
      </c>
    </row>
    <row r="6818">
      <c r="A6818" s="2" t="s">
        <v>4372</v>
      </c>
      <c r="B6818" s="2" t="s">
        <v>4693</v>
      </c>
      <c r="C6818" s="2" t="s">
        <v>4694</v>
      </c>
      <c r="D6818" s="3" t="str">
        <f t="shared" si="1189"/>
        <v>12Go Link</v>
      </c>
      <c r="E6818" s="2" t="s">
        <v>4337</v>
      </c>
    </row>
    <row r="6819">
      <c r="A6819" s="2" t="s">
        <v>4372</v>
      </c>
      <c r="B6819" s="2" t="s">
        <v>4693</v>
      </c>
      <c r="C6819" s="2" t="s">
        <v>4694</v>
      </c>
      <c r="D6819" s="3" t="str">
        <f t="shared" si="1189"/>
        <v>12Go Link</v>
      </c>
      <c r="E6819" s="2" t="s">
        <v>4137</v>
      </c>
    </row>
    <row r="6820">
      <c r="A6820" s="2" t="s">
        <v>4372</v>
      </c>
      <c r="B6820" s="2" t="s">
        <v>4693</v>
      </c>
      <c r="C6820" s="2" t="s">
        <v>4694</v>
      </c>
      <c r="D6820" s="3" t="str">
        <f t="shared" si="1189"/>
        <v>12Go Link</v>
      </c>
      <c r="E6820" s="2" t="s">
        <v>4338</v>
      </c>
    </row>
    <row r="6821">
      <c r="A6821" s="2" t="s">
        <v>4372</v>
      </c>
      <c r="B6821" s="2" t="s">
        <v>4693</v>
      </c>
      <c r="C6821" s="2" t="s">
        <v>4694</v>
      </c>
      <c r="D6821" s="3" t="str">
        <f t="shared" si="1189"/>
        <v>12Go Link</v>
      </c>
      <c r="E6821" s="2" t="s">
        <v>4339</v>
      </c>
    </row>
    <row r="6822">
      <c r="A6822" s="2" t="s">
        <v>4372</v>
      </c>
      <c r="B6822" s="2" t="s">
        <v>4693</v>
      </c>
      <c r="C6822" s="2" t="s">
        <v>4694</v>
      </c>
      <c r="D6822" s="3" t="str">
        <f t="shared" si="1189"/>
        <v>12Go Link</v>
      </c>
      <c r="E6822" s="2" t="s">
        <v>4340</v>
      </c>
    </row>
    <row r="6823">
      <c r="A6823" s="2" t="s">
        <v>4372</v>
      </c>
      <c r="B6823" s="2" t="s">
        <v>4695</v>
      </c>
      <c r="C6823" s="2" t="s">
        <v>4696</v>
      </c>
      <c r="D6823" s="3" t="str">
        <f t="shared" ref="D6823:D6828" si="1190">HYPERLINK("https://12go.asia/en/travel/Marrakesh-Menara-Airport/Sidi-Bouzguia-Hotel-Transfer", "12Go Link")</f>
        <v>12Go Link</v>
      </c>
      <c r="E6823" s="2" t="s">
        <v>4336</v>
      </c>
    </row>
    <row r="6824">
      <c r="A6824" s="2" t="s">
        <v>4372</v>
      </c>
      <c r="B6824" s="2" t="s">
        <v>4695</v>
      </c>
      <c r="C6824" s="2" t="s">
        <v>4696</v>
      </c>
      <c r="D6824" s="3" t="str">
        <f t="shared" si="1190"/>
        <v>12Go Link</v>
      </c>
      <c r="E6824" s="2" t="s">
        <v>4337</v>
      </c>
    </row>
    <row r="6825">
      <c r="A6825" s="2" t="s">
        <v>4372</v>
      </c>
      <c r="B6825" s="2" t="s">
        <v>4695</v>
      </c>
      <c r="C6825" s="2" t="s">
        <v>4696</v>
      </c>
      <c r="D6825" s="3" t="str">
        <f t="shared" si="1190"/>
        <v>12Go Link</v>
      </c>
      <c r="E6825" s="2" t="s">
        <v>4137</v>
      </c>
    </row>
    <row r="6826">
      <c r="A6826" s="2" t="s">
        <v>4372</v>
      </c>
      <c r="B6826" s="2" t="s">
        <v>4695</v>
      </c>
      <c r="C6826" s="2" t="s">
        <v>4696</v>
      </c>
      <c r="D6826" s="3" t="str">
        <f t="shared" si="1190"/>
        <v>12Go Link</v>
      </c>
      <c r="E6826" s="2" t="s">
        <v>4338</v>
      </c>
    </row>
    <row r="6827">
      <c r="A6827" s="2" t="s">
        <v>4372</v>
      </c>
      <c r="B6827" s="2" t="s">
        <v>4695</v>
      </c>
      <c r="C6827" s="2" t="s">
        <v>4696</v>
      </c>
      <c r="D6827" s="3" t="str">
        <f t="shared" si="1190"/>
        <v>12Go Link</v>
      </c>
      <c r="E6827" s="2" t="s">
        <v>4339</v>
      </c>
    </row>
    <row r="6828">
      <c r="A6828" s="2" t="s">
        <v>4372</v>
      </c>
      <c r="B6828" s="2" t="s">
        <v>4695</v>
      </c>
      <c r="C6828" s="2" t="s">
        <v>4696</v>
      </c>
      <c r="D6828" s="3" t="str">
        <f t="shared" si="1190"/>
        <v>12Go Link</v>
      </c>
      <c r="E6828" s="2" t="s">
        <v>4340</v>
      </c>
    </row>
    <row r="6829">
      <c r="A6829" s="2" t="s">
        <v>4372</v>
      </c>
      <c r="B6829" s="2" t="s">
        <v>4391</v>
      </c>
      <c r="C6829" s="2" t="s">
        <v>4697</v>
      </c>
      <c r="D6829" s="3" t="str">
        <f t="shared" ref="D6829:D6834" si="1191">HYPERLINK("https://12go.asia/en/travel/Marrakesh-Menara-Airport/Sidi-Kaouki-Hotel-Transfer", "12Go Link")</f>
        <v>12Go Link</v>
      </c>
      <c r="E6829" s="2" t="s">
        <v>4336</v>
      </c>
    </row>
    <row r="6830">
      <c r="A6830" s="2" t="s">
        <v>4372</v>
      </c>
      <c r="B6830" s="2" t="s">
        <v>4391</v>
      </c>
      <c r="C6830" s="2" t="s">
        <v>4697</v>
      </c>
      <c r="D6830" s="3" t="str">
        <f t="shared" si="1191"/>
        <v>12Go Link</v>
      </c>
      <c r="E6830" s="2" t="s">
        <v>4337</v>
      </c>
    </row>
    <row r="6831">
      <c r="A6831" s="2" t="s">
        <v>4372</v>
      </c>
      <c r="B6831" s="2" t="s">
        <v>4391</v>
      </c>
      <c r="C6831" s="2" t="s">
        <v>4697</v>
      </c>
      <c r="D6831" s="3" t="str">
        <f t="shared" si="1191"/>
        <v>12Go Link</v>
      </c>
      <c r="E6831" s="2" t="s">
        <v>4137</v>
      </c>
    </row>
    <row r="6832">
      <c r="A6832" s="2" t="s">
        <v>4372</v>
      </c>
      <c r="B6832" s="2" t="s">
        <v>4391</v>
      </c>
      <c r="C6832" s="2" t="s">
        <v>4697</v>
      </c>
      <c r="D6832" s="3" t="str">
        <f t="shared" si="1191"/>
        <v>12Go Link</v>
      </c>
      <c r="E6832" s="2" t="s">
        <v>4338</v>
      </c>
    </row>
    <row r="6833">
      <c r="A6833" s="2" t="s">
        <v>4372</v>
      </c>
      <c r="B6833" s="2" t="s">
        <v>4391</v>
      </c>
      <c r="C6833" s="2" t="s">
        <v>4697</v>
      </c>
      <c r="D6833" s="3" t="str">
        <f t="shared" si="1191"/>
        <v>12Go Link</v>
      </c>
      <c r="E6833" s="2" t="s">
        <v>4339</v>
      </c>
    </row>
    <row r="6834">
      <c r="A6834" s="2" t="s">
        <v>4372</v>
      </c>
      <c r="B6834" s="2" t="s">
        <v>4391</v>
      </c>
      <c r="C6834" s="2" t="s">
        <v>4697</v>
      </c>
      <c r="D6834" s="3" t="str">
        <f t="shared" si="1191"/>
        <v>12Go Link</v>
      </c>
      <c r="E6834" s="2" t="s">
        <v>4340</v>
      </c>
    </row>
    <row r="6835">
      <c r="A6835" s="2" t="s">
        <v>4372</v>
      </c>
      <c r="B6835" s="2" t="s">
        <v>4492</v>
      </c>
      <c r="C6835" s="2" t="s">
        <v>4698</v>
      </c>
      <c r="D6835" s="3" t="str">
        <f t="shared" ref="D6835:D6840" si="1192">HYPERLINK("https://12go.asia/en/travel/Marrakesh-Menara-Airport/Skhirat-Plage-Hotel-Transfer", "12Go Link")</f>
        <v>12Go Link</v>
      </c>
      <c r="E6835" s="2" t="s">
        <v>4336</v>
      </c>
    </row>
    <row r="6836">
      <c r="A6836" s="2" t="s">
        <v>4372</v>
      </c>
      <c r="B6836" s="2" t="s">
        <v>4492</v>
      </c>
      <c r="C6836" s="2" t="s">
        <v>4698</v>
      </c>
      <c r="D6836" s="3" t="str">
        <f t="shared" si="1192"/>
        <v>12Go Link</v>
      </c>
      <c r="E6836" s="2" t="s">
        <v>4337</v>
      </c>
    </row>
    <row r="6837">
      <c r="A6837" s="2" t="s">
        <v>4372</v>
      </c>
      <c r="B6837" s="2" t="s">
        <v>4492</v>
      </c>
      <c r="C6837" s="2" t="s">
        <v>4698</v>
      </c>
      <c r="D6837" s="3" t="str">
        <f t="shared" si="1192"/>
        <v>12Go Link</v>
      </c>
      <c r="E6837" s="2" t="s">
        <v>4137</v>
      </c>
    </row>
    <row r="6838">
      <c r="A6838" s="2" t="s">
        <v>4372</v>
      </c>
      <c r="B6838" s="2" t="s">
        <v>4492</v>
      </c>
      <c r="C6838" s="2" t="s">
        <v>4698</v>
      </c>
      <c r="D6838" s="3" t="str">
        <f t="shared" si="1192"/>
        <v>12Go Link</v>
      </c>
      <c r="E6838" s="2" t="s">
        <v>4338</v>
      </c>
    </row>
    <row r="6839">
      <c r="A6839" s="2" t="s">
        <v>4372</v>
      </c>
      <c r="B6839" s="2" t="s">
        <v>4492</v>
      </c>
      <c r="C6839" s="2" t="s">
        <v>4698</v>
      </c>
      <c r="D6839" s="3" t="str">
        <f t="shared" si="1192"/>
        <v>12Go Link</v>
      </c>
      <c r="E6839" s="2" t="s">
        <v>4339</v>
      </c>
    </row>
    <row r="6840">
      <c r="A6840" s="2" t="s">
        <v>4372</v>
      </c>
      <c r="B6840" s="2" t="s">
        <v>4492</v>
      </c>
      <c r="C6840" s="2" t="s">
        <v>4698</v>
      </c>
      <c r="D6840" s="3" t="str">
        <f t="shared" si="1192"/>
        <v>12Go Link</v>
      </c>
      <c r="E6840" s="2" t="s">
        <v>4340</v>
      </c>
    </row>
    <row r="6841">
      <c r="A6841" s="2" t="s">
        <v>4372</v>
      </c>
      <c r="B6841" s="2" t="s">
        <v>4699</v>
      </c>
      <c r="C6841" s="2" t="s">
        <v>4700</v>
      </c>
      <c r="D6841" s="3" t="str">
        <f t="shared" ref="D6841:D6846" si="1193">HYPERLINK("https://12go.asia/en/travel/Marrakesh-Menara-Airport/Skoura-Hotel-Transfer", "12Go Link")</f>
        <v>12Go Link</v>
      </c>
      <c r="E6841" s="2" t="s">
        <v>4336</v>
      </c>
    </row>
    <row r="6842">
      <c r="A6842" s="2" t="s">
        <v>4372</v>
      </c>
      <c r="B6842" s="2" t="s">
        <v>4699</v>
      </c>
      <c r="C6842" s="2" t="s">
        <v>4700</v>
      </c>
      <c r="D6842" s="3" t="str">
        <f t="shared" si="1193"/>
        <v>12Go Link</v>
      </c>
      <c r="E6842" s="2" t="s">
        <v>4337</v>
      </c>
    </row>
    <row r="6843">
      <c r="A6843" s="2" t="s">
        <v>4372</v>
      </c>
      <c r="B6843" s="2" t="s">
        <v>4699</v>
      </c>
      <c r="C6843" s="2" t="s">
        <v>4700</v>
      </c>
      <c r="D6843" s="3" t="str">
        <f t="shared" si="1193"/>
        <v>12Go Link</v>
      </c>
      <c r="E6843" s="2" t="s">
        <v>4137</v>
      </c>
    </row>
    <row r="6844">
      <c r="A6844" s="2" t="s">
        <v>4372</v>
      </c>
      <c r="B6844" s="2" t="s">
        <v>4699</v>
      </c>
      <c r="C6844" s="2" t="s">
        <v>4700</v>
      </c>
      <c r="D6844" s="3" t="str">
        <f t="shared" si="1193"/>
        <v>12Go Link</v>
      </c>
      <c r="E6844" s="2" t="s">
        <v>4338</v>
      </c>
    </row>
    <row r="6845">
      <c r="A6845" s="2" t="s">
        <v>4372</v>
      </c>
      <c r="B6845" s="2" t="s">
        <v>4699</v>
      </c>
      <c r="C6845" s="2" t="s">
        <v>4700</v>
      </c>
      <c r="D6845" s="3" t="str">
        <f t="shared" si="1193"/>
        <v>12Go Link</v>
      </c>
      <c r="E6845" s="2" t="s">
        <v>4339</v>
      </c>
    </row>
    <row r="6846">
      <c r="A6846" s="2" t="s">
        <v>4372</v>
      </c>
      <c r="B6846" s="2" t="s">
        <v>4699</v>
      </c>
      <c r="C6846" s="2" t="s">
        <v>4700</v>
      </c>
      <c r="D6846" s="3" t="str">
        <f t="shared" si="1193"/>
        <v>12Go Link</v>
      </c>
      <c r="E6846" s="2" t="s">
        <v>4340</v>
      </c>
    </row>
    <row r="6847">
      <c r="A6847" s="2" t="s">
        <v>4372</v>
      </c>
      <c r="B6847" s="2" t="s">
        <v>4701</v>
      </c>
      <c r="C6847" s="2" t="s">
        <v>4702</v>
      </c>
      <c r="D6847" s="3" t="str">
        <f t="shared" ref="D6847:D6852" si="1194">HYPERLINK("https://12go.asia/en/travel/Marrakesh-Menara-Airport/Srayeri-Hotel-Transfer", "12Go Link")</f>
        <v>12Go Link</v>
      </c>
      <c r="E6847" s="2" t="s">
        <v>4336</v>
      </c>
    </row>
    <row r="6848">
      <c r="A6848" s="2" t="s">
        <v>4372</v>
      </c>
      <c r="B6848" s="2" t="s">
        <v>4701</v>
      </c>
      <c r="C6848" s="2" t="s">
        <v>4702</v>
      </c>
      <c r="D6848" s="3" t="str">
        <f t="shared" si="1194"/>
        <v>12Go Link</v>
      </c>
      <c r="E6848" s="2" t="s">
        <v>4337</v>
      </c>
    </row>
    <row r="6849">
      <c r="A6849" s="2" t="s">
        <v>4372</v>
      </c>
      <c r="B6849" s="2" t="s">
        <v>4701</v>
      </c>
      <c r="C6849" s="2" t="s">
        <v>4702</v>
      </c>
      <c r="D6849" s="3" t="str">
        <f t="shared" si="1194"/>
        <v>12Go Link</v>
      </c>
      <c r="E6849" s="2" t="s">
        <v>4137</v>
      </c>
    </row>
    <row r="6850">
      <c r="A6850" s="2" t="s">
        <v>4372</v>
      </c>
      <c r="B6850" s="2" t="s">
        <v>4701</v>
      </c>
      <c r="C6850" s="2" t="s">
        <v>4702</v>
      </c>
      <c r="D6850" s="3" t="str">
        <f t="shared" si="1194"/>
        <v>12Go Link</v>
      </c>
      <c r="E6850" s="2" t="s">
        <v>4338</v>
      </c>
    </row>
    <row r="6851">
      <c r="A6851" s="2" t="s">
        <v>4372</v>
      </c>
      <c r="B6851" s="2" t="s">
        <v>4701</v>
      </c>
      <c r="C6851" s="2" t="s">
        <v>4702</v>
      </c>
      <c r="D6851" s="3" t="str">
        <f t="shared" si="1194"/>
        <v>12Go Link</v>
      </c>
      <c r="E6851" s="2" t="s">
        <v>4339</v>
      </c>
    </row>
    <row r="6852">
      <c r="A6852" s="2" t="s">
        <v>4372</v>
      </c>
      <c r="B6852" s="2" t="s">
        <v>4701</v>
      </c>
      <c r="C6852" s="2" t="s">
        <v>4702</v>
      </c>
      <c r="D6852" s="3" t="str">
        <f t="shared" si="1194"/>
        <v>12Go Link</v>
      </c>
      <c r="E6852" s="2" t="s">
        <v>4340</v>
      </c>
    </row>
    <row r="6853">
      <c r="A6853" s="2" t="s">
        <v>4372</v>
      </c>
      <c r="B6853" s="2" t="s">
        <v>4393</v>
      </c>
      <c r="C6853" s="2" t="s">
        <v>4703</v>
      </c>
      <c r="D6853" s="3" t="str">
        <f t="shared" ref="D6853:D6858" si="1195">HYPERLINK("https://12go.asia/en/travel/Marrakesh-Menara-Airport/Setti-Fadma-Hotel-Transfer", "12Go Link")</f>
        <v>12Go Link</v>
      </c>
      <c r="E6853" s="2" t="s">
        <v>4336</v>
      </c>
    </row>
    <row r="6854">
      <c r="A6854" s="2" t="s">
        <v>4372</v>
      </c>
      <c r="B6854" s="2" t="s">
        <v>4393</v>
      </c>
      <c r="C6854" s="2" t="s">
        <v>4703</v>
      </c>
      <c r="D6854" s="3" t="str">
        <f t="shared" si="1195"/>
        <v>12Go Link</v>
      </c>
      <c r="E6854" s="2" t="s">
        <v>4337</v>
      </c>
    </row>
    <row r="6855">
      <c r="A6855" s="2" t="s">
        <v>4372</v>
      </c>
      <c r="B6855" s="2" t="s">
        <v>4393</v>
      </c>
      <c r="C6855" s="2" t="s">
        <v>4703</v>
      </c>
      <c r="D6855" s="3" t="str">
        <f t="shared" si="1195"/>
        <v>12Go Link</v>
      </c>
      <c r="E6855" s="2" t="s">
        <v>4137</v>
      </c>
    </row>
    <row r="6856">
      <c r="A6856" s="2" t="s">
        <v>4372</v>
      </c>
      <c r="B6856" s="2" t="s">
        <v>4393</v>
      </c>
      <c r="C6856" s="2" t="s">
        <v>4703</v>
      </c>
      <c r="D6856" s="3" t="str">
        <f t="shared" si="1195"/>
        <v>12Go Link</v>
      </c>
      <c r="E6856" s="2" t="s">
        <v>4338</v>
      </c>
    </row>
    <row r="6857">
      <c r="A6857" s="2" t="s">
        <v>4372</v>
      </c>
      <c r="B6857" s="2" t="s">
        <v>4393</v>
      </c>
      <c r="C6857" s="2" t="s">
        <v>4703</v>
      </c>
      <c r="D6857" s="3" t="str">
        <f t="shared" si="1195"/>
        <v>12Go Link</v>
      </c>
      <c r="E6857" s="2" t="s">
        <v>4339</v>
      </c>
    </row>
    <row r="6858">
      <c r="A6858" s="2" t="s">
        <v>4372</v>
      </c>
      <c r="B6858" s="2" t="s">
        <v>4393</v>
      </c>
      <c r="C6858" s="2" t="s">
        <v>4703</v>
      </c>
      <c r="D6858" s="3" t="str">
        <f t="shared" si="1195"/>
        <v>12Go Link</v>
      </c>
      <c r="E6858" s="2" t="s">
        <v>4340</v>
      </c>
    </row>
    <row r="6859">
      <c r="A6859" s="2" t="s">
        <v>4372</v>
      </c>
      <c r="B6859" s="2" t="s">
        <v>4397</v>
      </c>
      <c r="C6859" s="2" t="s">
        <v>4704</v>
      </c>
      <c r="D6859" s="3" t="str">
        <f t="shared" ref="D6859:D6864" si="1196">HYPERLINK("https://12go.asia/en/travel/Marrakesh-Menara-Airport/Taghazout-Hotel-Transfer", "12Go Link")</f>
        <v>12Go Link</v>
      </c>
      <c r="E6859" s="2" t="s">
        <v>4336</v>
      </c>
    </row>
    <row r="6860">
      <c r="A6860" s="2" t="s">
        <v>4372</v>
      </c>
      <c r="B6860" s="2" t="s">
        <v>4397</v>
      </c>
      <c r="C6860" s="2" t="s">
        <v>4704</v>
      </c>
      <c r="D6860" s="3" t="str">
        <f t="shared" si="1196"/>
        <v>12Go Link</v>
      </c>
      <c r="E6860" s="2" t="s">
        <v>4337</v>
      </c>
    </row>
    <row r="6861">
      <c r="A6861" s="2" t="s">
        <v>4372</v>
      </c>
      <c r="B6861" s="2" t="s">
        <v>4397</v>
      </c>
      <c r="C6861" s="2" t="s">
        <v>4704</v>
      </c>
      <c r="D6861" s="3" t="str">
        <f t="shared" si="1196"/>
        <v>12Go Link</v>
      </c>
      <c r="E6861" s="2" t="s">
        <v>4137</v>
      </c>
    </row>
    <row r="6862">
      <c r="A6862" s="2" t="s">
        <v>4372</v>
      </c>
      <c r="B6862" s="2" t="s">
        <v>4397</v>
      </c>
      <c r="C6862" s="2" t="s">
        <v>4704</v>
      </c>
      <c r="D6862" s="3" t="str">
        <f t="shared" si="1196"/>
        <v>12Go Link</v>
      </c>
      <c r="E6862" s="2" t="s">
        <v>4338</v>
      </c>
    </row>
    <row r="6863">
      <c r="A6863" s="2" t="s">
        <v>4372</v>
      </c>
      <c r="B6863" s="2" t="s">
        <v>4397</v>
      </c>
      <c r="C6863" s="2" t="s">
        <v>4704</v>
      </c>
      <c r="D6863" s="3" t="str">
        <f t="shared" si="1196"/>
        <v>12Go Link</v>
      </c>
      <c r="E6863" s="2" t="s">
        <v>4339</v>
      </c>
    </row>
    <row r="6864">
      <c r="A6864" s="2" t="s">
        <v>4372</v>
      </c>
      <c r="B6864" s="2" t="s">
        <v>4397</v>
      </c>
      <c r="C6864" s="2" t="s">
        <v>4704</v>
      </c>
      <c r="D6864" s="3" t="str">
        <f t="shared" si="1196"/>
        <v>12Go Link</v>
      </c>
      <c r="E6864" s="2" t="s">
        <v>4340</v>
      </c>
    </row>
    <row r="6865">
      <c r="A6865" s="2" t="s">
        <v>4372</v>
      </c>
      <c r="B6865" s="2" t="s">
        <v>4705</v>
      </c>
      <c r="C6865" s="2" t="s">
        <v>4706</v>
      </c>
      <c r="D6865" s="3" t="str">
        <f t="shared" ref="D6865:D6870" si="1197">HYPERLINK("https://12go.asia/en/travel/Marrakesh-Menara-Airport/Tahannaout-Hotel-Transfer", "12Go Link")</f>
        <v>12Go Link</v>
      </c>
      <c r="E6865" s="2" t="s">
        <v>4336</v>
      </c>
    </row>
    <row r="6866">
      <c r="A6866" s="2" t="s">
        <v>4372</v>
      </c>
      <c r="B6866" s="2" t="s">
        <v>4705</v>
      </c>
      <c r="C6866" s="2" t="s">
        <v>4706</v>
      </c>
      <c r="D6866" s="3" t="str">
        <f t="shared" si="1197"/>
        <v>12Go Link</v>
      </c>
      <c r="E6866" s="2" t="s">
        <v>4337</v>
      </c>
    </row>
    <row r="6867">
      <c r="A6867" s="2" t="s">
        <v>4372</v>
      </c>
      <c r="B6867" s="2" t="s">
        <v>4705</v>
      </c>
      <c r="C6867" s="2" t="s">
        <v>4706</v>
      </c>
      <c r="D6867" s="3" t="str">
        <f t="shared" si="1197"/>
        <v>12Go Link</v>
      </c>
      <c r="E6867" s="2" t="s">
        <v>4137</v>
      </c>
    </row>
    <row r="6868">
      <c r="A6868" s="2" t="s">
        <v>4372</v>
      </c>
      <c r="B6868" s="2" t="s">
        <v>4705</v>
      </c>
      <c r="C6868" s="2" t="s">
        <v>4706</v>
      </c>
      <c r="D6868" s="3" t="str">
        <f t="shared" si="1197"/>
        <v>12Go Link</v>
      </c>
      <c r="E6868" s="2" t="s">
        <v>4338</v>
      </c>
    </row>
    <row r="6869">
      <c r="A6869" s="2" t="s">
        <v>4372</v>
      </c>
      <c r="B6869" s="2" t="s">
        <v>4705</v>
      </c>
      <c r="C6869" s="2" t="s">
        <v>4706</v>
      </c>
      <c r="D6869" s="3" t="str">
        <f t="shared" si="1197"/>
        <v>12Go Link</v>
      </c>
      <c r="E6869" s="2" t="s">
        <v>4339</v>
      </c>
    </row>
    <row r="6870">
      <c r="A6870" s="2" t="s">
        <v>4372</v>
      </c>
      <c r="B6870" s="2" t="s">
        <v>4705</v>
      </c>
      <c r="C6870" s="2" t="s">
        <v>4706</v>
      </c>
      <c r="D6870" s="3" t="str">
        <f t="shared" si="1197"/>
        <v>12Go Link</v>
      </c>
      <c r="E6870" s="2" t="s">
        <v>4340</v>
      </c>
    </row>
    <row r="6871">
      <c r="A6871" s="2" t="s">
        <v>4372</v>
      </c>
      <c r="B6871" s="2" t="s">
        <v>4403</v>
      </c>
      <c r="C6871" s="2" t="s">
        <v>4707</v>
      </c>
      <c r="D6871" s="3" t="str">
        <f t="shared" ref="D6871:D6876" si="1198">HYPERLINK("https://12go.asia/en/travel/Marrakesh-Menara-Airport/Immouzzer-Hotel-Transfer", "12Go Link")</f>
        <v>12Go Link</v>
      </c>
      <c r="E6871" s="2" t="s">
        <v>4336</v>
      </c>
    </row>
    <row r="6872">
      <c r="A6872" s="2" t="s">
        <v>4372</v>
      </c>
      <c r="B6872" s="2" t="s">
        <v>4403</v>
      </c>
      <c r="C6872" s="2" t="s">
        <v>4707</v>
      </c>
      <c r="D6872" s="3" t="str">
        <f t="shared" si="1198"/>
        <v>12Go Link</v>
      </c>
      <c r="E6872" s="2" t="s">
        <v>4337</v>
      </c>
    </row>
    <row r="6873">
      <c r="A6873" s="2" t="s">
        <v>4372</v>
      </c>
      <c r="B6873" s="2" t="s">
        <v>4403</v>
      </c>
      <c r="C6873" s="2" t="s">
        <v>4707</v>
      </c>
      <c r="D6873" s="3" t="str">
        <f t="shared" si="1198"/>
        <v>12Go Link</v>
      </c>
      <c r="E6873" s="2" t="s">
        <v>4137</v>
      </c>
    </row>
    <row r="6874">
      <c r="A6874" s="2" t="s">
        <v>4372</v>
      </c>
      <c r="B6874" s="2" t="s">
        <v>4403</v>
      </c>
      <c r="C6874" s="2" t="s">
        <v>4707</v>
      </c>
      <c r="D6874" s="3" t="str">
        <f t="shared" si="1198"/>
        <v>12Go Link</v>
      </c>
      <c r="E6874" s="2" t="s">
        <v>4338</v>
      </c>
    </row>
    <row r="6875">
      <c r="A6875" s="2" t="s">
        <v>4372</v>
      </c>
      <c r="B6875" s="2" t="s">
        <v>4403</v>
      </c>
      <c r="C6875" s="2" t="s">
        <v>4707</v>
      </c>
      <c r="D6875" s="3" t="str">
        <f t="shared" si="1198"/>
        <v>12Go Link</v>
      </c>
      <c r="E6875" s="2" t="s">
        <v>4339</v>
      </c>
    </row>
    <row r="6876">
      <c r="A6876" s="2" t="s">
        <v>4372</v>
      </c>
      <c r="B6876" s="2" t="s">
        <v>4403</v>
      </c>
      <c r="C6876" s="2" t="s">
        <v>4707</v>
      </c>
      <c r="D6876" s="3" t="str">
        <f t="shared" si="1198"/>
        <v>12Go Link</v>
      </c>
      <c r="E6876" s="2" t="s">
        <v>4340</v>
      </c>
    </row>
    <row r="6877">
      <c r="A6877" s="2" t="s">
        <v>4372</v>
      </c>
      <c r="B6877" s="2" t="s">
        <v>4403</v>
      </c>
      <c r="C6877" s="2" t="s">
        <v>4708</v>
      </c>
      <c r="D6877" s="3" t="str">
        <f t="shared" ref="D6877:D6882" si="1199">HYPERLINK("https://12go.asia/en/travel/Marrakesh-Menara-Airport/Tangier-Hotel-Transfer", "12Go Link")</f>
        <v>12Go Link</v>
      </c>
      <c r="E6877" s="2" t="s">
        <v>4336</v>
      </c>
    </row>
    <row r="6878">
      <c r="A6878" s="2" t="s">
        <v>4372</v>
      </c>
      <c r="B6878" s="2" t="s">
        <v>4403</v>
      </c>
      <c r="C6878" s="2" t="s">
        <v>4708</v>
      </c>
      <c r="D6878" s="3" t="str">
        <f t="shared" si="1199"/>
        <v>12Go Link</v>
      </c>
      <c r="E6878" s="2" t="s">
        <v>4337</v>
      </c>
    </row>
    <row r="6879">
      <c r="A6879" s="2" t="s">
        <v>4372</v>
      </c>
      <c r="B6879" s="2" t="s">
        <v>4403</v>
      </c>
      <c r="C6879" s="2" t="s">
        <v>4708</v>
      </c>
      <c r="D6879" s="3" t="str">
        <f t="shared" si="1199"/>
        <v>12Go Link</v>
      </c>
      <c r="E6879" s="2" t="s">
        <v>4137</v>
      </c>
    </row>
    <row r="6880">
      <c r="A6880" s="2" t="s">
        <v>4372</v>
      </c>
      <c r="B6880" s="2" t="s">
        <v>4403</v>
      </c>
      <c r="C6880" s="2" t="s">
        <v>4708</v>
      </c>
      <c r="D6880" s="3" t="str">
        <f t="shared" si="1199"/>
        <v>12Go Link</v>
      </c>
      <c r="E6880" s="2" t="s">
        <v>4338</v>
      </c>
    </row>
    <row r="6881">
      <c r="A6881" s="2" t="s">
        <v>4372</v>
      </c>
      <c r="B6881" s="2" t="s">
        <v>4403</v>
      </c>
      <c r="C6881" s="2" t="s">
        <v>4708</v>
      </c>
      <c r="D6881" s="3" t="str">
        <f t="shared" si="1199"/>
        <v>12Go Link</v>
      </c>
      <c r="E6881" s="2" t="s">
        <v>4339</v>
      </c>
    </row>
    <row r="6882">
      <c r="A6882" s="2" t="s">
        <v>4372</v>
      </c>
      <c r="B6882" s="2" t="s">
        <v>4403</v>
      </c>
      <c r="C6882" s="2" t="s">
        <v>4708</v>
      </c>
      <c r="D6882" s="3" t="str">
        <f t="shared" si="1199"/>
        <v>12Go Link</v>
      </c>
      <c r="E6882" s="2" t="s">
        <v>4340</v>
      </c>
    </row>
    <row r="6883">
      <c r="A6883" s="2" t="s">
        <v>4372</v>
      </c>
      <c r="B6883" s="2" t="s">
        <v>4709</v>
      </c>
      <c r="C6883" s="2" t="s">
        <v>4710</v>
      </c>
      <c r="D6883" s="3" t="str">
        <f t="shared" ref="D6883:D6888" si="1200">HYPERLINK("https://12go.asia/en/travel/Marrakesh-Menara-Airport/Tetouan-Hotel-Transfer", "12Go Link")</f>
        <v>12Go Link</v>
      </c>
      <c r="E6883" s="2" t="s">
        <v>4336</v>
      </c>
    </row>
    <row r="6884">
      <c r="A6884" s="2" t="s">
        <v>4372</v>
      </c>
      <c r="B6884" s="2" t="s">
        <v>4709</v>
      </c>
      <c r="C6884" s="2" t="s">
        <v>4710</v>
      </c>
      <c r="D6884" s="3" t="str">
        <f t="shared" si="1200"/>
        <v>12Go Link</v>
      </c>
      <c r="E6884" s="2" t="s">
        <v>4337</v>
      </c>
    </row>
    <row r="6885">
      <c r="A6885" s="2" t="s">
        <v>4372</v>
      </c>
      <c r="B6885" s="2" t="s">
        <v>4709</v>
      </c>
      <c r="C6885" s="2" t="s">
        <v>4710</v>
      </c>
      <c r="D6885" s="3" t="str">
        <f t="shared" si="1200"/>
        <v>12Go Link</v>
      </c>
      <c r="E6885" s="2" t="s">
        <v>4137</v>
      </c>
    </row>
    <row r="6886">
      <c r="A6886" s="2" t="s">
        <v>4372</v>
      </c>
      <c r="B6886" s="2" t="s">
        <v>4709</v>
      </c>
      <c r="C6886" s="2" t="s">
        <v>4710</v>
      </c>
      <c r="D6886" s="3" t="str">
        <f t="shared" si="1200"/>
        <v>12Go Link</v>
      </c>
      <c r="E6886" s="2" t="s">
        <v>4338</v>
      </c>
    </row>
    <row r="6887">
      <c r="A6887" s="2" t="s">
        <v>4372</v>
      </c>
      <c r="B6887" s="2" t="s">
        <v>4709</v>
      </c>
      <c r="C6887" s="2" t="s">
        <v>4710</v>
      </c>
      <c r="D6887" s="3" t="str">
        <f t="shared" si="1200"/>
        <v>12Go Link</v>
      </c>
      <c r="E6887" s="2" t="s">
        <v>4339</v>
      </c>
    </row>
    <row r="6888">
      <c r="A6888" s="2" t="s">
        <v>4372</v>
      </c>
      <c r="B6888" s="2" t="s">
        <v>4709</v>
      </c>
      <c r="C6888" s="2" t="s">
        <v>4710</v>
      </c>
      <c r="D6888" s="3" t="str">
        <f t="shared" si="1200"/>
        <v>12Go Link</v>
      </c>
      <c r="E6888" s="2" t="s">
        <v>4340</v>
      </c>
    </row>
    <row r="6889">
      <c r="A6889" s="2" t="s">
        <v>4372</v>
      </c>
      <c r="B6889" s="2" t="s">
        <v>4711</v>
      </c>
      <c r="C6889" s="2" t="s">
        <v>4712</v>
      </c>
      <c r="D6889" s="3" t="str">
        <f t="shared" ref="D6889:D6894" si="1201">HYPERLINK("https://12go.asia/en/travel/Marrakesh-Menara-Airport/Zagora-Hotel-Transfer", "12Go Link")</f>
        <v>12Go Link</v>
      </c>
      <c r="E6889" s="2" t="s">
        <v>4336</v>
      </c>
    </row>
    <row r="6890">
      <c r="A6890" s="2" t="s">
        <v>4372</v>
      </c>
      <c r="B6890" s="2" t="s">
        <v>4711</v>
      </c>
      <c r="C6890" s="2" t="s">
        <v>4712</v>
      </c>
      <c r="D6890" s="3" t="str">
        <f t="shared" si="1201"/>
        <v>12Go Link</v>
      </c>
      <c r="E6890" s="2" t="s">
        <v>4337</v>
      </c>
    </row>
    <row r="6891">
      <c r="A6891" s="2" t="s">
        <v>4372</v>
      </c>
      <c r="B6891" s="2" t="s">
        <v>4711</v>
      </c>
      <c r="C6891" s="2" t="s">
        <v>4712</v>
      </c>
      <c r="D6891" s="3" t="str">
        <f t="shared" si="1201"/>
        <v>12Go Link</v>
      </c>
      <c r="E6891" s="2" t="s">
        <v>4137</v>
      </c>
    </row>
    <row r="6892">
      <c r="A6892" s="2" t="s">
        <v>4372</v>
      </c>
      <c r="B6892" s="2" t="s">
        <v>4711</v>
      </c>
      <c r="C6892" s="2" t="s">
        <v>4712</v>
      </c>
      <c r="D6892" s="3" t="str">
        <f t="shared" si="1201"/>
        <v>12Go Link</v>
      </c>
      <c r="E6892" s="2" t="s">
        <v>4338</v>
      </c>
    </row>
    <row r="6893">
      <c r="A6893" s="2" t="s">
        <v>4372</v>
      </c>
      <c r="B6893" s="2" t="s">
        <v>4711</v>
      </c>
      <c r="C6893" s="2" t="s">
        <v>4712</v>
      </c>
      <c r="D6893" s="3" t="str">
        <f t="shared" si="1201"/>
        <v>12Go Link</v>
      </c>
      <c r="E6893" s="2" t="s">
        <v>4339</v>
      </c>
    </row>
    <row r="6894">
      <c r="A6894" s="2" t="s">
        <v>4372</v>
      </c>
      <c r="B6894" s="2" t="s">
        <v>4711</v>
      </c>
      <c r="C6894" s="2" t="s">
        <v>4712</v>
      </c>
      <c r="D6894" s="3" t="str">
        <f t="shared" si="1201"/>
        <v>12Go Link</v>
      </c>
      <c r="E6894" s="2" t="s">
        <v>4340</v>
      </c>
    </row>
    <row r="6895">
      <c r="A6895" s="2" t="s">
        <v>4377</v>
      </c>
      <c r="B6895" s="2" t="s">
        <v>4334</v>
      </c>
      <c r="C6895" s="2" t="s">
        <v>4713</v>
      </c>
      <c r="D6895" s="3" t="str">
        <f t="shared" ref="D6895:D6900" si="1202">HYPERLINK("https://12go.asia/en/travel/Meknes-Hotel-Transfer/Agadir-Al-Massira-International-Airport", "12Go Link")</f>
        <v>12Go Link</v>
      </c>
      <c r="E6895" s="2" t="s">
        <v>4336</v>
      </c>
    </row>
    <row r="6896">
      <c r="A6896" s="2" t="s">
        <v>4377</v>
      </c>
      <c r="B6896" s="2" t="s">
        <v>4334</v>
      </c>
      <c r="C6896" s="2" t="s">
        <v>4713</v>
      </c>
      <c r="D6896" s="3" t="str">
        <f t="shared" si="1202"/>
        <v>12Go Link</v>
      </c>
      <c r="E6896" s="2" t="s">
        <v>4337</v>
      </c>
    </row>
    <row r="6897">
      <c r="A6897" s="2" t="s">
        <v>4377</v>
      </c>
      <c r="B6897" s="2" t="s">
        <v>4334</v>
      </c>
      <c r="C6897" s="2" t="s">
        <v>4713</v>
      </c>
      <c r="D6897" s="3" t="str">
        <f t="shared" si="1202"/>
        <v>12Go Link</v>
      </c>
      <c r="E6897" s="2" t="s">
        <v>4137</v>
      </c>
    </row>
    <row r="6898">
      <c r="A6898" s="2" t="s">
        <v>4377</v>
      </c>
      <c r="B6898" s="2" t="s">
        <v>4334</v>
      </c>
      <c r="C6898" s="2" t="s">
        <v>4713</v>
      </c>
      <c r="D6898" s="3" t="str">
        <f t="shared" si="1202"/>
        <v>12Go Link</v>
      </c>
      <c r="E6898" s="2" t="s">
        <v>4338</v>
      </c>
    </row>
    <row r="6899">
      <c r="A6899" s="2" t="s">
        <v>4377</v>
      </c>
      <c r="B6899" s="2" t="s">
        <v>4334</v>
      </c>
      <c r="C6899" s="2" t="s">
        <v>4713</v>
      </c>
      <c r="D6899" s="3" t="str">
        <f t="shared" si="1202"/>
        <v>12Go Link</v>
      </c>
      <c r="E6899" s="2" t="s">
        <v>4339</v>
      </c>
    </row>
    <row r="6900">
      <c r="A6900" s="2" t="s">
        <v>4377</v>
      </c>
      <c r="B6900" s="2" t="s">
        <v>4334</v>
      </c>
      <c r="C6900" s="2" t="s">
        <v>4713</v>
      </c>
      <c r="D6900" s="3" t="str">
        <f t="shared" si="1202"/>
        <v>12Go Link</v>
      </c>
      <c r="E6900" s="2" t="s">
        <v>4340</v>
      </c>
    </row>
    <row r="6901">
      <c r="A6901" s="2" t="s">
        <v>4377</v>
      </c>
      <c r="B6901" s="2" t="s">
        <v>4350</v>
      </c>
      <c r="C6901" s="2" t="s">
        <v>4714</v>
      </c>
      <c r="D6901" s="3" t="str">
        <f t="shared" ref="D6901:D6906" si="1203">HYPERLINK("https://12go.asia/en/travel/Meknes-Hotel-Transfer/Mohammed-V-International-Airport", "12Go Link")</f>
        <v>12Go Link</v>
      </c>
      <c r="E6901" s="2" t="s">
        <v>4336</v>
      </c>
    </row>
    <row r="6902">
      <c r="A6902" s="2" t="s">
        <v>4377</v>
      </c>
      <c r="B6902" s="2" t="s">
        <v>4350</v>
      </c>
      <c r="C6902" s="2" t="s">
        <v>4714</v>
      </c>
      <c r="D6902" s="3" t="str">
        <f t="shared" si="1203"/>
        <v>12Go Link</v>
      </c>
      <c r="E6902" s="2" t="s">
        <v>4337</v>
      </c>
    </row>
    <row r="6903">
      <c r="A6903" s="2" t="s">
        <v>4377</v>
      </c>
      <c r="B6903" s="2" t="s">
        <v>4350</v>
      </c>
      <c r="C6903" s="2" t="s">
        <v>4714</v>
      </c>
      <c r="D6903" s="3" t="str">
        <f t="shared" si="1203"/>
        <v>12Go Link</v>
      </c>
      <c r="E6903" s="2" t="s">
        <v>4137</v>
      </c>
    </row>
    <row r="6904">
      <c r="A6904" s="2" t="s">
        <v>4377</v>
      </c>
      <c r="B6904" s="2" t="s">
        <v>4350</v>
      </c>
      <c r="C6904" s="2" t="s">
        <v>4714</v>
      </c>
      <c r="D6904" s="3" t="str">
        <f t="shared" si="1203"/>
        <v>12Go Link</v>
      </c>
      <c r="E6904" s="2" t="s">
        <v>4338</v>
      </c>
    </row>
    <row r="6905">
      <c r="A6905" s="2" t="s">
        <v>4377</v>
      </c>
      <c r="B6905" s="2" t="s">
        <v>4350</v>
      </c>
      <c r="C6905" s="2" t="s">
        <v>4714</v>
      </c>
      <c r="D6905" s="3" t="str">
        <f t="shared" si="1203"/>
        <v>12Go Link</v>
      </c>
      <c r="E6905" s="2" t="s">
        <v>4339</v>
      </c>
    </row>
    <row r="6906">
      <c r="A6906" s="2" t="s">
        <v>4377</v>
      </c>
      <c r="B6906" s="2" t="s">
        <v>4350</v>
      </c>
      <c r="C6906" s="2" t="s">
        <v>4714</v>
      </c>
      <c r="D6906" s="3" t="str">
        <f t="shared" si="1203"/>
        <v>12Go Link</v>
      </c>
      <c r="E6906" s="2" t="s">
        <v>4340</v>
      </c>
    </row>
    <row r="6907">
      <c r="A6907" s="2" t="s">
        <v>4377</v>
      </c>
      <c r="B6907" s="2" t="s">
        <v>4357</v>
      </c>
      <c r="C6907" s="2" t="s">
        <v>4715</v>
      </c>
      <c r="D6907" s="3" t="str">
        <f t="shared" ref="D6907:D6912" si="1204">HYPERLINK("https://12go.asia/en/travel/Meknes-Hotel-Transfer/Fes-Airport", "12Go Link")</f>
        <v>12Go Link</v>
      </c>
      <c r="E6907" s="2" t="s">
        <v>4336</v>
      </c>
    </row>
    <row r="6908">
      <c r="A6908" s="2" t="s">
        <v>4377</v>
      </c>
      <c r="B6908" s="2" t="s">
        <v>4357</v>
      </c>
      <c r="C6908" s="2" t="s">
        <v>4715</v>
      </c>
      <c r="D6908" s="3" t="str">
        <f t="shared" si="1204"/>
        <v>12Go Link</v>
      </c>
      <c r="E6908" s="2" t="s">
        <v>4337</v>
      </c>
    </row>
    <row r="6909">
      <c r="A6909" s="2" t="s">
        <v>4377</v>
      </c>
      <c r="B6909" s="2" t="s">
        <v>4357</v>
      </c>
      <c r="C6909" s="2" t="s">
        <v>4715</v>
      </c>
      <c r="D6909" s="3" t="str">
        <f t="shared" si="1204"/>
        <v>12Go Link</v>
      </c>
      <c r="E6909" s="2" t="s">
        <v>4137</v>
      </c>
    </row>
    <row r="6910">
      <c r="A6910" s="2" t="s">
        <v>4377</v>
      </c>
      <c r="B6910" s="2" t="s">
        <v>4357</v>
      </c>
      <c r="C6910" s="2" t="s">
        <v>4715</v>
      </c>
      <c r="D6910" s="3" t="str">
        <f t="shared" si="1204"/>
        <v>12Go Link</v>
      </c>
      <c r="E6910" s="2" t="s">
        <v>4338</v>
      </c>
    </row>
    <row r="6911">
      <c r="A6911" s="2" t="s">
        <v>4377</v>
      </c>
      <c r="B6911" s="2" t="s">
        <v>4357</v>
      </c>
      <c r="C6911" s="2" t="s">
        <v>4715</v>
      </c>
      <c r="D6911" s="3" t="str">
        <f t="shared" si="1204"/>
        <v>12Go Link</v>
      </c>
      <c r="E6911" s="2" t="s">
        <v>4339</v>
      </c>
    </row>
    <row r="6912">
      <c r="A6912" s="2" t="s">
        <v>4377</v>
      </c>
      <c r="B6912" s="2" t="s">
        <v>4357</v>
      </c>
      <c r="C6912" s="2" t="s">
        <v>4715</v>
      </c>
      <c r="D6912" s="3" t="str">
        <f t="shared" si="1204"/>
        <v>12Go Link</v>
      </c>
      <c r="E6912" s="2" t="s">
        <v>4340</v>
      </c>
    </row>
    <row r="6913">
      <c r="A6913" s="2" t="s">
        <v>4377</v>
      </c>
      <c r="B6913" s="2" t="s">
        <v>4372</v>
      </c>
      <c r="C6913" s="2" t="s">
        <v>4716</v>
      </c>
      <c r="D6913" s="3" t="str">
        <f t="shared" ref="D6913:D6918" si="1205">HYPERLINK("https://12go.asia/en/travel/Meknes-Hotel-Transfer/Marrakesh-Menara-Airport", "12Go Link")</f>
        <v>12Go Link</v>
      </c>
      <c r="E6913" s="2" t="s">
        <v>4336</v>
      </c>
    </row>
    <row r="6914">
      <c r="A6914" s="2" t="s">
        <v>4377</v>
      </c>
      <c r="B6914" s="2" t="s">
        <v>4372</v>
      </c>
      <c r="C6914" s="2" t="s">
        <v>4716</v>
      </c>
      <c r="D6914" s="3" t="str">
        <f t="shared" si="1205"/>
        <v>12Go Link</v>
      </c>
      <c r="E6914" s="2" t="s">
        <v>4337</v>
      </c>
    </row>
    <row r="6915">
      <c r="A6915" s="2" t="s">
        <v>4377</v>
      </c>
      <c r="B6915" s="2" t="s">
        <v>4372</v>
      </c>
      <c r="C6915" s="2" t="s">
        <v>4716</v>
      </c>
      <c r="D6915" s="3" t="str">
        <f t="shared" si="1205"/>
        <v>12Go Link</v>
      </c>
      <c r="E6915" s="2" t="s">
        <v>4137</v>
      </c>
    </row>
    <row r="6916">
      <c r="A6916" s="2" t="s">
        <v>4377</v>
      </c>
      <c r="B6916" s="2" t="s">
        <v>4372</v>
      </c>
      <c r="C6916" s="2" t="s">
        <v>4716</v>
      </c>
      <c r="D6916" s="3" t="str">
        <f t="shared" si="1205"/>
        <v>12Go Link</v>
      </c>
      <c r="E6916" s="2" t="s">
        <v>4338</v>
      </c>
    </row>
    <row r="6917">
      <c r="A6917" s="2" t="s">
        <v>4377</v>
      </c>
      <c r="B6917" s="2" t="s">
        <v>4372</v>
      </c>
      <c r="C6917" s="2" t="s">
        <v>4716</v>
      </c>
      <c r="D6917" s="3" t="str">
        <f t="shared" si="1205"/>
        <v>12Go Link</v>
      </c>
      <c r="E6917" s="2" t="s">
        <v>4339</v>
      </c>
    </row>
    <row r="6918">
      <c r="A6918" s="2" t="s">
        <v>4377</v>
      </c>
      <c r="B6918" s="2" t="s">
        <v>4372</v>
      </c>
      <c r="C6918" s="2" t="s">
        <v>4716</v>
      </c>
      <c r="D6918" s="3" t="str">
        <f t="shared" si="1205"/>
        <v>12Go Link</v>
      </c>
      <c r="E6918" s="2" t="s">
        <v>4340</v>
      </c>
    </row>
    <row r="6919">
      <c r="A6919" s="2" t="s">
        <v>4377</v>
      </c>
      <c r="B6919" s="2" t="s">
        <v>4386</v>
      </c>
      <c r="C6919" s="2" t="s">
        <v>4717</v>
      </c>
      <c r="D6919" s="3" t="str">
        <f t="shared" ref="D6919:D6924" si="1206">HYPERLINK("https://12go.asia/en/travel/Meknes-Hotel-Transfer/Rabat-Sale-Airport", "12Go Link")</f>
        <v>12Go Link</v>
      </c>
      <c r="E6919" s="2" t="s">
        <v>4336</v>
      </c>
    </row>
    <row r="6920">
      <c r="A6920" s="2" t="s">
        <v>4377</v>
      </c>
      <c r="B6920" s="2" t="s">
        <v>4386</v>
      </c>
      <c r="C6920" s="2" t="s">
        <v>4717</v>
      </c>
      <c r="D6920" s="3" t="str">
        <f t="shared" si="1206"/>
        <v>12Go Link</v>
      </c>
      <c r="E6920" s="2" t="s">
        <v>4337</v>
      </c>
    </row>
    <row r="6921">
      <c r="A6921" s="2" t="s">
        <v>4377</v>
      </c>
      <c r="B6921" s="2" t="s">
        <v>4386</v>
      </c>
      <c r="C6921" s="2" t="s">
        <v>4717</v>
      </c>
      <c r="D6921" s="3" t="str">
        <f t="shared" si="1206"/>
        <v>12Go Link</v>
      </c>
      <c r="E6921" s="2" t="s">
        <v>4137</v>
      </c>
    </row>
    <row r="6922">
      <c r="A6922" s="2" t="s">
        <v>4377</v>
      </c>
      <c r="B6922" s="2" t="s">
        <v>4386</v>
      </c>
      <c r="C6922" s="2" t="s">
        <v>4717</v>
      </c>
      <c r="D6922" s="3" t="str">
        <f t="shared" si="1206"/>
        <v>12Go Link</v>
      </c>
      <c r="E6922" s="2" t="s">
        <v>4338</v>
      </c>
    </row>
    <row r="6923">
      <c r="A6923" s="2" t="s">
        <v>4377</v>
      </c>
      <c r="B6923" s="2" t="s">
        <v>4386</v>
      </c>
      <c r="C6923" s="2" t="s">
        <v>4717</v>
      </c>
      <c r="D6923" s="3" t="str">
        <f t="shared" si="1206"/>
        <v>12Go Link</v>
      </c>
      <c r="E6923" s="2" t="s">
        <v>4339</v>
      </c>
    </row>
    <row r="6924">
      <c r="A6924" s="2" t="s">
        <v>4377</v>
      </c>
      <c r="B6924" s="2" t="s">
        <v>4386</v>
      </c>
      <c r="C6924" s="2" t="s">
        <v>4717</v>
      </c>
      <c r="D6924" s="3" t="str">
        <f t="shared" si="1206"/>
        <v>12Go Link</v>
      </c>
      <c r="E6924" s="2" t="s">
        <v>4340</v>
      </c>
    </row>
    <row r="6925">
      <c r="A6925" s="2" t="s">
        <v>4676</v>
      </c>
      <c r="B6925" s="2" t="s">
        <v>4372</v>
      </c>
      <c r="C6925" s="2" t="s">
        <v>4718</v>
      </c>
      <c r="D6925" s="3" t="str">
        <f t="shared" ref="D6925:D6930" si="1207">HYPERLINK("https://12go.asia/en/travel/Merzouga-Hotel-Transfer/Marrakesh-Menara-Airport", "12Go Link")</f>
        <v>12Go Link</v>
      </c>
      <c r="E6925" s="2" t="s">
        <v>4336</v>
      </c>
    </row>
    <row r="6926">
      <c r="A6926" s="2" t="s">
        <v>4676</v>
      </c>
      <c r="B6926" s="2" t="s">
        <v>4372</v>
      </c>
      <c r="C6926" s="2" t="s">
        <v>4718</v>
      </c>
      <c r="D6926" s="3" t="str">
        <f t="shared" si="1207"/>
        <v>12Go Link</v>
      </c>
      <c r="E6926" s="2" t="s">
        <v>4337</v>
      </c>
    </row>
    <row r="6927">
      <c r="A6927" s="2" t="s">
        <v>4676</v>
      </c>
      <c r="B6927" s="2" t="s">
        <v>4372</v>
      </c>
      <c r="C6927" s="2" t="s">
        <v>4718</v>
      </c>
      <c r="D6927" s="3" t="str">
        <f t="shared" si="1207"/>
        <v>12Go Link</v>
      </c>
      <c r="E6927" s="2" t="s">
        <v>4137</v>
      </c>
    </row>
    <row r="6928">
      <c r="A6928" s="2" t="s">
        <v>4676</v>
      </c>
      <c r="B6928" s="2" t="s">
        <v>4372</v>
      </c>
      <c r="C6928" s="2" t="s">
        <v>4718</v>
      </c>
      <c r="D6928" s="3" t="str">
        <f t="shared" si="1207"/>
        <v>12Go Link</v>
      </c>
      <c r="E6928" s="2" t="s">
        <v>4338</v>
      </c>
    </row>
    <row r="6929">
      <c r="A6929" s="2" t="s">
        <v>4676</v>
      </c>
      <c r="B6929" s="2" t="s">
        <v>4372</v>
      </c>
      <c r="C6929" s="2" t="s">
        <v>4718</v>
      </c>
      <c r="D6929" s="3" t="str">
        <f t="shared" si="1207"/>
        <v>12Go Link</v>
      </c>
      <c r="E6929" s="2" t="s">
        <v>4339</v>
      </c>
    </row>
    <row r="6930">
      <c r="A6930" s="2" t="s">
        <v>4676</v>
      </c>
      <c r="B6930" s="2" t="s">
        <v>4372</v>
      </c>
      <c r="C6930" s="2" t="s">
        <v>4718</v>
      </c>
      <c r="D6930" s="3" t="str">
        <f t="shared" si="1207"/>
        <v>12Go Link</v>
      </c>
      <c r="E6930" s="2" t="s">
        <v>4340</v>
      </c>
    </row>
    <row r="6931">
      <c r="A6931" s="2" t="s">
        <v>4379</v>
      </c>
      <c r="B6931" s="2" t="s">
        <v>4334</v>
      </c>
      <c r="C6931" s="2" t="s">
        <v>4719</v>
      </c>
      <c r="D6931" s="3" t="str">
        <f t="shared" ref="D6931:D6936" si="1208">HYPERLINK("https://12go.asia/en/travel/Mirleft-Hotel-Transfer/Agadir-Al-Massira-International-Airport", "12Go Link")</f>
        <v>12Go Link</v>
      </c>
      <c r="E6931" s="2" t="s">
        <v>4336</v>
      </c>
    </row>
    <row r="6932">
      <c r="A6932" s="2" t="s">
        <v>4379</v>
      </c>
      <c r="B6932" s="2" t="s">
        <v>4334</v>
      </c>
      <c r="C6932" s="2" t="s">
        <v>4719</v>
      </c>
      <c r="D6932" s="3" t="str">
        <f t="shared" si="1208"/>
        <v>12Go Link</v>
      </c>
      <c r="E6932" s="2" t="s">
        <v>4337</v>
      </c>
    </row>
    <row r="6933">
      <c r="A6933" s="2" t="s">
        <v>4379</v>
      </c>
      <c r="B6933" s="2" t="s">
        <v>4334</v>
      </c>
      <c r="C6933" s="2" t="s">
        <v>4719</v>
      </c>
      <c r="D6933" s="3" t="str">
        <f t="shared" si="1208"/>
        <v>12Go Link</v>
      </c>
      <c r="E6933" s="2" t="s">
        <v>4137</v>
      </c>
    </row>
    <row r="6934">
      <c r="A6934" s="2" t="s">
        <v>4379</v>
      </c>
      <c r="B6934" s="2" t="s">
        <v>4334</v>
      </c>
      <c r="C6934" s="2" t="s">
        <v>4719</v>
      </c>
      <c r="D6934" s="3" t="str">
        <f t="shared" si="1208"/>
        <v>12Go Link</v>
      </c>
      <c r="E6934" s="2" t="s">
        <v>4338</v>
      </c>
    </row>
    <row r="6935">
      <c r="A6935" s="2" t="s">
        <v>4379</v>
      </c>
      <c r="B6935" s="2" t="s">
        <v>4334</v>
      </c>
      <c r="C6935" s="2" t="s">
        <v>4719</v>
      </c>
      <c r="D6935" s="3" t="str">
        <f t="shared" si="1208"/>
        <v>12Go Link</v>
      </c>
      <c r="E6935" s="2" t="s">
        <v>4339</v>
      </c>
    </row>
    <row r="6936">
      <c r="A6936" s="2" t="s">
        <v>4379</v>
      </c>
      <c r="B6936" s="2" t="s">
        <v>4334</v>
      </c>
      <c r="C6936" s="2" t="s">
        <v>4719</v>
      </c>
      <c r="D6936" s="3" t="str">
        <f t="shared" si="1208"/>
        <v>12Go Link</v>
      </c>
      <c r="E6936" s="2" t="s">
        <v>4340</v>
      </c>
    </row>
    <row r="6937">
      <c r="A6937" s="2" t="s">
        <v>4379</v>
      </c>
      <c r="B6937" s="2" t="s">
        <v>4353</v>
      </c>
      <c r="C6937" s="2" t="s">
        <v>4720</v>
      </c>
      <c r="D6937" s="3" t="str">
        <f t="shared" ref="D6937:D6942" si="1209">HYPERLINK("https://12go.asia/en/travel/Mirleft-Hotel-Transfer/Essaouira-Mogador-Airport", "12Go Link")</f>
        <v>12Go Link</v>
      </c>
      <c r="E6937" s="2" t="s">
        <v>4336</v>
      </c>
    </row>
    <row r="6938">
      <c r="A6938" s="2" t="s">
        <v>4379</v>
      </c>
      <c r="B6938" s="2" t="s">
        <v>4353</v>
      </c>
      <c r="C6938" s="2" t="s">
        <v>4720</v>
      </c>
      <c r="D6938" s="3" t="str">
        <f t="shared" si="1209"/>
        <v>12Go Link</v>
      </c>
      <c r="E6938" s="2" t="s">
        <v>4337</v>
      </c>
    </row>
    <row r="6939">
      <c r="A6939" s="2" t="s">
        <v>4379</v>
      </c>
      <c r="B6939" s="2" t="s">
        <v>4353</v>
      </c>
      <c r="C6939" s="2" t="s">
        <v>4720</v>
      </c>
      <c r="D6939" s="3" t="str">
        <f t="shared" si="1209"/>
        <v>12Go Link</v>
      </c>
      <c r="E6939" s="2" t="s">
        <v>4137</v>
      </c>
    </row>
    <row r="6940">
      <c r="A6940" s="2" t="s">
        <v>4379</v>
      </c>
      <c r="B6940" s="2" t="s">
        <v>4353</v>
      </c>
      <c r="C6940" s="2" t="s">
        <v>4720</v>
      </c>
      <c r="D6940" s="3" t="str">
        <f t="shared" si="1209"/>
        <v>12Go Link</v>
      </c>
      <c r="E6940" s="2" t="s">
        <v>4338</v>
      </c>
    </row>
    <row r="6941">
      <c r="A6941" s="2" t="s">
        <v>4379</v>
      </c>
      <c r="B6941" s="2" t="s">
        <v>4353</v>
      </c>
      <c r="C6941" s="2" t="s">
        <v>4720</v>
      </c>
      <c r="D6941" s="3" t="str">
        <f t="shared" si="1209"/>
        <v>12Go Link</v>
      </c>
      <c r="E6941" s="2" t="s">
        <v>4339</v>
      </c>
    </row>
    <row r="6942">
      <c r="A6942" s="2" t="s">
        <v>4379</v>
      </c>
      <c r="B6942" s="2" t="s">
        <v>4353</v>
      </c>
      <c r="C6942" s="2" t="s">
        <v>4720</v>
      </c>
      <c r="D6942" s="3" t="str">
        <f t="shared" si="1209"/>
        <v>12Go Link</v>
      </c>
      <c r="E6942" s="2" t="s">
        <v>4340</v>
      </c>
    </row>
    <row r="6943">
      <c r="A6943" s="2" t="s">
        <v>4379</v>
      </c>
      <c r="B6943" s="2" t="s">
        <v>4372</v>
      </c>
      <c r="C6943" s="2" t="s">
        <v>4721</v>
      </c>
      <c r="D6943" s="3" t="str">
        <f t="shared" ref="D6943:D6948" si="1210">HYPERLINK("https://12go.asia/en/travel/Mirleft-Hotel-Transfer/Marrakesh-Menara-Airport", "12Go Link")</f>
        <v>12Go Link</v>
      </c>
      <c r="E6943" s="2" t="s">
        <v>4336</v>
      </c>
    </row>
    <row r="6944">
      <c r="A6944" s="2" t="s">
        <v>4379</v>
      </c>
      <c r="B6944" s="2" t="s">
        <v>4372</v>
      </c>
      <c r="C6944" s="2" t="s">
        <v>4721</v>
      </c>
      <c r="D6944" s="3" t="str">
        <f t="shared" si="1210"/>
        <v>12Go Link</v>
      </c>
      <c r="E6944" s="2" t="s">
        <v>4337</v>
      </c>
    </row>
    <row r="6945">
      <c r="A6945" s="2" t="s">
        <v>4379</v>
      </c>
      <c r="B6945" s="2" t="s">
        <v>4372</v>
      </c>
      <c r="C6945" s="2" t="s">
        <v>4721</v>
      </c>
      <c r="D6945" s="3" t="str">
        <f t="shared" si="1210"/>
        <v>12Go Link</v>
      </c>
      <c r="E6945" s="2" t="s">
        <v>4137</v>
      </c>
    </row>
    <row r="6946">
      <c r="A6946" s="2" t="s">
        <v>4379</v>
      </c>
      <c r="B6946" s="2" t="s">
        <v>4372</v>
      </c>
      <c r="C6946" s="2" t="s">
        <v>4721</v>
      </c>
      <c r="D6946" s="3" t="str">
        <f t="shared" si="1210"/>
        <v>12Go Link</v>
      </c>
      <c r="E6946" s="2" t="s">
        <v>4338</v>
      </c>
    </row>
    <row r="6947">
      <c r="A6947" s="2" t="s">
        <v>4379</v>
      </c>
      <c r="B6947" s="2" t="s">
        <v>4372</v>
      </c>
      <c r="C6947" s="2" t="s">
        <v>4721</v>
      </c>
      <c r="D6947" s="3" t="str">
        <f t="shared" si="1210"/>
        <v>12Go Link</v>
      </c>
      <c r="E6947" s="2" t="s">
        <v>4339</v>
      </c>
    </row>
    <row r="6948">
      <c r="A6948" s="2" t="s">
        <v>4379</v>
      </c>
      <c r="B6948" s="2" t="s">
        <v>4372</v>
      </c>
      <c r="C6948" s="2" t="s">
        <v>4721</v>
      </c>
      <c r="D6948" s="3" t="str">
        <f t="shared" si="1210"/>
        <v>12Go Link</v>
      </c>
      <c r="E6948" s="2" t="s">
        <v>4340</v>
      </c>
    </row>
    <row r="6949">
      <c r="A6949" s="2" t="s">
        <v>4474</v>
      </c>
      <c r="B6949" s="2" t="s">
        <v>4350</v>
      </c>
      <c r="C6949" s="2" t="s">
        <v>4722</v>
      </c>
      <c r="D6949" s="3" t="str">
        <f t="shared" ref="D6949:D6954" si="1211">HYPERLINK("https://12go.asia/en/travel/Mohammedia-Hotel-Transfer/Mohammed-V-International-Airport", "12Go Link")</f>
        <v>12Go Link</v>
      </c>
      <c r="E6949" s="2" t="s">
        <v>4336</v>
      </c>
    </row>
    <row r="6950">
      <c r="A6950" s="2" t="s">
        <v>4474</v>
      </c>
      <c r="B6950" s="2" t="s">
        <v>4350</v>
      </c>
      <c r="C6950" s="2" t="s">
        <v>4722</v>
      </c>
      <c r="D6950" s="3" t="str">
        <f t="shared" si="1211"/>
        <v>12Go Link</v>
      </c>
      <c r="E6950" s="2" t="s">
        <v>4337</v>
      </c>
    </row>
    <row r="6951">
      <c r="A6951" s="2" t="s">
        <v>4474</v>
      </c>
      <c r="B6951" s="2" t="s">
        <v>4350</v>
      </c>
      <c r="C6951" s="2" t="s">
        <v>4722</v>
      </c>
      <c r="D6951" s="3" t="str">
        <f t="shared" si="1211"/>
        <v>12Go Link</v>
      </c>
      <c r="E6951" s="2" t="s">
        <v>4137</v>
      </c>
    </row>
    <row r="6952">
      <c r="A6952" s="2" t="s">
        <v>4474</v>
      </c>
      <c r="B6952" s="2" t="s">
        <v>4350</v>
      </c>
      <c r="C6952" s="2" t="s">
        <v>4722</v>
      </c>
      <c r="D6952" s="3" t="str">
        <f t="shared" si="1211"/>
        <v>12Go Link</v>
      </c>
      <c r="E6952" s="2" t="s">
        <v>4338</v>
      </c>
    </row>
    <row r="6953">
      <c r="A6953" s="2" t="s">
        <v>4474</v>
      </c>
      <c r="B6953" s="2" t="s">
        <v>4350</v>
      </c>
      <c r="C6953" s="2" t="s">
        <v>4722</v>
      </c>
      <c r="D6953" s="3" t="str">
        <f t="shared" si="1211"/>
        <v>12Go Link</v>
      </c>
      <c r="E6953" s="2" t="s">
        <v>4339</v>
      </c>
    </row>
    <row r="6954">
      <c r="A6954" s="2" t="s">
        <v>4474</v>
      </c>
      <c r="B6954" s="2" t="s">
        <v>4350</v>
      </c>
      <c r="C6954" s="2" t="s">
        <v>4722</v>
      </c>
      <c r="D6954" s="3" t="str">
        <f t="shared" si="1211"/>
        <v>12Go Link</v>
      </c>
      <c r="E6954" s="2" t="s">
        <v>4340</v>
      </c>
    </row>
    <row r="6955">
      <c r="A6955" s="2" t="s">
        <v>4474</v>
      </c>
      <c r="B6955" s="2" t="s">
        <v>4372</v>
      </c>
      <c r="C6955" s="2" t="s">
        <v>4723</v>
      </c>
      <c r="D6955" s="3" t="str">
        <f t="shared" ref="D6955:D6960" si="1212">HYPERLINK("https://12go.asia/en/travel/Mohammedia-Hotel-Transfer/Marrakesh-Menara-Airport", "12Go Link")</f>
        <v>12Go Link</v>
      </c>
      <c r="E6955" s="2" t="s">
        <v>4336</v>
      </c>
    </row>
    <row r="6956">
      <c r="A6956" s="2" t="s">
        <v>4474</v>
      </c>
      <c r="B6956" s="2" t="s">
        <v>4372</v>
      </c>
      <c r="C6956" s="2" t="s">
        <v>4723</v>
      </c>
      <c r="D6956" s="3" t="str">
        <f t="shared" si="1212"/>
        <v>12Go Link</v>
      </c>
      <c r="E6956" s="2" t="s">
        <v>4337</v>
      </c>
    </row>
    <row r="6957">
      <c r="A6957" s="2" t="s">
        <v>4474</v>
      </c>
      <c r="B6957" s="2" t="s">
        <v>4372</v>
      </c>
      <c r="C6957" s="2" t="s">
        <v>4723</v>
      </c>
      <c r="D6957" s="3" t="str">
        <f t="shared" si="1212"/>
        <v>12Go Link</v>
      </c>
      <c r="E6957" s="2" t="s">
        <v>4137</v>
      </c>
    </row>
    <row r="6958">
      <c r="A6958" s="2" t="s">
        <v>4474</v>
      </c>
      <c r="B6958" s="2" t="s">
        <v>4372</v>
      </c>
      <c r="C6958" s="2" t="s">
        <v>4723</v>
      </c>
      <c r="D6958" s="3" t="str">
        <f t="shared" si="1212"/>
        <v>12Go Link</v>
      </c>
      <c r="E6958" s="2" t="s">
        <v>4338</v>
      </c>
    </row>
    <row r="6959">
      <c r="A6959" s="2" t="s">
        <v>4474</v>
      </c>
      <c r="B6959" s="2" t="s">
        <v>4372</v>
      </c>
      <c r="C6959" s="2" t="s">
        <v>4723</v>
      </c>
      <c r="D6959" s="3" t="str">
        <f t="shared" si="1212"/>
        <v>12Go Link</v>
      </c>
      <c r="E6959" s="2" t="s">
        <v>4339</v>
      </c>
    </row>
    <row r="6960">
      <c r="A6960" s="2" t="s">
        <v>4474</v>
      </c>
      <c r="B6960" s="2" t="s">
        <v>4372</v>
      </c>
      <c r="C6960" s="2" t="s">
        <v>4723</v>
      </c>
      <c r="D6960" s="3" t="str">
        <f t="shared" si="1212"/>
        <v>12Go Link</v>
      </c>
      <c r="E6960" s="2" t="s">
        <v>4340</v>
      </c>
    </row>
    <row r="6961">
      <c r="A6961" s="2" t="s">
        <v>4474</v>
      </c>
      <c r="B6961" s="2" t="s">
        <v>4386</v>
      </c>
      <c r="C6961" s="2" t="s">
        <v>4724</v>
      </c>
      <c r="D6961" s="3" t="str">
        <f t="shared" ref="D6961:D6966" si="1213">HYPERLINK("https://12go.asia/en/travel/Mohammedia-Hotel-Transfer/Rabat-Sale-Airport", "12Go Link")</f>
        <v>12Go Link</v>
      </c>
      <c r="E6961" s="2" t="s">
        <v>4336</v>
      </c>
    </row>
    <row r="6962">
      <c r="A6962" s="2" t="s">
        <v>4474</v>
      </c>
      <c r="B6962" s="2" t="s">
        <v>4386</v>
      </c>
      <c r="C6962" s="2" t="s">
        <v>4724</v>
      </c>
      <c r="D6962" s="3" t="str">
        <f t="shared" si="1213"/>
        <v>12Go Link</v>
      </c>
      <c r="E6962" s="2" t="s">
        <v>4337</v>
      </c>
    </row>
    <row r="6963">
      <c r="A6963" s="2" t="s">
        <v>4474</v>
      </c>
      <c r="B6963" s="2" t="s">
        <v>4386</v>
      </c>
      <c r="C6963" s="2" t="s">
        <v>4724</v>
      </c>
      <c r="D6963" s="3" t="str">
        <f t="shared" si="1213"/>
        <v>12Go Link</v>
      </c>
      <c r="E6963" s="2" t="s">
        <v>4137</v>
      </c>
    </row>
    <row r="6964">
      <c r="A6964" s="2" t="s">
        <v>4474</v>
      </c>
      <c r="B6964" s="2" t="s">
        <v>4386</v>
      </c>
      <c r="C6964" s="2" t="s">
        <v>4724</v>
      </c>
      <c r="D6964" s="3" t="str">
        <f t="shared" si="1213"/>
        <v>12Go Link</v>
      </c>
      <c r="E6964" s="2" t="s">
        <v>4338</v>
      </c>
    </row>
    <row r="6965">
      <c r="A6965" s="2" t="s">
        <v>4474</v>
      </c>
      <c r="B6965" s="2" t="s">
        <v>4386</v>
      </c>
      <c r="C6965" s="2" t="s">
        <v>4724</v>
      </c>
      <c r="D6965" s="3" t="str">
        <f t="shared" si="1213"/>
        <v>12Go Link</v>
      </c>
      <c r="E6965" s="2" t="s">
        <v>4339</v>
      </c>
    </row>
    <row r="6966">
      <c r="A6966" s="2" t="s">
        <v>4474</v>
      </c>
      <c r="B6966" s="2" t="s">
        <v>4386</v>
      </c>
      <c r="C6966" s="2" t="s">
        <v>4724</v>
      </c>
      <c r="D6966" s="3" t="str">
        <f t="shared" si="1213"/>
        <v>12Go Link</v>
      </c>
      <c r="E6966" s="2" t="s">
        <v>4340</v>
      </c>
    </row>
    <row r="6967">
      <c r="A6967" s="2" t="s">
        <v>4565</v>
      </c>
      <c r="B6967" s="2" t="s">
        <v>4357</v>
      </c>
      <c r="C6967" s="2" t="s">
        <v>4725</v>
      </c>
      <c r="D6967" s="3" t="str">
        <f t="shared" ref="D6967:D6972" si="1214">HYPERLINK("https://12go.asia/en/travel/Moulay-Idriss-Zerhoun/Fes-Airport", "12Go Link")</f>
        <v>12Go Link</v>
      </c>
      <c r="E6967" s="2" t="s">
        <v>4336</v>
      </c>
    </row>
    <row r="6968">
      <c r="A6968" s="2" t="s">
        <v>4565</v>
      </c>
      <c r="B6968" s="2" t="s">
        <v>4357</v>
      </c>
      <c r="C6968" s="2" t="s">
        <v>4725</v>
      </c>
      <c r="D6968" s="3" t="str">
        <f t="shared" si="1214"/>
        <v>12Go Link</v>
      </c>
      <c r="E6968" s="2" t="s">
        <v>4337</v>
      </c>
    </row>
    <row r="6969">
      <c r="A6969" s="2" t="s">
        <v>4565</v>
      </c>
      <c r="B6969" s="2" t="s">
        <v>4357</v>
      </c>
      <c r="C6969" s="2" t="s">
        <v>4725</v>
      </c>
      <c r="D6969" s="3" t="str">
        <f t="shared" si="1214"/>
        <v>12Go Link</v>
      </c>
      <c r="E6969" s="2" t="s">
        <v>4137</v>
      </c>
    </row>
    <row r="6970">
      <c r="A6970" s="2" t="s">
        <v>4565</v>
      </c>
      <c r="B6970" s="2" t="s">
        <v>4357</v>
      </c>
      <c r="C6970" s="2" t="s">
        <v>4725</v>
      </c>
      <c r="D6970" s="3" t="str">
        <f t="shared" si="1214"/>
        <v>12Go Link</v>
      </c>
      <c r="E6970" s="2" t="s">
        <v>4338</v>
      </c>
    </row>
    <row r="6971">
      <c r="A6971" s="2" t="s">
        <v>4565</v>
      </c>
      <c r="B6971" s="2" t="s">
        <v>4357</v>
      </c>
      <c r="C6971" s="2" t="s">
        <v>4725</v>
      </c>
      <c r="D6971" s="3" t="str">
        <f t="shared" si="1214"/>
        <v>12Go Link</v>
      </c>
      <c r="E6971" s="2" t="s">
        <v>4339</v>
      </c>
    </row>
    <row r="6972">
      <c r="A6972" s="2" t="s">
        <v>4565</v>
      </c>
      <c r="B6972" s="2" t="s">
        <v>4357</v>
      </c>
      <c r="C6972" s="2" t="s">
        <v>4725</v>
      </c>
      <c r="D6972" s="3" t="str">
        <f t="shared" si="1214"/>
        <v>12Go Link</v>
      </c>
      <c r="E6972" s="2" t="s">
        <v>4340</v>
      </c>
    </row>
    <row r="6973">
      <c r="A6973" s="2" t="s">
        <v>4726</v>
      </c>
      <c r="B6973" s="2" t="s">
        <v>4413</v>
      </c>
      <c r="C6973" s="2" t="s">
        <v>4727</v>
      </c>
      <c r="D6973" s="3" t="str">
        <f t="shared" ref="D6973:D6978" si="1215">HYPERLINK("https://12go.asia/en/travel/Nador-Hotel-Transfer/Oujda-Angads-Airport", "12Go Link")</f>
        <v>12Go Link</v>
      </c>
      <c r="E6973" s="2" t="s">
        <v>4336</v>
      </c>
    </row>
    <row r="6974">
      <c r="A6974" s="2" t="s">
        <v>4726</v>
      </c>
      <c r="B6974" s="2" t="s">
        <v>4413</v>
      </c>
      <c r="C6974" s="2" t="s">
        <v>4727</v>
      </c>
      <c r="D6974" s="3" t="str">
        <f t="shared" si="1215"/>
        <v>12Go Link</v>
      </c>
      <c r="E6974" s="2" t="s">
        <v>4337</v>
      </c>
    </row>
    <row r="6975">
      <c r="A6975" s="2" t="s">
        <v>4726</v>
      </c>
      <c r="B6975" s="2" t="s">
        <v>4413</v>
      </c>
      <c r="C6975" s="2" t="s">
        <v>4727</v>
      </c>
      <c r="D6975" s="3" t="str">
        <f t="shared" si="1215"/>
        <v>12Go Link</v>
      </c>
      <c r="E6975" s="2" t="s">
        <v>4137</v>
      </c>
    </row>
    <row r="6976">
      <c r="A6976" s="2" t="s">
        <v>4726</v>
      </c>
      <c r="B6976" s="2" t="s">
        <v>4413</v>
      </c>
      <c r="C6976" s="2" t="s">
        <v>4727</v>
      </c>
      <c r="D6976" s="3" t="str">
        <f t="shared" si="1215"/>
        <v>12Go Link</v>
      </c>
      <c r="E6976" s="2" t="s">
        <v>4338</v>
      </c>
    </row>
    <row r="6977">
      <c r="A6977" s="2" t="s">
        <v>4726</v>
      </c>
      <c r="B6977" s="2" t="s">
        <v>4413</v>
      </c>
      <c r="C6977" s="2" t="s">
        <v>4727</v>
      </c>
      <c r="D6977" s="3" t="str">
        <f t="shared" si="1215"/>
        <v>12Go Link</v>
      </c>
      <c r="E6977" s="2" t="s">
        <v>4339</v>
      </c>
    </row>
    <row r="6978">
      <c r="A6978" s="2" t="s">
        <v>4726</v>
      </c>
      <c r="B6978" s="2" t="s">
        <v>4413</v>
      </c>
      <c r="C6978" s="2" t="s">
        <v>4727</v>
      </c>
      <c r="D6978" s="3" t="str">
        <f t="shared" si="1215"/>
        <v>12Go Link</v>
      </c>
      <c r="E6978" s="2" t="s">
        <v>4340</v>
      </c>
    </row>
    <row r="6979">
      <c r="A6979" s="2" t="s">
        <v>4726</v>
      </c>
      <c r="B6979" s="2" t="s">
        <v>4386</v>
      </c>
      <c r="C6979" s="2" t="s">
        <v>4728</v>
      </c>
      <c r="D6979" s="3" t="str">
        <f t="shared" ref="D6979:D6984" si="1216">HYPERLINK("https://12go.asia/en/travel/Nador-Hotel-Transfer/Rabat-Sale-Airport", "12Go Link")</f>
        <v>12Go Link</v>
      </c>
      <c r="E6979" s="2" t="s">
        <v>4336</v>
      </c>
    </row>
    <row r="6980">
      <c r="A6980" s="2" t="s">
        <v>4726</v>
      </c>
      <c r="B6980" s="2" t="s">
        <v>4386</v>
      </c>
      <c r="C6980" s="2" t="s">
        <v>4728</v>
      </c>
      <c r="D6980" s="3" t="str">
        <f t="shared" si="1216"/>
        <v>12Go Link</v>
      </c>
      <c r="E6980" s="2" t="s">
        <v>4337</v>
      </c>
    </row>
    <row r="6981">
      <c r="A6981" s="2" t="s">
        <v>4726</v>
      </c>
      <c r="B6981" s="2" t="s">
        <v>4386</v>
      </c>
      <c r="C6981" s="2" t="s">
        <v>4728</v>
      </c>
      <c r="D6981" s="3" t="str">
        <f t="shared" si="1216"/>
        <v>12Go Link</v>
      </c>
      <c r="E6981" s="2" t="s">
        <v>4137</v>
      </c>
    </row>
    <row r="6982">
      <c r="A6982" s="2" t="s">
        <v>4726</v>
      </c>
      <c r="B6982" s="2" t="s">
        <v>4386</v>
      </c>
      <c r="C6982" s="2" t="s">
        <v>4728</v>
      </c>
      <c r="D6982" s="3" t="str">
        <f t="shared" si="1216"/>
        <v>12Go Link</v>
      </c>
      <c r="E6982" s="2" t="s">
        <v>4338</v>
      </c>
    </row>
    <row r="6983">
      <c r="A6983" s="2" t="s">
        <v>4726</v>
      </c>
      <c r="B6983" s="2" t="s">
        <v>4386</v>
      </c>
      <c r="C6983" s="2" t="s">
        <v>4728</v>
      </c>
      <c r="D6983" s="3" t="str">
        <f t="shared" si="1216"/>
        <v>12Go Link</v>
      </c>
      <c r="E6983" s="2" t="s">
        <v>4339</v>
      </c>
    </row>
    <row r="6984">
      <c r="A6984" s="2" t="s">
        <v>4726</v>
      </c>
      <c r="B6984" s="2" t="s">
        <v>4386</v>
      </c>
      <c r="C6984" s="2" t="s">
        <v>4728</v>
      </c>
      <c r="D6984" s="3" t="str">
        <f t="shared" si="1216"/>
        <v>12Go Link</v>
      </c>
      <c r="E6984" s="2" t="s">
        <v>4340</v>
      </c>
    </row>
    <row r="6985">
      <c r="A6985" s="2" t="s">
        <v>4726</v>
      </c>
      <c r="B6985" s="2" t="s">
        <v>4403</v>
      </c>
      <c r="C6985" s="2" t="s">
        <v>4729</v>
      </c>
      <c r="D6985" s="3" t="str">
        <f t="shared" ref="D6985:D6990" si="1217">HYPERLINK("https://12go.asia/en/travel/Nador-Hotel-Transfer/Tanger-Ibn-Battouta-Airport", "12Go Link")</f>
        <v>12Go Link</v>
      </c>
      <c r="E6985" s="2" t="s">
        <v>4336</v>
      </c>
    </row>
    <row r="6986">
      <c r="A6986" s="2" t="s">
        <v>4726</v>
      </c>
      <c r="B6986" s="2" t="s">
        <v>4403</v>
      </c>
      <c r="C6986" s="2" t="s">
        <v>4729</v>
      </c>
      <c r="D6986" s="3" t="str">
        <f t="shared" si="1217"/>
        <v>12Go Link</v>
      </c>
      <c r="E6986" s="2" t="s">
        <v>4337</v>
      </c>
    </row>
    <row r="6987">
      <c r="A6987" s="2" t="s">
        <v>4726</v>
      </c>
      <c r="B6987" s="2" t="s">
        <v>4403</v>
      </c>
      <c r="C6987" s="2" t="s">
        <v>4729</v>
      </c>
      <c r="D6987" s="3" t="str">
        <f t="shared" si="1217"/>
        <v>12Go Link</v>
      </c>
      <c r="E6987" s="2" t="s">
        <v>4137</v>
      </c>
    </row>
    <row r="6988">
      <c r="A6988" s="2" t="s">
        <v>4726</v>
      </c>
      <c r="B6988" s="2" t="s">
        <v>4403</v>
      </c>
      <c r="C6988" s="2" t="s">
        <v>4729</v>
      </c>
      <c r="D6988" s="3" t="str">
        <f t="shared" si="1217"/>
        <v>12Go Link</v>
      </c>
      <c r="E6988" s="2" t="s">
        <v>4338</v>
      </c>
    </row>
    <row r="6989">
      <c r="A6989" s="2" t="s">
        <v>4726</v>
      </c>
      <c r="B6989" s="2" t="s">
        <v>4403</v>
      </c>
      <c r="C6989" s="2" t="s">
        <v>4729</v>
      </c>
      <c r="D6989" s="3" t="str">
        <f t="shared" si="1217"/>
        <v>12Go Link</v>
      </c>
      <c r="E6989" s="2" t="s">
        <v>4339</v>
      </c>
    </row>
    <row r="6990">
      <c r="A6990" s="2" t="s">
        <v>4726</v>
      </c>
      <c r="B6990" s="2" t="s">
        <v>4403</v>
      </c>
      <c r="C6990" s="2" t="s">
        <v>4729</v>
      </c>
      <c r="D6990" s="3" t="str">
        <f t="shared" si="1217"/>
        <v>12Go Link</v>
      </c>
      <c r="E6990" s="2" t="s">
        <v>4340</v>
      </c>
    </row>
    <row r="6991">
      <c r="A6991" s="2" t="s">
        <v>4680</v>
      </c>
      <c r="B6991" s="2" t="s">
        <v>4372</v>
      </c>
      <c r="C6991" s="2" t="s">
        <v>4730</v>
      </c>
      <c r="D6991" s="3" t="str">
        <f t="shared" ref="D6991:D6996" si="1218">HYPERLINK("https://12go.asia/en/travel/Ouahat-Sidi-Brahim-Hotel-Transfer/Marrakesh-Menara-Airport", "12Go Link")</f>
        <v>12Go Link</v>
      </c>
      <c r="E6991" s="2" t="s">
        <v>4336</v>
      </c>
    </row>
    <row r="6992">
      <c r="A6992" s="2" t="s">
        <v>4680</v>
      </c>
      <c r="B6992" s="2" t="s">
        <v>4372</v>
      </c>
      <c r="C6992" s="2" t="s">
        <v>4730</v>
      </c>
      <c r="D6992" s="3" t="str">
        <f t="shared" si="1218"/>
        <v>12Go Link</v>
      </c>
      <c r="E6992" s="2" t="s">
        <v>4337</v>
      </c>
    </row>
    <row r="6993">
      <c r="A6993" s="2" t="s">
        <v>4680</v>
      </c>
      <c r="B6993" s="2" t="s">
        <v>4372</v>
      </c>
      <c r="C6993" s="2" t="s">
        <v>4730</v>
      </c>
      <c r="D6993" s="3" t="str">
        <f t="shared" si="1218"/>
        <v>12Go Link</v>
      </c>
      <c r="E6993" s="2" t="s">
        <v>4137</v>
      </c>
    </row>
    <row r="6994">
      <c r="A6994" s="2" t="s">
        <v>4680</v>
      </c>
      <c r="B6994" s="2" t="s">
        <v>4372</v>
      </c>
      <c r="C6994" s="2" t="s">
        <v>4730</v>
      </c>
      <c r="D6994" s="3" t="str">
        <f t="shared" si="1218"/>
        <v>12Go Link</v>
      </c>
      <c r="E6994" s="2" t="s">
        <v>4338</v>
      </c>
    </row>
    <row r="6995">
      <c r="A6995" s="2" t="s">
        <v>4680</v>
      </c>
      <c r="B6995" s="2" t="s">
        <v>4372</v>
      </c>
      <c r="C6995" s="2" t="s">
        <v>4730</v>
      </c>
      <c r="D6995" s="3" t="str">
        <f t="shared" si="1218"/>
        <v>12Go Link</v>
      </c>
      <c r="E6995" s="2" t="s">
        <v>4339</v>
      </c>
    </row>
    <row r="6996">
      <c r="A6996" s="2" t="s">
        <v>4680</v>
      </c>
      <c r="B6996" s="2" t="s">
        <v>4372</v>
      </c>
      <c r="C6996" s="2" t="s">
        <v>4730</v>
      </c>
      <c r="D6996" s="3" t="str">
        <f t="shared" si="1218"/>
        <v>12Go Link</v>
      </c>
      <c r="E6996" s="2" t="s">
        <v>4340</v>
      </c>
    </row>
    <row r="6997">
      <c r="A6997" s="2" t="s">
        <v>4476</v>
      </c>
      <c r="B6997" s="2" t="s">
        <v>4350</v>
      </c>
      <c r="C6997" s="2" t="s">
        <v>4731</v>
      </c>
      <c r="D6997" s="3" t="str">
        <f t="shared" ref="D6997:D7002" si="1219">HYPERLINK("https://12go.asia/en/travel/Oualidia-Hotel-Transfer/Mohammed-V-International-Airport", "12Go Link")</f>
        <v>12Go Link</v>
      </c>
      <c r="E6997" s="2" t="s">
        <v>4336</v>
      </c>
    </row>
    <row r="6998">
      <c r="A6998" s="2" t="s">
        <v>4476</v>
      </c>
      <c r="B6998" s="2" t="s">
        <v>4350</v>
      </c>
      <c r="C6998" s="2" t="s">
        <v>4731</v>
      </c>
      <c r="D6998" s="3" t="str">
        <f t="shared" si="1219"/>
        <v>12Go Link</v>
      </c>
      <c r="E6998" s="2" t="s">
        <v>4337</v>
      </c>
    </row>
    <row r="6999">
      <c r="A6999" s="2" t="s">
        <v>4476</v>
      </c>
      <c r="B6999" s="2" t="s">
        <v>4350</v>
      </c>
      <c r="C6999" s="2" t="s">
        <v>4731</v>
      </c>
      <c r="D6999" s="3" t="str">
        <f t="shared" si="1219"/>
        <v>12Go Link</v>
      </c>
      <c r="E6999" s="2" t="s">
        <v>4137</v>
      </c>
    </row>
    <row r="7000">
      <c r="A7000" s="2" t="s">
        <v>4476</v>
      </c>
      <c r="B7000" s="2" t="s">
        <v>4350</v>
      </c>
      <c r="C7000" s="2" t="s">
        <v>4731</v>
      </c>
      <c r="D7000" s="3" t="str">
        <f t="shared" si="1219"/>
        <v>12Go Link</v>
      </c>
      <c r="E7000" s="2" t="s">
        <v>4338</v>
      </c>
    </row>
    <row r="7001">
      <c r="A7001" s="2" t="s">
        <v>4476</v>
      </c>
      <c r="B7001" s="2" t="s">
        <v>4350</v>
      </c>
      <c r="C7001" s="2" t="s">
        <v>4731</v>
      </c>
      <c r="D7001" s="3" t="str">
        <f t="shared" si="1219"/>
        <v>12Go Link</v>
      </c>
      <c r="E7001" s="2" t="s">
        <v>4339</v>
      </c>
    </row>
    <row r="7002">
      <c r="A7002" s="2" t="s">
        <v>4476</v>
      </c>
      <c r="B7002" s="2" t="s">
        <v>4350</v>
      </c>
      <c r="C7002" s="2" t="s">
        <v>4731</v>
      </c>
      <c r="D7002" s="3" t="str">
        <f t="shared" si="1219"/>
        <v>12Go Link</v>
      </c>
      <c r="E7002" s="2" t="s">
        <v>4340</v>
      </c>
    </row>
    <row r="7003">
      <c r="A7003" s="2" t="s">
        <v>4476</v>
      </c>
      <c r="B7003" s="2" t="s">
        <v>4353</v>
      </c>
      <c r="C7003" s="2" t="s">
        <v>4732</v>
      </c>
      <c r="D7003" s="3" t="str">
        <f t="shared" ref="D7003:D7008" si="1220">HYPERLINK("https://12go.asia/en/travel/Oualidia-Hotel-Transfer/Essaouira-Mogador-Airport", "12Go Link")</f>
        <v>12Go Link</v>
      </c>
      <c r="E7003" s="2" t="s">
        <v>4336</v>
      </c>
    </row>
    <row r="7004">
      <c r="A7004" s="2" t="s">
        <v>4476</v>
      </c>
      <c r="B7004" s="2" t="s">
        <v>4353</v>
      </c>
      <c r="C7004" s="2" t="s">
        <v>4732</v>
      </c>
      <c r="D7004" s="3" t="str">
        <f t="shared" si="1220"/>
        <v>12Go Link</v>
      </c>
      <c r="E7004" s="2" t="s">
        <v>4337</v>
      </c>
    </row>
    <row r="7005">
      <c r="A7005" s="2" t="s">
        <v>4476</v>
      </c>
      <c r="B7005" s="2" t="s">
        <v>4353</v>
      </c>
      <c r="C7005" s="2" t="s">
        <v>4732</v>
      </c>
      <c r="D7005" s="3" t="str">
        <f t="shared" si="1220"/>
        <v>12Go Link</v>
      </c>
      <c r="E7005" s="2" t="s">
        <v>4137</v>
      </c>
    </row>
    <row r="7006">
      <c r="A7006" s="2" t="s">
        <v>4476</v>
      </c>
      <c r="B7006" s="2" t="s">
        <v>4353</v>
      </c>
      <c r="C7006" s="2" t="s">
        <v>4732</v>
      </c>
      <c r="D7006" s="3" t="str">
        <f t="shared" si="1220"/>
        <v>12Go Link</v>
      </c>
      <c r="E7006" s="2" t="s">
        <v>4338</v>
      </c>
    </row>
    <row r="7007">
      <c r="A7007" s="2" t="s">
        <v>4476</v>
      </c>
      <c r="B7007" s="2" t="s">
        <v>4353</v>
      </c>
      <c r="C7007" s="2" t="s">
        <v>4732</v>
      </c>
      <c r="D7007" s="3" t="str">
        <f t="shared" si="1220"/>
        <v>12Go Link</v>
      </c>
      <c r="E7007" s="2" t="s">
        <v>4339</v>
      </c>
    </row>
    <row r="7008">
      <c r="A7008" s="2" t="s">
        <v>4476</v>
      </c>
      <c r="B7008" s="2" t="s">
        <v>4353</v>
      </c>
      <c r="C7008" s="2" t="s">
        <v>4732</v>
      </c>
      <c r="D7008" s="3" t="str">
        <f t="shared" si="1220"/>
        <v>12Go Link</v>
      </c>
      <c r="E7008" s="2" t="s">
        <v>4340</v>
      </c>
    </row>
    <row r="7009">
      <c r="A7009" s="2" t="s">
        <v>4476</v>
      </c>
      <c r="B7009" s="2" t="s">
        <v>4372</v>
      </c>
      <c r="C7009" s="2" t="s">
        <v>4733</v>
      </c>
      <c r="D7009" s="3" t="str">
        <f t="shared" ref="D7009:D7014" si="1221">HYPERLINK("https://12go.asia/en/travel/Oualidia-Hotel-Transfer/Marrakesh-Menara-Airport", "12Go Link")</f>
        <v>12Go Link</v>
      </c>
      <c r="E7009" s="2" t="s">
        <v>4336</v>
      </c>
    </row>
    <row r="7010">
      <c r="A7010" s="2" t="s">
        <v>4476</v>
      </c>
      <c r="B7010" s="2" t="s">
        <v>4372</v>
      </c>
      <c r="C7010" s="2" t="s">
        <v>4733</v>
      </c>
      <c r="D7010" s="3" t="str">
        <f t="shared" si="1221"/>
        <v>12Go Link</v>
      </c>
      <c r="E7010" s="2" t="s">
        <v>4337</v>
      </c>
    </row>
    <row r="7011">
      <c r="A7011" s="2" t="s">
        <v>4476</v>
      </c>
      <c r="B7011" s="2" t="s">
        <v>4372</v>
      </c>
      <c r="C7011" s="2" t="s">
        <v>4733</v>
      </c>
      <c r="D7011" s="3" t="str">
        <f t="shared" si="1221"/>
        <v>12Go Link</v>
      </c>
      <c r="E7011" s="2" t="s">
        <v>4137</v>
      </c>
    </row>
    <row r="7012">
      <c r="A7012" s="2" t="s">
        <v>4476</v>
      </c>
      <c r="B7012" s="2" t="s">
        <v>4372</v>
      </c>
      <c r="C7012" s="2" t="s">
        <v>4733</v>
      </c>
      <c r="D7012" s="3" t="str">
        <f t="shared" si="1221"/>
        <v>12Go Link</v>
      </c>
      <c r="E7012" s="2" t="s">
        <v>4338</v>
      </c>
    </row>
    <row r="7013">
      <c r="A7013" s="2" t="s">
        <v>4476</v>
      </c>
      <c r="B7013" s="2" t="s">
        <v>4372</v>
      </c>
      <c r="C7013" s="2" t="s">
        <v>4733</v>
      </c>
      <c r="D7013" s="3" t="str">
        <f t="shared" si="1221"/>
        <v>12Go Link</v>
      </c>
      <c r="E7013" s="2" t="s">
        <v>4339</v>
      </c>
    </row>
    <row r="7014">
      <c r="A7014" s="2" t="s">
        <v>4476</v>
      </c>
      <c r="B7014" s="2" t="s">
        <v>4372</v>
      </c>
      <c r="C7014" s="2" t="s">
        <v>4733</v>
      </c>
      <c r="D7014" s="3" t="str">
        <f t="shared" si="1221"/>
        <v>12Go Link</v>
      </c>
      <c r="E7014" s="2" t="s">
        <v>4340</v>
      </c>
    </row>
    <row r="7015">
      <c r="A7015" s="2" t="s">
        <v>4381</v>
      </c>
      <c r="B7015" s="2" t="s">
        <v>4334</v>
      </c>
      <c r="C7015" s="2" t="s">
        <v>4734</v>
      </c>
      <c r="D7015" s="3" t="str">
        <f t="shared" ref="D7015:D7020" si="1222">HYPERLINK("https://12go.asia/en/travel/Ouarzazate-Airport/Agadir-Al-Massira-International-Airport", "12Go Link")</f>
        <v>12Go Link</v>
      </c>
      <c r="E7015" s="2" t="s">
        <v>4336</v>
      </c>
    </row>
    <row r="7016">
      <c r="A7016" s="2" t="s">
        <v>4381</v>
      </c>
      <c r="B7016" s="2" t="s">
        <v>4334</v>
      </c>
      <c r="C7016" s="2" t="s">
        <v>4734</v>
      </c>
      <c r="D7016" s="3" t="str">
        <f t="shared" si="1222"/>
        <v>12Go Link</v>
      </c>
      <c r="E7016" s="2" t="s">
        <v>4337</v>
      </c>
    </row>
    <row r="7017">
      <c r="A7017" s="2" t="s">
        <v>4381</v>
      </c>
      <c r="B7017" s="2" t="s">
        <v>4334</v>
      </c>
      <c r="C7017" s="2" t="s">
        <v>4734</v>
      </c>
      <c r="D7017" s="3" t="str">
        <f t="shared" si="1222"/>
        <v>12Go Link</v>
      </c>
      <c r="E7017" s="2" t="s">
        <v>4137</v>
      </c>
    </row>
    <row r="7018">
      <c r="A7018" s="2" t="s">
        <v>4381</v>
      </c>
      <c r="B7018" s="2" t="s">
        <v>4334</v>
      </c>
      <c r="C7018" s="2" t="s">
        <v>4734</v>
      </c>
      <c r="D7018" s="3" t="str">
        <f t="shared" si="1222"/>
        <v>12Go Link</v>
      </c>
      <c r="E7018" s="2" t="s">
        <v>4338</v>
      </c>
    </row>
    <row r="7019">
      <c r="A7019" s="2" t="s">
        <v>4381</v>
      </c>
      <c r="B7019" s="2" t="s">
        <v>4334</v>
      </c>
      <c r="C7019" s="2" t="s">
        <v>4734</v>
      </c>
      <c r="D7019" s="3" t="str">
        <f t="shared" si="1222"/>
        <v>12Go Link</v>
      </c>
      <c r="E7019" s="2" t="s">
        <v>4339</v>
      </c>
    </row>
    <row r="7020">
      <c r="A7020" s="2" t="s">
        <v>4381</v>
      </c>
      <c r="B7020" s="2" t="s">
        <v>4334</v>
      </c>
      <c r="C7020" s="2" t="s">
        <v>4734</v>
      </c>
      <c r="D7020" s="3" t="str">
        <f t="shared" si="1222"/>
        <v>12Go Link</v>
      </c>
      <c r="E7020" s="2" t="s">
        <v>4340</v>
      </c>
    </row>
    <row r="7021">
      <c r="A7021" s="2" t="s">
        <v>4381</v>
      </c>
      <c r="B7021" s="2" t="s">
        <v>4334</v>
      </c>
      <c r="C7021" s="2" t="s">
        <v>4735</v>
      </c>
      <c r="D7021" s="3" t="str">
        <f t="shared" ref="D7021:D7026" si="1223">HYPERLINK("https://12go.asia/en/travel/Ouarzazate-Hotel-Transfer/Agadir-Al-Massira-International-Airport", "12Go Link")</f>
        <v>12Go Link</v>
      </c>
      <c r="E7021" s="2" t="s">
        <v>4336</v>
      </c>
    </row>
    <row r="7022">
      <c r="A7022" s="2" t="s">
        <v>4381</v>
      </c>
      <c r="B7022" s="2" t="s">
        <v>4334</v>
      </c>
      <c r="C7022" s="2" t="s">
        <v>4735</v>
      </c>
      <c r="D7022" s="3" t="str">
        <f t="shared" si="1223"/>
        <v>12Go Link</v>
      </c>
      <c r="E7022" s="2" t="s">
        <v>4337</v>
      </c>
    </row>
    <row r="7023">
      <c r="A7023" s="2" t="s">
        <v>4381</v>
      </c>
      <c r="B7023" s="2" t="s">
        <v>4334</v>
      </c>
      <c r="C7023" s="2" t="s">
        <v>4735</v>
      </c>
      <c r="D7023" s="3" t="str">
        <f t="shared" si="1223"/>
        <v>12Go Link</v>
      </c>
      <c r="E7023" s="2" t="s">
        <v>4137</v>
      </c>
    </row>
    <row r="7024">
      <c r="A7024" s="2" t="s">
        <v>4381</v>
      </c>
      <c r="B7024" s="2" t="s">
        <v>4334</v>
      </c>
      <c r="C7024" s="2" t="s">
        <v>4735</v>
      </c>
      <c r="D7024" s="3" t="str">
        <f t="shared" si="1223"/>
        <v>12Go Link</v>
      </c>
      <c r="E7024" s="2" t="s">
        <v>4338</v>
      </c>
    </row>
    <row r="7025">
      <c r="A7025" s="2" t="s">
        <v>4381</v>
      </c>
      <c r="B7025" s="2" t="s">
        <v>4334</v>
      </c>
      <c r="C7025" s="2" t="s">
        <v>4735</v>
      </c>
      <c r="D7025" s="3" t="str">
        <f t="shared" si="1223"/>
        <v>12Go Link</v>
      </c>
      <c r="E7025" s="2" t="s">
        <v>4339</v>
      </c>
    </row>
    <row r="7026">
      <c r="A7026" s="2" t="s">
        <v>4381</v>
      </c>
      <c r="B7026" s="2" t="s">
        <v>4334</v>
      </c>
      <c r="C7026" s="2" t="s">
        <v>4735</v>
      </c>
      <c r="D7026" s="3" t="str">
        <f t="shared" si="1223"/>
        <v>12Go Link</v>
      </c>
      <c r="E7026" s="2" t="s">
        <v>4340</v>
      </c>
    </row>
    <row r="7027">
      <c r="A7027" s="2" t="s">
        <v>4381</v>
      </c>
      <c r="B7027" s="2" t="s">
        <v>4350</v>
      </c>
      <c r="C7027" s="2" t="s">
        <v>4736</v>
      </c>
      <c r="D7027" s="3" t="str">
        <f t="shared" ref="D7027:D7032" si="1224">HYPERLINK("https://12go.asia/en/travel/Ouarzazate-Hotel-Transfer/Mohammed-V-International-Airport", "12Go Link")</f>
        <v>12Go Link</v>
      </c>
      <c r="E7027" s="2" t="s">
        <v>4336</v>
      </c>
    </row>
    <row r="7028">
      <c r="A7028" s="2" t="s">
        <v>4381</v>
      </c>
      <c r="B7028" s="2" t="s">
        <v>4350</v>
      </c>
      <c r="C7028" s="2" t="s">
        <v>4736</v>
      </c>
      <c r="D7028" s="3" t="str">
        <f t="shared" si="1224"/>
        <v>12Go Link</v>
      </c>
      <c r="E7028" s="2" t="s">
        <v>4337</v>
      </c>
    </row>
    <row r="7029">
      <c r="A7029" s="2" t="s">
        <v>4381</v>
      </c>
      <c r="B7029" s="2" t="s">
        <v>4350</v>
      </c>
      <c r="C7029" s="2" t="s">
        <v>4736</v>
      </c>
      <c r="D7029" s="3" t="str">
        <f t="shared" si="1224"/>
        <v>12Go Link</v>
      </c>
      <c r="E7029" s="2" t="s">
        <v>4137</v>
      </c>
    </row>
    <row r="7030">
      <c r="A7030" s="2" t="s">
        <v>4381</v>
      </c>
      <c r="B7030" s="2" t="s">
        <v>4350</v>
      </c>
      <c r="C7030" s="2" t="s">
        <v>4736</v>
      </c>
      <c r="D7030" s="3" t="str">
        <f t="shared" si="1224"/>
        <v>12Go Link</v>
      </c>
      <c r="E7030" s="2" t="s">
        <v>4338</v>
      </c>
    </row>
    <row r="7031">
      <c r="A7031" s="2" t="s">
        <v>4381</v>
      </c>
      <c r="B7031" s="2" t="s">
        <v>4350</v>
      </c>
      <c r="C7031" s="2" t="s">
        <v>4736</v>
      </c>
      <c r="D7031" s="3" t="str">
        <f t="shared" si="1224"/>
        <v>12Go Link</v>
      </c>
      <c r="E7031" s="2" t="s">
        <v>4339</v>
      </c>
    </row>
    <row r="7032">
      <c r="A7032" s="2" t="s">
        <v>4381</v>
      </c>
      <c r="B7032" s="2" t="s">
        <v>4350</v>
      </c>
      <c r="C7032" s="2" t="s">
        <v>4736</v>
      </c>
      <c r="D7032" s="3" t="str">
        <f t="shared" si="1224"/>
        <v>12Go Link</v>
      </c>
      <c r="E7032" s="2" t="s">
        <v>4340</v>
      </c>
    </row>
    <row r="7033">
      <c r="A7033" s="2" t="s">
        <v>4381</v>
      </c>
      <c r="B7033" s="2" t="s">
        <v>4353</v>
      </c>
      <c r="C7033" s="2" t="s">
        <v>4737</v>
      </c>
      <c r="D7033" s="3" t="str">
        <f t="shared" ref="D7033:D7038" si="1225">HYPERLINK("https://12go.asia/en/travel/Ouarzazate-Airport/Essaouira-Mogador-Airport", "12Go Link")</f>
        <v>12Go Link</v>
      </c>
      <c r="E7033" s="2" t="s">
        <v>4336</v>
      </c>
    </row>
    <row r="7034">
      <c r="A7034" s="2" t="s">
        <v>4381</v>
      </c>
      <c r="B7034" s="2" t="s">
        <v>4353</v>
      </c>
      <c r="C7034" s="2" t="s">
        <v>4737</v>
      </c>
      <c r="D7034" s="3" t="str">
        <f t="shared" si="1225"/>
        <v>12Go Link</v>
      </c>
      <c r="E7034" s="2" t="s">
        <v>4337</v>
      </c>
    </row>
    <row r="7035">
      <c r="A7035" s="2" t="s">
        <v>4381</v>
      </c>
      <c r="B7035" s="2" t="s">
        <v>4353</v>
      </c>
      <c r="C7035" s="2" t="s">
        <v>4737</v>
      </c>
      <c r="D7035" s="3" t="str">
        <f t="shared" si="1225"/>
        <v>12Go Link</v>
      </c>
      <c r="E7035" s="2" t="s">
        <v>4137</v>
      </c>
    </row>
    <row r="7036">
      <c r="A7036" s="2" t="s">
        <v>4381</v>
      </c>
      <c r="B7036" s="2" t="s">
        <v>4353</v>
      </c>
      <c r="C7036" s="2" t="s">
        <v>4737</v>
      </c>
      <c r="D7036" s="3" t="str">
        <f t="shared" si="1225"/>
        <v>12Go Link</v>
      </c>
      <c r="E7036" s="2" t="s">
        <v>4338</v>
      </c>
    </row>
    <row r="7037">
      <c r="A7037" s="2" t="s">
        <v>4381</v>
      </c>
      <c r="B7037" s="2" t="s">
        <v>4353</v>
      </c>
      <c r="C7037" s="2" t="s">
        <v>4737</v>
      </c>
      <c r="D7037" s="3" t="str">
        <f t="shared" si="1225"/>
        <v>12Go Link</v>
      </c>
      <c r="E7037" s="2" t="s">
        <v>4339</v>
      </c>
    </row>
    <row r="7038">
      <c r="A7038" s="2" t="s">
        <v>4381</v>
      </c>
      <c r="B7038" s="2" t="s">
        <v>4353</v>
      </c>
      <c r="C7038" s="2" t="s">
        <v>4737</v>
      </c>
      <c r="D7038" s="3" t="str">
        <f t="shared" si="1225"/>
        <v>12Go Link</v>
      </c>
      <c r="E7038" s="2" t="s">
        <v>4340</v>
      </c>
    </row>
    <row r="7039">
      <c r="A7039" s="2" t="s">
        <v>4381</v>
      </c>
      <c r="B7039" s="2" t="s">
        <v>4353</v>
      </c>
      <c r="C7039" s="2" t="s">
        <v>4738</v>
      </c>
      <c r="D7039" s="3" t="str">
        <f t="shared" ref="D7039:D7044" si="1226">HYPERLINK("https://12go.asia/en/travel/Ouarzazate-Hotel-Transfer/Essaouira-Mogador-Airport", "12Go Link")</f>
        <v>12Go Link</v>
      </c>
      <c r="E7039" s="2" t="s">
        <v>4336</v>
      </c>
    </row>
    <row r="7040">
      <c r="A7040" s="2" t="s">
        <v>4381</v>
      </c>
      <c r="B7040" s="2" t="s">
        <v>4353</v>
      </c>
      <c r="C7040" s="2" t="s">
        <v>4738</v>
      </c>
      <c r="D7040" s="3" t="str">
        <f t="shared" si="1226"/>
        <v>12Go Link</v>
      </c>
      <c r="E7040" s="2" t="s">
        <v>4337</v>
      </c>
    </row>
    <row r="7041">
      <c r="A7041" s="2" t="s">
        <v>4381</v>
      </c>
      <c r="B7041" s="2" t="s">
        <v>4353</v>
      </c>
      <c r="C7041" s="2" t="s">
        <v>4738</v>
      </c>
      <c r="D7041" s="3" t="str">
        <f t="shared" si="1226"/>
        <v>12Go Link</v>
      </c>
      <c r="E7041" s="2" t="s">
        <v>4137</v>
      </c>
    </row>
    <row r="7042">
      <c r="A7042" s="2" t="s">
        <v>4381</v>
      </c>
      <c r="B7042" s="2" t="s">
        <v>4353</v>
      </c>
      <c r="C7042" s="2" t="s">
        <v>4738</v>
      </c>
      <c r="D7042" s="3" t="str">
        <f t="shared" si="1226"/>
        <v>12Go Link</v>
      </c>
      <c r="E7042" s="2" t="s">
        <v>4338</v>
      </c>
    </row>
    <row r="7043">
      <c r="A7043" s="2" t="s">
        <v>4381</v>
      </c>
      <c r="B7043" s="2" t="s">
        <v>4353</v>
      </c>
      <c r="C7043" s="2" t="s">
        <v>4738</v>
      </c>
      <c r="D7043" s="3" t="str">
        <f t="shared" si="1226"/>
        <v>12Go Link</v>
      </c>
      <c r="E7043" s="2" t="s">
        <v>4339</v>
      </c>
    </row>
    <row r="7044">
      <c r="A7044" s="2" t="s">
        <v>4381</v>
      </c>
      <c r="B7044" s="2" t="s">
        <v>4353</v>
      </c>
      <c r="C7044" s="2" t="s">
        <v>4738</v>
      </c>
      <c r="D7044" s="3" t="str">
        <f t="shared" si="1226"/>
        <v>12Go Link</v>
      </c>
      <c r="E7044" s="2" t="s">
        <v>4340</v>
      </c>
    </row>
    <row r="7045">
      <c r="A7045" s="2" t="s">
        <v>4381</v>
      </c>
      <c r="B7045" s="2" t="s">
        <v>4357</v>
      </c>
      <c r="C7045" s="2" t="s">
        <v>4739</v>
      </c>
      <c r="D7045" s="3" t="str">
        <f t="shared" ref="D7045:D7050" si="1227">HYPERLINK("https://12go.asia/en/travel/Ouarzazate-Airport/Fes-Airport", "12Go Link")</f>
        <v>12Go Link</v>
      </c>
      <c r="E7045" s="2" t="s">
        <v>4336</v>
      </c>
    </row>
    <row r="7046">
      <c r="A7046" s="2" t="s">
        <v>4381</v>
      </c>
      <c r="B7046" s="2" t="s">
        <v>4357</v>
      </c>
      <c r="C7046" s="2" t="s">
        <v>4739</v>
      </c>
      <c r="D7046" s="3" t="str">
        <f t="shared" si="1227"/>
        <v>12Go Link</v>
      </c>
      <c r="E7046" s="2" t="s">
        <v>4337</v>
      </c>
    </row>
    <row r="7047">
      <c r="A7047" s="2" t="s">
        <v>4381</v>
      </c>
      <c r="B7047" s="2" t="s">
        <v>4357</v>
      </c>
      <c r="C7047" s="2" t="s">
        <v>4739</v>
      </c>
      <c r="D7047" s="3" t="str">
        <f t="shared" si="1227"/>
        <v>12Go Link</v>
      </c>
      <c r="E7047" s="2" t="s">
        <v>4137</v>
      </c>
    </row>
    <row r="7048">
      <c r="A7048" s="2" t="s">
        <v>4381</v>
      </c>
      <c r="B7048" s="2" t="s">
        <v>4357</v>
      </c>
      <c r="C7048" s="2" t="s">
        <v>4739</v>
      </c>
      <c r="D7048" s="3" t="str">
        <f t="shared" si="1227"/>
        <v>12Go Link</v>
      </c>
      <c r="E7048" s="2" t="s">
        <v>4338</v>
      </c>
    </row>
    <row r="7049">
      <c r="A7049" s="2" t="s">
        <v>4381</v>
      </c>
      <c r="B7049" s="2" t="s">
        <v>4357</v>
      </c>
      <c r="C7049" s="2" t="s">
        <v>4739</v>
      </c>
      <c r="D7049" s="3" t="str">
        <f t="shared" si="1227"/>
        <v>12Go Link</v>
      </c>
      <c r="E7049" s="2" t="s">
        <v>4339</v>
      </c>
    </row>
    <row r="7050">
      <c r="A7050" s="2" t="s">
        <v>4381</v>
      </c>
      <c r="B7050" s="2" t="s">
        <v>4357</v>
      </c>
      <c r="C7050" s="2" t="s">
        <v>4739</v>
      </c>
      <c r="D7050" s="3" t="str">
        <f t="shared" si="1227"/>
        <v>12Go Link</v>
      </c>
      <c r="E7050" s="2" t="s">
        <v>4340</v>
      </c>
    </row>
    <row r="7051">
      <c r="A7051" s="2" t="s">
        <v>4381</v>
      </c>
      <c r="B7051" s="2" t="s">
        <v>4357</v>
      </c>
      <c r="C7051" s="2" t="s">
        <v>4740</v>
      </c>
      <c r="D7051" s="3" t="str">
        <f t="shared" ref="D7051:D7056" si="1228">HYPERLINK("https://12go.asia/en/travel/Ouarzazate-Hotel-Transfer/Fes-Airport", "12Go Link")</f>
        <v>12Go Link</v>
      </c>
      <c r="E7051" s="2" t="s">
        <v>4336</v>
      </c>
    </row>
    <row r="7052">
      <c r="A7052" s="2" t="s">
        <v>4381</v>
      </c>
      <c r="B7052" s="2" t="s">
        <v>4357</v>
      </c>
      <c r="C7052" s="2" t="s">
        <v>4740</v>
      </c>
      <c r="D7052" s="3" t="str">
        <f t="shared" si="1228"/>
        <v>12Go Link</v>
      </c>
      <c r="E7052" s="2" t="s">
        <v>4337</v>
      </c>
    </row>
    <row r="7053">
      <c r="A7053" s="2" t="s">
        <v>4381</v>
      </c>
      <c r="B7053" s="2" t="s">
        <v>4357</v>
      </c>
      <c r="C7053" s="2" t="s">
        <v>4740</v>
      </c>
      <c r="D7053" s="3" t="str">
        <f t="shared" si="1228"/>
        <v>12Go Link</v>
      </c>
      <c r="E7053" s="2" t="s">
        <v>4137</v>
      </c>
    </row>
    <row r="7054">
      <c r="A7054" s="2" t="s">
        <v>4381</v>
      </c>
      <c r="B7054" s="2" t="s">
        <v>4357</v>
      </c>
      <c r="C7054" s="2" t="s">
        <v>4740</v>
      </c>
      <c r="D7054" s="3" t="str">
        <f t="shared" si="1228"/>
        <v>12Go Link</v>
      </c>
      <c r="E7054" s="2" t="s">
        <v>4338</v>
      </c>
    </row>
    <row r="7055">
      <c r="A7055" s="2" t="s">
        <v>4381</v>
      </c>
      <c r="B7055" s="2" t="s">
        <v>4357</v>
      </c>
      <c r="C7055" s="2" t="s">
        <v>4740</v>
      </c>
      <c r="D7055" s="3" t="str">
        <f t="shared" si="1228"/>
        <v>12Go Link</v>
      </c>
      <c r="E7055" s="2" t="s">
        <v>4339</v>
      </c>
    </row>
    <row r="7056">
      <c r="A7056" s="2" t="s">
        <v>4381</v>
      </c>
      <c r="B7056" s="2" t="s">
        <v>4357</v>
      </c>
      <c r="C7056" s="2" t="s">
        <v>4740</v>
      </c>
      <c r="D7056" s="3" t="str">
        <f t="shared" si="1228"/>
        <v>12Go Link</v>
      </c>
      <c r="E7056" s="2" t="s">
        <v>4340</v>
      </c>
    </row>
    <row r="7057">
      <c r="A7057" s="2" t="s">
        <v>4381</v>
      </c>
      <c r="B7057" s="2" t="s">
        <v>4372</v>
      </c>
      <c r="C7057" s="2" t="s">
        <v>4741</v>
      </c>
      <c r="D7057" s="3" t="str">
        <f t="shared" ref="D7057:D7062" si="1229">HYPERLINK("https://12go.asia/en/travel/Ouarzazate-Hotel-Transfer/Marrakesh-Menara-Airport", "12Go Link")</f>
        <v>12Go Link</v>
      </c>
      <c r="E7057" s="2" t="s">
        <v>4336</v>
      </c>
    </row>
    <row r="7058">
      <c r="A7058" s="2" t="s">
        <v>4381</v>
      </c>
      <c r="B7058" s="2" t="s">
        <v>4372</v>
      </c>
      <c r="C7058" s="2" t="s">
        <v>4741</v>
      </c>
      <c r="D7058" s="3" t="str">
        <f t="shared" si="1229"/>
        <v>12Go Link</v>
      </c>
      <c r="E7058" s="2" t="s">
        <v>4337</v>
      </c>
    </row>
    <row r="7059">
      <c r="A7059" s="2" t="s">
        <v>4381</v>
      </c>
      <c r="B7059" s="2" t="s">
        <v>4372</v>
      </c>
      <c r="C7059" s="2" t="s">
        <v>4741</v>
      </c>
      <c r="D7059" s="3" t="str">
        <f t="shared" si="1229"/>
        <v>12Go Link</v>
      </c>
      <c r="E7059" s="2" t="s">
        <v>4137</v>
      </c>
    </row>
    <row r="7060">
      <c r="A7060" s="2" t="s">
        <v>4381</v>
      </c>
      <c r="B7060" s="2" t="s">
        <v>4372</v>
      </c>
      <c r="C7060" s="2" t="s">
        <v>4741</v>
      </c>
      <c r="D7060" s="3" t="str">
        <f t="shared" si="1229"/>
        <v>12Go Link</v>
      </c>
      <c r="E7060" s="2" t="s">
        <v>4338</v>
      </c>
    </row>
    <row r="7061">
      <c r="A7061" s="2" t="s">
        <v>4381</v>
      </c>
      <c r="B7061" s="2" t="s">
        <v>4372</v>
      </c>
      <c r="C7061" s="2" t="s">
        <v>4741</v>
      </c>
      <c r="D7061" s="3" t="str">
        <f t="shared" si="1229"/>
        <v>12Go Link</v>
      </c>
      <c r="E7061" s="2" t="s">
        <v>4339</v>
      </c>
    </row>
    <row r="7062">
      <c r="A7062" s="2" t="s">
        <v>4381</v>
      </c>
      <c r="B7062" s="2" t="s">
        <v>4372</v>
      </c>
      <c r="C7062" s="2" t="s">
        <v>4741</v>
      </c>
      <c r="D7062" s="3" t="str">
        <f t="shared" si="1229"/>
        <v>12Go Link</v>
      </c>
      <c r="E7062" s="2" t="s">
        <v>4340</v>
      </c>
    </row>
    <row r="7063">
      <c r="A7063" s="2" t="s">
        <v>4384</v>
      </c>
      <c r="B7063" s="2" t="s">
        <v>4334</v>
      </c>
      <c r="C7063" s="2" t="s">
        <v>4742</v>
      </c>
      <c r="D7063" s="3" t="str">
        <f t="shared" ref="D7063:D7068" si="1230">HYPERLINK("https://12go.asia/en/travel/Ouirgane-Hotel-Transfer/Agadir-Al-Massira-International-Airport", "12Go Link")</f>
        <v>12Go Link</v>
      </c>
      <c r="E7063" s="2" t="s">
        <v>4336</v>
      </c>
    </row>
    <row r="7064">
      <c r="A7064" s="2" t="s">
        <v>4384</v>
      </c>
      <c r="B7064" s="2" t="s">
        <v>4334</v>
      </c>
      <c r="C7064" s="2" t="s">
        <v>4742</v>
      </c>
      <c r="D7064" s="3" t="str">
        <f t="shared" si="1230"/>
        <v>12Go Link</v>
      </c>
      <c r="E7064" s="2" t="s">
        <v>4337</v>
      </c>
    </row>
    <row r="7065">
      <c r="A7065" s="2" t="s">
        <v>4384</v>
      </c>
      <c r="B7065" s="2" t="s">
        <v>4334</v>
      </c>
      <c r="C7065" s="2" t="s">
        <v>4742</v>
      </c>
      <c r="D7065" s="3" t="str">
        <f t="shared" si="1230"/>
        <v>12Go Link</v>
      </c>
      <c r="E7065" s="2" t="s">
        <v>4137</v>
      </c>
    </row>
    <row r="7066">
      <c r="A7066" s="2" t="s">
        <v>4384</v>
      </c>
      <c r="B7066" s="2" t="s">
        <v>4334</v>
      </c>
      <c r="C7066" s="2" t="s">
        <v>4742</v>
      </c>
      <c r="D7066" s="3" t="str">
        <f t="shared" si="1230"/>
        <v>12Go Link</v>
      </c>
      <c r="E7066" s="2" t="s">
        <v>4338</v>
      </c>
    </row>
    <row r="7067">
      <c r="A7067" s="2" t="s">
        <v>4384</v>
      </c>
      <c r="B7067" s="2" t="s">
        <v>4334</v>
      </c>
      <c r="C7067" s="2" t="s">
        <v>4742</v>
      </c>
      <c r="D7067" s="3" t="str">
        <f t="shared" si="1230"/>
        <v>12Go Link</v>
      </c>
      <c r="E7067" s="2" t="s">
        <v>4339</v>
      </c>
    </row>
    <row r="7068">
      <c r="A7068" s="2" t="s">
        <v>4384</v>
      </c>
      <c r="B7068" s="2" t="s">
        <v>4334</v>
      </c>
      <c r="C7068" s="2" t="s">
        <v>4742</v>
      </c>
      <c r="D7068" s="3" t="str">
        <f t="shared" si="1230"/>
        <v>12Go Link</v>
      </c>
      <c r="E7068" s="2" t="s">
        <v>4340</v>
      </c>
    </row>
    <row r="7069">
      <c r="A7069" s="2" t="s">
        <v>4384</v>
      </c>
      <c r="B7069" s="2" t="s">
        <v>4357</v>
      </c>
      <c r="C7069" s="2" t="s">
        <v>4743</v>
      </c>
      <c r="D7069" s="3" t="str">
        <f t="shared" ref="D7069:D7074" si="1231">HYPERLINK("https://12go.asia/en/travel/Ouirgane-Hotel-Transfer/Fes-Airport", "12Go Link")</f>
        <v>12Go Link</v>
      </c>
      <c r="E7069" s="2" t="s">
        <v>4336</v>
      </c>
    </row>
    <row r="7070">
      <c r="A7070" s="2" t="s">
        <v>4384</v>
      </c>
      <c r="B7070" s="2" t="s">
        <v>4357</v>
      </c>
      <c r="C7070" s="2" t="s">
        <v>4743</v>
      </c>
      <c r="D7070" s="3" t="str">
        <f t="shared" si="1231"/>
        <v>12Go Link</v>
      </c>
      <c r="E7070" s="2" t="s">
        <v>4337</v>
      </c>
    </row>
    <row r="7071">
      <c r="A7071" s="2" t="s">
        <v>4384</v>
      </c>
      <c r="B7071" s="2" t="s">
        <v>4357</v>
      </c>
      <c r="C7071" s="2" t="s">
        <v>4743</v>
      </c>
      <c r="D7071" s="3" t="str">
        <f t="shared" si="1231"/>
        <v>12Go Link</v>
      </c>
      <c r="E7071" s="2" t="s">
        <v>4137</v>
      </c>
    </row>
    <row r="7072">
      <c r="A7072" s="2" t="s">
        <v>4384</v>
      </c>
      <c r="B7072" s="2" t="s">
        <v>4357</v>
      </c>
      <c r="C7072" s="2" t="s">
        <v>4743</v>
      </c>
      <c r="D7072" s="3" t="str">
        <f t="shared" si="1231"/>
        <v>12Go Link</v>
      </c>
      <c r="E7072" s="2" t="s">
        <v>4338</v>
      </c>
    </row>
    <row r="7073">
      <c r="A7073" s="2" t="s">
        <v>4384</v>
      </c>
      <c r="B7073" s="2" t="s">
        <v>4357</v>
      </c>
      <c r="C7073" s="2" t="s">
        <v>4743</v>
      </c>
      <c r="D7073" s="3" t="str">
        <f t="shared" si="1231"/>
        <v>12Go Link</v>
      </c>
      <c r="E7073" s="2" t="s">
        <v>4339</v>
      </c>
    </row>
    <row r="7074">
      <c r="A7074" s="2" t="s">
        <v>4384</v>
      </c>
      <c r="B7074" s="2" t="s">
        <v>4357</v>
      </c>
      <c r="C7074" s="2" t="s">
        <v>4743</v>
      </c>
      <c r="D7074" s="3" t="str">
        <f t="shared" si="1231"/>
        <v>12Go Link</v>
      </c>
      <c r="E7074" s="2" t="s">
        <v>4340</v>
      </c>
    </row>
    <row r="7075">
      <c r="A7075" s="2" t="s">
        <v>4384</v>
      </c>
      <c r="B7075" s="2" t="s">
        <v>4372</v>
      </c>
      <c r="C7075" s="2" t="s">
        <v>4744</v>
      </c>
      <c r="D7075" s="3" t="str">
        <f t="shared" ref="D7075:D7080" si="1232">HYPERLINK("https://12go.asia/en/travel/Ouirgane-Hotel-Transfer/Marrakesh-Menara-Airport", "12Go Link")</f>
        <v>12Go Link</v>
      </c>
      <c r="E7075" s="2" t="s">
        <v>4336</v>
      </c>
    </row>
    <row r="7076">
      <c r="A7076" s="2" t="s">
        <v>4384</v>
      </c>
      <c r="B7076" s="2" t="s">
        <v>4372</v>
      </c>
      <c r="C7076" s="2" t="s">
        <v>4744</v>
      </c>
      <c r="D7076" s="3" t="str">
        <f t="shared" si="1232"/>
        <v>12Go Link</v>
      </c>
      <c r="E7076" s="2" t="s">
        <v>4337</v>
      </c>
    </row>
    <row r="7077">
      <c r="A7077" s="2" t="s">
        <v>4384</v>
      </c>
      <c r="B7077" s="2" t="s">
        <v>4372</v>
      </c>
      <c r="C7077" s="2" t="s">
        <v>4744</v>
      </c>
      <c r="D7077" s="3" t="str">
        <f t="shared" si="1232"/>
        <v>12Go Link</v>
      </c>
      <c r="E7077" s="2" t="s">
        <v>4137</v>
      </c>
    </row>
    <row r="7078">
      <c r="A7078" s="2" t="s">
        <v>4384</v>
      </c>
      <c r="B7078" s="2" t="s">
        <v>4372</v>
      </c>
      <c r="C7078" s="2" t="s">
        <v>4744</v>
      </c>
      <c r="D7078" s="3" t="str">
        <f t="shared" si="1232"/>
        <v>12Go Link</v>
      </c>
      <c r="E7078" s="2" t="s">
        <v>4338</v>
      </c>
    </row>
    <row r="7079">
      <c r="A7079" s="2" t="s">
        <v>4384</v>
      </c>
      <c r="B7079" s="2" t="s">
        <v>4372</v>
      </c>
      <c r="C7079" s="2" t="s">
        <v>4744</v>
      </c>
      <c r="D7079" s="3" t="str">
        <f t="shared" si="1232"/>
        <v>12Go Link</v>
      </c>
      <c r="E7079" s="2" t="s">
        <v>4339</v>
      </c>
    </row>
    <row r="7080">
      <c r="A7080" s="2" t="s">
        <v>4384</v>
      </c>
      <c r="B7080" s="2" t="s">
        <v>4372</v>
      </c>
      <c r="C7080" s="2" t="s">
        <v>4744</v>
      </c>
      <c r="D7080" s="3" t="str">
        <f t="shared" si="1232"/>
        <v>12Go Link</v>
      </c>
      <c r="E7080" s="2" t="s">
        <v>4340</v>
      </c>
    </row>
    <row r="7081">
      <c r="A7081" s="2" t="s">
        <v>4413</v>
      </c>
      <c r="B7081" s="2" t="s">
        <v>4412</v>
      </c>
      <c r="C7081" s="2" t="s">
        <v>4745</v>
      </c>
      <c r="D7081" s="3" t="str">
        <f t="shared" ref="D7081:D7086" si="1233">HYPERLINK("https://12go.asia/en/travel/Oujda-Angads-Airport/El-Hoceima-Hotel-Transfer", "12Go Link")</f>
        <v>12Go Link</v>
      </c>
      <c r="E7081" s="2" t="s">
        <v>4336</v>
      </c>
    </row>
    <row r="7082">
      <c r="A7082" s="2" t="s">
        <v>4413</v>
      </c>
      <c r="B7082" s="2" t="s">
        <v>4412</v>
      </c>
      <c r="C7082" s="2" t="s">
        <v>4745</v>
      </c>
      <c r="D7082" s="3" t="str">
        <f t="shared" si="1233"/>
        <v>12Go Link</v>
      </c>
      <c r="E7082" s="2" t="s">
        <v>4337</v>
      </c>
    </row>
    <row r="7083">
      <c r="A7083" s="2" t="s">
        <v>4413</v>
      </c>
      <c r="B7083" s="2" t="s">
        <v>4412</v>
      </c>
      <c r="C7083" s="2" t="s">
        <v>4745</v>
      </c>
      <c r="D7083" s="3" t="str">
        <f t="shared" si="1233"/>
        <v>12Go Link</v>
      </c>
      <c r="E7083" s="2" t="s">
        <v>4137</v>
      </c>
    </row>
    <row r="7084">
      <c r="A7084" s="2" t="s">
        <v>4413</v>
      </c>
      <c r="B7084" s="2" t="s">
        <v>4412</v>
      </c>
      <c r="C7084" s="2" t="s">
        <v>4745</v>
      </c>
      <c r="D7084" s="3" t="str">
        <f t="shared" si="1233"/>
        <v>12Go Link</v>
      </c>
      <c r="E7084" s="2" t="s">
        <v>4338</v>
      </c>
    </row>
    <row r="7085">
      <c r="A7085" s="2" t="s">
        <v>4413</v>
      </c>
      <c r="B7085" s="2" t="s">
        <v>4412</v>
      </c>
      <c r="C7085" s="2" t="s">
        <v>4745</v>
      </c>
      <c r="D7085" s="3" t="str">
        <f t="shared" si="1233"/>
        <v>12Go Link</v>
      </c>
      <c r="E7085" s="2" t="s">
        <v>4339</v>
      </c>
    </row>
    <row r="7086">
      <c r="A7086" s="2" t="s">
        <v>4413</v>
      </c>
      <c r="B7086" s="2" t="s">
        <v>4412</v>
      </c>
      <c r="C7086" s="2" t="s">
        <v>4745</v>
      </c>
      <c r="D7086" s="3" t="str">
        <f t="shared" si="1233"/>
        <v>12Go Link</v>
      </c>
      <c r="E7086" s="2" t="s">
        <v>4340</v>
      </c>
    </row>
    <row r="7087">
      <c r="A7087" s="2" t="s">
        <v>4413</v>
      </c>
      <c r="B7087" s="2" t="s">
        <v>4429</v>
      </c>
      <c r="C7087" s="2" t="s">
        <v>4746</v>
      </c>
      <c r="D7087" s="3" t="str">
        <f t="shared" ref="D7087:D7092" si="1234">HYPERLINK("https://12go.asia/en/travel/Oujda-Angads-Airport/Berkane-Hotel-Transfer", "12Go Link")</f>
        <v>12Go Link</v>
      </c>
      <c r="E7087" s="2" t="s">
        <v>4336</v>
      </c>
    </row>
    <row r="7088">
      <c r="A7088" s="2" t="s">
        <v>4413</v>
      </c>
      <c r="B7088" s="2" t="s">
        <v>4429</v>
      </c>
      <c r="C7088" s="2" t="s">
        <v>4746</v>
      </c>
      <c r="D7088" s="3" t="str">
        <f t="shared" si="1234"/>
        <v>12Go Link</v>
      </c>
      <c r="E7088" s="2" t="s">
        <v>4337</v>
      </c>
    </row>
    <row r="7089">
      <c r="A7089" s="2" t="s">
        <v>4413</v>
      </c>
      <c r="B7089" s="2" t="s">
        <v>4429</v>
      </c>
      <c r="C7089" s="2" t="s">
        <v>4746</v>
      </c>
      <c r="D7089" s="3" t="str">
        <f t="shared" si="1234"/>
        <v>12Go Link</v>
      </c>
      <c r="E7089" s="2" t="s">
        <v>4137</v>
      </c>
    </row>
    <row r="7090">
      <c r="A7090" s="2" t="s">
        <v>4413</v>
      </c>
      <c r="B7090" s="2" t="s">
        <v>4429</v>
      </c>
      <c r="C7090" s="2" t="s">
        <v>4746</v>
      </c>
      <c r="D7090" s="3" t="str">
        <f t="shared" si="1234"/>
        <v>12Go Link</v>
      </c>
      <c r="E7090" s="2" t="s">
        <v>4338</v>
      </c>
    </row>
    <row r="7091">
      <c r="A7091" s="2" t="s">
        <v>4413</v>
      </c>
      <c r="B7091" s="2" t="s">
        <v>4429</v>
      </c>
      <c r="C7091" s="2" t="s">
        <v>4746</v>
      </c>
      <c r="D7091" s="3" t="str">
        <f t="shared" si="1234"/>
        <v>12Go Link</v>
      </c>
      <c r="E7091" s="2" t="s">
        <v>4339</v>
      </c>
    </row>
    <row r="7092">
      <c r="A7092" s="2" t="s">
        <v>4413</v>
      </c>
      <c r="B7092" s="2" t="s">
        <v>4429</v>
      </c>
      <c r="C7092" s="2" t="s">
        <v>4746</v>
      </c>
      <c r="D7092" s="3" t="str">
        <f t="shared" si="1234"/>
        <v>12Go Link</v>
      </c>
      <c r="E7092" s="2" t="s">
        <v>4340</v>
      </c>
    </row>
    <row r="7093">
      <c r="A7093" s="2" t="s">
        <v>4413</v>
      </c>
      <c r="B7093" s="2" t="s">
        <v>4350</v>
      </c>
      <c r="C7093" s="2" t="s">
        <v>4747</v>
      </c>
      <c r="D7093" s="3" t="str">
        <f t="shared" ref="D7093:D7098" si="1235">HYPERLINK("https://12go.asia/en/travel/Oujda-Hotel-Transfer/Mohammed-V-International-Airport", "12Go Link")</f>
        <v>12Go Link</v>
      </c>
      <c r="E7093" s="2" t="s">
        <v>4336</v>
      </c>
    </row>
    <row r="7094">
      <c r="A7094" s="2" t="s">
        <v>4413</v>
      </c>
      <c r="B7094" s="2" t="s">
        <v>4350</v>
      </c>
      <c r="C7094" s="2" t="s">
        <v>4747</v>
      </c>
      <c r="D7094" s="3" t="str">
        <f t="shared" si="1235"/>
        <v>12Go Link</v>
      </c>
      <c r="E7094" s="2" t="s">
        <v>4337</v>
      </c>
    </row>
    <row r="7095">
      <c r="A7095" s="2" t="s">
        <v>4413</v>
      </c>
      <c r="B7095" s="2" t="s">
        <v>4350</v>
      </c>
      <c r="C7095" s="2" t="s">
        <v>4747</v>
      </c>
      <c r="D7095" s="3" t="str">
        <f t="shared" si="1235"/>
        <v>12Go Link</v>
      </c>
      <c r="E7095" s="2" t="s">
        <v>4137</v>
      </c>
    </row>
    <row r="7096">
      <c r="A7096" s="2" t="s">
        <v>4413</v>
      </c>
      <c r="B7096" s="2" t="s">
        <v>4350</v>
      </c>
      <c r="C7096" s="2" t="s">
        <v>4747</v>
      </c>
      <c r="D7096" s="3" t="str">
        <f t="shared" si="1235"/>
        <v>12Go Link</v>
      </c>
      <c r="E7096" s="2" t="s">
        <v>4338</v>
      </c>
    </row>
    <row r="7097">
      <c r="A7097" s="2" t="s">
        <v>4413</v>
      </c>
      <c r="B7097" s="2" t="s">
        <v>4350</v>
      </c>
      <c r="C7097" s="2" t="s">
        <v>4747</v>
      </c>
      <c r="D7097" s="3" t="str">
        <f t="shared" si="1235"/>
        <v>12Go Link</v>
      </c>
      <c r="E7097" s="2" t="s">
        <v>4339</v>
      </c>
    </row>
    <row r="7098">
      <c r="A7098" s="2" t="s">
        <v>4413</v>
      </c>
      <c r="B7098" s="2" t="s">
        <v>4350</v>
      </c>
      <c r="C7098" s="2" t="s">
        <v>4747</v>
      </c>
      <c r="D7098" s="3" t="str">
        <f t="shared" si="1235"/>
        <v>12Go Link</v>
      </c>
      <c r="E7098" s="2" t="s">
        <v>4340</v>
      </c>
    </row>
    <row r="7099">
      <c r="A7099" s="2" t="s">
        <v>4413</v>
      </c>
      <c r="B7099" s="2" t="s">
        <v>4357</v>
      </c>
      <c r="C7099" s="2" t="s">
        <v>4748</v>
      </c>
      <c r="D7099" s="3" t="str">
        <f t="shared" ref="D7099:D7104" si="1236">HYPERLINK("https://12go.asia/en/travel/Oujda-Angads-Airport/Fes-Hotel-Transfer", "12Go Link")</f>
        <v>12Go Link</v>
      </c>
      <c r="E7099" s="2" t="s">
        <v>4336</v>
      </c>
    </row>
    <row r="7100">
      <c r="A7100" s="2" t="s">
        <v>4413</v>
      </c>
      <c r="B7100" s="2" t="s">
        <v>4357</v>
      </c>
      <c r="C7100" s="2" t="s">
        <v>4748</v>
      </c>
      <c r="D7100" s="3" t="str">
        <f t="shared" si="1236"/>
        <v>12Go Link</v>
      </c>
      <c r="E7100" s="2" t="s">
        <v>4337</v>
      </c>
    </row>
    <row r="7101">
      <c r="A7101" s="2" t="s">
        <v>4413</v>
      </c>
      <c r="B7101" s="2" t="s">
        <v>4357</v>
      </c>
      <c r="C7101" s="2" t="s">
        <v>4748</v>
      </c>
      <c r="D7101" s="3" t="str">
        <f t="shared" si="1236"/>
        <v>12Go Link</v>
      </c>
      <c r="E7101" s="2" t="s">
        <v>4137</v>
      </c>
    </row>
    <row r="7102">
      <c r="A7102" s="2" t="s">
        <v>4413</v>
      </c>
      <c r="B7102" s="2" t="s">
        <v>4357</v>
      </c>
      <c r="C7102" s="2" t="s">
        <v>4748</v>
      </c>
      <c r="D7102" s="3" t="str">
        <f t="shared" si="1236"/>
        <v>12Go Link</v>
      </c>
      <c r="E7102" s="2" t="s">
        <v>4338</v>
      </c>
    </row>
    <row r="7103">
      <c r="A7103" s="2" t="s">
        <v>4413</v>
      </c>
      <c r="B7103" s="2" t="s">
        <v>4357</v>
      </c>
      <c r="C7103" s="2" t="s">
        <v>4748</v>
      </c>
      <c r="D7103" s="3" t="str">
        <f t="shared" si="1236"/>
        <v>12Go Link</v>
      </c>
      <c r="E7103" s="2" t="s">
        <v>4339</v>
      </c>
    </row>
    <row r="7104">
      <c r="A7104" s="2" t="s">
        <v>4413</v>
      </c>
      <c r="B7104" s="2" t="s">
        <v>4357</v>
      </c>
      <c r="C7104" s="2" t="s">
        <v>4748</v>
      </c>
      <c r="D7104" s="3" t="str">
        <f t="shared" si="1236"/>
        <v>12Go Link</v>
      </c>
      <c r="E7104" s="2" t="s">
        <v>4340</v>
      </c>
    </row>
    <row r="7105">
      <c r="A7105" s="2" t="s">
        <v>4413</v>
      </c>
      <c r="B7105" s="2" t="s">
        <v>4357</v>
      </c>
      <c r="C7105" s="2" t="s">
        <v>4749</v>
      </c>
      <c r="D7105" s="3" t="str">
        <f t="shared" ref="D7105:D7110" si="1237">HYPERLINK("https://12go.asia/en/travel/Oujda-Hotel-Transfer/Fes-Airport", "12Go Link")</f>
        <v>12Go Link</v>
      </c>
      <c r="E7105" s="2" t="s">
        <v>4336</v>
      </c>
    </row>
    <row r="7106">
      <c r="A7106" s="2" t="s">
        <v>4413</v>
      </c>
      <c r="B7106" s="2" t="s">
        <v>4357</v>
      </c>
      <c r="C7106" s="2" t="s">
        <v>4749</v>
      </c>
      <c r="D7106" s="3" t="str">
        <f t="shared" si="1237"/>
        <v>12Go Link</v>
      </c>
      <c r="E7106" s="2" t="s">
        <v>4337</v>
      </c>
    </row>
    <row r="7107">
      <c r="A7107" s="2" t="s">
        <v>4413</v>
      </c>
      <c r="B7107" s="2" t="s">
        <v>4357</v>
      </c>
      <c r="C7107" s="2" t="s">
        <v>4749</v>
      </c>
      <c r="D7107" s="3" t="str">
        <f t="shared" si="1237"/>
        <v>12Go Link</v>
      </c>
      <c r="E7107" s="2" t="s">
        <v>4137</v>
      </c>
    </row>
    <row r="7108">
      <c r="A7108" s="2" t="s">
        <v>4413</v>
      </c>
      <c r="B7108" s="2" t="s">
        <v>4357</v>
      </c>
      <c r="C7108" s="2" t="s">
        <v>4749</v>
      </c>
      <c r="D7108" s="3" t="str">
        <f t="shared" si="1237"/>
        <v>12Go Link</v>
      </c>
      <c r="E7108" s="2" t="s">
        <v>4338</v>
      </c>
    </row>
    <row r="7109">
      <c r="A7109" s="2" t="s">
        <v>4413</v>
      </c>
      <c r="B7109" s="2" t="s">
        <v>4357</v>
      </c>
      <c r="C7109" s="2" t="s">
        <v>4749</v>
      </c>
      <c r="D7109" s="3" t="str">
        <f t="shared" si="1237"/>
        <v>12Go Link</v>
      </c>
      <c r="E7109" s="2" t="s">
        <v>4339</v>
      </c>
    </row>
    <row r="7110">
      <c r="A7110" s="2" t="s">
        <v>4413</v>
      </c>
      <c r="B7110" s="2" t="s">
        <v>4357</v>
      </c>
      <c r="C7110" s="2" t="s">
        <v>4749</v>
      </c>
      <c r="D7110" s="3" t="str">
        <f t="shared" si="1237"/>
        <v>12Go Link</v>
      </c>
      <c r="E7110" s="2" t="s">
        <v>4340</v>
      </c>
    </row>
    <row r="7111">
      <c r="A7111" s="2" t="s">
        <v>4413</v>
      </c>
      <c r="B7111" s="2" t="s">
        <v>4726</v>
      </c>
      <c r="C7111" s="2" t="s">
        <v>4750</v>
      </c>
      <c r="D7111" s="3" t="str">
        <f t="shared" ref="D7111:D7116" si="1238">HYPERLINK("https://12go.asia/en/travel/Oujda-Angads-Airport/Nador-Hotel-Transfer", "12Go Link")</f>
        <v>12Go Link</v>
      </c>
      <c r="E7111" s="2" t="s">
        <v>4336</v>
      </c>
    </row>
    <row r="7112">
      <c r="A7112" s="2" t="s">
        <v>4413</v>
      </c>
      <c r="B7112" s="2" t="s">
        <v>4726</v>
      </c>
      <c r="C7112" s="2" t="s">
        <v>4750</v>
      </c>
      <c r="D7112" s="3" t="str">
        <f t="shared" si="1238"/>
        <v>12Go Link</v>
      </c>
      <c r="E7112" s="2" t="s">
        <v>4337</v>
      </c>
    </row>
    <row r="7113">
      <c r="A7113" s="2" t="s">
        <v>4413</v>
      </c>
      <c r="B7113" s="2" t="s">
        <v>4726</v>
      </c>
      <c r="C7113" s="2" t="s">
        <v>4750</v>
      </c>
      <c r="D7113" s="3" t="str">
        <f t="shared" si="1238"/>
        <v>12Go Link</v>
      </c>
      <c r="E7113" s="2" t="s">
        <v>4137</v>
      </c>
    </row>
    <row r="7114">
      <c r="A7114" s="2" t="s">
        <v>4413</v>
      </c>
      <c r="B7114" s="2" t="s">
        <v>4726</v>
      </c>
      <c r="C7114" s="2" t="s">
        <v>4750</v>
      </c>
      <c r="D7114" s="3" t="str">
        <f t="shared" si="1238"/>
        <v>12Go Link</v>
      </c>
      <c r="E7114" s="2" t="s">
        <v>4338</v>
      </c>
    </row>
    <row r="7115">
      <c r="A7115" s="2" t="s">
        <v>4413</v>
      </c>
      <c r="B7115" s="2" t="s">
        <v>4726</v>
      </c>
      <c r="C7115" s="2" t="s">
        <v>4750</v>
      </c>
      <c r="D7115" s="3" t="str">
        <f t="shared" si="1238"/>
        <v>12Go Link</v>
      </c>
      <c r="E7115" s="2" t="s">
        <v>4339</v>
      </c>
    </row>
    <row r="7116">
      <c r="A7116" s="2" t="s">
        <v>4413</v>
      </c>
      <c r="B7116" s="2" t="s">
        <v>4726</v>
      </c>
      <c r="C7116" s="2" t="s">
        <v>4750</v>
      </c>
      <c r="D7116" s="3" t="str">
        <f t="shared" si="1238"/>
        <v>12Go Link</v>
      </c>
      <c r="E7116" s="2" t="s">
        <v>4340</v>
      </c>
    </row>
    <row r="7117">
      <c r="A7117" s="2" t="s">
        <v>4413</v>
      </c>
      <c r="B7117" s="2" t="s">
        <v>4413</v>
      </c>
      <c r="C7117" s="2" t="s">
        <v>4751</v>
      </c>
      <c r="D7117" s="3" t="str">
        <f t="shared" ref="D7117:D7122" si="1239">HYPERLINK("https://12go.asia/en/travel/Oujda-Angads-Airport/Oujda-Hotel-Transfer", "12Go Link")</f>
        <v>12Go Link</v>
      </c>
      <c r="E7117" s="2" t="s">
        <v>4336</v>
      </c>
    </row>
    <row r="7118">
      <c r="A7118" s="2" t="s">
        <v>4413</v>
      </c>
      <c r="B7118" s="2" t="s">
        <v>4413</v>
      </c>
      <c r="C7118" s="2" t="s">
        <v>4751</v>
      </c>
      <c r="D7118" s="3" t="str">
        <f t="shared" si="1239"/>
        <v>12Go Link</v>
      </c>
      <c r="E7118" s="2" t="s">
        <v>4337</v>
      </c>
    </row>
    <row r="7119">
      <c r="A7119" s="2" t="s">
        <v>4413</v>
      </c>
      <c r="B7119" s="2" t="s">
        <v>4413</v>
      </c>
      <c r="C7119" s="2" t="s">
        <v>4751</v>
      </c>
      <c r="D7119" s="3" t="str">
        <f t="shared" si="1239"/>
        <v>12Go Link</v>
      </c>
      <c r="E7119" s="2" t="s">
        <v>4137</v>
      </c>
    </row>
    <row r="7120">
      <c r="A7120" s="2" t="s">
        <v>4413</v>
      </c>
      <c r="B7120" s="2" t="s">
        <v>4413</v>
      </c>
      <c r="C7120" s="2" t="s">
        <v>4751</v>
      </c>
      <c r="D7120" s="3" t="str">
        <f t="shared" si="1239"/>
        <v>12Go Link</v>
      </c>
      <c r="E7120" s="2" t="s">
        <v>4338</v>
      </c>
    </row>
    <row r="7121">
      <c r="A7121" s="2" t="s">
        <v>4413</v>
      </c>
      <c r="B7121" s="2" t="s">
        <v>4413</v>
      </c>
      <c r="C7121" s="2" t="s">
        <v>4751</v>
      </c>
      <c r="D7121" s="3" t="str">
        <f t="shared" si="1239"/>
        <v>12Go Link</v>
      </c>
      <c r="E7121" s="2" t="s">
        <v>4339</v>
      </c>
    </row>
    <row r="7122">
      <c r="A7122" s="2" t="s">
        <v>4413</v>
      </c>
      <c r="B7122" s="2" t="s">
        <v>4413</v>
      </c>
      <c r="C7122" s="2" t="s">
        <v>4751</v>
      </c>
      <c r="D7122" s="3" t="str">
        <f t="shared" si="1239"/>
        <v>12Go Link</v>
      </c>
      <c r="E7122" s="2" t="s">
        <v>4340</v>
      </c>
    </row>
    <row r="7123">
      <c r="A7123" s="2" t="s">
        <v>4413</v>
      </c>
      <c r="B7123" s="2" t="s">
        <v>4413</v>
      </c>
      <c r="C7123" s="2" t="s">
        <v>4752</v>
      </c>
      <c r="D7123" s="3" t="str">
        <f t="shared" ref="D7123:D7128" si="1240">HYPERLINK("https://12go.asia/en/travel/Oujda-Hotel-Transfer/Oujda-Angads-Airport", "12Go Link")</f>
        <v>12Go Link</v>
      </c>
      <c r="E7123" s="2" t="s">
        <v>4336</v>
      </c>
    </row>
    <row r="7124">
      <c r="A7124" s="2" t="s">
        <v>4413</v>
      </c>
      <c r="B7124" s="2" t="s">
        <v>4413</v>
      </c>
      <c r="C7124" s="2" t="s">
        <v>4752</v>
      </c>
      <c r="D7124" s="3" t="str">
        <f t="shared" si="1240"/>
        <v>12Go Link</v>
      </c>
      <c r="E7124" s="2" t="s">
        <v>4337</v>
      </c>
    </row>
    <row r="7125">
      <c r="A7125" s="2" t="s">
        <v>4413</v>
      </c>
      <c r="B7125" s="2" t="s">
        <v>4413</v>
      </c>
      <c r="C7125" s="2" t="s">
        <v>4752</v>
      </c>
      <c r="D7125" s="3" t="str">
        <f t="shared" si="1240"/>
        <v>12Go Link</v>
      </c>
      <c r="E7125" s="2" t="s">
        <v>4137</v>
      </c>
    </row>
    <row r="7126">
      <c r="A7126" s="2" t="s">
        <v>4413</v>
      </c>
      <c r="B7126" s="2" t="s">
        <v>4413</v>
      </c>
      <c r="C7126" s="2" t="s">
        <v>4752</v>
      </c>
      <c r="D7126" s="3" t="str">
        <f t="shared" si="1240"/>
        <v>12Go Link</v>
      </c>
      <c r="E7126" s="2" t="s">
        <v>4338</v>
      </c>
    </row>
    <row r="7127">
      <c r="A7127" s="2" t="s">
        <v>4413</v>
      </c>
      <c r="B7127" s="2" t="s">
        <v>4413</v>
      </c>
      <c r="C7127" s="2" t="s">
        <v>4752</v>
      </c>
      <c r="D7127" s="3" t="str">
        <f t="shared" si="1240"/>
        <v>12Go Link</v>
      </c>
      <c r="E7127" s="2" t="s">
        <v>4339</v>
      </c>
    </row>
    <row r="7128">
      <c r="A7128" s="2" t="s">
        <v>4413</v>
      </c>
      <c r="B7128" s="2" t="s">
        <v>4413</v>
      </c>
      <c r="C7128" s="2" t="s">
        <v>4752</v>
      </c>
      <c r="D7128" s="3" t="str">
        <f t="shared" si="1240"/>
        <v>12Go Link</v>
      </c>
      <c r="E7128" s="2" t="s">
        <v>4340</v>
      </c>
    </row>
    <row r="7129">
      <c r="A7129" s="2" t="s">
        <v>4413</v>
      </c>
      <c r="B7129" s="2" t="s">
        <v>4753</v>
      </c>
      <c r="C7129" s="2" t="s">
        <v>4754</v>
      </c>
      <c r="D7129" s="3" t="str">
        <f t="shared" ref="D7129:D7134" si="1241">HYPERLINK("https://12go.asia/en/travel/Oujda-Angads-Airport/Saidia-Hotel-Transfer", "12Go Link")</f>
        <v>12Go Link</v>
      </c>
      <c r="E7129" s="2" t="s">
        <v>4336</v>
      </c>
    </row>
    <row r="7130">
      <c r="A7130" s="2" t="s">
        <v>4413</v>
      </c>
      <c r="B7130" s="2" t="s">
        <v>4753</v>
      </c>
      <c r="C7130" s="2" t="s">
        <v>4754</v>
      </c>
      <c r="D7130" s="3" t="str">
        <f t="shared" si="1241"/>
        <v>12Go Link</v>
      </c>
      <c r="E7130" s="2" t="s">
        <v>4337</v>
      </c>
    </row>
    <row r="7131">
      <c r="A7131" s="2" t="s">
        <v>4413</v>
      </c>
      <c r="B7131" s="2" t="s">
        <v>4753</v>
      </c>
      <c r="C7131" s="2" t="s">
        <v>4754</v>
      </c>
      <c r="D7131" s="3" t="str">
        <f t="shared" si="1241"/>
        <v>12Go Link</v>
      </c>
      <c r="E7131" s="2" t="s">
        <v>4137</v>
      </c>
    </row>
    <row r="7132">
      <c r="A7132" s="2" t="s">
        <v>4413</v>
      </c>
      <c r="B7132" s="2" t="s">
        <v>4753</v>
      </c>
      <c r="C7132" s="2" t="s">
        <v>4754</v>
      </c>
      <c r="D7132" s="3" t="str">
        <f t="shared" si="1241"/>
        <v>12Go Link</v>
      </c>
      <c r="E7132" s="2" t="s">
        <v>4338</v>
      </c>
    </row>
    <row r="7133">
      <c r="A7133" s="2" t="s">
        <v>4413</v>
      </c>
      <c r="B7133" s="2" t="s">
        <v>4753</v>
      </c>
      <c r="C7133" s="2" t="s">
        <v>4754</v>
      </c>
      <c r="D7133" s="3" t="str">
        <f t="shared" si="1241"/>
        <v>12Go Link</v>
      </c>
      <c r="E7133" s="2" t="s">
        <v>4339</v>
      </c>
    </row>
    <row r="7134">
      <c r="A7134" s="2" t="s">
        <v>4413</v>
      </c>
      <c r="B7134" s="2" t="s">
        <v>4753</v>
      </c>
      <c r="C7134" s="2" t="s">
        <v>4754</v>
      </c>
      <c r="D7134" s="3" t="str">
        <f t="shared" si="1241"/>
        <v>12Go Link</v>
      </c>
      <c r="E7134" s="2" t="s">
        <v>4340</v>
      </c>
    </row>
    <row r="7135">
      <c r="A7135" s="2" t="s">
        <v>4413</v>
      </c>
      <c r="B7135" s="2" t="s">
        <v>4755</v>
      </c>
      <c r="C7135" s="2" t="s">
        <v>4756</v>
      </c>
      <c r="D7135" s="3" t="str">
        <f t="shared" ref="D7135:D7140" si="1242">HYPERLINK("https://12go.asia/en/travel/Oujda-Angads-Airport/Melilla-Hotel-Transfer", "12Go Link")</f>
        <v>12Go Link</v>
      </c>
      <c r="E7135" s="2" t="s">
        <v>4336</v>
      </c>
    </row>
    <row r="7136">
      <c r="A7136" s="2" t="s">
        <v>4413</v>
      </c>
      <c r="B7136" s="2" t="s">
        <v>4755</v>
      </c>
      <c r="C7136" s="2" t="s">
        <v>4756</v>
      </c>
      <c r="D7136" s="3" t="str">
        <f t="shared" si="1242"/>
        <v>12Go Link</v>
      </c>
      <c r="E7136" s="2" t="s">
        <v>4337</v>
      </c>
    </row>
    <row r="7137">
      <c r="A7137" s="2" t="s">
        <v>4413</v>
      </c>
      <c r="B7137" s="2" t="s">
        <v>4755</v>
      </c>
      <c r="C7137" s="2" t="s">
        <v>4756</v>
      </c>
      <c r="D7137" s="3" t="str">
        <f t="shared" si="1242"/>
        <v>12Go Link</v>
      </c>
      <c r="E7137" s="2" t="s">
        <v>4137</v>
      </c>
    </row>
    <row r="7138">
      <c r="A7138" s="2" t="s">
        <v>4413</v>
      </c>
      <c r="B7138" s="2" t="s">
        <v>4755</v>
      </c>
      <c r="C7138" s="2" t="s">
        <v>4756</v>
      </c>
      <c r="D7138" s="3" t="str">
        <f t="shared" si="1242"/>
        <v>12Go Link</v>
      </c>
      <c r="E7138" s="2" t="s">
        <v>4338</v>
      </c>
    </row>
    <row r="7139">
      <c r="A7139" s="2" t="s">
        <v>4413</v>
      </c>
      <c r="B7139" s="2" t="s">
        <v>4755</v>
      </c>
      <c r="C7139" s="2" t="s">
        <v>4756</v>
      </c>
      <c r="D7139" s="3" t="str">
        <f t="shared" si="1242"/>
        <v>12Go Link</v>
      </c>
      <c r="E7139" s="2" t="s">
        <v>4339</v>
      </c>
    </row>
    <row r="7140">
      <c r="A7140" s="2" t="s">
        <v>4413</v>
      </c>
      <c r="B7140" s="2" t="s">
        <v>4755</v>
      </c>
      <c r="C7140" s="2" t="s">
        <v>4756</v>
      </c>
      <c r="D7140" s="3" t="str">
        <f t="shared" si="1242"/>
        <v>12Go Link</v>
      </c>
      <c r="E7140" s="2" t="s">
        <v>4340</v>
      </c>
    </row>
    <row r="7141">
      <c r="A7141" s="2" t="s">
        <v>4685</v>
      </c>
      <c r="B7141" s="2" t="s">
        <v>4372</v>
      </c>
      <c r="C7141" s="2" t="s">
        <v>4757</v>
      </c>
      <c r="D7141" s="3" t="str">
        <f t="shared" ref="D7141:D7146" si="1243">HYPERLINK("https://12go.asia/en/travel/Oukaïmeden-Hotel-Transfer/Marrakesh-Menara-Airport", "12Go Link")</f>
        <v>12Go Link</v>
      </c>
      <c r="E7141" s="2" t="s">
        <v>4336</v>
      </c>
    </row>
    <row r="7142">
      <c r="A7142" s="2" t="s">
        <v>4685</v>
      </c>
      <c r="B7142" s="2" t="s">
        <v>4372</v>
      </c>
      <c r="C7142" s="2" t="s">
        <v>4757</v>
      </c>
      <c r="D7142" s="3" t="str">
        <f t="shared" si="1243"/>
        <v>12Go Link</v>
      </c>
      <c r="E7142" s="2" t="s">
        <v>4337</v>
      </c>
    </row>
    <row r="7143">
      <c r="A7143" s="2" t="s">
        <v>4685</v>
      </c>
      <c r="B7143" s="2" t="s">
        <v>4372</v>
      </c>
      <c r="C7143" s="2" t="s">
        <v>4757</v>
      </c>
      <c r="D7143" s="3" t="str">
        <f t="shared" si="1243"/>
        <v>12Go Link</v>
      </c>
      <c r="E7143" s="2" t="s">
        <v>4137</v>
      </c>
    </row>
    <row r="7144">
      <c r="A7144" s="2" t="s">
        <v>4685</v>
      </c>
      <c r="B7144" s="2" t="s">
        <v>4372</v>
      </c>
      <c r="C7144" s="2" t="s">
        <v>4757</v>
      </c>
      <c r="D7144" s="3" t="str">
        <f t="shared" si="1243"/>
        <v>12Go Link</v>
      </c>
      <c r="E7144" s="2" t="s">
        <v>4338</v>
      </c>
    </row>
    <row r="7145">
      <c r="A7145" s="2" t="s">
        <v>4685</v>
      </c>
      <c r="B7145" s="2" t="s">
        <v>4372</v>
      </c>
      <c r="C7145" s="2" t="s">
        <v>4757</v>
      </c>
      <c r="D7145" s="3" t="str">
        <f t="shared" si="1243"/>
        <v>12Go Link</v>
      </c>
      <c r="E7145" s="2" t="s">
        <v>4339</v>
      </c>
    </row>
    <row r="7146">
      <c r="A7146" s="2" t="s">
        <v>4685</v>
      </c>
      <c r="B7146" s="2" t="s">
        <v>4372</v>
      </c>
      <c r="C7146" s="2" t="s">
        <v>4757</v>
      </c>
      <c r="D7146" s="3" t="str">
        <f t="shared" si="1243"/>
        <v>12Go Link</v>
      </c>
      <c r="E7146" s="2" t="s">
        <v>4340</v>
      </c>
    </row>
    <row r="7147">
      <c r="A7147" s="2" t="s">
        <v>4687</v>
      </c>
      <c r="B7147" s="2" t="s">
        <v>4372</v>
      </c>
      <c r="C7147" s="2" t="s">
        <v>4758</v>
      </c>
      <c r="D7147" s="3" t="str">
        <f t="shared" ref="D7147:D7152" si="1244">HYPERLINK("https://12go.asia/en/travel/Ourika-Hotel-Transfer/Marrakesh-Menara-Airport", "12Go Link")</f>
        <v>12Go Link</v>
      </c>
      <c r="E7147" s="2" t="s">
        <v>4336</v>
      </c>
    </row>
    <row r="7148">
      <c r="A7148" s="2" t="s">
        <v>4687</v>
      </c>
      <c r="B7148" s="2" t="s">
        <v>4372</v>
      </c>
      <c r="C7148" s="2" t="s">
        <v>4758</v>
      </c>
      <c r="D7148" s="3" t="str">
        <f t="shared" si="1244"/>
        <v>12Go Link</v>
      </c>
      <c r="E7148" s="2" t="s">
        <v>4337</v>
      </c>
    </row>
    <row r="7149">
      <c r="A7149" s="2" t="s">
        <v>4687</v>
      </c>
      <c r="B7149" s="2" t="s">
        <v>4372</v>
      </c>
      <c r="C7149" s="2" t="s">
        <v>4758</v>
      </c>
      <c r="D7149" s="3" t="str">
        <f t="shared" si="1244"/>
        <v>12Go Link</v>
      </c>
      <c r="E7149" s="2" t="s">
        <v>4137</v>
      </c>
    </row>
    <row r="7150">
      <c r="A7150" s="2" t="s">
        <v>4687</v>
      </c>
      <c r="B7150" s="2" t="s">
        <v>4372</v>
      </c>
      <c r="C7150" s="2" t="s">
        <v>4758</v>
      </c>
      <c r="D7150" s="3" t="str">
        <f t="shared" si="1244"/>
        <v>12Go Link</v>
      </c>
      <c r="E7150" s="2" t="s">
        <v>4338</v>
      </c>
    </row>
    <row r="7151">
      <c r="A7151" s="2" t="s">
        <v>4687</v>
      </c>
      <c r="B7151" s="2" t="s">
        <v>4372</v>
      </c>
      <c r="C7151" s="2" t="s">
        <v>4758</v>
      </c>
      <c r="D7151" s="3" t="str">
        <f t="shared" si="1244"/>
        <v>12Go Link</v>
      </c>
      <c r="E7151" s="2" t="s">
        <v>4339</v>
      </c>
    </row>
    <row r="7152">
      <c r="A7152" s="2" t="s">
        <v>4687</v>
      </c>
      <c r="B7152" s="2" t="s">
        <v>4372</v>
      </c>
      <c r="C7152" s="2" t="s">
        <v>4758</v>
      </c>
      <c r="D7152" s="3" t="str">
        <f t="shared" si="1244"/>
        <v>12Go Link</v>
      </c>
      <c r="E7152" s="2" t="s">
        <v>4340</v>
      </c>
    </row>
    <row r="7153">
      <c r="A7153" s="2" t="s">
        <v>4480</v>
      </c>
      <c r="B7153" s="2" t="s">
        <v>4350</v>
      </c>
      <c r="C7153" s="2" t="s">
        <v>4759</v>
      </c>
      <c r="D7153" s="3" t="str">
        <f t="shared" ref="D7153:D7158" si="1245">HYPERLINK("https://12go.asia/en/travel/Ouzoud-Falls/Mohammed-V-International-Airport", "12Go Link")</f>
        <v>12Go Link</v>
      </c>
      <c r="E7153" s="2" t="s">
        <v>4336</v>
      </c>
    </row>
    <row r="7154">
      <c r="A7154" s="2" t="s">
        <v>4480</v>
      </c>
      <c r="B7154" s="2" t="s">
        <v>4350</v>
      </c>
      <c r="C7154" s="2" t="s">
        <v>4759</v>
      </c>
      <c r="D7154" s="3" t="str">
        <f t="shared" si="1245"/>
        <v>12Go Link</v>
      </c>
      <c r="E7154" s="2" t="s">
        <v>4337</v>
      </c>
    </row>
    <row r="7155">
      <c r="A7155" s="2" t="s">
        <v>4480</v>
      </c>
      <c r="B7155" s="2" t="s">
        <v>4350</v>
      </c>
      <c r="C7155" s="2" t="s">
        <v>4759</v>
      </c>
      <c r="D7155" s="3" t="str">
        <f t="shared" si="1245"/>
        <v>12Go Link</v>
      </c>
      <c r="E7155" s="2" t="s">
        <v>4137</v>
      </c>
    </row>
    <row r="7156">
      <c r="A7156" s="2" t="s">
        <v>4480</v>
      </c>
      <c r="B7156" s="2" t="s">
        <v>4350</v>
      </c>
      <c r="C7156" s="2" t="s">
        <v>4759</v>
      </c>
      <c r="D7156" s="3" t="str">
        <f t="shared" si="1245"/>
        <v>12Go Link</v>
      </c>
      <c r="E7156" s="2" t="s">
        <v>4338</v>
      </c>
    </row>
    <row r="7157">
      <c r="A7157" s="2" t="s">
        <v>4480</v>
      </c>
      <c r="B7157" s="2" t="s">
        <v>4350</v>
      </c>
      <c r="C7157" s="2" t="s">
        <v>4759</v>
      </c>
      <c r="D7157" s="3" t="str">
        <f t="shared" si="1245"/>
        <v>12Go Link</v>
      </c>
      <c r="E7157" s="2" t="s">
        <v>4339</v>
      </c>
    </row>
    <row r="7158">
      <c r="A7158" s="2" t="s">
        <v>4480</v>
      </c>
      <c r="B7158" s="2" t="s">
        <v>4350</v>
      </c>
      <c r="C7158" s="2" t="s">
        <v>4759</v>
      </c>
      <c r="D7158" s="3" t="str">
        <f t="shared" si="1245"/>
        <v>12Go Link</v>
      </c>
      <c r="E7158" s="2" t="s">
        <v>4340</v>
      </c>
    </row>
    <row r="7159">
      <c r="A7159" s="2" t="s">
        <v>4386</v>
      </c>
      <c r="B7159" s="2" t="s">
        <v>4334</v>
      </c>
      <c r="C7159" s="2" t="s">
        <v>4760</v>
      </c>
      <c r="D7159" s="3" t="str">
        <f t="shared" ref="D7159:D7164" si="1246">HYPERLINK("https://12go.asia/en/travel/Rabat-Hotel-Transfer/Agadir-Al-Massira-International-Airport", "12Go Link")</f>
        <v>12Go Link</v>
      </c>
      <c r="E7159" s="2" t="s">
        <v>4336</v>
      </c>
    </row>
    <row r="7160">
      <c r="A7160" s="2" t="s">
        <v>4386</v>
      </c>
      <c r="B7160" s="2" t="s">
        <v>4334</v>
      </c>
      <c r="C7160" s="2" t="s">
        <v>4760</v>
      </c>
      <c r="D7160" s="3" t="str">
        <f t="shared" si="1246"/>
        <v>12Go Link</v>
      </c>
      <c r="E7160" s="2" t="s">
        <v>4337</v>
      </c>
    </row>
    <row r="7161">
      <c r="A7161" s="2" t="s">
        <v>4386</v>
      </c>
      <c r="B7161" s="2" t="s">
        <v>4334</v>
      </c>
      <c r="C7161" s="2" t="s">
        <v>4760</v>
      </c>
      <c r="D7161" s="3" t="str">
        <f t="shared" si="1246"/>
        <v>12Go Link</v>
      </c>
      <c r="E7161" s="2" t="s">
        <v>4137</v>
      </c>
    </row>
    <row r="7162">
      <c r="A7162" s="2" t="s">
        <v>4386</v>
      </c>
      <c r="B7162" s="2" t="s">
        <v>4334</v>
      </c>
      <c r="C7162" s="2" t="s">
        <v>4760</v>
      </c>
      <c r="D7162" s="3" t="str">
        <f t="shared" si="1246"/>
        <v>12Go Link</v>
      </c>
      <c r="E7162" s="2" t="s">
        <v>4338</v>
      </c>
    </row>
    <row r="7163">
      <c r="A7163" s="2" t="s">
        <v>4386</v>
      </c>
      <c r="B7163" s="2" t="s">
        <v>4334</v>
      </c>
      <c r="C7163" s="2" t="s">
        <v>4760</v>
      </c>
      <c r="D7163" s="3" t="str">
        <f t="shared" si="1246"/>
        <v>12Go Link</v>
      </c>
      <c r="E7163" s="2" t="s">
        <v>4339</v>
      </c>
    </row>
    <row r="7164">
      <c r="A7164" s="2" t="s">
        <v>4386</v>
      </c>
      <c r="B7164" s="2" t="s">
        <v>4334</v>
      </c>
      <c r="C7164" s="2" t="s">
        <v>4760</v>
      </c>
      <c r="D7164" s="3" t="str">
        <f t="shared" si="1246"/>
        <v>12Go Link</v>
      </c>
      <c r="E7164" s="2" t="s">
        <v>4340</v>
      </c>
    </row>
    <row r="7165">
      <c r="A7165" s="2" t="s">
        <v>4386</v>
      </c>
      <c r="B7165" s="2" t="s">
        <v>4334</v>
      </c>
      <c r="C7165" s="2" t="s">
        <v>4761</v>
      </c>
      <c r="D7165" s="3" t="str">
        <f t="shared" ref="D7165:D7170" si="1247">HYPERLINK("https://12go.asia/en/travel/Rabat-Sale-Airport/Agadir-Hotel-Transfer", "12Go Link")</f>
        <v>12Go Link</v>
      </c>
      <c r="E7165" s="2" t="s">
        <v>4336</v>
      </c>
    </row>
    <row r="7166">
      <c r="A7166" s="2" t="s">
        <v>4386</v>
      </c>
      <c r="B7166" s="2" t="s">
        <v>4334</v>
      </c>
      <c r="C7166" s="2" t="s">
        <v>4761</v>
      </c>
      <c r="D7166" s="3" t="str">
        <f t="shared" si="1247"/>
        <v>12Go Link</v>
      </c>
      <c r="E7166" s="2" t="s">
        <v>4337</v>
      </c>
    </row>
    <row r="7167">
      <c r="A7167" s="2" t="s">
        <v>4386</v>
      </c>
      <c r="B7167" s="2" t="s">
        <v>4334</v>
      </c>
      <c r="C7167" s="2" t="s">
        <v>4761</v>
      </c>
      <c r="D7167" s="3" t="str">
        <f t="shared" si="1247"/>
        <v>12Go Link</v>
      </c>
      <c r="E7167" s="2" t="s">
        <v>4137</v>
      </c>
    </row>
    <row r="7168">
      <c r="A7168" s="2" t="s">
        <v>4386</v>
      </c>
      <c r="B7168" s="2" t="s">
        <v>4334</v>
      </c>
      <c r="C7168" s="2" t="s">
        <v>4761</v>
      </c>
      <c r="D7168" s="3" t="str">
        <f t="shared" si="1247"/>
        <v>12Go Link</v>
      </c>
      <c r="E7168" s="2" t="s">
        <v>4338</v>
      </c>
    </row>
    <row r="7169">
      <c r="A7169" s="2" t="s">
        <v>4386</v>
      </c>
      <c r="B7169" s="2" t="s">
        <v>4334</v>
      </c>
      <c r="C7169" s="2" t="s">
        <v>4761</v>
      </c>
      <c r="D7169" s="3" t="str">
        <f t="shared" si="1247"/>
        <v>12Go Link</v>
      </c>
      <c r="E7169" s="2" t="s">
        <v>4339</v>
      </c>
    </row>
    <row r="7170">
      <c r="A7170" s="2" t="s">
        <v>4386</v>
      </c>
      <c r="B7170" s="2" t="s">
        <v>4334</v>
      </c>
      <c r="C7170" s="2" t="s">
        <v>4761</v>
      </c>
      <c r="D7170" s="3" t="str">
        <f t="shared" si="1247"/>
        <v>12Go Link</v>
      </c>
      <c r="E7170" s="2" t="s">
        <v>4340</v>
      </c>
    </row>
    <row r="7171">
      <c r="A7171" s="2" t="s">
        <v>4386</v>
      </c>
      <c r="B7171" s="2" t="s">
        <v>4436</v>
      </c>
      <c r="C7171" s="2" t="s">
        <v>4762</v>
      </c>
      <c r="D7171" s="3" t="str">
        <f t="shared" ref="D7171:D7176" si="1248">HYPERLINK("https://12go.asia/en/travel/Rabat-Sale-Airport/Bouznika-Hotel-Transfer", "12Go Link")</f>
        <v>12Go Link</v>
      </c>
      <c r="E7171" s="2" t="s">
        <v>4336</v>
      </c>
    </row>
    <row r="7172">
      <c r="A7172" s="2" t="s">
        <v>4386</v>
      </c>
      <c r="B7172" s="2" t="s">
        <v>4436</v>
      </c>
      <c r="C7172" s="2" t="s">
        <v>4762</v>
      </c>
      <c r="D7172" s="3" t="str">
        <f t="shared" si="1248"/>
        <v>12Go Link</v>
      </c>
      <c r="E7172" s="2" t="s">
        <v>4337</v>
      </c>
    </row>
    <row r="7173">
      <c r="A7173" s="2" t="s">
        <v>4386</v>
      </c>
      <c r="B7173" s="2" t="s">
        <v>4436</v>
      </c>
      <c r="C7173" s="2" t="s">
        <v>4762</v>
      </c>
      <c r="D7173" s="3" t="str">
        <f t="shared" si="1248"/>
        <v>12Go Link</v>
      </c>
      <c r="E7173" s="2" t="s">
        <v>4137</v>
      </c>
    </row>
    <row r="7174">
      <c r="A7174" s="2" t="s">
        <v>4386</v>
      </c>
      <c r="B7174" s="2" t="s">
        <v>4436</v>
      </c>
      <c r="C7174" s="2" t="s">
        <v>4762</v>
      </c>
      <c r="D7174" s="3" t="str">
        <f t="shared" si="1248"/>
        <v>12Go Link</v>
      </c>
      <c r="E7174" s="2" t="s">
        <v>4338</v>
      </c>
    </row>
    <row r="7175">
      <c r="A7175" s="2" t="s">
        <v>4386</v>
      </c>
      <c r="B7175" s="2" t="s">
        <v>4436</v>
      </c>
      <c r="C7175" s="2" t="s">
        <v>4762</v>
      </c>
      <c r="D7175" s="3" t="str">
        <f t="shared" si="1248"/>
        <v>12Go Link</v>
      </c>
      <c r="E7175" s="2" t="s">
        <v>4339</v>
      </c>
    </row>
    <row r="7176">
      <c r="A7176" s="2" t="s">
        <v>4386</v>
      </c>
      <c r="B7176" s="2" t="s">
        <v>4436</v>
      </c>
      <c r="C7176" s="2" t="s">
        <v>4762</v>
      </c>
      <c r="D7176" s="3" t="str">
        <f t="shared" si="1248"/>
        <v>12Go Link</v>
      </c>
      <c r="E7176" s="2" t="s">
        <v>4340</v>
      </c>
    </row>
    <row r="7177">
      <c r="A7177" s="2" t="s">
        <v>4386</v>
      </c>
      <c r="B7177" s="2" t="s">
        <v>4350</v>
      </c>
      <c r="C7177" s="2" t="s">
        <v>4763</v>
      </c>
      <c r="D7177" s="3" t="str">
        <f t="shared" ref="D7177:D7182" si="1249">HYPERLINK("https://12go.asia/en/travel/Rabat-Hotel-Transfer/Mohammed-V-International-Airport", "12Go Link")</f>
        <v>12Go Link</v>
      </c>
      <c r="E7177" s="2" t="s">
        <v>4336</v>
      </c>
    </row>
    <row r="7178">
      <c r="A7178" s="2" t="s">
        <v>4386</v>
      </c>
      <c r="B7178" s="2" t="s">
        <v>4350</v>
      </c>
      <c r="C7178" s="2" t="s">
        <v>4763</v>
      </c>
      <c r="D7178" s="3" t="str">
        <f t="shared" si="1249"/>
        <v>12Go Link</v>
      </c>
      <c r="E7178" s="2" t="s">
        <v>4337</v>
      </c>
    </row>
    <row r="7179">
      <c r="A7179" s="2" t="s">
        <v>4386</v>
      </c>
      <c r="B7179" s="2" t="s">
        <v>4350</v>
      </c>
      <c r="C7179" s="2" t="s">
        <v>4763</v>
      </c>
      <c r="D7179" s="3" t="str">
        <f t="shared" si="1249"/>
        <v>12Go Link</v>
      </c>
      <c r="E7179" s="2" t="s">
        <v>4137</v>
      </c>
    </row>
    <row r="7180">
      <c r="A7180" s="2" t="s">
        <v>4386</v>
      </c>
      <c r="B7180" s="2" t="s">
        <v>4350</v>
      </c>
      <c r="C7180" s="2" t="s">
        <v>4763</v>
      </c>
      <c r="D7180" s="3" t="str">
        <f t="shared" si="1249"/>
        <v>12Go Link</v>
      </c>
      <c r="E7180" s="2" t="s">
        <v>4338</v>
      </c>
    </row>
    <row r="7181">
      <c r="A7181" s="2" t="s">
        <v>4386</v>
      </c>
      <c r="B7181" s="2" t="s">
        <v>4350</v>
      </c>
      <c r="C7181" s="2" t="s">
        <v>4763</v>
      </c>
      <c r="D7181" s="3" t="str">
        <f t="shared" si="1249"/>
        <v>12Go Link</v>
      </c>
      <c r="E7181" s="2" t="s">
        <v>4339</v>
      </c>
    </row>
    <row r="7182">
      <c r="A7182" s="2" t="s">
        <v>4386</v>
      </c>
      <c r="B7182" s="2" t="s">
        <v>4350</v>
      </c>
      <c r="C7182" s="2" t="s">
        <v>4763</v>
      </c>
      <c r="D7182" s="3" t="str">
        <f t="shared" si="1249"/>
        <v>12Go Link</v>
      </c>
      <c r="E7182" s="2" t="s">
        <v>4340</v>
      </c>
    </row>
    <row r="7183">
      <c r="A7183" s="2" t="s">
        <v>4386</v>
      </c>
      <c r="B7183" s="2" t="s">
        <v>4350</v>
      </c>
      <c r="C7183" s="2" t="s">
        <v>4764</v>
      </c>
      <c r="D7183" s="3" t="str">
        <f t="shared" ref="D7183:D7188" si="1250">HYPERLINK("https://12go.asia/en/travel/Rabat-Sale-Airport/Casablanca-Hotel-Transfer", "12Go Link")</f>
        <v>12Go Link</v>
      </c>
      <c r="E7183" s="2" t="s">
        <v>4336</v>
      </c>
    </row>
    <row r="7184">
      <c r="A7184" s="2" t="s">
        <v>4386</v>
      </c>
      <c r="B7184" s="2" t="s">
        <v>4350</v>
      </c>
      <c r="C7184" s="2" t="s">
        <v>4764</v>
      </c>
      <c r="D7184" s="3" t="str">
        <f t="shared" si="1250"/>
        <v>12Go Link</v>
      </c>
      <c r="E7184" s="2" t="s">
        <v>4337</v>
      </c>
    </row>
    <row r="7185">
      <c r="A7185" s="2" t="s">
        <v>4386</v>
      </c>
      <c r="B7185" s="2" t="s">
        <v>4350</v>
      </c>
      <c r="C7185" s="2" t="s">
        <v>4764</v>
      </c>
      <c r="D7185" s="3" t="str">
        <f t="shared" si="1250"/>
        <v>12Go Link</v>
      </c>
      <c r="E7185" s="2" t="s">
        <v>4137</v>
      </c>
    </row>
    <row r="7186">
      <c r="A7186" s="2" t="s">
        <v>4386</v>
      </c>
      <c r="B7186" s="2" t="s">
        <v>4350</v>
      </c>
      <c r="C7186" s="2" t="s">
        <v>4764</v>
      </c>
      <c r="D7186" s="3" t="str">
        <f t="shared" si="1250"/>
        <v>12Go Link</v>
      </c>
      <c r="E7186" s="2" t="s">
        <v>4338</v>
      </c>
    </row>
    <row r="7187">
      <c r="A7187" s="2" t="s">
        <v>4386</v>
      </c>
      <c r="B7187" s="2" t="s">
        <v>4350</v>
      </c>
      <c r="C7187" s="2" t="s">
        <v>4764</v>
      </c>
      <c r="D7187" s="3" t="str">
        <f t="shared" si="1250"/>
        <v>12Go Link</v>
      </c>
      <c r="E7187" s="2" t="s">
        <v>4339</v>
      </c>
    </row>
    <row r="7188">
      <c r="A7188" s="2" t="s">
        <v>4386</v>
      </c>
      <c r="B7188" s="2" t="s">
        <v>4350</v>
      </c>
      <c r="C7188" s="2" t="s">
        <v>4764</v>
      </c>
      <c r="D7188" s="3" t="str">
        <f t="shared" si="1250"/>
        <v>12Go Link</v>
      </c>
      <c r="E7188" s="2" t="s">
        <v>4340</v>
      </c>
    </row>
    <row r="7189">
      <c r="A7189" s="2" t="s">
        <v>4386</v>
      </c>
      <c r="B7189" s="2" t="s">
        <v>4450</v>
      </c>
      <c r="C7189" s="2" t="s">
        <v>4765</v>
      </c>
      <c r="D7189" s="3" t="str">
        <f t="shared" ref="D7189:D7194" si="1251">HYPERLINK("https://12go.asia/en/travel/Rabat-Sale-Airport/Chefchaouen-Hotel-Transfer", "12Go Link")</f>
        <v>12Go Link</v>
      </c>
      <c r="E7189" s="2" t="s">
        <v>4336</v>
      </c>
    </row>
    <row r="7190">
      <c r="A7190" s="2" t="s">
        <v>4386</v>
      </c>
      <c r="B7190" s="2" t="s">
        <v>4450</v>
      </c>
      <c r="C7190" s="2" t="s">
        <v>4765</v>
      </c>
      <c r="D7190" s="3" t="str">
        <f t="shared" si="1251"/>
        <v>12Go Link</v>
      </c>
      <c r="E7190" s="2" t="s">
        <v>4337</v>
      </c>
    </row>
    <row r="7191">
      <c r="A7191" s="2" t="s">
        <v>4386</v>
      </c>
      <c r="B7191" s="2" t="s">
        <v>4450</v>
      </c>
      <c r="C7191" s="2" t="s">
        <v>4765</v>
      </c>
      <c r="D7191" s="3" t="str">
        <f t="shared" si="1251"/>
        <v>12Go Link</v>
      </c>
      <c r="E7191" s="2" t="s">
        <v>4137</v>
      </c>
    </row>
    <row r="7192">
      <c r="A7192" s="2" t="s">
        <v>4386</v>
      </c>
      <c r="B7192" s="2" t="s">
        <v>4450</v>
      </c>
      <c r="C7192" s="2" t="s">
        <v>4765</v>
      </c>
      <c r="D7192" s="3" t="str">
        <f t="shared" si="1251"/>
        <v>12Go Link</v>
      </c>
      <c r="E7192" s="2" t="s">
        <v>4338</v>
      </c>
    </row>
    <row r="7193">
      <c r="A7193" s="2" t="s">
        <v>4386</v>
      </c>
      <c r="B7193" s="2" t="s">
        <v>4450</v>
      </c>
      <c r="C7193" s="2" t="s">
        <v>4765</v>
      </c>
      <c r="D7193" s="3" t="str">
        <f t="shared" si="1251"/>
        <v>12Go Link</v>
      </c>
      <c r="E7193" s="2" t="s">
        <v>4339</v>
      </c>
    </row>
    <row r="7194">
      <c r="A7194" s="2" t="s">
        <v>4386</v>
      </c>
      <c r="B7194" s="2" t="s">
        <v>4450</v>
      </c>
      <c r="C7194" s="2" t="s">
        <v>4765</v>
      </c>
      <c r="D7194" s="3" t="str">
        <f t="shared" si="1251"/>
        <v>12Go Link</v>
      </c>
      <c r="E7194" s="2" t="s">
        <v>4340</v>
      </c>
    </row>
    <row r="7195">
      <c r="A7195" s="2" t="s">
        <v>4386</v>
      </c>
      <c r="B7195" s="2" t="s">
        <v>4357</v>
      </c>
      <c r="C7195" s="2" t="s">
        <v>4766</v>
      </c>
      <c r="D7195" s="3" t="str">
        <f t="shared" ref="D7195:D7200" si="1252">HYPERLINK("https://12go.asia/en/travel/Rabat-Hotel-Transfer/Fes-Airport", "12Go Link")</f>
        <v>12Go Link</v>
      </c>
      <c r="E7195" s="2" t="s">
        <v>4336</v>
      </c>
    </row>
    <row r="7196">
      <c r="A7196" s="2" t="s">
        <v>4386</v>
      </c>
      <c r="B7196" s="2" t="s">
        <v>4357</v>
      </c>
      <c r="C7196" s="2" t="s">
        <v>4766</v>
      </c>
      <c r="D7196" s="3" t="str">
        <f t="shared" si="1252"/>
        <v>12Go Link</v>
      </c>
      <c r="E7196" s="2" t="s">
        <v>4337</v>
      </c>
    </row>
    <row r="7197">
      <c r="A7197" s="2" t="s">
        <v>4386</v>
      </c>
      <c r="B7197" s="2" t="s">
        <v>4357</v>
      </c>
      <c r="C7197" s="2" t="s">
        <v>4766</v>
      </c>
      <c r="D7197" s="3" t="str">
        <f t="shared" si="1252"/>
        <v>12Go Link</v>
      </c>
      <c r="E7197" s="2" t="s">
        <v>4137</v>
      </c>
    </row>
    <row r="7198">
      <c r="A7198" s="2" t="s">
        <v>4386</v>
      </c>
      <c r="B7198" s="2" t="s">
        <v>4357</v>
      </c>
      <c r="C7198" s="2" t="s">
        <v>4766</v>
      </c>
      <c r="D7198" s="3" t="str">
        <f t="shared" si="1252"/>
        <v>12Go Link</v>
      </c>
      <c r="E7198" s="2" t="s">
        <v>4338</v>
      </c>
    </row>
    <row r="7199">
      <c r="A7199" s="2" t="s">
        <v>4386</v>
      </c>
      <c r="B7199" s="2" t="s">
        <v>4357</v>
      </c>
      <c r="C7199" s="2" t="s">
        <v>4766</v>
      </c>
      <c r="D7199" s="3" t="str">
        <f t="shared" si="1252"/>
        <v>12Go Link</v>
      </c>
      <c r="E7199" s="2" t="s">
        <v>4339</v>
      </c>
    </row>
    <row r="7200">
      <c r="A7200" s="2" t="s">
        <v>4386</v>
      </c>
      <c r="B7200" s="2" t="s">
        <v>4357</v>
      </c>
      <c r="C7200" s="2" t="s">
        <v>4766</v>
      </c>
      <c r="D7200" s="3" t="str">
        <f t="shared" si="1252"/>
        <v>12Go Link</v>
      </c>
      <c r="E7200" s="2" t="s">
        <v>4340</v>
      </c>
    </row>
    <row r="7201">
      <c r="A7201" s="2" t="s">
        <v>4386</v>
      </c>
      <c r="B7201" s="2" t="s">
        <v>4357</v>
      </c>
      <c r="C7201" s="2" t="s">
        <v>4767</v>
      </c>
      <c r="D7201" s="3" t="str">
        <f t="shared" ref="D7201:D7206" si="1253">HYPERLINK("https://12go.asia/en/travel/Rabat-Sale-Airport/Fes-Airport", "12Go Link")</f>
        <v>12Go Link</v>
      </c>
      <c r="E7201" s="2" t="s">
        <v>4336</v>
      </c>
    </row>
    <row r="7202">
      <c r="A7202" s="2" t="s">
        <v>4386</v>
      </c>
      <c r="B7202" s="2" t="s">
        <v>4357</v>
      </c>
      <c r="C7202" s="2" t="s">
        <v>4767</v>
      </c>
      <c r="D7202" s="3" t="str">
        <f t="shared" si="1253"/>
        <v>12Go Link</v>
      </c>
      <c r="E7202" s="2" t="s">
        <v>4337</v>
      </c>
    </row>
    <row r="7203">
      <c r="A7203" s="2" t="s">
        <v>4386</v>
      </c>
      <c r="B7203" s="2" t="s">
        <v>4357</v>
      </c>
      <c r="C7203" s="2" t="s">
        <v>4767</v>
      </c>
      <c r="D7203" s="3" t="str">
        <f t="shared" si="1253"/>
        <v>12Go Link</v>
      </c>
      <c r="E7203" s="2" t="s">
        <v>4137</v>
      </c>
    </row>
    <row r="7204">
      <c r="A7204" s="2" t="s">
        <v>4386</v>
      </c>
      <c r="B7204" s="2" t="s">
        <v>4357</v>
      </c>
      <c r="C7204" s="2" t="s">
        <v>4767</v>
      </c>
      <c r="D7204" s="3" t="str">
        <f t="shared" si="1253"/>
        <v>12Go Link</v>
      </c>
      <c r="E7204" s="2" t="s">
        <v>4338</v>
      </c>
    </row>
    <row r="7205">
      <c r="A7205" s="2" t="s">
        <v>4386</v>
      </c>
      <c r="B7205" s="2" t="s">
        <v>4357</v>
      </c>
      <c r="C7205" s="2" t="s">
        <v>4767</v>
      </c>
      <c r="D7205" s="3" t="str">
        <f t="shared" si="1253"/>
        <v>12Go Link</v>
      </c>
      <c r="E7205" s="2" t="s">
        <v>4339</v>
      </c>
    </row>
    <row r="7206">
      <c r="A7206" s="2" t="s">
        <v>4386</v>
      </c>
      <c r="B7206" s="2" t="s">
        <v>4357</v>
      </c>
      <c r="C7206" s="2" t="s">
        <v>4767</v>
      </c>
      <c r="D7206" s="3" t="str">
        <f t="shared" si="1253"/>
        <v>12Go Link</v>
      </c>
      <c r="E7206" s="2" t="s">
        <v>4340</v>
      </c>
    </row>
    <row r="7207">
      <c r="A7207" s="2" t="s">
        <v>4386</v>
      </c>
      <c r="B7207" s="2" t="s">
        <v>4357</v>
      </c>
      <c r="C7207" s="2" t="s">
        <v>4768</v>
      </c>
      <c r="D7207" s="3" t="str">
        <f t="shared" ref="D7207:D7212" si="1254">HYPERLINK("https://12go.asia/en/travel/Rabat-Sale-Airport/Fes-Hotel-Transfer", "12Go Link")</f>
        <v>12Go Link</v>
      </c>
      <c r="E7207" s="2" t="s">
        <v>4336</v>
      </c>
    </row>
    <row r="7208">
      <c r="A7208" s="2" t="s">
        <v>4386</v>
      </c>
      <c r="B7208" s="2" t="s">
        <v>4357</v>
      </c>
      <c r="C7208" s="2" t="s">
        <v>4768</v>
      </c>
      <c r="D7208" s="3" t="str">
        <f t="shared" si="1254"/>
        <v>12Go Link</v>
      </c>
      <c r="E7208" s="2" t="s">
        <v>4337</v>
      </c>
    </row>
    <row r="7209">
      <c r="A7209" s="2" t="s">
        <v>4386</v>
      </c>
      <c r="B7209" s="2" t="s">
        <v>4357</v>
      </c>
      <c r="C7209" s="2" t="s">
        <v>4768</v>
      </c>
      <c r="D7209" s="3" t="str">
        <f t="shared" si="1254"/>
        <v>12Go Link</v>
      </c>
      <c r="E7209" s="2" t="s">
        <v>4137</v>
      </c>
    </row>
    <row r="7210">
      <c r="A7210" s="2" t="s">
        <v>4386</v>
      </c>
      <c r="B7210" s="2" t="s">
        <v>4357</v>
      </c>
      <c r="C7210" s="2" t="s">
        <v>4768</v>
      </c>
      <c r="D7210" s="3" t="str">
        <f t="shared" si="1254"/>
        <v>12Go Link</v>
      </c>
      <c r="E7210" s="2" t="s">
        <v>4338</v>
      </c>
    </row>
    <row r="7211">
      <c r="A7211" s="2" t="s">
        <v>4386</v>
      </c>
      <c r="B7211" s="2" t="s">
        <v>4357</v>
      </c>
      <c r="C7211" s="2" t="s">
        <v>4768</v>
      </c>
      <c r="D7211" s="3" t="str">
        <f t="shared" si="1254"/>
        <v>12Go Link</v>
      </c>
      <c r="E7211" s="2" t="s">
        <v>4339</v>
      </c>
    </row>
    <row r="7212">
      <c r="A7212" s="2" t="s">
        <v>4386</v>
      </c>
      <c r="B7212" s="2" t="s">
        <v>4357</v>
      </c>
      <c r="C7212" s="2" t="s">
        <v>4768</v>
      </c>
      <c r="D7212" s="3" t="str">
        <f t="shared" si="1254"/>
        <v>12Go Link</v>
      </c>
      <c r="E7212" s="2" t="s">
        <v>4340</v>
      </c>
    </row>
    <row r="7213">
      <c r="A7213" s="2" t="s">
        <v>4386</v>
      </c>
      <c r="B7213" s="2" t="s">
        <v>4554</v>
      </c>
      <c r="C7213" s="2" t="s">
        <v>4769</v>
      </c>
      <c r="D7213" s="3" t="str">
        <f t="shared" ref="D7213:D7218" si="1255">HYPERLINK("https://12go.asia/en/travel/Rabat-Sale-Airport/Ifran-Hotel-Transfer", "12Go Link")</f>
        <v>12Go Link</v>
      </c>
      <c r="E7213" s="2" t="s">
        <v>4336</v>
      </c>
    </row>
    <row r="7214">
      <c r="A7214" s="2" t="s">
        <v>4386</v>
      </c>
      <c r="B7214" s="2" t="s">
        <v>4554</v>
      </c>
      <c r="C7214" s="2" t="s">
        <v>4769</v>
      </c>
      <c r="D7214" s="3" t="str">
        <f t="shared" si="1255"/>
        <v>12Go Link</v>
      </c>
      <c r="E7214" s="2" t="s">
        <v>4337</v>
      </c>
    </row>
    <row r="7215">
      <c r="A7215" s="2" t="s">
        <v>4386</v>
      </c>
      <c r="B7215" s="2" t="s">
        <v>4554</v>
      </c>
      <c r="C7215" s="2" t="s">
        <v>4769</v>
      </c>
      <c r="D7215" s="3" t="str">
        <f t="shared" si="1255"/>
        <v>12Go Link</v>
      </c>
      <c r="E7215" s="2" t="s">
        <v>4137</v>
      </c>
    </row>
    <row r="7216">
      <c r="A7216" s="2" t="s">
        <v>4386</v>
      </c>
      <c r="B7216" s="2" t="s">
        <v>4554</v>
      </c>
      <c r="C7216" s="2" t="s">
        <v>4769</v>
      </c>
      <c r="D7216" s="3" t="str">
        <f t="shared" si="1255"/>
        <v>12Go Link</v>
      </c>
      <c r="E7216" s="2" t="s">
        <v>4338</v>
      </c>
    </row>
    <row r="7217">
      <c r="A7217" s="2" t="s">
        <v>4386</v>
      </c>
      <c r="B7217" s="2" t="s">
        <v>4554</v>
      </c>
      <c r="C7217" s="2" t="s">
        <v>4769</v>
      </c>
      <c r="D7217" s="3" t="str">
        <f t="shared" si="1255"/>
        <v>12Go Link</v>
      </c>
      <c r="E7217" s="2" t="s">
        <v>4339</v>
      </c>
    </row>
    <row r="7218">
      <c r="A7218" s="2" t="s">
        <v>4386</v>
      </c>
      <c r="B7218" s="2" t="s">
        <v>4554</v>
      </c>
      <c r="C7218" s="2" t="s">
        <v>4769</v>
      </c>
      <c r="D7218" s="3" t="str">
        <f t="shared" si="1255"/>
        <v>12Go Link</v>
      </c>
      <c r="E7218" s="2" t="s">
        <v>4340</v>
      </c>
    </row>
    <row r="7219">
      <c r="A7219" s="2" t="s">
        <v>4386</v>
      </c>
      <c r="B7219" s="2" t="s">
        <v>4465</v>
      </c>
      <c r="C7219" s="2" t="s">
        <v>4770</v>
      </c>
      <c r="D7219" s="3" t="str">
        <f t="shared" ref="D7219:D7224" si="1256">HYPERLINK("https://12go.asia/en/travel/Rabat-Sale-Airport/Kenitra-Hotel-Transfer", "12Go Link")</f>
        <v>12Go Link</v>
      </c>
      <c r="E7219" s="2" t="s">
        <v>4336</v>
      </c>
    </row>
    <row r="7220">
      <c r="A7220" s="2" t="s">
        <v>4386</v>
      </c>
      <c r="B7220" s="2" t="s">
        <v>4465</v>
      </c>
      <c r="C7220" s="2" t="s">
        <v>4770</v>
      </c>
      <c r="D7220" s="3" t="str">
        <f t="shared" si="1256"/>
        <v>12Go Link</v>
      </c>
      <c r="E7220" s="2" t="s">
        <v>4337</v>
      </c>
    </row>
    <row r="7221">
      <c r="A7221" s="2" t="s">
        <v>4386</v>
      </c>
      <c r="B7221" s="2" t="s">
        <v>4465</v>
      </c>
      <c r="C7221" s="2" t="s">
        <v>4770</v>
      </c>
      <c r="D7221" s="3" t="str">
        <f t="shared" si="1256"/>
        <v>12Go Link</v>
      </c>
      <c r="E7221" s="2" t="s">
        <v>4137</v>
      </c>
    </row>
    <row r="7222">
      <c r="A7222" s="2" t="s">
        <v>4386</v>
      </c>
      <c r="B7222" s="2" t="s">
        <v>4465</v>
      </c>
      <c r="C7222" s="2" t="s">
        <v>4770</v>
      </c>
      <c r="D7222" s="3" t="str">
        <f t="shared" si="1256"/>
        <v>12Go Link</v>
      </c>
      <c r="E7222" s="2" t="s">
        <v>4338</v>
      </c>
    </row>
    <row r="7223">
      <c r="A7223" s="2" t="s">
        <v>4386</v>
      </c>
      <c r="B7223" s="2" t="s">
        <v>4465</v>
      </c>
      <c r="C7223" s="2" t="s">
        <v>4770</v>
      </c>
      <c r="D7223" s="3" t="str">
        <f t="shared" si="1256"/>
        <v>12Go Link</v>
      </c>
      <c r="E7223" s="2" t="s">
        <v>4339</v>
      </c>
    </row>
    <row r="7224">
      <c r="A7224" s="2" t="s">
        <v>4386</v>
      </c>
      <c r="B7224" s="2" t="s">
        <v>4465</v>
      </c>
      <c r="C7224" s="2" t="s">
        <v>4770</v>
      </c>
      <c r="D7224" s="3" t="str">
        <f t="shared" si="1256"/>
        <v>12Go Link</v>
      </c>
      <c r="E7224" s="2" t="s">
        <v>4340</v>
      </c>
    </row>
    <row r="7225">
      <c r="A7225" s="2" t="s">
        <v>4386</v>
      </c>
      <c r="B7225" s="2" t="s">
        <v>4372</v>
      </c>
      <c r="C7225" s="2" t="s">
        <v>4771</v>
      </c>
      <c r="D7225" s="3" t="str">
        <f t="shared" ref="D7225:D7230" si="1257">HYPERLINK("https://12go.asia/en/travel/Agdal-Rabat-Hotel-Transfer/Marrakesh-Menara-Airport", "12Go Link")</f>
        <v>12Go Link</v>
      </c>
      <c r="E7225" s="2" t="s">
        <v>4336</v>
      </c>
    </row>
    <row r="7226">
      <c r="A7226" s="2" t="s">
        <v>4386</v>
      </c>
      <c r="B7226" s="2" t="s">
        <v>4372</v>
      </c>
      <c r="C7226" s="2" t="s">
        <v>4771</v>
      </c>
      <c r="D7226" s="3" t="str">
        <f t="shared" si="1257"/>
        <v>12Go Link</v>
      </c>
      <c r="E7226" s="2" t="s">
        <v>4337</v>
      </c>
    </row>
    <row r="7227">
      <c r="A7227" s="2" t="s">
        <v>4386</v>
      </c>
      <c r="B7227" s="2" t="s">
        <v>4372</v>
      </c>
      <c r="C7227" s="2" t="s">
        <v>4771</v>
      </c>
      <c r="D7227" s="3" t="str">
        <f t="shared" si="1257"/>
        <v>12Go Link</v>
      </c>
      <c r="E7227" s="2" t="s">
        <v>4137</v>
      </c>
    </row>
    <row r="7228">
      <c r="A7228" s="2" t="s">
        <v>4386</v>
      </c>
      <c r="B7228" s="2" t="s">
        <v>4372</v>
      </c>
      <c r="C7228" s="2" t="s">
        <v>4771</v>
      </c>
      <c r="D7228" s="3" t="str">
        <f t="shared" si="1257"/>
        <v>12Go Link</v>
      </c>
      <c r="E7228" s="2" t="s">
        <v>4338</v>
      </c>
    </row>
    <row r="7229">
      <c r="A7229" s="2" t="s">
        <v>4386</v>
      </c>
      <c r="B7229" s="2" t="s">
        <v>4372</v>
      </c>
      <c r="C7229" s="2" t="s">
        <v>4771</v>
      </c>
      <c r="D7229" s="3" t="str">
        <f t="shared" si="1257"/>
        <v>12Go Link</v>
      </c>
      <c r="E7229" s="2" t="s">
        <v>4339</v>
      </c>
    </row>
    <row r="7230">
      <c r="A7230" s="2" t="s">
        <v>4386</v>
      </c>
      <c r="B7230" s="2" t="s">
        <v>4372</v>
      </c>
      <c r="C7230" s="2" t="s">
        <v>4771</v>
      </c>
      <c r="D7230" s="3" t="str">
        <f t="shared" si="1257"/>
        <v>12Go Link</v>
      </c>
      <c r="E7230" s="2" t="s">
        <v>4340</v>
      </c>
    </row>
    <row r="7231">
      <c r="A7231" s="2" t="s">
        <v>4386</v>
      </c>
      <c r="B7231" s="2" t="s">
        <v>4372</v>
      </c>
      <c r="C7231" s="2" t="s">
        <v>4772</v>
      </c>
      <c r="D7231" s="3" t="str">
        <f t="shared" ref="D7231:D7236" si="1258">HYPERLINK("https://12go.asia/en/travel/Rabat-Hotel-Transfer/Marrakesh-Menara-Airport", "12Go Link")</f>
        <v>12Go Link</v>
      </c>
      <c r="E7231" s="2" t="s">
        <v>4336</v>
      </c>
    </row>
    <row r="7232">
      <c r="A7232" s="2" t="s">
        <v>4386</v>
      </c>
      <c r="B7232" s="2" t="s">
        <v>4372</v>
      </c>
      <c r="C7232" s="2" t="s">
        <v>4772</v>
      </c>
      <c r="D7232" s="3" t="str">
        <f t="shared" si="1258"/>
        <v>12Go Link</v>
      </c>
      <c r="E7232" s="2" t="s">
        <v>4337</v>
      </c>
    </row>
    <row r="7233">
      <c r="A7233" s="2" t="s">
        <v>4386</v>
      </c>
      <c r="B7233" s="2" t="s">
        <v>4372</v>
      </c>
      <c r="C7233" s="2" t="s">
        <v>4772</v>
      </c>
      <c r="D7233" s="3" t="str">
        <f t="shared" si="1258"/>
        <v>12Go Link</v>
      </c>
      <c r="E7233" s="2" t="s">
        <v>4137</v>
      </c>
    </row>
    <row r="7234">
      <c r="A7234" s="2" t="s">
        <v>4386</v>
      </c>
      <c r="B7234" s="2" t="s">
        <v>4372</v>
      </c>
      <c r="C7234" s="2" t="s">
        <v>4772</v>
      </c>
      <c r="D7234" s="3" t="str">
        <f t="shared" si="1258"/>
        <v>12Go Link</v>
      </c>
      <c r="E7234" s="2" t="s">
        <v>4338</v>
      </c>
    </row>
    <row r="7235">
      <c r="A7235" s="2" t="s">
        <v>4386</v>
      </c>
      <c r="B7235" s="2" t="s">
        <v>4372</v>
      </c>
      <c r="C7235" s="2" t="s">
        <v>4772</v>
      </c>
      <c r="D7235" s="3" t="str">
        <f t="shared" si="1258"/>
        <v>12Go Link</v>
      </c>
      <c r="E7235" s="2" t="s">
        <v>4339</v>
      </c>
    </row>
    <row r="7236">
      <c r="A7236" s="2" t="s">
        <v>4386</v>
      </c>
      <c r="B7236" s="2" t="s">
        <v>4372</v>
      </c>
      <c r="C7236" s="2" t="s">
        <v>4772</v>
      </c>
      <c r="D7236" s="3" t="str">
        <f t="shared" si="1258"/>
        <v>12Go Link</v>
      </c>
      <c r="E7236" s="2" t="s">
        <v>4340</v>
      </c>
    </row>
    <row r="7237">
      <c r="A7237" s="2" t="s">
        <v>4386</v>
      </c>
      <c r="B7237" s="2" t="s">
        <v>4372</v>
      </c>
      <c r="C7237" s="2" t="s">
        <v>4773</v>
      </c>
      <c r="D7237" s="3" t="str">
        <f t="shared" ref="D7237:D7242" si="1259">HYPERLINK("https://12go.asia/en/travel/Rabat-Sale-Airport/Marrakech-Medina-Transfer", "12Go Link")</f>
        <v>12Go Link</v>
      </c>
      <c r="E7237" s="2" t="s">
        <v>4336</v>
      </c>
    </row>
    <row r="7238">
      <c r="A7238" s="2" t="s">
        <v>4386</v>
      </c>
      <c r="B7238" s="2" t="s">
        <v>4372</v>
      </c>
      <c r="C7238" s="2" t="s">
        <v>4773</v>
      </c>
      <c r="D7238" s="3" t="str">
        <f t="shared" si="1259"/>
        <v>12Go Link</v>
      </c>
      <c r="E7238" s="2" t="s">
        <v>4337</v>
      </c>
    </row>
    <row r="7239">
      <c r="A7239" s="2" t="s">
        <v>4386</v>
      </c>
      <c r="B7239" s="2" t="s">
        <v>4372</v>
      </c>
      <c r="C7239" s="2" t="s">
        <v>4773</v>
      </c>
      <c r="D7239" s="3" t="str">
        <f t="shared" si="1259"/>
        <v>12Go Link</v>
      </c>
      <c r="E7239" s="2" t="s">
        <v>4137</v>
      </c>
    </row>
    <row r="7240">
      <c r="A7240" s="2" t="s">
        <v>4386</v>
      </c>
      <c r="B7240" s="2" t="s">
        <v>4372</v>
      </c>
      <c r="C7240" s="2" t="s">
        <v>4773</v>
      </c>
      <c r="D7240" s="3" t="str">
        <f t="shared" si="1259"/>
        <v>12Go Link</v>
      </c>
      <c r="E7240" s="2" t="s">
        <v>4338</v>
      </c>
    </row>
    <row r="7241">
      <c r="A7241" s="2" t="s">
        <v>4386</v>
      </c>
      <c r="B7241" s="2" t="s">
        <v>4372</v>
      </c>
      <c r="C7241" s="2" t="s">
        <v>4773</v>
      </c>
      <c r="D7241" s="3" t="str">
        <f t="shared" si="1259"/>
        <v>12Go Link</v>
      </c>
      <c r="E7241" s="2" t="s">
        <v>4339</v>
      </c>
    </row>
    <row r="7242">
      <c r="A7242" s="2" t="s">
        <v>4386</v>
      </c>
      <c r="B7242" s="2" t="s">
        <v>4372</v>
      </c>
      <c r="C7242" s="2" t="s">
        <v>4773</v>
      </c>
      <c r="D7242" s="3" t="str">
        <f t="shared" si="1259"/>
        <v>12Go Link</v>
      </c>
      <c r="E7242" s="2" t="s">
        <v>4340</v>
      </c>
    </row>
    <row r="7243">
      <c r="A7243" s="2" t="s">
        <v>4386</v>
      </c>
      <c r="B7243" s="2" t="s">
        <v>4372</v>
      </c>
      <c r="C7243" s="2" t="s">
        <v>4774</v>
      </c>
      <c r="D7243" s="3" t="str">
        <f t="shared" ref="D7243:D7248" si="1260">HYPERLINK("https://12go.asia/en/travel/Rabat-Sale-Airport/Marrakesh-Hotel-Transfer", "12Go Link")</f>
        <v>12Go Link</v>
      </c>
      <c r="E7243" s="2" t="s">
        <v>4336</v>
      </c>
    </row>
    <row r="7244">
      <c r="A7244" s="2" t="s">
        <v>4386</v>
      </c>
      <c r="B7244" s="2" t="s">
        <v>4372</v>
      </c>
      <c r="C7244" s="2" t="s">
        <v>4774</v>
      </c>
      <c r="D7244" s="3" t="str">
        <f t="shared" si="1260"/>
        <v>12Go Link</v>
      </c>
      <c r="E7244" s="2" t="s">
        <v>4337</v>
      </c>
    </row>
    <row r="7245">
      <c r="A7245" s="2" t="s">
        <v>4386</v>
      </c>
      <c r="B7245" s="2" t="s">
        <v>4372</v>
      </c>
      <c r="C7245" s="2" t="s">
        <v>4774</v>
      </c>
      <c r="D7245" s="3" t="str">
        <f t="shared" si="1260"/>
        <v>12Go Link</v>
      </c>
      <c r="E7245" s="2" t="s">
        <v>4137</v>
      </c>
    </row>
    <row r="7246">
      <c r="A7246" s="2" t="s">
        <v>4386</v>
      </c>
      <c r="B7246" s="2" t="s">
        <v>4372</v>
      </c>
      <c r="C7246" s="2" t="s">
        <v>4774</v>
      </c>
      <c r="D7246" s="3" t="str">
        <f t="shared" si="1260"/>
        <v>12Go Link</v>
      </c>
      <c r="E7246" s="2" t="s">
        <v>4338</v>
      </c>
    </row>
    <row r="7247">
      <c r="A7247" s="2" t="s">
        <v>4386</v>
      </c>
      <c r="B7247" s="2" t="s">
        <v>4372</v>
      </c>
      <c r="C7247" s="2" t="s">
        <v>4774</v>
      </c>
      <c r="D7247" s="3" t="str">
        <f t="shared" si="1260"/>
        <v>12Go Link</v>
      </c>
      <c r="E7247" s="2" t="s">
        <v>4339</v>
      </c>
    </row>
    <row r="7248">
      <c r="A7248" s="2" t="s">
        <v>4386</v>
      </c>
      <c r="B7248" s="2" t="s">
        <v>4372</v>
      </c>
      <c r="C7248" s="2" t="s">
        <v>4774</v>
      </c>
      <c r="D7248" s="3" t="str">
        <f t="shared" si="1260"/>
        <v>12Go Link</v>
      </c>
      <c r="E7248" s="2" t="s">
        <v>4340</v>
      </c>
    </row>
    <row r="7249">
      <c r="A7249" s="2" t="s">
        <v>4386</v>
      </c>
      <c r="B7249" s="2" t="s">
        <v>4377</v>
      </c>
      <c r="C7249" s="2" t="s">
        <v>4775</v>
      </c>
      <c r="D7249" s="3" t="str">
        <f t="shared" ref="D7249:D7254" si="1261">HYPERLINK("https://12go.asia/en/travel/Rabat-Sale-Airport/Meknes-Hotel-Transfer", "12Go Link")</f>
        <v>12Go Link</v>
      </c>
      <c r="E7249" s="2" t="s">
        <v>4336</v>
      </c>
    </row>
    <row r="7250">
      <c r="A7250" s="2" t="s">
        <v>4386</v>
      </c>
      <c r="B7250" s="2" t="s">
        <v>4377</v>
      </c>
      <c r="C7250" s="2" t="s">
        <v>4775</v>
      </c>
      <c r="D7250" s="3" t="str">
        <f t="shared" si="1261"/>
        <v>12Go Link</v>
      </c>
      <c r="E7250" s="2" t="s">
        <v>4337</v>
      </c>
    </row>
    <row r="7251">
      <c r="A7251" s="2" t="s">
        <v>4386</v>
      </c>
      <c r="B7251" s="2" t="s">
        <v>4377</v>
      </c>
      <c r="C7251" s="2" t="s">
        <v>4775</v>
      </c>
      <c r="D7251" s="3" t="str">
        <f t="shared" si="1261"/>
        <v>12Go Link</v>
      </c>
      <c r="E7251" s="2" t="s">
        <v>4137</v>
      </c>
    </row>
    <row r="7252">
      <c r="A7252" s="2" t="s">
        <v>4386</v>
      </c>
      <c r="B7252" s="2" t="s">
        <v>4377</v>
      </c>
      <c r="C7252" s="2" t="s">
        <v>4775</v>
      </c>
      <c r="D7252" s="3" t="str">
        <f t="shared" si="1261"/>
        <v>12Go Link</v>
      </c>
      <c r="E7252" s="2" t="s">
        <v>4338</v>
      </c>
    </row>
    <row r="7253">
      <c r="A7253" s="2" t="s">
        <v>4386</v>
      </c>
      <c r="B7253" s="2" t="s">
        <v>4377</v>
      </c>
      <c r="C7253" s="2" t="s">
        <v>4775</v>
      </c>
      <c r="D7253" s="3" t="str">
        <f t="shared" si="1261"/>
        <v>12Go Link</v>
      </c>
      <c r="E7253" s="2" t="s">
        <v>4339</v>
      </c>
    </row>
    <row r="7254">
      <c r="A7254" s="2" t="s">
        <v>4386</v>
      </c>
      <c r="B7254" s="2" t="s">
        <v>4377</v>
      </c>
      <c r="C7254" s="2" t="s">
        <v>4775</v>
      </c>
      <c r="D7254" s="3" t="str">
        <f t="shared" si="1261"/>
        <v>12Go Link</v>
      </c>
      <c r="E7254" s="2" t="s">
        <v>4340</v>
      </c>
    </row>
    <row r="7255">
      <c r="A7255" s="2" t="s">
        <v>4386</v>
      </c>
      <c r="B7255" s="2" t="s">
        <v>4474</v>
      </c>
      <c r="C7255" s="2" t="s">
        <v>4776</v>
      </c>
      <c r="D7255" s="3" t="str">
        <f t="shared" ref="D7255:D7260" si="1262">HYPERLINK("https://12go.asia/en/travel/Rabat-Sale-Airport/Mohammedia-Hotel-Transfer", "12Go Link")</f>
        <v>12Go Link</v>
      </c>
      <c r="E7255" s="2" t="s">
        <v>4336</v>
      </c>
    </row>
    <row r="7256">
      <c r="A7256" s="2" t="s">
        <v>4386</v>
      </c>
      <c r="B7256" s="2" t="s">
        <v>4474</v>
      </c>
      <c r="C7256" s="2" t="s">
        <v>4776</v>
      </c>
      <c r="D7256" s="3" t="str">
        <f t="shared" si="1262"/>
        <v>12Go Link</v>
      </c>
      <c r="E7256" s="2" t="s">
        <v>4337</v>
      </c>
    </row>
    <row r="7257">
      <c r="A7257" s="2" t="s">
        <v>4386</v>
      </c>
      <c r="B7257" s="2" t="s">
        <v>4474</v>
      </c>
      <c r="C7257" s="2" t="s">
        <v>4776</v>
      </c>
      <c r="D7257" s="3" t="str">
        <f t="shared" si="1262"/>
        <v>12Go Link</v>
      </c>
      <c r="E7257" s="2" t="s">
        <v>4137</v>
      </c>
    </row>
    <row r="7258">
      <c r="A7258" s="2" t="s">
        <v>4386</v>
      </c>
      <c r="B7258" s="2" t="s">
        <v>4474</v>
      </c>
      <c r="C7258" s="2" t="s">
        <v>4776</v>
      </c>
      <c r="D7258" s="3" t="str">
        <f t="shared" si="1262"/>
        <v>12Go Link</v>
      </c>
      <c r="E7258" s="2" t="s">
        <v>4338</v>
      </c>
    </row>
    <row r="7259">
      <c r="A7259" s="2" t="s">
        <v>4386</v>
      </c>
      <c r="B7259" s="2" t="s">
        <v>4474</v>
      </c>
      <c r="C7259" s="2" t="s">
        <v>4776</v>
      </c>
      <c r="D7259" s="3" t="str">
        <f t="shared" si="1262"/>
        <v>12Go Link</v>
      </c>
      <c r="E7259" s="2" t="s">
        <v>4339</v>
      </c>
    </row>
    <row r="7260">
      <c r="A7260" s="2" t="s">
        <v>4386</v>
      </c>
      <c r="B7260" s="2" t="s">
        <v>4474</v>
      </c>
      <c r="C7260" s="2" t="s">
        <v>4776</v>
      </c>
      <c r="D7260" s="3" t="str">
        <f t="shared" si="1262"/>
        <v>12Go Link</v>
      </c>
      <c r="E7260" s="2" t="s">
        <v>4340</v>
      </c>
    </row>
    <row r="7261">
      <c r="A7261" s="2" t="s">
        <v>4386</v>
      </c>
      <c r="B7261" s="2" t="s">
        <v>4726</v>
      </c>
      <c r="C7261" s="2" t="s">
        <v>4777</v>
      </c>
      <c r="D7261" s="3" t="str">
        <f t="shared" ref="D7261:D7266" si="1263">HYPERLINK("https://12go.asia/en/travel/Rabat-Sale-Airport/Nador-Hotel-Transfer", "12Go Link")</f>
        <v>12Go Link</v>
      </c>
      <c r="E7261" s="2" t="s">
        <v>4336</v>
      </c>
    </row>
    <row r="7262">
      <c r="A7262" s="2" t="s">
        <v>4386</v>
      </c>
      <c r="B7262" s="2" t="s">
        <v>4726</v>
      </c>
      <c r="C7262" s="2" t="s">
        <v>4777</v>
      </c>
      <c r="D7262" s="3" t="str">
        <f t="shared" si="1263"/>
        <v>12Go Link</v>
      </c>
      <c r="E7262" s="2" t="s">
        <v>4337</v>
      </c>
    </row>
    <row r="7263">
      <c r="A7263" s="2" t="s">
        <v>4386</v>
      </c>
      <c r="B7263" s="2" t="s">
        <v>4726</v>
      </c>
      <c r="C7263" s="2" t="s">
        <v>4777</v>
      </c>
      <c r="D7263" s="3" t="str">
        <f t="shared" si="1263"/>
        <v>12Go Link</v>
      </c>
      <c r="E7263" s="2" t="s">
        <v>4137</v>
      </c>
    </row>
    <row r="7264">
      <c r="A7264" s="2" t="s">
        <v>4386</v>
      </c>
      <c r="B7264" s="2" t="s">
        <v>4726</v>
      </c>
      <c r="C7264" s="2" t="s">
        <v>4777</v>
      </c>
      <c r="D7264" s="3" t="str">
        <f t="shared" si="1263"/>
        <v>12Go Link</v>
      </c>
      <c r="E7264" s="2" t="s">
        <v>4338</v>
      </c>
    </row>
    <row r="7265">
      <c r="A7265" s="2" t="s">
        <v>4386</v>
      </c>
      <c r="B7265" s="2" t="s">
        <v>4726</v>
      </c>
      <c r="C7265" s="2" t="s">
        <v>4777</v>
      </c>
      <c r="D7265" s="3" t="str">
        <f t="shared" si="1263"/>
        <v>12Go Link</v>
      </c>
      <c r="E7265" s="2" t="s">
        <v>4339</v>
      </c>
    </row>
    <row r="7266">
      <c r="A7266" s="2" t="s">
        <v>4386</v>
      </c>
      <c r="B7266" s="2" t="s">
        <v>4726</v>
      </c>
      <c r="C7266" s="2" t="s">
        <v>4777</v>
      </c>
      <c r="D7266" s="3" t="str">
        <f t="shared" si="1263"/>
        <v>12Go Link</v>
      </c>
      <c r="E7266" s="2" t="s">
        <v>4340</v>
      </c>
    </row>
    <row r="7267">
      <c r="A7267" s="2" t="s">
        <v>4386</v>
      </c>
      <c r="B7267" s="2" t="s">
        <v>4386</v>
      </c>
      <c r="C7267" s="2" t="s">
        <v>4778</v>
      </c>
      <c r="D7267" s="3" t="str">
        <f t="shared" ref="D7267:D7272" si="1264">HYPERLINK("https://12go.asia/en/travel/Rabat-Hotel-Transfer/Rabat-Sale-Airport", "12Go Link")</f>
        <v>12Go Link</v>
      </c>
      <c r="E7267" s="2" t="s">
        <v>4336</v>
      </c>
    </row>
    <row r="7268">
      <c r="A7268" s="2" t="s">
        <v>4386</v>
      </c>
      <c r="B7268" s="2" t="s">
        <v>4386</v>
      </c>
      <c r="C7268" s="2" t="s">
        <v>4778</v>
      </c>
      <c r="D7268" s="3" t="str">
        <f t="shared" si="1264"/>
        <v>12Go Link</v>
      </c>
      <c r="E7268" s="2" t="s">
        <v>4337</v>
      </c>
    </row>
    <row r="7269">
      <c r="A7269" s="2" t="s">
        <v>4386</v>
      </c>
      <c r="B7269" s="2" t="s">
        <v>4386</v>
      </c>
      <c r="C7269" s="2" t="s">
        <v>4778</v>
      </c>
      <c r="D7269" s="3" t="str">
        <f t="shared" si="1264"/>
        <v>12Go Link</v>
      </c>
      <c r="E7269" s="2" t="s">
        <v>4137</v>
      </c>
    </row>
    <row r="7270">
      <c r="A7270" s="2" t="s">
        <v>4386</v>
      </c>
      <c r="B7270" s="2" t="s">
        <v>4386</v>
      </c>
      <c r="C7270" s="2" t="s">
        <v>4778</v>
      </c>
      <c r="D7270" s="3" t="str">
        <f t="shared" si="1264"/>
        <v>12Go Link</v>
      </c>
      <c r="E7270" s="2" t="s">
        <v>4338</v>
      </c>
    </row>
    <row r="7271">
      <c r="A7271" s="2" t="s">
        <v>4386</v>
      </c>
      <c r="B7271" s="2" t="s">
        <v>4386</v>
      </c>
      <c r="C7271" s="2" t="s">
        <v>4778</v>
      </c>
      <c r="D7271" s="3" t="str">
        <f t="shared" si="1264"/>
        <v>12Go Link</v>
      </c>
      <c r="E7271" s="2" t="s">
        <v>4339</v>
      </c>
    </row>
    <row r="7272">
      <c r="A7272" s="2" t="s">
        <v>4386</v>
      </c>
      <c r="B7272" s="2" t="s">
        <v>4386</v>
      </c>
      <c r="C7272" s="2" t="s">
        <v>4778</v>
      </c>
      <c r="D7272" s="3" t="str">
        <f t="shared" si="1264"/>
        <v>12Go Link</v>
      </c>
      <c r="E7272" s="2" t="s">
        <v>4340</v>
      </c>
    </row>
    <row r="7273">
      <c r="A7273" s="2" t="s">
        <v>4386</v>
      </c>
      <c r="B7273" s="2" t="s">
        <v>4386</v>
      </c>
      <c r="C7273" s="2" t="s">
        <v>4779</v>
      </c>
      <c r="D7273" s="3" t="str">
        <f t="shared" ref="D7273:D7278" si="1265">HYPERLINK("https://12go.asia/en/travel/Rabat-Sale-Airport/Rabat-Hotel-Transfer", "12Go Link")</f>
        <v>12Go Link</v>
      </c>
      <c r="E7273" s="2" t="s">
        <v>4336</v>
      </c>
    </row>
    <row r="7274">
      <c r="A7274" s="2" t="s">
        <v>4386</v>
      </c>
      <c r="B7274" s="2" t="s">
        <v>4386</v>
      </c>
      <c r="C7274" s="2" t="s">
        <v>4779</v>
      </c>
      <c r="D7274" s="3" t="str">
        <f t="shared" si="1265"/>
        <v>12Go Link</v>
      </c>
      <c r="E7274" s="2" t="s">
        <v>4337</v>
      </c>
    </row>
    <row r="7275">
      <c r="A7275" s="2" t="s">
        <v>4386</v>
      </c>
      <c r="B7275" s="2" t="s">
        <v>4386</v>
      </c>
      <c r="C7275" s="2" t="s">
        <v>4779</v>
      </c>
      <c r="D7275" s="3" t="str">
        <f t="shared" si="1265"/>
        <v>12Go Link</v>
      </c>
      <c r="E7275" s="2" t="s">
        <v>4137</v>
      </c>
    </row>
    <row r="7276">
      <c r="A7276" s="2" t="s">
        <v>4386</v>
      </c>
      <c r="B7276" s="2" t="s">
        <v>4386</v>
      </c>
      <c r="C7276" s="2" t="s">
        <v>4779</v>
      </c>
      <c r="D7276" s="3" t="str">
        <f t="shared" si="1265"/>
        <v>12Go Link</v>
      </c>
      <c r="E7276" s="2" t="s">
        <v>4338</v>
      </c>
    </row>
    <row r="7277">
      <c r="A7277" s="2" t="s">
        <v>4386</v>
      </c>
      <c r="B7277" s="2" t="s">
        <v>4386</v>
      </c>
      <c r="C7277" s="2" t="s">
        <v>4779</v>
      </c>
      <c r="D7277" s="3" t="str">
        <f t="shared" si="1265"/>
        <v>12Go Link</v>
      </c>
      <c r="E7277" s="2" t="s">
        <v>4339</v>
      </c>
    </row>
    <row r="7278">
      <c r="A7278" s="2" t="s">
        <v>4386</v>
      </c>
      <c r="B7278" s="2" t="s">
        <v>4386</v>
      </c>
      <c r="C7278" s="2" t="s">
        <v>4779</v>
      </c>
      <c r="D7278" s="3" t="str">
        <f t="shared" si="1265"/>
        <v>12Go Link</v>
      </c>
      <c r="E7278" s="2" t="s">
        <v>4340</v>
      </c>
    </row>
    <row r="7279">
      <c r="A7279" s="2" t="s">
        <v>4386</v>
      </c>
      <c r="B7279" s="2" t="s">
        <v>4484</v>
      </c>
      <c r="C7279" s="2" t="s">
        <v>4780</v>
      </c>
      <c r="D7279" s="3" t="str">
        <f t="shared" ref="D7279:D7284" si="1266">HYPERLINK("https://12go.asia/en/travel/Rabat-Sale-Airport/Safi-Hotel-Transfer", "12Go Link")</f>
        <v>12Go Link</v>
      </c>
      <c r="E7279" s="2" t="s">
        <v>4336</v>
      </c>
    </row>
    <row r="7280">
      <c r="A7280" s="2" t="s">
        <v>4386</v>
      </c>
      <c r="B7280" s="2" t="s">
        <v>4484</v>
      </c>
      <c r="C7280" s="2" t="s">
        <v>4780</v>
      </c>
      <c r="D7280" s="3" t="str">
        <f t="shared" si="1266"/>
        <v>12Go Link</v>
      </c>
      <c r="E7280" s="2" t="s">
        <v>4337</v>
      </c>
    </row>
    <row r="7281">
      <c r="A7281" s="2" t="s">
        <v>4386</v>
      </c>
      <c r="B7281" s="2" t="s">
        <v>4484</v>
      </c>
      <c r="C7281" s="2" t="s">
        <v>4780</v>
      </c>
      <c r="D7281" s="3" t="str">
        <f t="shared" si="1266"/>
        <v>12Go Link</v>
      </c>
      <c r="E7281" s="2" t="s">
        <v>4137</v>
      </c>
    </row>
    <row r="7282">
      <c r="A7282" s="2" t="s">
        <v>4386</v>
      </c>
      <c r="B7282" s="2" t="s">
        <v>4484</v>
      </c>
      <c r="C7282" s="2" t="s">
        <v>4780</v>
      </c>
      <c r="D7282" s="3" t="str">
        <f t="shared" si="1266"/>
        <v>12Go Link</v>
      </c>
      <c r="E7282" s="2" t="s">
        <v>4338</v>
      </c>
    </row>
    <row r="7283">
      <c r="A7283" s="2" t="s">
        <v>4386</v>
      </c>
      <c r="B7283" s="2" t="s">
        <v>4484</v>
      </c>
      <c r="C7283" s="2" t="s">
        <v>4780</v>
      </c>
      <c r="D7283" s="3" t="str">
        <f t="shared" si="1266"/>
        <v>12Go Link</v>
      </c>
      <c r="E7283" s="2" t="s">
        <v>4339</v>
      </c>
    </row>
    <row r="7284">
      <c r="A7284" s="2" t="s">
        <v>4386</v>
      </c>
      <c r="B7284" s="2" t="s">
        <v>4484</v>
      </c>
      <c r="C7284" s="2" t="s">
        <v>4780</v>
      </c>
      <c r="D7284" s="3" t="str">
        <f t="shared" si="1266"/>
        <v>12Go Link</v>
      </c>
      <c r="E7284" s="2" t="s">
        <v>4340</v>
      </c>
    </row>
    <row r="7285">
      <c r="A7285" s="2" t="s">
        <v>4386</v>
      </c>
      <c r="B7285" s="2" t="s">
        <v>4486</v>
      </c>
      <c r="C7285" s="2" t="s">
        <v>4781</v>
      </c>
      <c r="D7285" s="3" t="str">
        <f t="shared" ref="D7285:D7290" si="1267">HYPERLINK("https://12go.asia/en/travel/Rabat-Sale-Airport/Sale-Hotel-Transfer", "12Go Link")</f>
        <v>12Go Link</v>
      </c>
      <c r="E7285" s="2" t="s">
        <v>4336</v>
      </c>
    </row>
    <row r="7286">
      <c r="A7286" s="2" t="s">
        <v>4386</v>
      </c>
      <c r="B7286" s="2" t="s">
        <v>4486</v>
      </c>
      <c r="C7286" s="2" t="s">
        <v>4781</v>
      </c>
      <c r="D7286" s="3" t="str">
        <f t="shared" si="1267"/>
        <v>12Go Link</v>
      </c>
      <c r="E7286" s="2" t="s">
        <v>4337</v>
      </c>
    </row>
    <row r="7287">
      <c r="A7287" s="2" t="s">
        <v>4386</v>
      </c>
      <c r="B7287" s="2" t="s">
        <v>4486</v>
      </c>
      <c r="C7287" s="2" t="s">
        <v>4781</v>
      </c>
      <c r="D7287" s="3" t="str">
        <f t="shared" si="1267"/>
        <v>12Go Link</v>
      </c>
      <c r="E7287" s="2" t="s">
        <v>4137</v>
      </c>
    </row>
    <row r="7288">
      <c r="A7288" s="2" t="s">
        <v>4386</v>
      </c>
      <c r="B7288" s="2" t="s">
        <v>4486</v>
      </c>
      <c r="C7288" s="2" t="s">
        <v>4781</v>
      </c>
      <c r="D7288" s="3" t="str">
        <f t="shared" si="1267"/>
        <v>12Go Link</v>
      </c>
      <c r="E7288" s="2" t="s">
        <v>4338</v>
      </c>
    </row>
    <row r="7289">
      <c r="A7289" s="2" t="s">
        <v>4386</v>
      </c>
      <c r="B7289" s="2" t="s">
        <v>4486</v>
      </c>
      <c r="C7289" s="2" t="s">
        <v>4781</v>
      </c>
      <c r="D7289" s="3" t="str">
        <f t="shared" si="1267"/>
        <v>12Go Link</v>
      </c>
      <c r="E7289" s="2" t="s">
        <v>4339</v>
      </c>
    </row>
    <row r="7290">
      <c r="A7290" s="2" t="s">
        <v>4386</v>
      </c>
      <c r="B7290" s="2" t="s">
        <v>4486</v>
      </c>
      <c r="C7290" s="2" t="s">
        <v>4781</v>
      </c>
      <c r="D7290" s="3" t="str">
        <f t="shared" si="1267"/>
        <v>12Go Link</v>
      </c>
      <c r="E7290" s="2" t="s">
        <v>4340</v>
      </c>
    </row>
    <row r="7291">
      <c r="A7291" s="2" t="s">
        <v>4386</v>
      </c>
      <c r="B7291" s="2" t="s">
        <v>4492</v>
      </c>
      <c r="C7291" s="2" t="s">
        <v>4782</v>
      </c>
      <c r="D7291" s="3" t="str">
        <f t="shared" ref="D7291:D7296" si="1268">HYPERLINK("https://12go.asia/en/travel/Rabat-Sale-Airport/Skhirat-Plage-Hotel-Transfer", "12Go Link")</f>
        <v>12Go Link</v>
      </c>
      <c r="E7291" s="2" t="s">
        <v>4336</v>
      </c>
    </row>
    <row r="7292">
      <c r="A7292" s="2" t="s">
        <v>4386</v>
      </c>
      <c r="B7292" s="2" t="s">
        <v>4492</v>
      </c>
      <c r="C7292" s="2" t="s">
        <v>4782</v>
      </c>
      <c r="D7292" s="3" t="str">
        <f t="shared" si="1268"/>
        <v>12Go Link</v>
      </c>
      <c r="E7292" s="2" t="s">
        <v>4337</v>
      </c>
    </row>
    <row r="7293">
      <c r="A7293" s="2" t="s">
        <v>4386</v>
      </c>
      <c r="B7293" s="2" t="s">
        <v>4492</v>
      </c>
      <c r="C7293" s="2" t="s">
        <v>4782</v>
      </c>
      <c r="D7293" s="3" t="str">
        <f t="shared" si="1268"/>
        <v>12Go Link</v>
      </c>
      <c r="E7293" s="2" t="s">
        <v>4137</v>
      </c>
    </row>
    <row r="7294">
      <c r="A7294" s="2" t="s">
        <v>4386</v>
      </c>
      <c r="B7294" s="2" t="s">
        <v>4492</v>
      </c>
      <c r="C7294" s="2" t="s">
        <v>4782</v>
      </c>
      <c r="D7294" s="3" t="str">
        <f t="shared" si="1268"/>
        <v>12Go Link</v>
      </c>
      <c r="E7294" s="2" t="s">
        <v>4338</v>
      </c>
    </row>
    <row r="7295">
      <c r="A7295" s="2" t="s">
        <v>4386</v>
      </c>
      <c r="B7295" s="2" t="s">
        <v>4492</v>
      </c>
      <c r="C7295" s="2" t="s">
        <v>4782</v>
      </c>
      <c r="D7295" s="3" t="str">
        <f t="shared" si="1268"/>
        <v>12Go Link</v>
      </c>
      <c r="E7295" s="2" t="s">
        <v>4339</v>
      </c>
    </row>
    <row r="7296">
      <c r="A7296" s="2" t="s">
        <v>4386</v>
      </c>
      <c r="B7296" s="2" t="s">
        <v>4492</v>
      </c>
      <c r="C7296" s="2" t="s">
        <v>4782</v>
      </c>
      <c r="D7296" s="3" t="str">
        <f t="shared" si="1268"/>
        <v>12Go Link</v>
      </c>
      <c r="E7296" s="2" t="s">
        <v>4340</v>
      </c>
    </row>
    <row r="7297">
      <c r="A7297" s="2" t="s">
        <v>4386</v>
      </c>
      <c r="B7297" s="2" t="s">
        <v>4403</v>
      </c>
      <c r="C7297" s="2" t="s">
        <v>4783</v>
      </c>
      <c r="D7297" s="3" t="str">
        <f t="shared" ref="D7297:D7302" si="1269">HYPERLINK("https://12go.asia/en/travel/Rabat-Hotel-Transfer/Tanger-Ibn-Battouta-Airport", "12Go Link")</f>
        <v>12Go Link</v>
      </c>
      <c r="E7297" s="2" t="s">
        <v>4336</v>
      </c>
    </row>
    <row r="7298">
      <c r="A7298" s="2" t="s">
        <v>4386</v>
      </c>
      <c r="B7298" s="2" t="s">
        <v>4403</v>
      </c>
      <c r="C7298" s="2" t="s">
        <v>4783</v>
      </c>
      <c r="D7298" s="3" t="str">
        <f t="shared" si="1269"/>
        <v>12Go Link</v>
      </c>
      <c r="E7298" s="2" t="s">
        <v>4337</v>
      </c>
    </row>
    <row r="7299">
      <c r="A7299" s="2" t="s">
        <v>4386</v>
      </c>
      <c r="B7299" s="2" t="s">
        <v>4403</v>
      </c>
      <c r="C7299" s="2" t="s">
        <v>4783</v>
      </c>
      <c r="D7299" s="3" t="str">
        <f t="shared" si="1269"/>
        <v>12Go Link</v>
      </c>
      <c r="E7299" s="2" t="s">
        <v>4137</v>
      </c>
    </row>
    <row r="7300">
      <c r="A7300" s="2" t="s">
        <v>4386</v>
      </c>
      <c r="B7300" s="2" t="s">
        <v>4403</v>
      </c>
      <c r="C7300" s="2" t="s">
        <v>4783</v>
      </c>
      <c r="D7300" s="3" t="str">
        <f t="shared" si="1269"/>
        <v>12Go Link</v>
      </c>
      <c r="E7300" s="2" t="s">
        <v>4338</v>
      </c>
    </row>
    <row r="7301">
      <c r="A7301" s="2" t="s">
        <v>4386</v>
      </c>
      <c r="B7301" s="2" t="s">
        <v>4403</v>
      </c>
      <c r="C7301" s="2" t="s">
        <v>4783</v>
      </c>
      <c r="D7301" s="3" t="str">
        <f t="shared" si="1269"/>
        <v>12Go Link</v>
      </c>
      <c r="E7301" s="2" t="s">
        <v>4339</v>
      </c>
    </row>
    <row r="7302">
      <c r="A7302" s="2" t="s">
        <v>4386</v>
      </c>
      <c r="B7302" s="2" t="s">
        <v>4403</v>
      </c>
      <c r="C7302" s="2" t="s">
        <v>4783</v>
      </c>
      <c r="D7302" s="3" t="str">
        <f t="shared" si="1269"/>
        <v>12Go Link</v>
      </c>
      <c r="E7302" s="2" t="s">
        <v>4340</v>
      </c>
    </row>
    <row r="7303">
      <c r="A7303" s="2" t="s">
        <v>4386</v>
      </c>
      <c r="B7303" s="2" t="s">
        <v>4403</v>
      </c>
      <c r="C7303" s="2" t="s">
        <v>4784</v>
      </c>
      <c r="D7303" s="3" t="str">
        <f t="shared" ref="D7303:D7308" si="1270">HYPERLINK("https://12go.asia/en/travel/Rabat-Sale-Airport/Tangier-Hotel-Transfer", "12Go Link")</f>
        <v>12Go Link</v>
      </c>
      <c r="E7303" s="2" t="s">
        <v>4336</v>
      </c>
    </row>
    <row r="7304">
      <c r="A7304" s="2" t="s">
        <v>4386</v>
      </c>
      <c r="B7304" s="2" t="s">
        <v>4403</v>
      </c>
      <c r="C7304" s="2" t="s">
        <v>4784</v>
      </c>
      <c r="D7304" s="3" t="str">
        <f t="shared" si="1270"/>
        <v>12Go Link</v>
      </c>
      <c r="E7304" s="2" t="s">
        <v>4337</v>
      </c>
    </row>
    <row r="7305">
      <c r="A7305" s="2" t="s">
        <v>4386</v>
      </c>
      <c r="B7305" s="2" t="s">
        <v>4403</v>
      </c>
      <c r="C7305" s="2" t="s">
        <v>4784</v>
      </c>
      <c r="D7305" s="3" t="str">
        <f t="shared" si="1270"/>
        <v>12Go Link</v>
      </c>
      <c r="E7305" s="2" t="s">
        <v>4137</v>
      </c>
    </row>
    <row r="7306">
      <c r="A7306" s="2" t="s">
        <v>4386</v>
      </c>
      <c r="B7306" s="2" t="s">
        <v>4403</v>
      </c>
      <c r="C7306" s="2" t="s">
        <v>4784</v>
      </c>
      <c r="D7306" s="3" t="str">
        <f t="shared" si="1270"/>
        <v>12Go Link</v>
      </c>
      <c r="E7306" s="2" t="s">
        <v>4338</v>
      </c>
    </row>
    <row r="7307">
      <c r="A7307" s="2" t="s">
        <v>4386</v>
      </c>
      <c r="B7307" s="2" t="s">
        <v>4403</v>
      </c>
      <c r="C7307" s="2" t="s">
        <v>4784</v>
      </c>
      <c r="D7307" s="3" t="str">
        <f t="shared" si="1270"/>
        <v>12Go Link</v>
      </c>
      <c r="E7307" s="2" t="s">
        <v>4339</v>
      </c>
    </row>
    <row r="7308">
      <c r="A7308" s="2" t="s">
        <v>4386</v>
      </c>
      <c r="B7308" s="2" t="s">
        <v>4403</v>
      </c>
      <c r="C7308" s="2" t="s">
        <v>4784</v>
      </c>
      <c r="D7308" s="3" t="str">
        <f t="shared" si="1270"/>
        <v>12Go Link</v>
      </c>
      <c r="E7308" s="2" t="s">
        <v>4340</v>
      </c>
    </row>
    <row r="7309">
      <c r="A7309" s="2" t="s">
        <v>4386</v>
      </c>
      <c r="B7309" s="2" t="s">
        <v>4498</v>
      </c>
      <c r="C7309" s="2" t="s">
        <v>4785</v>
      </c>
      <c r="D7309" s="3" t="str">
        <f t="shared" ref="D7309:D7314" si="1271">HYPERLINK("https://12go.asia/en/travel/Rabat-Sale-Airport/Temara-Hotel-Transfer", "12Go Link")</f>
        <v>12Go Link</v>
      </c>
      <c r="E7309" s="2" t="s">
        <v>4336</v>
      </c>
    </row>
    <row r="7310">
      <c r="A7310" s="2" t="s">
        <v>4386</v>
      </c>
      <c r="B7310" s="2" t="s">
        <v>4498</v>
      </c>
      <c r="C7310" s="2" t="s">
        <v>4785</v>
      </c>
      <c r="D7310" s="3" t="str">
        <f t="shared" si="1271"/>
        <v>12Go Link</v>
      </c>
      <c r="E7310" s="2" t="s">
        <v>4337</v>
      </c>
    </row>
    <row r="7311">
      <c r="A7311" s="2" t="s">
        <v>4386</v>
      </c>
      <c r="B7311" s="2" t="s">
        <v>4498</v>
      </c>
      <c r="C7311" s="2" t="s">
        <v>4785</v>
      </c>
      <c r="D7311" s="3" t="str">
        <f t="shared" si="1271"/>
        <v>12Go Link</v>
      </c>
      <c r="E7311" s="2" t="s">
        <v>4137</v>
      </c>
    </row>
    <row r="7312">
      <c r="A7312" s="2" t="s">
        <v>4386</v>
      </c>
      <c r="B7312" s="2" t="s">
        <v>4498</v>
      </c>
      <c r="C7312" s="2" t="s">
        <v>4785</v>
      </c>
      <c r="D7312" s="3" t="str">
        <f t="shared" si="1271"/>
        <v>12Go Link</v>
      </c>
      <c r="E7312" s="2" t="s">
        <v>4338</v>
      </c>
    </row>
    <row r="7313">
      <c r="A7313" s="2" t="s">
        <v>4386</v>
      </c>
      <c r="B7313" s="2" t="s">
        <v>4498</v>
      </c>
      <c r="C7313" s="2" t="s">
        <v>4785</v>
      </c>
      <c r="D7313" s="3" t="str">
        <f t="shared" si="1271"/>
        <v>12Go Link</v>
      </c>
      <c r="E7313" s="2" t="s">
        <v>4339</v>
      </c>
    </row>
    <row r="7314">
      <c r="A7314" s="2" t="s">
        <v>4386</v>
      </c>
      <c r="B7314" s="2" t="s">
        <v>4498</v>
      </c>
      <c r="C7314" s="2" t="s">
        <v>4785</v>
      </c>
      <c r="D7314" s="3" t="str">
        <f t="shared" si="1271"/>
        <v>12Go Link</v>
      </c>
      <c r="E7314" s="2" t="s">
        <v>4340</v>
      </c>
    </row>
    <row r="7315">
      <c r="A7315" s="2" t="s">
        <v>4386</v>
      </c>
      <c r="B7315" s="2" t="s">
        <v>4709</v>
      </c>
      <c r="C7315" s="2" t="s">
        <v>4786</v>
      </c>
      <c r="D7315" s="3" t="str">
        <f t="shared" ref="D7315:D7320" si="1272">HYPERLINK("https://12go.asia/en/travel/Rabat-Sale-Airport/Tetouan-Hotel-Transfer", "12Go Link")</f>
        <v>12Go Link</v>
      </c>
      <c r="E7315" s="2" t="s">
        <v>4336</v>
      </c>
    </row>
    <row r="7316">
      <c r="A7316" s="2" t="s">
        <v>4386</v>
      </c>
      <c r="B7316" s="2" t="s">
        <v>4709</v>
      </c>
      <c r="C7316" s="2" t="s">
        <v>4786</v>
      </c>
      <c r="D7316" s="3" t="str">
        <f t="shared" si="1272"/>
        <v>12Go Link</v>
      </c>
      <c r="E7316" s="2" t="s">
        <v>4337</v>
      </c>
    </row>
    <row r="7317">
      <c r="A7317" s="2" t="s">
        <v>4386</v>
      </c>
      <c r="B7317" s="2" t="s">
        <v>4709</v>
      </c>
      <c r="C7317" s="2" t="s">
        <v>4786</v>
      </c>
      <c r="D7317" s="3" t="str">
        <f t="shared" si="1272"/>
        <v>12Go Link</v>
      </c>
      <c r="E7317" s="2" t="s">
        <v>4137</v>
      </c>
    </row>
    <row r="7318">
      <c r="A7318" s="2" t="s">
        <v>4386</v>
      </c>
      <c r="B7318" s="2" t="s">
        <v>4709</v>
      </c>
      <c r="C7318" s="2" t="s">
        <v>4786</v>
      </c>
      <c r="D7318" s="3" t="str">
        <f t="shared" si="1272"/>
        <v>12Go Link</v>
      </c>
      <c r="E7318" s="2" t="s">
        <v>4338</v>
      </c>
    </row>
    <row r="7319">
      <c r="A7319" s="2" t="s">
        <v>4386</v>
      </c>
      <c r="B7319" s="2" t="s">
        <v>4709</v>
      </c>
      <c r="C7319" s="2" t="s">
        <v>4786</v>
      </c>
      <c r="D7319" s="3" t="str">
        <f t="shared" si="1272"/>
        <v>12Go Link</v>
      </c>
      <c r="E7319" s="2" t="s">
        <v>4339</v>
      </c>
    </row>
    <row r="7320">
      <c r="A7320" s="2" t="s">
        <v>4386</v>
      </c>
      <c r="B7320" s="2" t="s">
        <v>4709</v>
      </c>
      <c r="C7320" s="2" t="s">
        <v>4786</v>
      </c>
      <c r="D7320" s="3" t="str">
        <f t="shared" si="1272"/>
        <v>12Go Link</v>
      </c>
      <c r="E7320" s="2" t="s">
        <v>4340</v>
      </c>
    </row>
    <row r="7321">
      <c r="A7321" s="2" t="s">
        <v>4484</v>
      </c>
      <c r="B7321" s="2" t="s">
        <v>4350</v>
      </c>
      <c r="C7321" s="2" t="s">
        <v>4787</v>
      </c>
      <c r="D7321" s="3" t="str">
        <f t="shared" ref="D7321:D7326" si="1273">HYPERLINK("https://12go.asia/en/travel/Safi-Hotel-Transfer/Mohammed-V-International-Airport", "12Go Link")</f>
        <v>12Go Link</v>
      </c>
      <c r="E7321" s="2" t="s">
        <v>4336</v>
      </c>
    </row>
    <row r="7322">
      <c r="A7322" s="2" t="s">
        <v>4484</v>
      </c>
      <c r="B7322" s="2" t="s">
        <v>4350</v>
      </c>
      <c r="C7322" s="2" t="s">
        <v>4787</v>
      </c>
      <c r="D7322" s="3" t="str">
        <f t="shared" si="1273"/>
        <v>12Go Link</v>
      </c>
      <c r="E7322" s="2" t="s">
        <v>4337</v>
      </c>
    </row>
    <row r="7323">
      <c r="A7323" s="2" t="s">
        <v>4484</v>
      </c>
      <c r="B7323" s="2" t="s">
        <v>4350</v>
      </c>
      <c r="C7323" s="2" t="s">
        <v>4787</v>
      </c>
      <c r="D7323" s="3" t="str">
        <f t="shared" si="1273"/>
        <v>12Go Link</v>
      </c>
      <c r="E7323" s="2" t="s">
        <v>4137</v>
      </c>
    </row>
    <row r="7324">
      <c r="A7324" s="2" t="s">
        <v>4484</v>
      </c>
      <c r="B7324" s="2" t="s">
        <v>4350</v>
      </c>
      <c r="C7324" s="2" t="s">
        <v>4787</v>
      </c>
      <c r="D7324" s="3" t="str">
        <f t="shared" si="1273"/>
        <v>12Go Link</v>
      </c>
      <c r="E7324" s="2" t="s">
        <v>4338</v>
      </c>
    </row>
    <row r="7325">
      <c r="A7325" s="2" t="s">
        <v>4484</v>
      </c>
      <c r="B7325" s="2" t="s">
        <v>4350</v>
      </c>
      <c r="C7325" s="2" t="s">
        <v>4787</v>
      </c>
      <c r="D7325" s="3" t="str">
        <f t="shared" si="1273"/>
        <v>12Go Link</v>
      </c>
      <c r="E7325" s="2" t="s">
        <v>4339</v>
      </c>
    </row>
    <row r="7326">
      <c r="A7326" s="2" t="s">
        <v>4484</v>
      </c>
      <c r="B7326" s="2" t="s">
        <v>4350</v>
      </c>
      <c r="C7326" s="2" t="s">
        <v>4787</v>
      </c>
      <c r="D7326" s="3" t="str">
        <f t="shared" si="1273"/>
        <v>12Go Link</v>
      </c>
      <c r="E7326" s="2" t="s">
        <v>4340</v>
      </c>
    </row>
    <row r="7327">
      <c r="A7327" s="2" t="s">
        <v>4484</v>
      </c>
      <c r="B7327" s="2" t="s">
        <v>4353</v>
      </c>
      <c r="C7327" s="2" t="s">
        <v>4788</v>
      </c>
      <c r="D7327" s="3" t="str">
        <f t="shared" ref="D7327:D7332" si="1274">HYPERLINK("https://12go.asia/en/travel/Safi-Hotel-Transfer/Essaouira-Mogador-Airport", "12Go Link")</f>
        <v>12Go Link</v>
      </c>
      <c r="E7327" s="2" t="s">
        <v>4336</v>
      </c>
    </row>
    <row r="7328">
      <c r="A7328" s="2" t="s">
        <v>4484</v>
      </c>
      <c r="B7328" s="2" t="s">
        <v>4353</v>
      </c>
      <c r="C7328" s="2" t="s">
        <v>4788</v>
      </c>
      <c r="D7328" s="3" t="str">
        <f t="shared" si="1274"/>
        <v>12Go Link</v>
      </c>
      <c r="E7328" s="2" t="s">
        <v>4337</v>
      </c>
    </row>
    <row r="7329">
      <c r="A7329" s="2" t="s">
        <v>4484</v>
      </c>
      <c r="B7329" s="2" t="s">
        <v>4353</v>
      </c>
      <c r="C7329" s="2" t="s">
        <v>4788</v>
      </c>
      <c r="D7329" s="3" t="str">
        <f t="shared" si="1274"/>
        <v>12Go Link</v>
      </c>
      <c r="E7329" s="2" t="s">
        <v>4137</v>
      </c>
    </row>
    <row r="7330">
      <c r="A7330" s="2" t="s">
        <v>4484</v>
      </c>
      <c r="B7330" s="2" t="s">
        <v>4353</v>
      </c>
      <c r="C7330" s="2" t="s">
        <v>4788</v>
      </c>
      <c r="D7330" s="3" t="str">
        <f t="shared" si="1274"/>
        <v>12Go Link</v>
      </c>
      <c r="E7330" s="2" t="s">
        <v>4338</v>
      </c>
    </row>
    <row r="7331">
      <c r="A7331" s="2" t="s">
        <v>4484</v>
      </c>
      <c r="B7331" s="2" t="s">
        <v>4353</v>
      </c>
      <c r="C7331" s="2" t="s">
        <v>4788</v>
      </c>
      <c r="D7331" s="3" t="str">
        <f t="shared" si="1274"/>
        <v>12Go Link</v>
      </c>
      <c r="E7331" s="2" t="s">
        <v>4339</v>
      </c>
    </row>
    <row r="7332">
      <c r="A7332" s="2" t="s">
        <v>4484</v>
      </c>
      <c r="B7332" s="2" t="s">
        <v>4353</v>
      </c>
      <c r="C7332" s="2" t="s">
        <v>4788</v>
      </c>
      <c r="D7332" s="3" t="str">
        <f t="shared" si="1274"/>
        <v>12Go Link</v>
      </c>
      <c r="E7332" s="2" t="s">
        <v>4340</v>
      </c>
    </row>
    <row r="7333">
      <c r="A7333" s="2" t="s">
        <v>4484</v>
      </c>
      <c r="B7333" s="2" t="s">
        <v>4357</v>
      </c>
      <c r="C7333" s="2" t="s">
        <v>4789</v>
      </c>
      <c r="D7333" s="3" t="str">
        <f t="shared" ref="D7333:D7338" si="1275">HYPERLINK("https://12go.asia/en/travel/Safi-Hotel-Transfer/Fes-Airport", "12Go Link")</f>
        <v>12Go Link</v>
      </c>
      <c r="E7333" s="2" t="s">
        <v>4336</v>
      </c>
    </row>
    <row r="7334">
      <c r="A7334" s="2" t="s">
        <v>4484</v>
      </c>
      <c r="B7334" s="2" t="s">
        <v>4357</v>
      </c>
      <c r="C7334" s="2" t="s">
        <v>4789</v>
      </c>
      <c r="D7334" s="3" t="str">
        <f t="shared" si="1275"/>
        <v>12Go Link</v>
      </c>
      <c r="E7334" s="2" t="s">
        <v>4337</v>
      </c>
    </row>
    <row r="7335">
      <c r="A7335" s="2" t="s">
        <v>4484</v>
      </c>
      <c r="B7335" s="2" t="s">
        <v>4357</v>
      </c>
      <c r="C7335" s="2" t="s">
        <v>4789</v>
      </c>
      <c r="D7335" s="3" t="str">
        <f t="shared" si="1275"/>
        <v>12Go Link</v>
      </c>
      <c r="E7335" s="2" t="s">
        <v>4137</v>
      </c>
    </row>
    <row r="7336">
      <c r="A7336" s="2" t="s">
        <v>4484</v>
      </c>
      <c r="B7336" s="2" t="s">
        <v>4357</v>
      </c>
      <c r="C7336" s="2" t="s">
        <v>4789</v>
      </c>
      <c r="D7336" s="3" t="str">
        <f t="shared" si="1275"/>
        <v>12Go Link</v>
      </c>
      <c r="E7336" s="2" t="s">
        <v>4338</v>
      </c>
    </row>
    <row r="7337">
      <c r="A7337" s="2" t="s">
        <v>4484</v>
      </c>
      <c r="B7337" s="2" t="s">
        <v>4357</v>
      </c>
      <c r="C7337" s="2" t="s">
        <v>4789</v>
      </c>
      <c r="D7337" s="3" t="str">
        <f t="shared" si="1275"/>
        <v>12Go Link</v>
      </c>
      <c r="E7337" s="2" t="s">
        <v>4339</v>
      </c>
    </row>
    <row r="7338">
      <c r="A7338" s="2" t="s">
        <v>4484</v>
      </c>
      <c r="B7338" s="2" t="s">
        <v>4357</v>
      </c>
      <c r="C7338" s="2" t="s">
        <v>4789</v>
      </c>
      <c r="D7338" s="3" t="str">
        <f t="shared" si="1275"/>
        <v>12Go Link</v>
      </c>
      <c r="E7338" s="2" t="s">
        <v>4340</v>
      </c>
    </row>
    <row r="7339">
      <c r="A7339" s="2" t="s">
        <v>4484</v>
      </c>
      <c r="B7339" s="2" t="s">
        <v>4386</v>
      </c>
      <c r="C7339" s="2" t="s">
        <v>4790</v>
      </c>
      <c r="D7339" s="3" t="str">
        <f t="shared" ref="D7339:D7344" si="1276">HYPERLINK("https://12go.asia/en/travel/Safi-Hotel-Transfer/Rabat-Sale-Airport", "12Go Link")</f>
        <v>12Go Link</v>
      </c>
      <c r="E7339" s="2" t="s">
        <v>4336</v>
      </c>
    </row>
    <row r="7340">
      <c r="A7340" s="2" t="s">
        <v>4484</v>
      </c>
      <c r="B7340" s="2" t="s">
        <v>4386</v>
      </c>
      <c r="C7340" s="2" t="s">
        <v>4790</v>
      </c>
      <c r="D7340" s="3" t="str">
        <f t="shared" si="1276"/>
        <v>12Go Link</v>
      </c>
      <c r="E7340" s="2" t="s">
        <v>4337</v>
      </c>
    </row>
    <row r="7341">
      <c r="A7341" s="2" t="s">
        <v>4484</v>
      </c>
      <c r="B7341" s="2" t="s">
        <v>4386</v>
      </c>
      <c r="C7341" s="2" t="s">
        <v>4790</v>
      </c>
      <c r="D7341" s="3" t="str">
        <f t="shared" si="1276"/>
        <v>12Go Link</v>
      </c>
      <c r="E7341" s="2" t="s">
        <v>4137</v>
      </c>
    </row>
    <row r="7342">
      <c r="A7342" s="2" t="s">
        <v>4484</v>
      </c>
      <c r="B7342" s="2" t="s">
        <v>4386</v>
      </c>
      <c r="C7342" s="2" t="s">
        <v>4790</v>
      </c>
      <c r="D7342" s="3" t="str">
        <f t="shared" si="1276"/>
        <v>12Go Link</v>
      </c>
      <c r="E7342" s="2" t="s">
        <v>4338</v>
      </c>
    </row>
    <row r="7343">
      <c r="A7343" s="2" t="s">
        <v>4484</v>
      </c>
      <c r="B7343" s="2" t="s">
        <v>4386</v>
      </c>
      <c r="C7343" s="2" t="s">
        <v>4790</v>
      </c>
      <c r="D7343" s="3" t="str">
        <f t="shared" si="1276"/>
        <v>12Go Link</v>
      </c>
      <c r="E7343" s="2" t="s">
        <v>4339</v>
      </c>
    </row>
    <row r="7344">
      <c r="A7344" s="2" t="s">
        <v>4484</v>
      </c>
      <c r="B7344" s="2" t="s">
        <v>4386</v>
      </c>
      <c r="C7344" s="2" t="s">
        <v>4790</v>
      </c>
      <c r="D7344" s="3" t="str">
        <f t="shared" si="1276"/>
        <v>12Go Link</v>
      </c>
      <c r="E7344" s="2" t="s">
        <v>4340</v>
      </c>
    </row>
    <row r="7345">
      <c r="A7345" s="2" t="s">
        <v>4753</v>
      </c>
      <c r="B7345" s="2" t="s">
        <v>4413</v>
      </c>
      <c r="C7345" s="2" t="s">
        <v>4791</v>
      </c>
      <c r="D7345" s="3" t="str">
        <f t="shared" ref="D7345:D7350" si="1277">HYPERLINK("https://12go.asia/en/travel/Saidia-Hotel-Transfer/Oujda-Angads-Airport", "12Go Link")</f>
        <v>12Go Link</v>
      </c>
      <c r="E7345" s="2" t="s">
        <v>4336</v>
      </c>
    </row>
    <row r="7346">
      <c r="A7346" s="2" t="s">
        <v>4753</v>
      </c>
      <c r="B7346" s="2" t="s">
        <v>4413</v>
      </c>
      <c r="C7346" s="2" t="s">
        <v>4791</v>
      </c>
      <c r="D7346" s="3" t="str">
        <f t="shared" si="1277"/>
        <v>12Go Link</v>
      </c>
      <c r="E7346" s="2" t="s">
        <v>4337</v>
      </c>
    </row>
    <row r="7347">
      <c r="A7347" s="2" t="s">
        <v>4753</v>
      </c>
      <c r="B7347" s="2" t="s">
        <v>4413</v>
      </c>
      <c r="C7347" s="2" t="s">
        <v>4791</v>
      </c>
      <c r="D7347" s="3" t="str">
        <f t="shared" si="1277"/>
        <v>12Go Link</v>
      </c>
      <c r="E7347" s="2" t="s">
        <v>4137</v>
      </c>
    </row>
    <row r="7348">
      <c r="A7348" s="2" t="s">
        <v>4753</v>
      </c>
      <c r="B7348" s="2" t="s">
        <v>4413</v>
      </c>
      <c r="C7348" s="2" t="s">
        <v>4791</v>
      </c>
      <c r="D7348" s="3" t="str">
        <f t="shared" si="1277"/>
        <v>12Go Link</v>
      </c>
      <c r="E7348" s="2" t="s">
        <v>4338</v>
      </c>
    </row>
    <row r="7349">
      <c r="A7349" s="2" t="s">
        <v>4753</v>
      </c>
      <c r="B7349" s="2" t="s">
        <v>4413</v>
      </c>
      <c r="C7349" s="2" t="s">
        <v>4791</v>
      </c>
      <c r="D7349" s="3" t="str">
        <f t="shared" si="1277"/>
        <v>12Go Link</v>
      </c>
      <c r="E7349" s="2" t="s">
        <v>4339</v>
      </c>
    </row>
    <row r="7350">
      <c r="A7350" s="2" t="s">
        <v>4753</v>
      </c>
      <c r="B7350" s="2" t="s">
        <v>4413</v>
      </c>
      <c r="C7350" s="2" t="s">
        <v>4791</v>
      </c>
      <c r="D7350" s="3" t="str">
        <f t="shared" si="1277"/>
        <v>12Go Link</v>
      </c>
      <c r="E7350" s="2" t="s">
        <v>4340</v>
      </c>
    </row>
    <row r="7351">
      <c r="A7351" s="2" t="s">
        <v>4486</v>
      </c>
      <c r="B7351" s="2" t="s">
        <v>4350</v>
      </c>
      <c r="C7351" s="2" t="s">
        <v>4792</v>
      </c>
      <c r="D7351" s="3" t="str">
        <f t="shared" ref="D7351:D7356" si="1278">HYPERLINK("https://12go.asia/en/travel/Sale-Hotel-Transfer/Mohammed-V-International-Airport", "12Go Link")</f>
        <v>12Go Link</v>
      </c>
      <c r="E7351" s="2" t="s">
        <v>4336</v>
      </c>
    </row>
    <row r="7352">
      <c r="A7352" s="2" t="s">
        <v>4486</v>
      </c>
      <c r="B7352" s="2" t="s">
        <v>4350</v>
      </c>
      <c r="C7352" s="2" t="s">
        <v>4792</v>
      </c>
      <c r="D7352" s="3" t="str">
        <f t="shared" si="1278"/>
        <v>12Go Link</v>
      </c>
      <c r="E7352" s="2" t="s">
        <v>4337</v>
      </c>
    </row>
    <row r="7353">
      <c r="A7353" s="2" t="s">
        <v>4486</v>
      </c>
      <c r="B7353" s="2" t="s">
        <v>4350</v>
      </c>
      <c r="C7353" s="2" t="s">
        <v>4792</v>
      </c>
      <c r="D7353" s="3" t="str">
        <f t="shared" si="1278"/>
        <v>12Go Link</v>
      </c>
      <c r="E7353" s="2" t="s">
        <v>4137</v>
      </c>
    </row>
    <row r="7354">
      <c r="A7354" s="2" t="s">
        <v>4486</v>
      </c>
      <c r="B7354" s="2" t="s">
        <v>4350</v>
      </c>
      <c r="C7354" s="2" t="s">
        <v>4792</v>
      </c>
      <c r="D7354" s="3" t="str">
        <f t="shared" si="1278"/>
        <v>12Go Link</v>
      </c>
      <c r="E7354" s="2" t="s">
        <v>4338</v>
      </c>
    </row>
    <row r="7355">
      <c r="A7355" s="2" t="s">
        <v>4486</v>
      </c>
      <c r="B7355" s="2" t="s">
        <v>4350</v>
      </c>
      <c r="C7355" s="2" t="s">
        <v>4792</v>
      </c>
      <c r="D7355" s="3" t="str">
        <f t="shared" si="1278"/>
        <v>12Go Link</v>
      </c>
      <c r="E7355" s="2" t="s">
        <v>4339</v>
      </c>
    </row>
    <row r="7356">
      <c r="A7356" s="2" t="s">
        <v>4486</v>
      </c>
      <c r="B7356" s="2" t="s">
        <v>4350</v>
      </c>
      <c r="C7356" s="2" t="s">
        <v>4792</v>
      </c>
      <c r="D7356" s="3" t="str">
        <f t="shared" si="1278"/>
        <v>12Go Link</v>
      </c>
      <c r="E7356" s="2" t="s">
        <v>4340</v>
      </c>
    </row>
    <row r="7357">
      <c r="A7357" s="2" t="s">
        <v>4486</v>
      </c>
      <c r="B7357" s="2" t="s">
        <v>4357</v>
      </c>
      <c r="C7357" s="2" t="s">
        <v>4793</v>
      </c>
      <c r="D7357" s="3" t="str">
        <f t="shared" ref="D7357:D7362" si="1279">HYPERLINK("https://12go.asia/en/travel/Sale-Hotel-Transfer/Fes-Airport", "12Go Link")</f>
        <v>12Go Link</v>
      </c>
      <c r="E7357" s="2" t="s">
        <v>4336</v>
      </c>
    </row>
    <row r="7358">
      <c r="A7358" s="2" t="s">
        <v>4486</v>
      </c>
      <c r="B7358" s="2" t="s">
        <v>4357</v>
      </c>
      <c r="C7358" s="2" t="s">
        <v>4793</v>
      </c>
      <c r="D7358" s="3" t="str">
        <f t="shared" si="1279"/>
        <v>12Go Link</v>
      </c>
      <c r="E7358" s="2" t="s">
        <v>4337</v>
      </c>
    </row>
    <row r="7359">
      <c r="A7359" s="2" t="s">
        <v>4486</v>
      </c>
      <c r="B7359" s="2" t="s">
        <v>4357</v>
      </c>
      <c r="C7359" s="2" t="s">
        <v>4793</v>
      </c>
      <c r="D7359" s="3" t="str">
        <f t="shared" si="1279"/>
        <v>12Go Link</v>
      </c>
      <c r="E7359" s="2" t="s">
        <v>4137</v>
      </c>
    </row>
    <row r="7360">
      <c r="A7360" s="2" t="s">
        <v>4486</v>
      </c>
      <c r="B7360" s="2" t="s">
        <v>4357</v>
      </c>
      <c r="C7360" s="2" t="s">
        <v>4793</v>
      </c>
      <c r="D7360" s="3" t="str">
        <f t="shared" si="1279"/>
        <v>12Go Link</v>
      </c>
      <c r="E7360" s="2" t="s">
        <v>4338</v>
      </c>
    </row>
    <row r="7361">
      <c r="A7361" s="2" t="s">
        <v>4486</v>
      </c>
      <c r="B7361" s="2" t="s">
        <v>4357</v>
      </c>
      <c r="C7361" s="2" t="s">
        <v>4793</v>
      </c>
      <c r="D7361" s="3" t="str">
        <f t="shared" si="1279"/>
        <v>12Go Link</v>
      </c>
      <c r="E7361" s="2" t="s">
        <v>4339</v>
      </c>
    </row>
    <row r="7362">
      <c r="A7362" s="2" t="s">
        <v>4486</v>
      </c>
      <c r="B7362" s="2" t="s">
        <v>4357</v>
      </c>
      <c r="C7362" s="2" t="s">
        <v>4793</v>
      </c>
      <c r="D7362" s="3" t="str">
        <f t="shared" si="1279"/>
        <v>12Go Link</v>
      </c>
      <c r="E7362" s="2" t="s">
        <v>4340</v>
      </c>
    </row>
    <row r="7363">
      <c r="A7363" s="2" t="s">
        <v>4486</v>
      </c>
      <c r="B7363" s="2" t="s">
        <v>4386</v>
      </c>
      <c r="C7363" s="2" t="s">
        <v>4794</v>
      </c>
      <c r="D7363" s="3" t="str">
        <f t="shared" ref="D7363:D7368" si="1280">HYPERLINK("https://12go.asia/en/travel/Sale-Hotel-Transfer/Rabat-Sale-Airport", "12Go Link")</f>
        <v>12Go Link</v>
      </c>
      <c r="E7363" s="2" t="s">
        <v>4336</v>
      </c>
    </row>
    <row r="7364">
      <c r="A7364" s="2" t="s">
        <v>4486</v>
      </c>
      <c r="B7364" s="2" t="s">
        <v>4386</v>
      </c>
      <c r="C7364" s="2" t="s">
        <v>4794</v>
      </c>
      <c r="D7364" s="3" t="str">
        <f t="shared" si="1280"/>
        <v>12Go Link</v>
      </c>
      <c r="E7364" s="2" t="s">
        <v>4337</v>
      </c>
    </row>
    <row r="7365">
      <c r="A7365" s="2" t="s">
        <v>4486</v>
      </c>
      <c r="B7365" s="2" t="s">
        <v>4386</v>
      </c>
      <c r="C7365" s="2" t="s">
        <v>4794</v>
      </c>
      <c r="D7365" s="3" t="str">
        <f t="shared" si="1280"/>
        <v>12Go Link</v>
      </c>
      <c r="E7365" s="2" t="s">
        <v>4137</v>
      </c>
    </row>
    <row r="7366">
      <c r="A7366" s="2" t="s">
        <v>4486</v>
      </c>
      <c r="B7366" s="2" t="s">
        <v>4386</v>
      </c>
      <c r="C7366" s="2" t="s">
        <v>4794</v>
      </c>
      <c r="D7366" s="3" t="str">
        <f t="shared" si="1280"/>
        <v>12Go Link</v>
      </c>
      <c r="E7366" s="2" t="s">
        <v>4338</v>
      </c>
    </row>
    <row r="7367">
      <c r="A7367" s="2" t="s">
        <v>4486</v>
      </c>
      <c r="B7367" s="2" t="s">
        <v>4386</v>
      </c>
      <c r="C7367" s="2" t="s">
        <v>4794</v>
      </c>
      <c r="D7367" s="3" t="str">
        <f t="shared" si="1280"/>
        <v>12Go Link</v>
      </c>
      <c r="E7367" s="2" t="s">
        <v>4339</v>
      </c>
    </row>
    <row r="7368">
      <c r="A7368" s="2" t="s">
        <v>4486</v>
      </c>
      <c r="B7368" s="2" t="s">
        <v>4386</v>
      </c>
      <c r="C7368" s="2" t="s">
        <v>4794</v>
      </c>
      <c r="D7368" s="3" t="str">
        <f t="shared" si="1280"/>
        <v>12Go Link</v>
      </c>
      <c r="E7368" s="2" t="s">
        <v>4340</v>
      </c>
    </row>
    <row r="7369">
      <c r="A7369" s="2" t="s">
        <v>4488</v>
      </c>
      <c r="B7369" s="2" t="s">
        <v>4350</v>
      </c>
      <c r="C7369" s="2" t="s">
        <v>4795</v>
      </c>
      <c r="D7369" s="3" t="str">
        <f t="shared" ref="D7369:D7374" si="1281">HYPERLINK("https://12go.asia/en/travel/Settat-Hotel-Transfer/Mohammed-V-International-Airport", "12Go Link")</f>
        <v>12Go Link</v>
      </c>
      <c r="E7369" s="2" t="s">
        <v>4336</v>
      </c>
    </row>
    <row r="7370">
      <c r="A7370" s="2" t="s">
        <v>4488</v>
      </c>
      <c r="B7370" s="2" t="s">
        <v>4350</v>
      </c>
      <c r="C7370" s="2" t="s">
        <v>4795</v>
      </c>
      <c r="D7370" s="3" t="str">
        <f t="shared" si="1281"/>
        <v>12Go Link</v>
      </c>
      <c r="E7370" s="2" t="s">
        <v>4337</v>
      </c>
    </row>
    <row r="7371">
      <c r="A7371" s="2" t="s">
        <v>4488</v>
      </c>
      <c r="B7371" s="2" t="s">
        <v>4350</v>
      </c>
      <c r="C7371" s="2" t="s">
        <v>4795</v>
      </c>
      <c r="D7371" s="3" t="str">
        <f t="shared" si="1281"/>
        <v>12Go Link</v>
      </c>
      <c r="E7371" s="2" t="s">
        <v>4137</v>
      </c>
    </row>
    <row r="7372">
      <c r="A7372" s="2" t="s">
        <v>4488</v>
      </c>
      <c r="B7372" s="2" t="s">
        <v>4350</v>
      </c>
      <c r="C7372" s="2" t="s">
        <v>4795</v>
      </c>
      <c r="D7372" s="3" t="str">
        <f t="shared" si="1281"/>
        <v>12Go Link</v>
      </c>
      <c r="E7372" s="2" t="s">
        <v>4338</v>
      </c>
    </row>
    <row r="7373">
      <c r="A7373" s="2" t="s">
        <v>4488</v>
      </c>
      <c r="B7373" s="2" t="s">
        <v>4350</v>
      </c>
      <c r="C7373" s="2" t="s">
        <v>4795</v>
      </c>
      <c r="D7373" s="3" t="str">
        <f t="shared" si="1281"/>
        <v>12Go Link</v>
      </c>
      <c r="E7373" s="2" t="s">
        <v>4339</v>
      </c>
    </row>
    <row r="7374">
      <c r="A7374" s="2" t="s">
        <v>4488</v>
      </c>
      <c r="B7374" s="2" t="s">
        <v>4350</v>
      </c>
      <c r="C7374" s="2" t="s">
        <v>4795</v>
      </c>
      <c r="D7374" s="3" t="str">
        <f t="shared" si="1281"/>
        <v>12Go Link</v>
      </c>
      <c r="E7374" s="2" t="s">
        <v>4340</v>
      </c>
    </row>
    <row r="7375">
      <c r="A7375" s="2" t="s">
        <v>4693</v>
      </c>
      <c r="B7375" s="2" t="s">
        <v>4372</v>
      </c>
      <c r="C7375" s="2" t="s">
        <v>4796</v>
      </c>
      <c r="D7375" s="3" t="str">
        <f t="shared" ref="D7375:D7380" si="1282">HYPERLINK("https://12go.asia/en/travel/Sidi-Abdallah-Ghiat-Hotel-Transfer/Marrakesh-Menara-Airport", "12Go Link")</f>
        <v>12Go Link</v>
      </c>
      <c r="E7375" s="2" t="s">
        <v>4336</v>
      </c>
    </row>
    <row r="7376">
      <c r="A7376" s="2" t="s">
        <v>4693</v>
      </c>
      <c r="B7376" s="2" t="s">
        <v>4372</v>
      </c>
      <c r="C7376" s="2" t="s">
        <v>4796</v>
      </c>
      <c r="D7376" s="3" t="str">
        <f t="shared" si="1282"/>
        <v>12Go Link</v>
      </c>
      <c r="E7376" s="2" t="s">
        <v>4337</v>
      </c>
    </row>
    <row r="7377">
      <c r="A7377" s="2" t="s">
        <v>4693</v>
      </c>
      <c r="B7377" s="2" t="s">
        <v>4372</v>
      </c>
      <c r="C7377" s="2" t="s">
        <v>4796</v>
      </c>
      <c r="D7377" s="3" t="str">
        <f t="shared" si="1282"/>
        <v>12Go Link</v>
      </c>
      <c r="E7377" s="2" t="s">
        <v>4137</v>
      </c>
    </row>
    <row r="7378">
      <c r="A7378" s="2" t="s">
        <v>4693</v>
      </c>
      <c r="B7378" s="2" t="s">
        <v>4372</v>
      </c>
      <c r="C7378" s="2" t="s">
        <v>4796</v>
      </c>
      <c r="D7378" s="3" t="str">
        <f t="shared" si="1282"/>
        <v>12Go Link</v>
      </c>
      <c r="E7378" s="2" t="s">
        <v>4338</v>
      </c>
    </row>
    <row r="7379">
      <c r="A7379" s="2" t="s">
        <v>4693</v>
      </c>
      <c r="B7379" s="2" t="s">
        <v>4372</v>
      </c>
      <c r="C7379" s="2" t="s">
        <v>4796</v>
      </c>
      <c r="D7379" s="3" t="str">
        <f t="shared" si="1282"/>
        <v>12Go Link</v>
      </c>
      <c r="E7379" s="2" t="s">
        <v>4339</v>
      </c>
    </row>
    <row r="7380">
      <c r="A7380" s="2" t="s">
        <v>4693</v>
      </c>
      <c r="B7380" s="2" t="s">
        <v>4372</v>
      </c>
      <c r="C7380" s="2" t="s">
        <v>4796</v>
      </c>
      <c r="D7380" s="3" t="str">
        <f t="shared" si="1282"/>
        <v>12Go Link</v>
      </c>
      <c r="E7380" s="2" t="s">
        <v>4340</v>
      </c>
    </row>
    <row r="7381">
      <c r="A7381" s="2" t="s">
        <v>4695</v>
      </c>
      <c r="B7381" s="2" t="s">
        <v>4372</v>
      </c>
      <c r="C7381" s="2" t="s">
        <v>4797</v>
      </c>
      <c r="D7381" s="3" t="str">
        <f t="shared" ref="D7381:D7386" si="1283">HYPERLINK("https://12go.asia/en/travel/Sidi-Bouzguia-Hotel-Transfer/Marrakesh-Menara-Airport", "12Go Link")</f>
        <v>12Go Link</v>
      </c>
      <c r="E7381" s="2" t="s">
        <v>4336</v>
      </c>
    </row>
    <row r="7382">
      <c r="A7382" s="2" t="s">
        <v>4695</v>
      </c>
      <c r="B7382" s="2" t="s">
        <v>4372</v>
      </c>
      <c r="C7382" s="2" t="s">
        <v>4797</v>
      </c>
      <c r="D7382" s="3" t="str">
        <f t="shared" si="1283"/>
        <v>12Go Link</v>
      </c>
      <c r="E7382" s="2" t="s">
        <v>4337</v>
      </c>
    </row>
    <row r="7383">
      <c r="A7383" s="2" t="s">
        <v>4695</v>
      </c>
      <c r="B7383" s="2" t="s">
        <v>4372</v>
      </c>
      <c r="C7383" s="2" t="s">
        <v>4797</v>
      </c>
      <c r="D7383" s="3" t="str">
        <f t="shared" si="1283"/>
        <v>12Go Link</v>
      </c>
      <c r="E7383" s="2" t="s">
        <v>4137</v>
      </c>
    </row>
    <row r="7384">
      <c r="A7384" s="2" t="s">
        <v>4695</v>
      </c>
      <c r="B7384" s="2" t="s">
        <v>4372</v>
      </c>
      <c r="C7384" s="2" t="s">
        <v>4797</v>
      </c>
      <c r="D7384" s="3" t="str">
        <f t="shared" si="1283"/>
        <v>12Go Link</v>
      </c>
      <c r="E7384" s="2" t="s">
        <v>4338</v>
      </c>
    </row>
    <row r="7385">
      <c r="A7385" s="2" t="s">
        <v>4695</v>
      </c>
      <c r="B7385" s="2" t="s">
        <v>4372</v>
      </c>
      <c r="C7385" s="2" t="s">
        <v>4797</v>
      </c>
      <c r="D7385" s="3" t="str">
        <f t="shared" si="1283"/>
        <v>12Go Link</v>
      </c>
      <c r="E7385" s="2" t="s">
        <v>4339</v>
      </c>
    </row>
    <row r="7386">
      <c r="A7386" s="2" t="s">
        <v>4695</v>
      </c>
      <c r="B7386" s="2" t="s">
        <v>4372</v>
      </c>
      <c r="C7386" s="2" t="s">
        <v>4797</v>
      </c>
      <c r="D7386" s="3" t="str">
        <f t="shared" si="1283"/>
        <v>12Go Link</v>
      </c>
      <c r="E7386" s="2" t="s">
        <v>4340</v>
      </c>
    </row>
    <row r="7387">
      <c r="A7387" s="2" t="s">
        <v>4389</v>
      </c>
      <c r="B7387" s="2" t="s">
        <v>4334</v>
      </c>
      <c r="C7387" s="2" t="s">
        <v>4798</v>
      </c>
      <c r="D7387" s="3" t="str">
        <f t="shared" ref="D7387:D7392" si="1284">HYPERLINK("https://12go.asia/en/travel/Sidi-Ifni-Hotel-Transfer/Agadir-Al-Massira-International-Airport", "12Go Link")</f>
        <v>12Go Link</v>
      </c>
      <c r="E7387" s="2" t="s">
        <v>4336</v>
      </c>
    </row>
    <row r="7388">
      <c r="A7388" s="2" t="s">
        <v>4389</v>
      </c>
      <c r="B7388" s="2" t="s">
        <v>4334</v>
      </c>
      <c r="C7388" s="2" t="s">
        <v>4798</v>
      </c>
      <c r="D7388" s="3" t="str">
        <f t="shared" si="1284"/>
        <v>12Go Link</v>
      </c>
      <c r="E7388" s="2" t="s">
        <v>4337</v>
      </c>
    </row>
    <row r="7389">
      <c r="A7389" s="2" t="s">
        <v>4389</v>
      </c>
      <c r="B7389" s="2" t="s">
        <v>4334</v>
      </c>
      <c r="C7389" s="2" t="s">
        <v>4798</v>
      </c>
      <c r="D7389" s="3" t="str">
        <f t="shared" si="1284"/>
        <v>12Go Link</v>
      </c>
      <c r="E7389" s="2" t="s">
        <v>4137</v>
      </c>
    </row>
    <row r="7390">
      <c r="A7390" s="2" t="s">
        <v>4389</v>
      </c>
      <c r="B7390" s="2" t="s">
        <v>4334</v>
      </c>
      <c r="C7390" s="2" t="s">
        <v>4798</v>
      </c>
      <c r="D7390" s="3" t="str">
        <f t="shared" si="1284"/>
        <v>12Go Link</v>
      </c>
      <c r="E7390" s="2" t="s">
        <v>4338</v>
      </c>
    </row>
    <row r="7391">
      <c r="A7391" s="2" t="s">
        <v>4389</v>
      </c>
      <c r="B7391" s="2" t="s">
        <v>4334</v>
      </c>
      <c r="C7391" s="2" t="s">
        <v>4798</v>
      </c>
      <c r="D7391" s="3" t="str">
        <f t="shared" si="1284"/>
        <v>12Go Link</v>
      </c>
      <c r="E7391" s="2" t="s">
        <v>4339</v>
      </c>
    </row>
    <row r="7392">
      <c r="A7392" s="2" t="s">
        <v>4389</v>
      </c>
      <c r="B7392" s="2" t="s">
        <v>4334</v>
      </c>
      <c r="C7392" s="2" t="s">
        <v>4798</v>
      </c>
      <c r="D7392" s="3" t="str">
        <f t="shared" si="1284"/>
        <v>12Go Link</v>
      </c>
      <c r="E7392" s="2" t="s">
        <v>4340</v>
      </c>
    </row>
    <row r="7393">
      <c r="A7393" s="2" t="s">
        <v>4391</v>
      </c>
      <c r="B7393" s="2" t="s">
        <v>4334</v>
      </c>
      <c r="C7393" s="2" t="s">
        <v>4799</v>
      </c>
      <c r="D7393" s="3" t="str">
        <f t="shared" ref="D7393:D7398" si="1285">HYPERLINK("https://12go.asia/en/travel/Sidi-Kaouki-Hotel-Transfer/Agadir-Al-Massira-International-Airport", "12Go Link")</f>
        <v>12Go Link</v>
      </c>
      <c r="E7393" s="2" t="s">
        <v>4336</v>
      </c>
    </row>
    <row r="7394">
      <c r="A7394" s="2" t="s">
        <v>4391</v>
      </c>
      <c r="B7394" s="2" t="s">
        <v>4334</v>
      </c>
      <c r="C7394" s="2" t="s">
        <v>4799</v>
      </c>
      <c r="D7394" s="3" t="str">
        <f t="shared" si="1285"/>
        <v>12Go Link</v>
      </c>
      <c r="E7394" s="2" t="s">
        <v>4337</v>
      </c>
    </row>
    <row r="7395">
      <c r="A7395" s="2" t="s">
        <v>4391</v>
      </c>
      <c r="B7395" s="2" t="s">
        <v>4334</v>
      </c>
      <c r="C7395" s="2" t="s">
        <v>4799</v>
      </c>
      <c r="D7395" s="3" t="str">
        <f t="shared" si="1285"/>
        <v>12Go Link</v>
      </c>
      <c r="E7395" s="2" t="s">
        <v>4137</v>
      </c>
    </row>
    <row r="7396">
      <c r="A7396" s="2" t="s">
        <v>4391</v>
      </c>
      <c r="B7396" s="2" t="s">
        <v>4334</v>
      </c>
      <c r="C7396" s="2" t="s">
        <v>4799</v>
      </c>
      <c r="D7396" s="3" t="str">
        <f t="shared" si="1285"/>
        <v>12Go Link</v>
      </c>
      <c r="E7396" s="2" t="s">
        <v>4338</v>
      </c>
    </row>
    <row r="7397">
      <c r="A7397" s="2" t="s">
        <v>4391</v>
      </c>
      <c r="B7397" s="2" t="s">
        <v>4334</v>
      </c>
      <c r="C7397" s="2" t="s">
        <v>4799</v>
      </c>
      <c r="D7397" s="3" t="str">
        <f t="shared" si="1285"/>
        <v>12Go Link</v>
      </c>
      <c r="E7397" s="2" t="s">
        <v>4339</v>
      </c>
    </row>
    <row r="7398">
      <c r="A7398" s="2" t="s">
        <v>4391</v>
      </c>
      <c r="B7398" s="2" t="s">
        <v>4334</v>
      </c>
      <c r="C7398" s="2" t="s">
        <v>4799</v>
      </c>
      <c r="D7398" s="3" t="str">
        <f t="shared" si="1285"/>
        <v>12Go Link</v>
      </c>
      <c r="E7398" s="2" t="s">
        <v>4340</v>
      </c>
    </row>
    <row r="7399">
      <c r="A7399" s="2" t="s">
        <v>4391</v>
      </c>
      <c r="B7399" s="2" t="s">
        <v>4353</v>
      </c>
      <c r="C7399" s="2" t="s">
        <v>4800</v>
      </c>
      <c r="D7399" s="3" t="str">
        <f t="shared" ref="D7399:D7404" si="1286">HYPERLINK("https://12go.asia/en/travel/Sidi-Kaouki-Hotel-Transfer/Essaouira-Mogador-Airport", "12Go Link")</f>
        <v>12Go Link</v>
      </c>
      <c r="E7399" s="2" t="s">
        <v>4336</v>
      </c>
    </row>
    <row r="7400">
      <c r="A7400" s="2" t="s">
        <v>4391</v>
      </c>
      <c r="B7400" s="2" t="s">
        <v>4353</v>
      </c>
      <c r="C7400" s="2" t="s">
        <v>4800</v>
      </c>
      <c r="D7400" s="3" t="str">
        <f t="shared" si="1286"/>
        <v>12Go Link</v>
      </c>
      <c r="E7400" s="2" t="s">
        <v>4337</v>
      </c>
    </row>
    <row r="7401">
      <c r="A7401" s="2" t="s">
        <v>4391</v>
      </c>
      <c r="B7401" s="2" t="s">
        <v>4353</v>
      </c>
      <c r="C7401" s="2" t="s">
        <v>4800</v>
      </c>
      <c r="D7401" s="3" t="str">
        <f t="shared" si="1286"/>
        <v>12Go Link</v>
      </c>
      <c r="E7401" s="2" t="s">
        <v>4137</v>
      </c>
    </row>
    <row r="7402">
      <c r="A7402" s="2" t="s">
        <v>4391</v>
      </c>
      <c r="B7402" s="2" t="s">
        <v>4353</v>
      </c>
      <c r="C7402" s="2" t="s">
        <v>4800</v>
      </c>
      <c r="D7402" s="3" t="str">
        <f t="shared" si="1286"/>
        <v>12Go Link</v>
      </c>
      <c r="E7402" s="2" t="s">
        <v>4338</v>
      </c>
    </row>
    <row r="7403">
      <c r="A7403" s="2" t="s">
        <v>4391</v>
      </c>
      <c r="B7403" s="2" t="s">
        <v>4353</v>
      </c>
      <c r="C7403" s="2" t="s">
        <v>4800</v>
      </c>
      <c r="D7403" s="3" t="str">
        <f t="shared" si="1286"/>
        <v>12Go Link</v>
      </c>
      <c r="E7403" s="2" t="s">
        <v>4339</v>
      </c>
    </row>
    <row r="7404">
      <c r="A7404" s="2" t="s">
        <v>4391</v>
      </c>
      <c r="B7404" s="2" t="s">
        <v>4353</v>
      </c>
      <c r="C7404" s="2" t="s">
        <v>4800</v>
      </c>
      <c r="D7404" s="3" t="str">
        <f t="shared" si="1286"/>
        <v>12Go Link</v>
      </c>
      <c r="E7404" s="2" t="s">
        <v>4340</v>
      </c>
    </row>
    <row r="7405">
      <c r="A7405" s="2" t="s">
        <v>4391</v>
      </c>
      <c r="B7405" s="2" t="s">
        <v>4357</v>
      </c>
      <c r="C7405" s="2" t="s">
        <v>4801</v>
      </c>
      <c r="D7405" s="3" t="str">
        <f t="shared" ref="D7405:D7410" si="1287">HYPERLINK("https://12go.asia/en/travel/Sidi-Kaouki-Hotel-Transfer/Fes-Airport", "12Go Link")</f>
        <v>12Go Link</v>
      </c>
      <c r="E7405" s="2" t="s">
        <v>4336</v>
      </c>
    </row>
    <row r="7406">
      <c r="A7406" s="2" t="s">
        <v>4391</v>
      </c>
      <c r="B7406" s="2" t="s">
        <v>4357</v>
      </c>
      <c r="C7406" s="2" t="s">
        <v>4801</v>
      </c>
      <c r="D7406" s="3" t="str">
        <f t="shared" si="1287"/>
        <v>12Go Link</v>
      </c>
      <c r="E7406" s="2" t="s">
        <v>4337</v>
      </c>
    </row>
    <row r="7407">
      <c r="A7407" s="2" t="s">
        <v>4391</v>
      </c>
      <c r="B7407" s="2" t="s">
        <v>4357</v>
      </c>
      <c r="C7407" s="2" t="s">
        <v>4801</v>
      </c>
      <c r="D7407" s="3" t="str">
        <f t="shared" si="1287"/>
        <v>12Go Link</v>
      </c>
      <c r="E7407" s="2" t="s">
        <v>4137</v>
      </c>
    </row>
    <row r="7408">
      <c r="A7408" s="2" t="s">
        <v>4391</v>
      </c>
      <c r="B7408" s="2" t="s">
        <v>4357</v>
      </c>
      <c r="C7408" s="2" t="s">
        <v>4801</v>
      </c>
      <c r="D7408" s="3" t="str">
        <f t="shared" si="1287"/>
        <v>12Go Link</v>
      </c>
      <c r="E7408" s="2" t="s">
        <v>4338</v>
      </c>
    </row>
    <row r="7409">
      <c r="A7409" s="2" t="s">
        <v>4391</v>
      </c>
      <c r="B7409" s="2" t="s">
        <v>4357</v>
      </c>
      <c r="C7409" s="2" t="s">
        <v>4801</v>
      </c>
      <c r="D7409" s="3" t="str">
        <f t="shared" si="1287"/>
        <v>12Go Link</v>
      </c>
      <c r="E7409" s="2" t="s">
        <v>4339</v>
      </c>
    </row>
    <row r="7410">
      <c r="A7410" s="2" t="s">
        <v>4391</v>
      </c>
      <c r="B7410" s="2" t="s">
        <v>4357</v>
      </c>
      <c r="C7410" s="2" t="s">
        <v>4801</v>
      </c>
      <c r="D7410" s="3" t="str">
        <f t="shared" si="1287"/>
        <v>12Go Link</v>
      </c>
      <c r="E7410" s="2" t="s">
        <v>4340</v>
      </c>
    </row>
    <row r="7411">
      <c r="A7411" s="2" t="s">
        <v>4391</v>
      </c>
      <c r="B7411" s="2" t="s">
        <v>4372</v>
      </c>
      <c r="C7411" s="2" t="s">
        <v>4802</v>
      </c>
      <c r="D7411" s="3" t="str">
        <f t="shared" ref="D7411:D7416" si="1288">HYPERLINK("https://12go.asia/en/travel/Sidi-Kaouki-Hotel-Transfer/Marrakesh-Menara-Airport", "12Go Link")</f>
        <v>12Go Link</v>
      </c>
      <c r="E7411" s="2" t="s">
        <v>4336</v>
      </c>
    </row>
    <row r="7412">
      <c r="A7412" s="2" t="s">
        <v>4391</v>
      </c>
      <c r="B7412" s="2" t="s">
        <v>4372</v>
      </c>
      <c r="C7412" s="2" t="s">
        <v>4802</v>
      </c>
      <c r="D7412" s="3" t="str">
        <f t="shared" si="1288"/>
        <v>12Go Link</v>
      </c>
      <c r="E7412" s="2" t="s">
        <v>4337</v>
      </c>
    </row>
    <row r="7413">
      <c r="A7413" s="2" t="s">
        <v>4391</v>
      </c>
      <c r="B7413" s="2" t="s">
        <v>4372</v>
      </c>
      <c r="C7413" s="2" t="s">
        <v>4802</v>
      </c>
      <c r="D7413" s="3" t="str">
        <f t="shared" si="1288"/>
        <v>12Go Link</v>
      </c>
      <c r="E7413" s="2" t="s">
        <v>4137</v>
      </c>
    </row>
    <row r="7414">
      <c r="A7414" s="2" t="s">
        <v>4391</v>
      </c>
      <c r="B7414" s="2" t="s">
        <v>4372</v>
      </c>
      <c r="C7414" s="2" t="s">
        <v>4802</v>
      </c>
      <c r="D7414" s="3" t="str">
        <f t="shared" si="1288"/>
        <v>12Go Link</v>
      </c>
      <c r="E7414" s="2" t="s">
        <v>4338</v>
      </c>
    </row>
    <row r="7415">
      <c r="A7415" s="2" t="s">
        <v>4391</v>
      </c>
      <c r="B7415" s="2" t="s">
        <v>4372</v>
      </c>
      <c r="C7415" s="2" t="s">
        <v>4802</v>
      </c>
      <c r="D7415" s="3" t="str">
        <f t="shared" si="1288"/>
        <v>12Go Link</v>
      </c>
      <c r="E7415" s="2" t="s">
        <v>4339</v>
      </c>
    </row>
    <row r="7416">
      <c r="A7416" s="2" t="s">
        <v>4391</v>
      </c>
      <c r="B7416" s="2" t="s">
        <v>4372</v>
      </c>
      <c r="C7416" s="2" t="s">
        <v>4802</v>
      </c>
      <c r="D7416" s="3" t="str">
        <f t="shared" si="1288"/>
        <v>12Go Link</v>
      </c>
      <c r="E7416" s="2" t="s">
        <v>4340</v>
      </c>
    </row>
    <row r="7417">
      <c r="A7417" s="2" t="s">
        <v>4490</v>
      </c>
      <c r="B7417" s="2" t="s">
        <v>4350</v>
      </c>
      <c r="C7417" s="2" t="s">
        <v>4803</v>
      </c>
      <c r="D7417" s="3" t="str">
        <f t="shared" ref="D7417:D7422" si="1289">HYPERLINK("https://12go.asia/en/travel/Sidi-Slimane-Hotel-Transfer/Mohammed-V-International-Airport", "12Go Link")</f>
        <v>12Go Link</v>
      </c>
      <c r="E7417" s="2" t="s">
        <v>4336</v>
      </c>
    </row>
    <row r="7418">
      <c r="A7418" s="2" t="s">
        <v>4490</v>
      </c>
      <c r="B7418" s="2" t="s">
        <v>4350</v>
      </c>
      <c r="C7418" s="2" t="s">
        <v>4803</v>
      </c>
      <c r="D7418" s="3" t="str">
        <f t="shared" si="1289"/>
        <v>12Go Link</v>
      </c>
      <c r="E7418" s="2" t="s">
        <v>4337</v>
      </c>
    </row>
    <row r="7419">
      <c r="A7419" s="2" t="s">
        <v>4490</v>
      </c>
      <c r="B7419" s="2" t="s">
        <v>4350</v>
      </c>
      <c r="C7419" s="2" t="s">
        <v>4803</v>
      </c>
      <c r="D7419" s="3" t="str">
        <f t="shared" si="1289"/>
        <v>12Go Link</v>
      </c>
      <c r="E7419" s="2" t="s">
        <v>4137</v>
      </c>
    </row>
    <row r="7420">
      <c r="A7420" s="2" t="s">
        <v>4490</v>
      </c>
      <c r="B7420" s="2" t="s">
        <v>4350</v>
      </c>
      <c r="C7420" s="2" t="s">
        <v>4803</v>
      </c>
      <c r="D7420" s="3" t="str">
        <f t="shared" si="1289"/>
        <v>12Go Link</v>
      </c>
      <c r="E7420" s="2" t="s">
        <v>4338</v>
      </c>
    </row>
    <row r="7421">
      <c r="A7421" s="2" t="s">
        <v>4490</v>
      </c>
      <c r="B7421" s="2" t="s">
        <v>4350</v>
      </c>
      <c r="C7421" s="2" t="s">
        <v>4803</v>
      </c>
      <c r="D7421" s="3" t="str">
        <f t="shared" si="1289"/>
        <v>12Go Link</v>
      </c>
      <c r="E7421" s="2" t="s">
        <v>4339</v>
      </c>
    </row>
    <row r="7422">
      <c r="A7422" s="2" t="s">
        <v>4490</v>
      </c>
      <c r="B7422" s="2" t="s">
        <v>4350</v>
      </c>
      <c r="C7422" s="2" t="s">
        <v>4803</v>
      </c>
      <c r="D7422" s="3" t="str">
        <f t="shared" si="1289"/>
        <v>12Go Link</v>
      </c>
      <c r="E7422" s="2" t="s">
        <v>4340</v>
      </c>
    </row>
    <row r="7423">
      <c r="A7423" s="2" t="s">
        <v>4492</v>
      </c>
      <c r="B7423" s="2" t="s">
        <v>4350</v>
      </c>
      <c r="C7423" s="2" t="s">
        <v>4804</v>
      </c>
      <c r="D7423" s="3" t="str">
        <f t="shared" ref="D7423:D7428" si="1290">HYPERLINK("https://12go.asia/en/travel/Skhirat-Plage-Hotel-Transfer/Mohammed-V-International-Airport", "12Go Link")</f>
        <v>12Go Link</v>
      </c>
      <c r="E7423" s="2" t="s">
        <v>4336</v>
      </c>
    </row>
    <row r="7424">
      <c r="A7424" s="2" t="s">
        <v>4492</v>
      </c>
      <c r="B7424" s="2" t="s">
        <v>4350</v>
      </c>
      <c r="C7424" s="2" t="s">
        <v>4804</v>
      </c>
      <c r="D7424" s="3" t="str">
        <f t="shared" si="1290"/>
        <v>12Go Link</v>
      </c>
      <c r="E7424" s="2" t="s">
        <v>4337</v>
      </c>
    </row>
    <row r="7425">
      <c r="A7425" s="2" t="s">
        <v>4492</v>
      </c>
      <c r="B7425" s="2" t="s">
        <v>4350</v>
      </c>
      <c r="C7425" s="2" t="s">
        <v>4804</v>
      </c>
      <c r="D7425" s="3" t="str">
        <f t="shared" si="1290"/>
        <v>12Go Link</v>
      </c>
      <c r="E7425" s="2" t="s">
        <v>4137</v>
      </c>
    </row>
    <row r="7426">
      <c r="A7426" s="2" t="s">
        <v>4492</v>
      </c>
      <c r="B7426" s="2" t="s">
        <v>4350</v>
      </c>
      <c r="C7426" s="2" t="s">
        <v>4804</v>
      </c>
      <c r="D7426" s="3" t="str">
        <f t="shared" si="1290"/>
        <v>12Go Link</v>
      </c>
      <c r="E7426" s="2" t="s">
        <v>4338</v>
      </c>
    </row>
    <row r="7427">
      <c r="A7427" s="2" t="s">
        <v>4492</v>
      </c>
      <c r="B7427" s="2" t="s">
        <v>4350</v>
      </c>
      <c r="C7427" s="2" t="s">
        <v>4804</v>
      </c>
      <c r="D7427" s="3" t="str">
        <f t="shared" si="1290"/>
        <v>12Go Link</v>
      </c>
      <c r="E7427" s="2" t="s">
        <v>4339</v>
      </c>
    </row>
    <row r="7428">
      <c r="A7428" s="2" t="s">
        <v>4492</v>
      </c>
      <c r="B7428" s="2" t="s">
        <v>4350</v>
      </c>
      <c r="C7428" s="2" t="s">
        <v>4804</v>
      </c>
      <c r="D7428" s="3" t="str">
        <f t="shared" si="1290"/>
        <v>12Go Link</v>
      </c>
      <c r="E7428" s="2" t="s">
        <v>4340</v>
      </c>
    </row>
    <row r="7429">
      <c r="A7429" s="2" t="s">
        <v>4492</v>
      </c>
      <c r="B7429" s="2" t="s">
        <v>4372</v>
      </c>
      <c r="C7429" s="2" t="s">
        <v>4805</v>
      </c>
      <c r="D7429" s="3" t="str">
        <f t="shared" ref="D7429:D7434" si="1291">HYPERLINK("https://12go.asia/en/travel/Skhirat-Plage-Hotel-Transfer/Marrakesh-Menara-Airport", "12Go Link")</f>
        <v>12Go Link</v>
      </c>
      <c r="E7429" s="2" t="s">
        <v>4336</v>
      </c>
    </row>
    <row r="7430">
      <c r="A7430" s="2" t="s">
        <v>4492</v>
      </c>
      <c r="B7430" s="2" t="s">
        <v>4372</v>
      </c>
      <c r="C7430" s="2" t="s">
        <v>4805</v>
      </c>
      <c r="D7430" s="3" t="str">
        <f t="shared" si="1291"/>
        <v>12Go Link</v>
      </c>
      <c r="E7430" s="2" t="s">
        <v>4337</v>
      </c>
    </row>
    <row r="7431">
      <c r="A7431" s="2" t="s">
        <v>4492</v>
      </c>
      <c r="B7431" s="2" t="s">
        <v>4372</v>
      </c>
      <c r="C7431" s="2" t="s">
        <v>4805</v>
      </c>
      <c r="D7431" s="3" t="str">
        <f t="shared" si="1291"/>
        <v>12Go Link</v>
      </c>
      <c r="E7431" s="2" t="s">
        <v>4137</v>
      </c>
    </row>
    <row r="7432">
      <c r="A7432" s="2" t="s">
        <v>4492</v>
      </c>
      <c r="B7432" s="2" t="s">
        <v>4372</v>
      </c>
      <c r="C7432" s="2" t="s">
        <v>4805</v>
      </c>
      <c r="D7432" s="3" t="str">
        <f t="shared" si="1291"/>
        <v>12Go Link</v>
      </c>
      <c r="E7432" s="2" t="s">
        <v>4338</v>
      </c>
    </row>
    <row r="7433">
      <c r="A7433" s="2" t="s">
        <v>4492</v>
      </c>
      <c r="B7433" s="2" t="s">
        <v>4372</v>
      </c>
      <c r="C7433" s="2" t="s">
        <v>4805</v>
      </c>
      <c r="D7433" s="3" t="str">
        <f t="shared" si="1291"/>
        <v>12Go Link</v>
      </c>
      <c r="E7433" s="2" t="s">
        <v>4339</v>
      </c>
    </row>
    <row r="7434">
      <c r="A7434" s="2" t="s">
        <v>4492</v>
      </c>
      <c r="B7434" s="2" t="s">
        <v>4372</v>
      </c>
      <c r="C7434" s="2" t="s">
        <v>4805</v>
      </c>
      <c r="D7434" s="3" t="str">
        <f t="shared" si="1291"/>
        <v>12Go Link</v>
      </c>
      <c r="E7434" s="2" t="s">
        <v>4340</v>
      </c>
    </row>
    <row r="7435">
      <c r="A7435" s="2" t="s">
        <v>4492</v>
      </c>
      <c r="B7435" s="2" t="s">
        <v>4386</v>
      </c>
      <c r="C7435" s="2" t="s">
        <v>4806</v>
      </c>
      <c r="D7435" s="3" t="str">
        <f t="shared" ref="D7435:D7440" si="1292">HYPERLINK("https://12go.asia/en/travel/Skhirat-Plage-Hotel-Transfer/Rabat-Sale-Airport", "12Go Link")</f>
        <v>12Go Link</v>
      </c>
      <c r="E7435" s="2" t="s">
        <v>4336</v>
      </c>
    </row>
    <row r="7436">
      <c r="A7436" s="2" t="s">
        <v>4492</v>
      </c>
      <c r="B7436" s="2" t="s">
        <v>4386</v>
      </c>
      <c r="C7436" s="2" t="s">
        <v>4806</v>
      </c>
      <c r="D7436" s="3" t="str">
        <f t="shared" si="1292"/>
        <v>12Go Link</v>
      </c>
      <c r="E7436" s="2" t="s">
        <v>4337</v>
      </c>
    </row>
    <row r="7437">
      <c r="A7437" s="2" t="s">
        <v>4492</v>
      </c>
      <c r="B7437" s="2" t="s">
        <v>4386</v>
      </c>
      <c r="C7437" s="2" t="s">
        <v>4806</v>
      </c>
      <c r="D7437" s="3" t="str">
        <f t="shared" si="1292"/>
        <v>12Go Link</v>
      </c>
      <c r="E7437" s="2" t="s">
        <v>4137</v>
      </c>
    </row>
    <row r="7438">
      <c r="A7438" s="2" t="s">
        <v>4492</v>
      </c>
      <c r="B7438" s="2" t="s">
        <v>4386</v>
      </c>
      <c r="C7438" s="2" t="s">
        <v>4806</v>
      </c>
      <c r="D7438" s="3" t="str">
        <f t="shared" si="1292"/>
        <v>12Go Link</v>
      </c>
      <c r="E7438" s="2" t="s">
        <v>4338</v>
      </c>
    </row>
    <row r="7439">
      <c r="A7439" s="2" t="s">
        <v>4492</v>
      </c>
      <c r="B7439" s="2" t="s">
        <v>4386</v>
      </c>
      <c r="C7439" s="2" t="s">
        <v>4806</v>
      </c>
      <c r="D7439" s="3" t="str">
        <f t="shared" si="1292"/>
        <v>12Go Link</v>
      </c>
      <c r="E7439" s="2" t="s">
        <v>4339</v>
      </c>
    </row>
    <row r="7440">
      <c r="A7440" s="2" t="s">
        <v>4492</v>
      </c>
      <c r="B7440" s="2" t="s">
        <v>4386</v>
      </c>
      <c r="C7440" s="2" t="s">
        <v>4806</v>
      </c>
      <c r="D7440" s="3" t="str">
        <f t="shared" si="1292"/>
        <v>12Go Link</v>
      </c>
      <c r="E7440" s="2" t="s">
        <v>4340</v>
      </c>
    </row>
    <row r="7441">
      <c r="A7441" s="2" t="s">
        <v>4699</v>
      </c>
      <c r="B7441" s="2" t="s">
        <v>4372</v>
      </c>
      <c r="C7441" s="2" t="s">
        <v>4807</v>
      </c>
      <c r="D7441" s="3" t="str">
        <f t="shared" ref="D7441:D7446" si="1293">HYPERLINK("https://12go.asia/en/travel/Skoura-Hotel-Transfer/Marrakesh-Menara-Airport", "12Go Link")</f>
        <v>12Go Link</v>
      </c>
      <c r="E7441" s="2" t="s">
        <v>4336</v>
      </c>
    </row>
    <row r="7442">
      <c r="A7442" s="2" t="s">
        <v>4699</v>
      </c>
      <c r="B7442" s="2" t="s">
        <v>4372</v>
      </c>
      <c r="C7442" s="2" t="s">
        <v>4807</v>
      </c>
      <c r="D7442" s="3" t="str">
        <f t="shared" si="1293"/>
        <v>12Go Link</v>
      </c>
      <c r="E7442" s="2" t="s">
        <v>4337</v>
      </c>
    </row>
    <row r="7443">
      <c r="A7443" s="2" t="s">
        <v>4699</v>
      </c>
      <c r="B7443" s="2" t="s">
        <v>4372</v>
      </c>
      <c r="C7443" s="2" t="s">
        <v>4807</v>
      </c>
      <c r="D7443" s="3" t="str">
        <f t="shared" si="1293"/>
        <v>12Go Link</v>
      </c>
      <c r="E7443" s="2" t="s">
        <v>4137</v>
      </c>
    </row>
    <row r="7444">
      <c r="A7444" s="2" t="s">
        <v>4699</v>
      </c>
      <c r="B7444" s="2" t="s">
        <v>4372</v>
      </c>
      <c r="C7444" s="2" t="s">
        <v>4807</v>
      </c>
      <c r="D7444" s="3" t="str">
        <f t="shared" si="1293"/>
        <v>12Go Link</v>
      </c>
      <c r="E7444" s="2" t="s">
        <v>4338</v>
      </c>
    </row>
    <row r="7445">
      <c r="A7445" s="2" t="s">
        <v>4699</v>
      </c>
      <c r="B7445" s="2" t="s">
        <v>4372</v>
      </c>
      <c r="C7445" s="2" t="s">
        <v>4807</v>
      </c>
      <c r="D7445" s="3" t="str">
        <f t="shared" si="1293"/>
        <v>12Go Link</v>
      </c>
      <c r="E7445" s="2" t="s">
        <v>4339</v>
      </c>
    </row>
    <row r="7446">
      <c r="A7446" s="2" t="s">
        <v>4699</v>
      </c>
      <c r="B7446" s="2" t="s">
        <v>4372</v>
      </c>
      <c r="C7446" s="2" t="s">
        <v>4807</v>
      </c>
      <c r="D7446" s="3" t="str">
        <f t="shared" si="1293"/>
        <v>12Go Link</v>
      </c>
      <c r="E7446" s="2" t="s">
        <v>4340</v>
      </c>
    </row>
    <row r="7447">
      <c r="A7447" s="2" t="s">
        <v>4494</v>
      </c>
      <c r="B7447" s="2" t="s">
        <v>4350</v>
      </c>
      <c r="C7447" s="2" t="s">
        <v>4808</v>
      </c>
      <c r="D7447" s="3" t="str">
        <f t="shared" ref="D7447:D7452" si="1294">HYPERLINK("https://12go.asia/en/travel/Souk-Elarbaa-Hotel-Transfer/Mohammed-V-International-Airport", "12Go Link")</f>
        <v>12Go Link</v>
      </c>
      <c r="E7447" s="2" t="s">
        <v>4336</v>
      </c>
    </row>
    <row r="7448">
      <c r="A7448" s="2" t="s">
        <v>4494</v>
      </c>
      <c r="B7448" s="2" t="s">
        <v>4350</v>
      </c>
      <c r="C7448" s="2" t="s">
        <v>4808</v>
      </c>
      <c r="D7448" s="3" t="str">
        <f t="shared" si="1294"/>
        <v>12Go Link</v>
      </c>
      <c r="E7448" s="2" t="s">
        <v>4337</v>
      </c>
    </row>
    <row r="7449">
      <c r="A7449" s="2" t="s">
        <v>4494</v>
      </c>
      <c r="B7449" s="2" t="s">
        <v>4350</v>
      </c>
      <c r="C7449" s="2" t="s">
        <v>4808</v>
      </c>
      <c r="D7449" s="3" t="str">
        <f t="shared" si="1294"/>
        <v>12Go Link</v>
      </c>
      <c r="E7449" s="2" t="s">
        <v>4137</v>
      </c>
    </row>
    <row r="7450">
      <c r="A7450" s="2" t="s">
        <v>4494</v>
      </c>
      <c r="B7450" s="2" t="s">
        <v>4350</v>
      </c>
      <c r="C7450" s="2" t="s">
        <v>4808</v>
      </c>
      <c r="D7450" s="3" t="str">
        <f t="shared" si="1294"/>
        <v>12Go Link</v>
      </c>
      <c r="E7450" s="2" t="s">
        <v>4338</v>
      </c>
    </row>
    <row r="7451">
      <c r="A7451" s="2" t="s">
        <v>4494</v>
      </c>
      <c r="B7451" s="2" t="s">
        <v>4350</v>
      </c>
      <c r="C7451" s="2" t="s">
        <v>4808</v>
      </c>
      <c r="D7451" s="3" t="str">
        <f t="shared" si="1294"/>
        <v>12Go Link</v>
      </c>
      <c r="E7451" s="2" t="s">
        <v>4339</v>
      </c>
    </row>
    <row r="7452">
      <c r="A7452" s="2" t="s">
        <v>4494</v>
      </c>
      <c r="B7452" s="2" t="s">
        <v>4350</v>
      </c>
      <c r="C7452" s="2" t="s">
        <v>4808</v>
      </c>
      <c r="D7452" s="3" t="str">
        <f t="shared" si="1294"/>
        <v>12Go Link</v>
      </c>
      <c r="E7452" s="2" t="s">
        <v>4340</v>
      </c>
    </row>
    <row r="7453">
      <c r="A7453" s="2" t="s">
        <v>4701</v>
      </c>
      <c r="B7453" s="2" t="s">
        <v>4372</v>
      </c>
      <c r="C7453" s="2" t="s">
        <v>4809</v>
      </c>
      <c r="D7453" s="3" t="str">
        <f t="shared" ref="D7453:D7458" si="1295">HYPERLINK("https://12go.asia/en/travel/Srayeri-Hotel-Transfer/Marrakesh-Menara-Airport", "12Go Link")</f>
        <v>12Go Link</v>
      </c>
      <c r="E7453" s="2" t="s">
        <v>4336</v>
      </c>
    </row>
    <row r="7454">
      <c r="A7454" s="2" t="s">
        <v>4701</v>
      </c>
      <c r="B7454" s="2" t="s">
        <v>4372</v>
      </c>
      <c r="C7454" s="2" t="s">
        <v>4809</v>
      </c>
      <c r="D7454" s="3" t="str">
        <f t="shared" si="1295"/>
        <v>12Go Link</v>
      </c>
      <c r="E7454" s="2" t="s">
        <v>4337</v>
      </c>
    </row>
    <row r="7455">
      <c r="A7455" s="2" t="s">
        <v>4701</v>
      </c>
      <c r="B7455" s="2" t="s">
        <v>4372</v>
      </c>
      <c r="C7455" s="2" t="s">
        <v>4809</v>
      </c>
      <c r="D7455" s="3" t="str">
        <f t="shared" si="1295"/>
        <v>12Go Link</v>
      </c>
      <c r="E7455" s="2" t="s">
        <v>4137</v>
      </c>
    </row>
    <row r="7456">
      <c r="A7456" s="2" t="s">
        <v>4701</v>
      </c>
      <c r="B7456" s="2" t="s">
        <v>4372</v>
      </c>
      <c r="C7456" s="2" t="s">
        <v>4809</v>
      </c>
      <c r="D7456" s="3" t="str">
        <f t="shared" si="1295"/>
        <v>12Go Link</v>
      </c>
      <c r="E7456" s="2" t="s">
        <v>4338</v>
      </c>
    </row>
    <row r="7457">
      <c r="A7457" s="2" t="s">
        <v>4701</v>
      </c>
      <c r="B7457" s="2" t="s">
        <v>4372</v>
      </c>
      <c r="C7457" s="2" t="s">
        <v>4809</v>
      </c>
      <c r="D7457" s="3" t="str">
        <f t="shared" si="1295"/>
        <v>12Go Link</v>
      </c>
      <c r="E7457" s="2" t="s">
        <v>4339</v>
      </c>
    </row>
    <row r="7458">
      <c r="A7458" s="2" t="s">
        <v>4701</v>
      </c>
      <c r="B7458" s="2" t="s">
        <v>4372</v>
      </c>
      <c r="C7458" s="2" t="s">
        <v>4809</v>
      </c>
      <c r="D7458" s="3" t="str">
        <f t="shared" si="1295"/>
        <v>12Go Link</v>
      </c>
      <c r="E7458" s="2" t="s">
        <v>4340</v>
      </c>
    </row>
    <row r="7459">
      <c r="A7459" s="2" t="s">
        <v>4393</v>
      </c>
      <c r="B7459" s="2" t="s">
        <v>4334</v>
      </c>
      <c r="C7459" s="2" t="s">
        <v>4810</v>
      </c>
      <c r="D7459" s="3" t="str">
        <f t="shared" ref="D7459:D7464" si="1296">HYPERLINK("https://12go.asia/en/travel/Setti-Fadma-Hotel-Transfer/Agadir-Al-Massira-International-Airport", "12Go Link")</f>
        <v>12Go Link</v>
      </c>
      <c r="E7459" s="2" t="s">
        <v>4336</v>
      </c>
    </row>
    <row r="7460">
      <c r="A7460" s="2" t="s">
        <v>4393</v>
      </c>
      <c r="B7460" s="2" t="s">
        <v>4334</v>
      </c>
      <c r="C7460" s="2" t="s">
        <v>4810</v>
      </c>
      <c r="D7460" s="3" t="str">
        <f t="shared" si="1296"/>
        <v>12Go Link</v>
      </c>
      <c r="E7460" s="2" t="s">
        <v>4337</v>
      </c>
    </row>
    <row r="7461">
      <c r="A7461" s="2" t="s">
        <v>4393</v>
      </c>
      <c r="B7461" s="2" t="s">
        <v>4334</v>
      </c>
      <c r="C7461" s="2" t="s">
        <v>4810</v>
      </c>
      <c r="D7461" s="3" t="str">
        <f t="shared" si="1296"/>
        <v>12Go Link</v>
      </c>
      <c r="E7461" s="2" t="s">
        <v>4137</v>
      </c>
    </row>
    <row r="7462">
      <c r="A7462" s="2" t="s">
        <v>4393</v>
      </c>
      <c r="B7462" s="2" t="s">
        <v>4334</v>
      </c>
      <c r="C7462" s="2" t="s">
        <v>4810</v>
      </c>
      <c r="D7462" s="3" t="str">
        <f t="shared" si="1296"/>
        <v>12Go Link</v>
      </c>
      <c r="E7462" s="2" t="s">
        <v>4338</v>
      </c>
    </row>
    <row r="7463">
      <c r="A7463" s="2" t="s">
        <v>4393</v>
      </c>
      <c r="B7463" s="2" t="s">
        <v>4334</v>
      </c>
      <c r="C7463" s="2" t="s">
        <v>4810</v>
      </c>
      <c r="D7463" s="3" t="str">
        <f t="shared" si="1296"/>
        <v>12Go Link</v>
      </c>
      <c r="E7463" s="2" t="s">
        <v>4339</v>
      </c>
    </row>
    <row r="7464">
      <c r="A7464" s="2" t="s">
        <v>4393</v>
      </c>
      <c r="B7464" s="2" t="s">
        <v>4334</v>
      </c>
      <c r="C7464" s="2" t="s">
        <v>4810</v>
      </c>
      <c r="D7464" s="3" t="str">
        <f t="shared" si="1296"/>
        <v>12Go Link</v>
      </c>
      <c r="E7464" s="2" t="s">
        <v>4340</v>
      </c>
    </row>
    <row r="7465">
      <c r="A7465" s="2" t="s">
        <v>4393</v>
      </c>
      <c r="B7465" s="2" t="s">
        <v>4350</v>
      </c>
      <c r="C7465" s="2" t="s">
        <v>4811</v>
      </c>
      <c r="D7465" s="3" t="str">
        <f t="shared" ref="D7465:D7470" si="1297">HYPERLINK("https://12go.asia/en/travel/Setti-Fadma-Hotel-Transfer/Mohammed-V-International-Airport", "12Go Link")</f>
        <v>12Go Link</v>
      </c>
      <c r="E7465" s="2" t="s">
        <v>4336</v>
      </c>
    </row>
    <row r="7466">
      <c r="A7466" s="2" t="s">
        <v>4393</v>
      </c>
      <c r="B7466" s="2" t="s">
        <v>4350</v>
      </c>
      <c r="C7466" s="2" t="s">
        <v>4811</v>
      </c>
      <c r="D7466" s="3" t="str">
        <f t="shared" si="1297"/>
        <v>12Go Link</v>
      </c>
      <c r="E7466" s="2" t="s">
        <v>4337</v>
      </c>
    </row>
    <row r="7467">
      <c r="A7467" s="2" t="s">
        <v>4393</v>
      </c>
      <c r="B7467" s="2" t="s">
        <v>4350</v>
      </c>
      <c r="C7467" s="2" t="s">
        <v>4811</v>
      </c>
      <c r="D7467" s="3" t="str">
        <f t="shared" si="1297"/>
        <v>12Go Link</v>
      </c>
      <c r="E7467" s="2" t="s">
        <v>4137</v>
      </c>
    </row>
    <row r="7468">
      <c r="A7468" s="2" t="s">
        <v>4393</v>
      </c>
      <c r="B7468" s="2" t="s">
        <v>4350</v>
      </c>
      <c r="C7468" s="2" t="s">
        <v>4811</v>
      </c>
      <c r="D7468" s="3" t="str">
        <f t="shared" si="1297"/>
        <v>12Go Link</v>
      </c>
      <c r="E7468" s="2" t="s">
        <v>4338</v>
      </c>
    </row>
    <row r="7469">
      <c r="A7469" s="2" t="s">
        <v>4393</v>
      </c>
      <c r="B7469" s="2" t="s">
        <v>4350</v>
      </c>
      <c r="C7469" s="2" t="s">
        <v>4811</v>
      </c>
      <c r="D7469" s="3" t="str">
        <f t="shared" si="1297"/>
        <v>12Go Link</v>
      </c>
      <c r="E7469" s="2" t="s">
        <v>4339</v>
      </c>
    </row>
    <row r="7470">
      <c r="A7470" s="2" t="s">
        <v>4393</v>
      </c>
      <c r="B7470" s="2" t="s">
        <v>4350</v>
      </c>
      <c r="C7470" s="2" t="s">
        <v>4811</v>
      </c>
      <c r="D7470" s="3" t="str">
        <f t="shared" si="1297"/>
        <v>12Go Link</v>
      </c>
      <c r="E7470" s="2" t="s">
        <v>4340</v>
      </c>
    </row>
    <row r="7471">
      <c r="A7471" s="2" t="s">
        <v>4393</v>
      </c>
      <c r="B7471" s="2" t="s">
        <v>4357</v>
      </c>
      <c r="C7471" s="2" t="s">
        <v>4812</v>
      </c>
      <c r="D7471" s="3" t="str">
        <f t="shared" ref="D7471:D7476" si="1298">HYPERLINK("https://12go.asia/en/travel/Setti-Fadma-Hotel-Transfer/Fes-Airport", "12Go Link")</f>
        <v>12Go Link</v>
      </c>
      <c r="E7471" s="2" t="s">
        <v>4336</v>
      </c>
    </row>
    <row r="7472">
      <c r="A7472" s="2" t="s">
        <v>4393</v>
      </c>
      <c r="B7472" s="2" t="s">
        <v>4357</v>
      </c>
      <c r="C7472" s="2" t="s">
        <v>4812</v>
      </c>
      <c r="D7472" s="3" t="str">
        <f t="shared" si="1298"/>
        <v>12Go Link</v>
      </c>
      <c r="E7472" s="2" t="s">
        <v>4337</v>
      </c>
    </row>
    <row r="7473">
      <c r="A7473" s="2" t="s">
        <v>4393</v>
      </c>
      <c r="B7473" s="2" t="s">
        <v>4357</v>
      </c>
      <c r="C7473" s="2" t="s">
        <v>4812</v>
      </c>
      <c r="D7473" s="3" t="str">
        <f t="shared" si="1298"/>
        <v>12Go Link</v>
      </c>
      <c r="E7473" s="2" t="s">
        <v>4137</v>
      </c>
    </row>
    <row r="7474">
      <c r="A7474" s="2" t="s">
        <v>4393</v>
      </c>
      <c r="B7474" s="2" t="s">
        <v>4357</v>
      </c>
      <c r="C7474" s="2" t="s">
        <v>4812</v>
      </c>
      <c r="D7474" s="3" t="str">
        <f t="shared" si="1298"/>
        <v>12Go Link</v>
      </c>
      <c r="E7474" s="2" t="s">
        <v>4338</v>
      </c>
    </row>
    <row r="7475">
      <c r="A7475" s="2" t="s">
        <v>4393</v>
      </c>
      <c r="B7475" s="2" t="s">
        <v>4357</v>
      </c>
      <c r="C7475" s="2" t="s">
        <v>4812</v>
      </c>
      <c r="D7475" s="3" t="str">
        <f t="shared" si="1298"/>
        <v>12Go Link</v>
      </c>
      <c r="E7475" s="2" t="s">
        <v>4339</v>
      </c>
    </row>
    <row r="7476">
      <c r="A7476" s="2" t="s">
        <v>4393</v>
      </c>
      <c r="B7476" s="2" t="s">
        <v>4357</v>
      </c>
      <c r="C7476" s="2" t="s">
        <v>4812</v>
      </c>
      <c r="D7476" s="3" t="str">
        <f t="shared" si="1298"/>
        <v>12Go Link</v>
      </c>
      <c r="E7476" s="2" t="s">
        <v>4340</v>
      </c>
    </row>
    <row r="7477">
      <c r="A7477" s="2" t="s">
        <v>4393</v>
      </c>
      <c r="B7477" s="2" t="s">
        <v>4372</v>
      </c>
      <c r="C7477" s="2" t="s">
        <v>4813</v>
      </c>
      <c r="D7477" s="3" t="str">
        <f t="shared" ref="D7477:D7482" si="1299">HYPERLINK("https://12go.asia/en/travel/Setti-Fadma-Hotel-Transfer/Marrakesh-Menara-Airport", "12Go Link")</f>
        <v>12Go Link</v>
      </c>
      <c r="E7477" s="2" t="s">
        <v>4336</v>
      </c>
    </row>
    <row r="7478">
      <c r="A7478" s="2" t="s">
        <v>4393</v>
      </c>
      <c r="B7478" s="2" t="s">
        <v>4372</v>
      </c>
      <c r="C7478" s="2" t="s">
        <v>4813</v>
      </c>
      <c r="D7478" s="3" t="str">
        <f t="shared" si="1299"/>
        <v>12Go Link</v>
      </c>
      <c r="E7478" s="2" t="s">
        <v>4337</v>
      </c>
    </row>
    <row r="7479">
      <c r="A7479" s="2" t="s">
        <v>4393</v>
      </c>
      <c r="B7479" s="2" t="s">
        <v>4372</v>
      </c>
      <c r="C7479" s="2" t="s">
        <v>4813</v>
      </c>
      <c r="D7479" s="3" t="str">
        <f t="shared" si="1299"/>
        <v>12Go Link</v>
      </c>
      <c r="E7479" s="2" t="s">
        <v>4137</v>
      </c>
    </row>
    <row r="7480">
      <c r="A7480" s="2" t="s">
        <v>4393</v>
      </c>
      <c r="B7480" s="2" t="s">
        <v>4372</v>
      </c>
      <c r="C7480" s="2" t="s">
        <v>4813</v>
      </c>
      <c r="D7480" s="3" t="str">
        <f t="shared" si="1299"/>
        <v>12Go Link</v>
      </c>
      <c r="E7480" s="2" t="s">
        <v>4338</v>
      </c>
    </row>
    <row r="7481">
      <c r="A7481" s="2" t="s">
        <v>4393</v>
      </c>
      <c r="B7481" s="2" t="s">
        <v>4372</v>
      </c>
      <c r="C7481" s="2" t="s">
        <v>4813</v>
      </c>
      <c r="D7481" s="3" t="str">
        <f t="shared" si="1299"/>
        <v>12Go Link</v>
      </c>
      <c r="E7481" s="2" t="s">
        <v>4339</v>
      </c>
    </row>
    <row r="7482">
      <c r="A7482" s="2" t="s">
        <v>4393</v>
      </c>
      <c r="B7482" s="2" t="s">
        <v>4372</v>
      </c>
      <c r="C7482" s="2" t="s">
        <v>4813</v>
      </c>
      <c r="D7482" s="3" t="str">
        <f t="shared" si="1299"/>
        <v>12Go Link</v>
      </c>
      <c r="E7482" s="2" t="s">
        <v>4340</v>
      </c>
    </row>
    <row r="7483">
      <c r="A7483" s="2" t="s">
        <v>4395</v>
      </c>
      <c r="B7483" s="2" t="s">
        <v>4334</v>
      </c>
      <c r="C7483" s="2" t="s">
        <v>4814</v>
      </c>
      <c r="D7483" s="3" t="str">
        <f t="shared" ref="D7483:D7488" si="1300">HYPERLINK("https://12go.asia/en/travel/Tafraoute-Hotel-Transfer/Agadir-Al-Massira-International-Airport", "12Go Link")</f>
        <v>12Go Link</v>
      </c>
      <c r="E7483" s="2" t="s">
        <v>4336</v>
      </c>
    </row>
    <row r="7484">
      <c r="A7484" s="2" t="s">
        <v>4395</v>
      </c>
      <c r="B7484" s="2" t="s">
        <v>4334</v>
      </c>
      <c r="C7484" s="2" t="s">
        <v>4814</v>
      </c>
      <c r="D7484" s="3" t="str">
        <f t="shared" si="1300"/>
        <v>12Go Link</v>
      </c>
      <c r="E7484" s="2" t="s">
        <v>4337</v>
      </c>
    </row>
    <row r="7485">
      <c r="A7485" s="2" t="s">
        <v>4395</v>
      </c>
      <c r="B7485" s="2" t="s">
        <v>4334</v>
      </c>
      <c r="C7485" s="2" t="s">
        <v>4814</v>
      </c>
      <c r="D7485" s="3" t="str">
        <f t="shared" si="1300"/>
        <v>12Go Link</v>
      </c>
      <c r="E7485" s="2" t="s">
        <v>4137</v>
      </c>
    </row>
    <row r="7486">
      <c r="A7486" s="2" t="s">
        <v>4395</v>
      </c>
      <c r="B7486" s="2" t="s">
        <v>4334</v>
      </c>
      <c r="C7486" s="2" t="s">
        <v>4814</v>
      </c>
      <c r="D7486" s="3" t="str">
        <f t="shared" si="1300"/>
        <v>12Go Link</v>
      </c>
      <c r="E7486" s="2" t="s">
        <v>4338</v>
      </c>
    </row>
    <row r="7487">
      <c r="A7487" s="2" t="s">
        <v>4395</v>
      </c>
      <c r="B7487" s="2" t="s">
        <v>4334</v>
      </c>
      <c r="C7487" s="2" t="s">
        <v>4814</v>
      </c>
      <c r="D7487" s="3" t="str">
        <f t="shared" si="1300"/>
        <v>12Go Link</v>
      </c>
      <c r="E7487" s="2" t="s">
        <v>4339</v>
      </c>
    </row>
    <row r="7488">
      <c r="A7488" s="2" t="s">
        <v>4395</v>
      </c>
      <c r="B7488" s="2" t="s">
        <v>4334</v>
      </c>
      <c r="C7488" s="2" t="s">
        <v>4814</v>
      </c>
      <c r="D7488" s="3" t="str">
        <f t="shared" si="1300"/>
        <v>12Go Link</v>
      </c>
      <c r="E7488" s="2" t="s">
        <v>4340</v>
      </c>
    </row>
    <row r="7489">
      <c r="A7489" s="2" t="s">
        <v>4397</v>
      </c>
      <c r="B7489" s="2" t="s">
        <v>4334</v>
      </c>
      <c r="C7489" s="2" t="s">
        <v>4815</v>
      </c>
      <c r="D7489" s="3" t="str">
        <f t="shared" ref="D7489:D7494" si="1301">HYPERLINK("https://12go.asia/en/travel/Taghazout-Hotel-Transfer/Agadir-Al-Massira-International-Airport", "12Go Link")</f>
        <v>12Go Link</v>
      </c>
      <c r="E7489" s="2" t="s">
        <v>4336</v>
      </c>
    </row>
    <row r="7490">
      <c r="A7490" s="2" t="s">
        <v>4397</v>
      </c>
      <c r="B7490" s="2" t="s">
        <v>4334</v>
      </c>
      <c r="C7490" s="2" t="s">
        <v>4815</v>
      </c>
      <c r="D7490" s="3" t="str">
        <f t="shared" si="1301"/>
        <v>12Go Link</v>
      </c>
      <c r="E7490" s="2" t="s">
        <v>4337</v>
      </c>
    </row>
    <row r="7491">
      <c r="A7491" s="2" t="s">
        <v>4397</v>
      </c>
      <c r="B7491" s="2" t="s">
        <v>4334</v>
      </c>
      <c r="C7491" s="2" t="s">
        <v>4815</v>
      </c>
      <c r="D7491" s="3" t="str">
        <f t="shared" si="1301"/>
        <v>12Go Link</v>
      </c>
      <c r="E7491" s="2" t="s">
        <v>4137</v>
      </c>
    </row>
    <row r="7492">
      <c r="A7492" s="2" t="s">
        <v>4397</v>
      </c>
      <c r="B7492" s="2" t="s">
        <v>4334</v>
      </c>
      <c r="C7492" s="2" t="s">
        <v>4815</v>
      </c>
      <c r="D7492" s="3" t="str">
        <f t="shared" si="1301"/>
        <v>12Go Link</v>
      </c>
      <c r="E7492" s="2" t="s">
        <v>4338</v>
      </c>
    </row>
    <row r="7493">
      <c r="A7493" s="2" t="s">
        <v>4397</v>
      </c>
      <c r="B7493" s="2" t="s">
        <v>4334</v>
      </c>
      <c r="C7493" s="2" t="s">
        <v>4815</v>
      </c>
      <c r="D7493" s="3" t="str">
        <f t="shared" si="1301"/>
        <v>12Go Link</v>
      </c>
      <c r="E7493" s="2" t="s">
        <v>4339</v>
      </c>
    </row>
    <row r="7494">
      <c r="A7494" s="2" t="s">
        <v>4397</v>
      </c>
      <c r="B7494" s="2" t="s">
        <v>4334</v>
      </c>
      <c r="C7494" s="2" t="s">
        <v>4815</v>
      </c>
      <c r="D7494" s="3" t="str">
        <f t="shared" si="1301"/>
        <v>12Go Link</v>
      </c>
      <c r="E7494" s="2" t="s">
        <v>4340</v>
      </c>
    </row>
    <row r="7495">
      <c r="A7495" s="2" t="s">
        <v>4397</v>
      </c>
      <c r="B7495" s="2" t="s">
        <v>4353</v>
      </c>
      <c r="C7495" s="2" t="s">
        <v>4816</v>
      </c>
      <c r="D7495" s="3" t="str">
        <f t="shared" ref="D7495:D7500" si="1302">HYPERLINK("https://12go.asia/en/travel/Taghazout-Hotel-Transfer/Essaouira-Mogador-Airport", "12Go Link")</f>
        <v>12Go Link</v>
      </c>
      <c r="E7495" s="2" t="s">
        <v>4336</v>
      </c>
    </row>
    <row r="7496">
      <c r="A7496" s="2" t="s">
        <v>4397</v>
      </c>
      <c r="B7496" s="2" t="s">
        <v>4353</v>
      </c>
      <c r="C7496" s="2" t="s">
        <v>4816</v>
      </c>
      <c r="D7496" s="3" t="str">
        <f t="shared" si="1302"/>
        <v>12Go Link</v>
      </c>
      <c r="E7496" s="2" t="s">
        <v>4337</v>
      </c>
    </row>
    <row r="7497">
      <c r="A7497" s="2" t="s">
        <v>4397</v>
      </c>
      <c r="B7497" s="2" t="s">
        <v>4353</v>
      </c>
      <c r="C7497" s="2" t="s">
        <v>4816</v>
      </c>
      <c r="D7497" s="3" t="str">
        <f t="shared" si="1302"/>
        <v>12Go Link</v>
      </c>
      <c r="E7497" s="2" t="s">
        <v>4137</v>
      </c>
    </row>
    <row r="7498">
      <c r="A7498" s="2" t="s">
        <v>4397</v>
      </c>
      <c r="B7498" s="2" t="s">
        <v>4353</v>
      </c>
      <c r="C7498" s="2" t="s">
        <v>4816</v>
      </c>
      <c r="D7498" s="3" t="str">
        <f t="shared" si="1302"/>
        <v>12Go Link</v>
      </c>
      <c r="E7498" s="2" t="s">
        <v>4338</v>
      </c>
    </row>
    <row r="7499">
      <c r="A7499" s="2" t="s">
        <v>4397</v>
      </c>
      <c r="B7499" s="2" t="s">
        <v>4353</v>
      </c>
      <c r="C7499" s="2" t="s">
        <v>4816</v>
      </c>
      <c r="D7499" s="3" t="str">
        <f t="shared" si="1302"/>
        <v>12Go Link</v>
      </c>
      <c r="E7499" s="2" t="s">
        <v>4339</v>
      </c>
    </row>
    <row r="7500">
      <c r="A7500" s="2" t="s">
        <v>4397</v>
      </c>
      <c r="B7500" s="2" t="s">
        <v>4353</v>
      </c>
      <c r="C7500" s="2" t="s">
        <v>4816</v>
      </c>
      <c r="D7500" s="3" t="str">
        <f t="shared" si="1302"/>
        <v>12Go Link</v>
      </c>
      <c r="E7500" s="2" t="s">
        <v>4340</v>
      </c>
    </row>
    <row r="7501">
      <c r="A7501" s="2" t="s">
        <v>4397</v>
      </c>
      <c r="B7501" s="2" t="s">
        <v>4357</v>
      </c>
      <c r="C7501" s="2" t="s">
        <v>4817</v>
      </c>
      <c r="D7501" s="3" t="str">
        <f t="shared" ref="D7501:D7506" si="1303">HYPERLINK("https://12go.asia/en/travel/Taghazout-Hotel-Transfer/Fes-Airport", "12Go Link")</f>
        <v>12Go Link</v>
      </c>
      <c r="E7501" s="2" t="s">
        <v>4336</v>
      </c>
    </row>
    <row r="7502">
      <c r="A7502" s="2" t="s">
        <v>4397</v>
      </c>
      <c r="B7502" s="2" t="s">
        <v>4357</v>
      </c>
      <c r="C7502" s="2" t="s">
        <v>4817</v>
      </c>
      <c r="D7502" s="3" t="str">
        <f t="shared" si="1303"/>
        <v>12Go Link</v>
      </c>
      <c r="E7502" s="2" t="s">
        <v>4337</v>
      </c>
    </row>
    <row r="7503">
      <c r="A7503" s="2" t="s">
        <v>4397</v>
      </c>
      <c r="B7503" s="2" t="s">
        <v>4357</v>
      </c>
      <c r="C7503" s="2" t="s">
        <v>4817</v>
      </c>
      <c r="D7503" s="3" t="str">
        <f t="shared" si="1303"/>
        <v>12Go Link</v>
      </c>
      <c r="E7503" s="2" t="s">
        <v>4137</v>
      </c>
    </row>
    <row r="7504">
      <c r="A7504" s="2" t="s">
        <v>4397</v>
      </c>
      <c r="B7504" s="2" t="s">
        <v>4357</v>
      </c>
      <c r="C7504" s="2" t="s">
        <v>4817</v>
      </c>
      <c r="D7504" s="3" t="str">
        <f t="shared" si="1303"/>
        <v>12Go Link</v>
      </c>
      <c r="E7504" s="2" t="s">
        <v>4338</v>
      </c>
    </row>
    <row r="7505">
      <c r="A7505" s="2" t="s">
        <v>4397</v>
      </c>
      <c r="B7505" s="2" t="s">
        <v>4357</v>
      </c>
      <c r="C7505" s="2" t="s">
        <v>4817</v>
      </c>
      <c r="D7505" s="3" t="str">
        <f t="shared" si="1303"/>
        <v>12Go Link</v>
      </c>
      <c r="E7505" s="2" t="s">
        <v>4339</v>
      </c>
    </row>
    <row r="7506">
      <c r="A7506" s="2" t="s">
        <v>4397</v>
      </c>
      <c r="B7506" s="2" t="s">
        <v>4357</v>
      </c>
      <c r="C7506" s="2" t="s">
        <v>4817</v>
      </c>
      <c r="D7506" s="3" t="str">
        <f t="shared" si="1303"/>
        <v>12Go Link</v>
      </c>
      <c r="E7506" s="2" t="s">
        <v>4340</v>
      </c>
    </row>
    <row r="7507">
      <c r="A7507" s="2" t="s">
        <v>4397</v>
      </c>
      <c r="B7507" s="2" t="s">
        <v>4372</v>
      </c>
      <c r="C7507" s="2" t="s">
        <v>4818</v>
      </c>
      <c r="D7507" s="3" t="str">
        <f t="shared" ref="D7507:D7512" si="1304">HYPERLINK("https://12go.asia/en/travel/Taghazout-Hotel-Transfer/Marrakesh-Menara-Airport", "12Go Link")</f>
        <v>12Go Link</v>
      </c>
      <c r="E7507" s="2" t="s">
        <v>4336</v>
      </c>
    </row>
    <row r="7508">
      <c r="A7508" s="2" t="s">
        <v>4397</v>
      </c>
      <c r="B7508" s="2" t="s">
        <v>4372</v>
      </c>
      <c r="C7508" s="2" t="s">
        <v>4818</v>
      </c>
      <c r="D7508" s="3" t="str">
        <f t="shared" si="1304"/>
        <v>12Go Link</v>
      </c>
      <c r="E7508" s="2" t="s">
        <v>4337</v>
      </c>
    </row>
    <row r="7509">
      <c r="A7509" s="2" t="s">
        <v>4397</v>
      </c>
      <c r="B7509" s="2" t="s">
        <v>4372</v>
      </c>
      <c r="C7509" s="2" t="s">
        <v>4818</v>
      </c>
      <c r="D7509" s="3" t="str">
        <f t="shared" si="1304"/>
        <v>12Go Link</v>
      </c>
      <c r="E7509" s="2" t="s">
        <v>4137</v>
      </c>
    </row>
    <row r="7510">
      <c r="A7510" s="2" t="s">
        <v>4397</v>
      </c>
      <c r="B7510" s="2" t="s">
        <v>4372</v>
      </c>
      <c r="C7510" s="2" t="s">
        <v>4818</v>
      </c>
      <c r="D7510" s="3" t="str">
        <f t="shared" si="1304"/>
        <v>12Go Link</v>
      </c>
      <c r="E7510" s="2" t="s">
        <v>4338</v>
      </c>
    </row>
    <row r="7511">
      <c r="A7511" s="2" t="s">
        <v>4397</v>
      </c>
      <c r="B7511" s="2" t="s">
        <v>4372</v>
      </c>
      <c r="C7511" s="2" t="s">
        <v>4818</v>
      </c>
      <c r="D7511" s="3" t="str">
        <f t="shared" si="1304"/>
        <v>12Go Link</v>
      </c>
      <c r="E7511" s="2" t="s">
        <v>4339</v>
      </c>
    </row>
    <row r="7512">
      <c r="A7512" s="2" t="s">
        <v>4397</v>
      </c>
      <c r="B7512" s="2" t="s">
        <v>4372</v>
      </c>
      <c r="C7512" s="2" t="s">
        <v>4818</v>
      </c>
      <c r="D7512" s="3" t="str">
        <f t="shared" si="1304"/>
        <v>12Go Link</v>
      </c>
      <c r="E7512" s="2" t="s">
        <v>4340</v>
      </c>
    </row>
    <row r="7513">
      <c r="A7513" s="2" t="s">
        <v>4705</v>
      </c>
      <c r="B7513" s="2" t="s">
        <v>4372</v>
      </c>
      <c r="C7513" s="2" t="s">
        <v>4819</v>
      </c>
      <c r="D7513" s="3" t="str">
        <f t="shared" ref="D7513:D7518" si="1305">HYPERLINK("https://12go.asia/en/travel/Tahannaout-Hotel-Transfer/Marrakesh-Menara-Airport", "12Go Link")</f>
        <v>12Go Link</v>
      </c>
      <c r="E7513" s="2" t="s">
        <v>4336</v>
      </c>
    </row>
    <row r="7514">
      <c r="A7514" s="2" t="s">
        <v>4705</v>
      </c>
      <c r="B7514" s="2" t="s">
        <v>4372</v>
      </c>
      <c r="C7514" s="2" t="s">
        <v>4819</v>
      </c>
      <c r="D7514" s="3" t="str">
        <f t="shared" si="1305"/>
        <v>12Go Link</v>
      </c>
      <c r="E7514" s="2" t="s">
        <v>4337</v>
      </c>
    </row>
    <row r="7515">
      <c r="A7515" s="2" t="s">
        <v>4705</v>
      </c>
      <c r="B7515" s="2" t="s">
        <v>4372</v>
      </c>
      <c r="C7515" s="2" t="s">
        <v>4819</v>
      </c>
      <c r="D7515" s="3" t="str">
        <f t="shared" si="1305"/>
        <v>12Go Link</v>
      </c>
      <c r="E7515" s="2" t="s">
        <v>4137</v>
      </c>
    </row>
    <row r="7516">
      <c r="A7516" s="2" t="s">
        <v>4705</v>
      </c>
      <c r="B7516" s="2" t="s">
        <v>4372</v>
      </c>
      <c r="C7516" s="2" t="s">
        <v>4819</v>
      </c>
      <c r="D7516" s="3" t="str">
        <f t="shared" si="1305"/>
        <v>12Go Link</v>
      </c>
      <c r="E7516" s="2" t="s">
        <v>4338</v>
      </c>
    </row>
    <row r="7517">
      <c r="A7517" s="2" t="s">
        <v>4705</v>
      </c>
      <c r="B7517" s="2" t="s">
        <v>4372</v>
      </c>
      <c r="C7517" s="2" t="s">
        <v>4819</v>
      </c>
      <c r="D7517" s="3" t="str">
        <f t="shared" si="1305"/>
        <v>12Go Link</v>
      </c>
      <c r="E7517" s="2" t="s">
        <v>4339</v>
      </c>
    </row>
    <row r="7518">
      <c r="A7518" s="2" t="s">
        <v>4705</v>
      </c>
      <c r="B7518" s="2" t="s">
        <v>4372</v>
      </c>
      <c r="C7518" s="2" t="s">
        <v>4819</v>
      </c>
      <c r="D7518" s="3" t="str">
        <f t="shared" si="1305"/>
        <v>12Go Link</v>
      </c>
      <c r="E7518" s="2" t="s">
        <v>4340</v>
      </c>
    </row>
    <row r="7519">
      <c r="A7519" s="2" t="s">
        <v>4399</v>
      </c>
      <c r="B7519" s="2" t="s">
        <v>4334</v>
      </c>
      <c r="C7519" s="2" t="s">
        <v>4820</v>
      </c>
      <c r="D7519" s="3" t="str">
        <f t="shared" ref="D7519:D7524" si="1306">HYPERLINK("https://12go.asia/en/travel/Tamraght-Hotel-Transfer/Agadir-Al-Massira-International-Airport", "12Go Link")</f>
        <v>12Go Link</v>
      </c>
      <c r="E7519" s="2" t="s">
        <v>4336</v>
      </c>
    </row>
    <row r="7520">
      <c r="A7520" s="2" t="s">
        <v>4399</v>
      </c>
      <c r="B7520" s="2" t="s">
        <v>4334</v>
      </c>
      <c r="C7520" s="2" t="s">
        <v>4820</v>
      </c>
      <c r="D7520" s="3" t="str">
        <f t="shared" si="1306"/>
        <v>12Go Link</v>
      </c>
      <c r="E7520" s="2" t="s">
        <v>4337</v>
      </c>
    </row>
    <row r="7521">
      <c r="A7521" s="2" t="s">
        <v>4399</v>
      </c>
      <c r="B7521" s="2" t="s">
        <v>4334</v>
      </c>
      <c r="C7521" s="2" t="s">
        <v>4820</v>
      </c>
      <c r="D7521" s="3" t="str">
        <f t="shared" si="1306"/>
        <v>12Go Link</v>
      </c>
      <c r="E7521" s="2" t="s">
        <v>4137</v>
      </c>
    </row>
    <row r="7522">
      <c r="A7522" s="2" t="s">
        <v>4399</v>
      </c>
      <c r="B7522" s="2" t="s">
        <v>4334</v>
      </c>
      <c r="C7522" s="2" t="s">
        <v>4820</v>
      </c>
      <c r="D7522" s="3" t="str">
        <f t="shared" si="1306"/>
        <v>12Go Link</v>
      </c>
      <c r="E7522" s="2" t="s">
        <v>4338</v>
      </c>
    </row>
    <row r="7523">
      <c r="A7523" s="2" t="s">
        <v>4399</v>
      </c>
      <c r="B7523" s="2" t="s">
        <v>4334</v>
      </c>
      <c r="C7523" s="2" t="s">
        <v>4820</v>
      </c>
      <c r="D7523" s="3" t="str">
        <f t="shared" si="1306"/>
        <v>12Go Link</v>
      </c>
      <c r="E7523" s="2" t="s">
        <v>4339</v>
      </c>
    </row>
    <row r="7524">
      <c r="A7524" s="2" t="s">
        <v>4399</v>
      </c>
      <c r="B7524" s="2" t="s">
        <v>4334</v>
      </c>
      <c r="C7524" s="2" t="s">
        <v>4820</v>
      </c>
      <c r="D7524" s="3" t="str">
        <f t="shared" si="1306"/>
        <v>12Go Link</v>
      </c>
      <c r="E7524" s="2" t="s">
        <v>4340</v>
      </c>
    </row>
    <row r="7525">
      <c r="A7525" s="2" t="s">
        <v>4399</v>
      </c>
      <c r="B7525" s="2" t="s">
        <v>4353</v>
      </c>
      <c r="C7525" s="2" t="s">
        <v>4821</v>
      </c>
      <c r="D7525" s="3" t="str">
        <f t="shared" ref="D7525:D7530" si="1307">HYPERLINK("https://12go.asia/en/travel/Tamraght-Hotel-Transfer/Essaouira-Mogador-Airport", "12Go Link")</f>
        <v>12Go Link</v>
      </c>
      <c r="E7525" s="2" t="s">
        <v>4336</v>
      </c>
    </row>
    <row r="7526">
      <c r="A7526" s="2" t="s">
        <v>4399</v>
      </c>
      <c r="B7526" s="2" t="s">
        <v>4353</v>
      </c>
      <c r="C7526" s="2" t="s">
        <v>4821</v>
      </c>
      <c r="D7526" s="3" t="str">
        <f t="shared" si="1307"/>
        <v>12Go Link</v>
      </c>
      <c r="E7526" s="2" t="s">
        <v>4337</v>
      </c>
    </row>
    <row r="7527">
      <c r="A7527" s="2" t="s">
        <v>4399</v>
      </c>
      <c r="B7527" s="2" t="s">
        <v>4353</v>
      </c>
      <c r="C7527" s="2" t="s">
        <v>4821</v>
      </c>
      <c r="D7527" s="3" t="str">
        <f t="shared" si="1307"/>
        <v>12Go Link</v>
      </c>
      <c r="E7527" s="2" t="s">
        <v>4137</v>
      </c>
    </row>
    <row r="7528">
      <c r="A7528" s="2" t="s">
        <v>4399</v>
      </c>
      <c r="B7528" s="2" t="s">
        <v>4353</v>
      </c>
      <c r="C7528" s="2" t="s">
        <v>4821</v>
      </c>
      <c r="D7528" s="3" t="str">
        <f t="shared" si="1307"/>
        <v>12Go Link</v>
      </c>
      <c r="E7528" s="2" t="s">
        <v>4338</v>
      </c>
    </row>
    <row r="7529">
      <c r="A7529" s="2" t="s">
        <v>4399</v>
      </c>
      <c r="B7529" s="2" t="s">
        <v>4353</v>
      </c>
      <c r="C7529" s="2" t="s">
        <v>4821</v>
      </c>
      <c r="D7529" s="3" t="str">
        <f t="shared" si="1307"/>
        <v>12Go Link</v>
      </c>
      <c r="E7529" s="2" t="s">
        <v>4339</v>
      </c>
    </row>
    <row r="7530">
      <c r="A7530" s="2" t="s">
        <v>4399</v>
      </c>
      <c r="B7530" s="2" t="s">
        <v>4353</v>
      </c>
      <c r="C7530" s="2" t="s">
        <v>4821</v>
      </c>
      <c r="D7530" s="3" t="str">
        <f t="shared" si="1307"/>
        <v>12Go Link</v>
      </c>
      <c r="E7530" s="2" t="s">
        <v>4340</v>
      </c>
    </row>
    <row r="7531">
      <c r="A7531" s="2" t="s">
        <v>4399</v>
      </c>
      <c r="B7531" s="2" t="s">
        <v>4357</v>
      </c>
      <c r="C7531" s="2" t="s">
        <v>4822</v>
      </c>
      <c r="D7531" s="3" t="str">
        <f t="shared" ref="D7531:D7536" si="1308">HYPERLINK("https://12go.asia/en/travel/Tamraght-Hotel-Transfer/Fes-Airport", "12Go Link")</f>
        <v>12Go Link</v>
      </c>
      <c r="E7531" s="2" t="s">
        <v>4336</v>
      </c>
    </row>
    <row r="7532">
      <c r="A7532" s="2" t="s">
        <v>4399</v>
      </c>
      <c r="B7532" s="2" t="s">
        <v>4357</v>
      </c>
      <c r="C7532" s="2" t="s">
        <v>4822</v>
      </c>
      <c r="D7532" s="3" t="str">
        <f t="shared" si="1308"/>
        <v>12Go Link</v>
      </c>
      <c r="E7532" s="2" t="s">
        <v>4337</v>
      </c>
    </row>
    <row r="7533">
      <c r="A7533" s="2" t="s">
        <v>4399</v>
      </c>
      <c r="B7533" s="2" t="s">
        <v>4357</v>
      </c>
      <c r="C7533" s="2" t="s">
        <v>4822</v>
      </c>
      <c r="D7533" s="3" t="str">
        <f t="shared" si="1308"/>
        <v>12Go Link</v>
      </c>
      <c r="E7533" s="2" t="s">
        <v>4137</v>
      </c>
    </row>
    <row r="7534">
      <c r="A7534" s="2" t="s">
        <v>4399</v>
      </c>
      <c r="B7534" s="2" t="s">
        <v>4357</v>
      </c>
      <c r="C7534" s="2" t="s">
        <v>4822</v>
      </c>
      <c r="D7534" s="3" t="str">
        <f t="shared" si="1308"/>
        <v>12Go Link</v>
      </c>
      <c r="E7534" s="2" t="s">
        <v>4338</v>
      </c>
    </row>
    <row r="7535">
      <c r="A7535" s="2" t="s">
        <v>4399</v>
      </c>
      <c r="B7535" s="2" t="s">
        <v>4357</v>
      </c>
      <c r="C7535" s="2" t="s">
        <v>4822</v>
      </c>
      <c r="D7535" s="3" t="str">
        <f t="shared" si="1308"/>
        <v>12Go Link</v>
      </c>
      <c r="E7535" s="2" t="s">
        <v>4339</v>
      </c>
    </row>
    <row r="7536">
      <c r="A7536" s="2" t="s">
        <v>4399</v>
      </c>
      <c r="B7536" s="2" t="s">
        <v>4357</v>
      </c>
      <c r="C7536" s="2" t="s">
        <v>4822</v>
      </c>
      <c r="D7536" s="3" t="str">
        <f t="shared" si="1308"/>
        <v>12Go Link</v>
      </c>
      <c r="E7536" s="2" t="s">
        <v>4340</v>
      </c>
    </row>
    <row r="7537">
      <c r="A7537" s="2" t="s">
        <v>4401</v>
      </c>
      <c r="B7537" s="2" t="s">
        <v>4334</v>
      </c>
      <c r="C7537" s="2" t="s">
        <v>4823</v>
      </c>
      <c r="D7537" s="3" t="str">
        <f t="shared" ref="D7537:D7542" si="1309">HYPERLINK("https://12go.asia/en/travel/Paradis-Plage/Agadir-Al-Massira-International-Airport", "12Go Link")</f>
        <v>12Go Link</v>
      </c>
      <c r="E7537" s="2" t="s">
        <v>4336</v>
      </c>
    </row>
    <row r="7538">
      <c r="A7538" s="2" t="s">
        <v>4401</v>
      </c>
      <c r="B7538" s="2" t="s">
        <v>4334</v>
      </c>
      <c r="C7538" s="2" t="s">
        <v>4823</v>
      </c>
      <c r="D7538" s="3" t="str">
        <f t="shared" si="1309"/>
        <v>12Go Link</v>
      </c>
      <c r="E7538" s="2" t="s">
        <v>4337</v>
      </c>
    </row>
    <row r="7539">
      <c r="A7539" s="2" t="s">
        <v>4401</v>
      </c>
      <c r="B7539" s="2" t="s">
        <v>4334</v>
      </c>
      <c r="C7539" s="2" t="s">
        <v>4823</v>
      </c>
      <c r="D7539" s="3" t="str">
        <f t="shared" si="1309"/>
        <v>12Go Link</v>
      </c>
      <c r="E7539" s="2" t="s">
        <v>4137</v>
      </c>
    </row>
    <row r="7540">
      <c r="A7540" s="2" t="s">
        <v>4401</v>
      </c>
      <c r="B7540" s="2" t="s">
        <v>4334</v>
      </c>
      <c r="C7540" s="2" t="s">
        <v>4823</v>
      </c>
      <c r="D7540" s="3" t="str">
        <f t="shared" si="1309"/>
        <v>12Go Link</v>
      </c>
      <c r="E7540" s="2" t="s">
        <v>4338</v>
      </c>
    </row>
    <row r="7541">
      <c r="A7541" s="2" t="s">
        <v>4401</v>
      </c>
      <c r="B7541" s="2" t="s">
        <v>4334</v>
      </c>
      <c r="C7541" s="2" t="s">
        <v>4823</v>
      </c>
      <c r="D7541" s="3" t="str">
        <f t="shared" si="1309"/>
        <v>12Go Link</v>
      </c>
      <c r="E7541" s="2" t="s">
        <v>4339</v>
      </c>
    </row>
    <row r="7542">
      <c r="A7542" s="2" t="s">
        <v>4401</v>
      </c>
      <c r="B7542" s="2" t="s">
        <v>4334</v>
      </c>
      <c r="C7542" s="2" t="s">
        <v>4823</v>
      </c>
      <c r="D7542" s="3" t="str">
        <f t="shared" si="1309"/>
        <v>12Go Link</v>
      </c>
      <c r="E7542" s="2" t="s">
        <v>4340</v>
      </c>
    </row>
    <row r="7543">
      <c r="A7543" s="2" t="s">
        <v>4401</v>
      </c>
      <c r="B7543" s="2" t="s">
        <v>4353</v>
      </c>
      <c r="C7543" s="2" t="s">
        <v>4824</v>
      </c>
      <c r="D7543" s="3" t="str">
        <f t="shared" ref="D7543:D7548" si="1310">HYPERLINK("https://12go.asia/en/travel/Paradis-Plage/Essaouira-Mogador-Airport", "12Go Link")</f>
        <v>12Go Link</v>
      </c>
      <c r="E7543" s="2" t="s">
        <v>4336</v>
      </c>
    </row>
    <row r="7544">
      <c r="A7544" s="2" t="s">
        <v>4401</v>
      </c>
      <c r="B7544" s="2" t="s">
        <v>4353</v>
      </c>
      <c r="C7544" s="2" t="s">
        <v>4824</v>
      </c>
      <c r="D7544" s="3" t="str">
        <f t="shared" si="1310"/>
        <v>12Go Link</v>
      </c>
      <c r="E7544" s="2" t="s">
        <v>4337</v>
      </c>
    </row>
    <row r="7545">
      <c r="A7545" s="2" t="s">
        <v>4401</v>
      </c>
      <c r="B7545" s="2" t="s">
        <v>4353</v>
      </c>
      <c r="C7545" s="2" t="s">
        <v>4824</v>
      </c>
      <c r="D7545" s="3" t="str">
        <f t="shared" si="1310"/>
        <v>12Go Link</v>
      </c>
      <c r="E7545" s="2" t="s">
        <v>4137</v>
      </c>
    </row>
    <row r="7546">
      <c r="A7546" s="2" t="s">
        <v>4401</v>
      </c>
      <c r="B7546" s="2" t="s">
        <v>4353</v>
      </c>
      <c r="C7546" s="2" t="s">
        <v>4824</v>
      </c>
      <c r="D7546" s="3" t="str">
        <f t="shared" si="1310"/>
        <v>12Go Link</v>
      </c>
      <c r="E7546" s="2" t="s">
        <v>4338</v>
      </c>
    </row>
    <row r="7547">
      <c r="A7547" s="2" t="s">
        <v>4401</v>
      </c>
      <c r="B7547" s="2" t="s">
        <v>4353</v>
      </c>
      <c r="C7547" s="2" t="s">
        <v>4824</v>
      </c>
      <c r="D7547" s="3" t="str">
        <f t="shared" si="1310"/>
        <v>12Go Link</v>
      </c>
      <c r="E7547" s="2" t="s">
        <v>4339</v>
      </c>
    </row>
    <row r="7548">
      <c r="A7548" s="2" t="s">
        <v>4401</v>
      </c>
      <c r="B7548" s="2" t="s">
        <v>4353</v>
      </c>
      <c r="C7548" s="2" t="s">
        <v>4824</v>
      </c>
      <c r="D7548" s="3" t="str">
        <f t="shared" si="1310"/>
        <v>12Go Link</v>
      </c>
      <c r="E7548" s="2" t="s">
        <v>4340</v>
      </c>
    </row>
    <row r="7549">
      <c r="A7549" s="2" t="s">
        <v>4401</v>
      </c>
      <c r="B7549" s="2" t="s">
        <v>4357</v>
      </c>
      <c r="C7549" s="2" t="s">
        <v>4825</v>
      </c>
      <c r="D7549" s="3" t="str">
        <f t="shared" ref="D7549:D7554" si="1311">HYPERLINK("https://12go.asia/en/travel/Paradis-Plage/Fes-Airport", "12Go Link")</f>
        <v>12Go Link</v>
      </c>
      <c r="E7549" s="2" t="s">
        <v>4336</v>
      </c>
    </row>
    <row r="7550">
      <c r="A7550" s="2" t="s">
        <v>4401</v>
      </c>
      <c r="B7550" s="2" t="s">
        <v>4357</v>
      </c>
      <c r="C7550" s="2" t="s">
        <v>4825</v>
      </c>
      <c r="D7550" s="3" t="str">
        <f t="shared" si="1311"/>
        <v>12Go Link</v>
      </c>
      <c r="E7550" s="2" t="s">
        <v>4337</v>
      </c>
    </row>
    <row r="7551">
      <c r="A7551" s="2" t="s">
        <v>4401</v>
      </c>
      <c r="B7551" s="2" t="s">
        <v>4357</v>
      </c>
      <c r="C7551" s="2" t="s">
        <v>4825</v>
      </c>
      <c r="D7551" s="3" t="str">
        <f t="shared" si="1311"/>
        <v>12Go Link</v>
      </c>
      <c r="E7551" s="2" t="s">
        <v>4137</v>
      </c>
    </row>
    <row r="7552">
      <c r="A7552" s="2" t="s">
        <v>4401</v>
      </c>
      <c r="B7552" s="2" t="s">
        <v>4357</v>
      </c>
      <c r="C7552" s="2" t="s">
        <v>4825</v>
      </c>
      <c r="D7552" s="3" t="str">
        <f t="shared" si="1311"/>
        <v>12Go Link</v>
      </c>
      <c r="E7552" s="2" t="s">
        <v>4338</v>
      </c>
    </row>
    <row r="7553">
      <c r="A7553" s="2" t="s">
        <v>4401</v>
      </c>
      <c r="B7553" s="2" t="s">
        <v>4357</v>
      </c>
      <c r="C7553" s="2" t="s">
        <v>4825</v>
      </c>
      <c r="D7553" s="3" t="str">
        <f t="shared" si="1311"/>
        <v>12Go Link</v>
      </c>
      <c r="E7553" s="2" t="s">
        <v>4339</v>
      </c>
    </row>
    <row r="7554">
      <c r="A7554" s="2" t="s">
        <v>4401</v>
      </c>
      <c r="B7554" s="2" t="s">
        <v>4357</v>
      </c>
      <c r="C7554" s="2" t="s">
        <v>4825</v>
      </c>
      <c r="D7554" s="3" t="str">
        <f t="shared" si="1311"/>
        <v>12Go Link</v>
      </c>
      <c r="E7554" s="2" t="s">
        <v>4340</v>
      </c>
    </row>
    <row r="7555">
      <c r="A7555" s="2" t="s">
        <v>4403</v>
      </c>
      <c r="B7555" s="2" t="s">
        <v>4334</v>
      </c>
      <c r="C7555" s="2" t="s">
        <v>4826</v>
      </c>
      <c r="D7555" s="3" t="str">
        <f t="shared" ref="D7555:D7560" si="1312">HYPERLINK("https://12go.asia/en/travel/Immouzzer-Hotel-Transfer/Agadir-Al-Massira-International-Airport", "12Go Link")</f>
        <v>12Go Link</v>
      </c>
      <c r="E7555" s="2" t="s">
        <v>4336</v>
      </c>
    </row>
    <row r="7556">
      <c r="A7556" s="2" t="s">
        <v>4403</v>
      </c>
      <c r="B7556" s="2" t="s">
        <v>4334</v>
      </c>
      <c r="C7556" s="2" t="s">
        <v>4826</v>
      </c>
      <c r="D7556" s="3" t="str">
        <f t="shared" si="1312"/>
        <v>12Go Link</v>
      </c>
      <c r="E7556" s="2" t="s">
        <v>4337</v>
      </c>
    </row>
    <row r="7557">
      <c r="A7557" s="2" t="s">
        <v>4403</v>
      </c>
      <c r="B7557" s="2" t="s">
        <v>4334</v>
      </c>
      <c r="C7557" s="2" t="s">
        <v>4826</v>
      </c>
      <c r="D7557" s="3" t="str">
        <f t="shared" si="1312"/>
        <v>12Go Link</v>
      </c>
      <c r="E7557" s="2" t="s">
        <v>4137</v>
      </c>
    </row>
    <row r="7558">
      <c r="A7558" s="2" t="s">
        <v>4403</v>
      </c>
      <c r="B7558" s="2" t="s">
        <v>4334</v>
      </c>
      <c r="C7558" s="2" t="s">
        <v>4826</v>
      </c>
      <c r="D7558" s="3" t="str">
        <f t="shared" si="1312"/>
        <v>12Go Link</v>
      </c>
      <c r="E7558" s="2" t="s">
        <v>4338</v>
      </c>
    </row>
    <row r="7559">
      <c r="A7559" s="2" t="s">
        <v>4403</v>
      </c>
      <c r="B7559" s="2" t="s">
        <v>4334</v>
      </c>
      <c r="C7559" s="2" t="s">
        <v>4826</v>
      </c>
      <c r="D7559" s="3" t="str">
        <f t="shared" si="1312"/>
        <v>12Go Link</v>
      </c>
      <c r="E7559" s="2" t="s">
        <v>4339</v>
      </c>
    </row>
    <row r="7560">
      <c r="A7560" s="2" t="s">
        <v>4403</v>
      </c>
      <c r="B7560" s="2" t="s">
        <v>4334</v>
      </c>
      <c r="C7560" s="2" t="s">
        <v>4826</v>
      </c>
      <c r="D7560" s="3" t="str">
        <f t="shared" si="1312"/>
        <v>12Go Link</v>
      </c>
      <c r="E7560" s="2" t="s">
        <v>4340</v>
      </c>
    </row>
    <row r="7561">
      <c r="A7561" s="2" t="s">
        <v>4403</v>
      </c>
      <c r="B7561" s="2" t="s">
        <v>4418</v>
      </c>
      <c r="C7561" s="2" t="s">
        <v>4827</v>
      </c>
      <c r="D7561" s="3" t="str">
        <f t="shared" ref="D7561:D7566" si="1313">HYPERLINK("https://12go.asia/en/travel/Tanger-Ibn-Battouta-Airport/Asilah-Hotel-Transfer", "12Go Link")</f>
        <v>12Go Link</v>
      </c>
      <c r="E7561" s="2" t="s">
        <v>4336</v>
      </c>
    </row>
    <row r="7562">
      <c r="A7562" s="2" t="s">
        <v>4403</v>
      </c>
      <c r="B7562" s="2" t="s">
        <v>4418</v>
      </c>
      <c r="C7562" s="2" t="s">
        <v>4827</v>
      </c>
      <c r="D7562" s="3" t="str">
        <f t="shared" si="1313"/>
        <v>12Go Link</v>
      </c>
      <c r="E7562" s="2" t="s">
        <v>4337</v>
      </c>
    </row>
    <row r="7563">
      <c r="A7563" s="2" t="s">
        <v>4403</v>
      </c>
      <c r="B7563" s="2" t="s">
        <v>4418</v>
      </c>
      <c r="C7563" s="2" t="s">
        <v>4827</v>
      </c>
      <c r="D7563" s="3" t="str">
        <f t="shared" si="1313"/>
        <v>12Go Link</v>
      </c>
      <c r="E7563" s="2" t="s">
        <v>4137</v>
      </c>
    </row>
    <row r="7564">
      <c r="A7564" s="2" t="s">
        <v>4403</v>
      </c>
      <c r="B7564" s="2" t="s">
        <v>4418</v>
      </c>
      <c r="C7564" s="2" t="s">
        <v>4827</v>
      </c>
      <c r="D7564" s="3" t="str">
        <f t="shared" si="1313"/>
        <v>12Go Link</v>
      </c>
      <c r="E7564" s="2" t="s">
        <v>4338</v>
      </c>
    </row>
    <row r="7565">
      <c r="A7565" s="2" t="s">
        <v>4403</v>
      </c>
      <c r="B7565" s="2" t="s">
        <v>4418</v>
      </c>
      <c r="C7565" s="2" t="s">
        <v>4827</v>
      </c>
      <c r="D7565" s="3" t="str">
        <f t="shared" si="1313"/>
        <v>12Go Link</v>
      </c>
      <c r="E7565" s="2" t="s">
        <v>4339</v>
      </c>
    </row>
    <row r="7566">
      <c r="A7566" s="2" t="s">
        <v>4403</v>
      </c>
      <c r="B7566" s="2" t="s">
        <v>4418</v>
      </c>
      <c r="C7566" s="2" t="s">
        <v>4827</v>
      </c>
      <c r="D7566" s="3" t="str">
        <f t="shared" si="1313"/>
        <v>12Go Link</v>
      </c>
      <c r="E7566" s="2" t="s">
        <v>4340</v>
      </c>
    </row>
    <row r="7567">
      <c r="A7567" s="2" t="s">
        <v>4403</v>
      </c>
      <c r="B7567" s="2" t="s">
        <v>4418</v>
      </c>
      <c r="C7567" s="2" t="s">
        <v>4828</v>
      </c>
      <c r="D7567" s="3" t="str">
        <f t="shared" ref="D7567:D7572" si="1314">HYPERLINK("https://12go.asia/en/travel/Tanger-Ibn-Battouta-Airport/Hotel-Asilah", "12Go Link")</f>
        <v>12Go Link</v>
      </c>
      <c r="E7567" s="2" t="s">
        <v>4336</v>
      </c>
    </row>
    <row r="7568">
      <c r="A7568" s="2" t="s">
        <v>4403</v>
      </c>
      <c r="B7568" s="2" t="s">
        <v>4418</v>
      </c>
      <c r="C7568" s="2" t="s">
        <v>4828</v>
      </c>
      <c r="D7568" s="3" t="str">
        <f t="shared" si="1314"/>
        <v>12Go Link</v>
      </c>
      <c r="E7568" s="2" t="s">
        <v>4337</v>
      </c>
    </row>
    <row r="7569">
      <c r="A7569" s="2" t="s">
        <v>4403</v>
      </c>
      <c r="B7569" s="2" t="s">
        <v>4418</v>
      </c>
      <c r="C7569" s="2" t="s">
        <v>4828</v>
      </c>
      <c r="D7569" s="3" t="str">
        <f t="shared" si="1314"/>
        <v>12Go Link</v>
      </c>
      <c r="E7569" s="2" t="s">
        <v>4137</v>
      </c>
    </row>
    <row r="7570">
      <c r="A7570" s="2" t="s">
        <v>4403</v>
      </c>
      <c r="B7570" s="2" t="s">
        <v>4418</v>
      </c>
      <c r="C7570" s="2" t="s">
        <v>4828</v>
      </c>
      <c r="D7570" s="3" t="str">
        <f t="shared" si="1314"/>
        <v>12Go Link</v>
      </c>
      <c r="E7570" s="2" t="s">
        <v>4338</v>
      </c>
    </row>
    <row r="7571">
      <c r="A7571" s="2" t="s">
        <v>4403</v>
      </c>
      <c r="B7571" s="2" t="s">
        <v>4418</v>
      </c>
      <c r="C7571" s="2" t="s">
        <v>4828</v>
      </c>
      <c r="D7571" s="3" t="str">
        <f t="shared" si="1314"/>
        <v>12Go Link</v>
      </c>
      <c r="E7571" s="2" t="s">
        <v>4339</v>
      </c>
    </row>
    <row r="7572">
      <c r="A7572" s="2" t="s">
        <v>4403</v>
      </c>
      <c r="B7572" s="2" t="s">
        <v>4418</v>
      </c>
      <c r="C7572" s="2" t="s">
        <v>4828</v>
      </c>
      <c r="D7572" s="3" t="str">
        <f t="shared" si="1314"/>
        <v>12Go Link</v>
      </c>
      <c r="E7572" s="2" t="s">
        <v>4340</v>
      </c>
    </row>
    <row r="7573">
      <c r="A7573" s="2" t="s">
        <v>4403</v>
      </c>
      <c r="B7573" s="2" t="s">
        <v>4350</v>
      </c>
      <c r="C7573" s="2" t="s">
        <v>4829</v>
      </c>
      <c r="D7573" s="3" t="str">
        <f t="shared" ref="D7573:D7578" si="1315">HYPERLINK("https://12go.asia/en/travel/Tangier-Hotel-Transfer/Mohammed-V-International-Airport", "12Go Link")</f>
        <v>12Go Link</v>
      </c>
      <c r="E7573" s="2" t="s">
        <v>4336</v>
      </c>
    </row>
    <row r="7574">
      <c r="A7574" s="2" t="s">
        <v>4403</v>
      </c>
      <c r="B7574" s="2" t="s">
        <v>4350</v>
      </c>
      <c r="C7574" s="2" t="s">
        <v>4829</v>
      </c>
      <c r="D7574" s="3" t="str">
        <f t="shared" si="1315"/>
        <v>12Go Link</v>
      </c>
      <c r="E7574" s="2" t="s">
        <v>4337</v>
      </c>
    </row>
    <row r="7575">
      <c r="A7575" s="2" t="s">
        <v>4403</v>
      </c>
      <c r="B7575" s="2" t="s">
        <v>4350</v>
      </c>
      <c r="C7575" s="2" t="s">
        <v>4829</v>
      </c>
      <c r="D7575" s="3" t="str">
        <f t="shared" si="1315"/>
        <v>12Go Link</v>
      </c>
      <c r="E7575" s="2" t="s">
        <v>4137</v>
      </c>
    </row>
    <row r="7576">
      <c r="A7576" s="2" t="s">
        <v>4403</v>
      </c>
      <c r="B7576" s="2" t="s">
        <v>4350</v>
      </c>
      <c r="C7576" s="2" t="s">
        <v>4829</v>
      </c>
      <c r="D7576" s="3" t="str">
        <f t="shared" si="1315"/>
        <v>12Go Link</v>
      </c>
      <c r="E7576" s="2" t="s">
        <v>4338</v>
      </c>
    </row>
    <row r="7577">
      <c r="A7577" s="2" t="s">
        <v>4403</v>
      </c>
      <c r="B7577" s="2" t="s">
        <v>4350</v>
      </c>
      <c r="C7577" s="2" t="s">
        <v>4829</v>
      </c>
      <c r="D7577" s="3" t="str">
        <f t="shared" si="1315"/>
        <v>12Go Link</v>
      </c>
      <c r="E7577" s="2" t="s">
        <v>4339</v>
      </c>
    </row>
    <row r="7578">
      <c r="A7578" s="2" t="s">
        <v>4403</v>
      </c>
      <c r="B7578" s="2" t="s">
        <v>4350</v>
      </c>
      <c r="C7578" s="2" t="s">
        <v>4829</v>
      </c>
      <c r="D7578" s="3" t="str">
        <f t="shared" si="1315"/>
        <v>12Go Link</v>
      </c>
      <c r="E7578" s="2" t="s">
        <v>4340</v>
      </c>
    </row>
    <row r="7579">
      <c r="A7579" s="2" t="s">
        <v>4403</v>
      </c>
      <c r="B7579" s="2" t="s">
        <v>4450</v>
      </c>
      <c r="C7579" s="2" t="s">
        <v>4830</v>
      </c>
      <c r="D7579" s="3" t="str">
        <f t="shared" ref="D7579:D7584" si="1316">HYPERLINK("https://12go.asia/en/travel/Tanger-Ibn-Battouta-Airport/Chefchaouen-Hotel-Transfer", "12Go Link")</f>
        <v>12Go Link</v>
      </c>
      <c r="E7579" s="2" t="s">
        <v>4336</v>
      </c>
    </row>
    <row r="7580">
      <c r="A7580" s="2" t="s">
        <v>4403</v>
      </c>
      <c r="B7580" s="2" t="s">
        <v>4450</v>
      </c>
      <c r="C7580" s="2" t="s">
        <v>4830</v>
      </c>
      <c r="D7580" s="3" t="str">
        <f t="shared" si="1316"/>
        <v>12Go Link</v>
      </c>
      <c r="E7580" s="2" t="s">
        <v>4337</v>
      </c>
    </row>
    <row r="7581">
      <c r="A7581" s="2" t="s">
        <v>4403</v>
      </c>
      <c r="B7581" s="2" t="s">
        <v>4450</v>
      </c>
      <c r="C7581" s="2" t="s">
        <v>4830</v>
      </c>
      <c r="D7581" s="3" t="str">
        <f t="shared" si="1316"/>
        <v>12Go Link</v>
      </c>
      <c r="E7581" s="2" t="s">
        <v>4137</v>
      </c>
    </row>
    <row r="7582">
      <c r="A7582" s="2" t="s">
        <v>4403</v>
      </c>
      <c r="B7582" s="2" t="s">
        <v>4450</v>
      </c>
      <c r="C7582" s="2" t="s">
        <v>4830</v>
      </c>
      <c r="D7582" s="3" t="str">
        <f t="shared" si="1316"/>
        <v>12Go Link</v>
      </c>
      <c r="E7582" s="2" t="s">
        <v>4338</v>
      </c>
    </row>
    <row r="7583">
      <c r="A7583" s="2" t="s">
        <v>4403</v>
      </c>
      <c r="B7583" s="2" t="s">
        <v>4450</v>
      </c>
      <c r="C7583" s="2" t="s">
        <v>4830</v>
      </c>
      <c r="D7583" s="3" t="str">
        <f t="shared" si="1316"/>
        <v>12Go Link</v>
      </c>
      <c r="E7583" s="2" t="s">
        <v>4339</v>
      </c>
    </row>
    <row r="7584">
      <c r="A7584" s="2" t="s">
        <v>4403</v>
      </c>
      <c r="B7584" s="2" t="s">
        <v>4450</v>
      </c>
      <c r="C7584" s="2" t="s">
        <v>4830</v>
      </c>
      <c r="D7584" s="3" t="str">
        <f t="shared" si="1316"/>
        <v>12Go Link</v>
      </c>
      <c r="E7584" s="2" t="s">
        <v>4340</v>
      </c>
    </row>
    <row r="7585">
      <c r="A7585" s="2" t="s">
        <v>4403</v>
      </c>
      <c r="B7585" s="2" t="s">
        <v>4353</v>
      </c>
      <c r="C7585" s="2" t="s">
        <v>4831</v>
      </c>
      <c r="D7585" s="3" t="str">
        <f t="shared" ref="D7585:D7590" si="1317">HYPERLINK("https://12go.asia/en/travel/Immouzzer-Hotel-Transfer/Essaouira-Mogador-Airport", "12Go Link")</f>
        <v>12Go Link</v>
      </c>
      <c r="E7585" s="2" t="s">
        <v>4336</v>
      </c>
    </row>
    <row r="7586">
      <c r="A7586" s="2" t="s">
        <v>4403</v>
      </c>
      <c r="B7586" s="2" t="s">
        <v>4353</v>
      </c>
      <c r="C7586" s="2" t="s">
        <v>4831</v>
      </c>
      <c r="D7586" s="3" t="str">
        <f t="shared" si="1317"/>
        <v>12Go Link</v>
      </c>
      <c r="E7586" s="2" t="s">
        <v>4337</v>
      </c>
    </row>
    <row r="7587">
      <c r="A7587" s="2" t="s">
        <v>4403</v>
      </c>
      <c r="B7587" s="2" t="s">
        <v>4353</v>
      </c>
      <c r="C7587" s="2" t="s">
        <v>4831</v>
      </c>
      <c r="D7587" s="3" t="str">
        <f t="shared" si="1317"/>
        <v>12Go Link</v>
      </c>
      <c r="E7587" s="2" t="s">
        <v>4137</v>
      </c>
    </row>
    <row r="7588">
      <c r="A7588" s="2" t="s">
        <v>4403</v>
      </c>
      <c r="B7588" s="2" t="s">
        <v>4353</v>
      </c>
      <c r="C7588" s="2" t="s">
        <v>4831</v>
      </c>
      <c r="D7588" s="3" t="str">
        <f t="shared" si="1317"/>
        <v>12Go Link</v>
      </c>
      <c r="E7588" s="2" t="s">
        <v>4338</v>
      </c>
    </row>
    <row r="7589">
      <c r="A7589" s="2" t="s">
        <v>4403</v>
      </c>
      <c r="B7589" s="2" t="s">
        <v>4353</v>
      </c>
      <c r="C7589" s="2" t="s">
        <v>4831</v>
      </c>
      <c r="D7589" s="3" t="str">
        <f t="shared" si="1317"/>
        <v>12Go Link</v>
      </c>
      <c r="E7589" s="2" t="s">
        <v>4339</v>
      </c>
    </row>
    <row r="7590">
      <c r="A7590" s="2" t="s">
        <v>4403</v>
      </c>
      <c r="B7590" s="2" t="s">
        <v>4353</v>
      </c>
      <c r="C7590" s="2" t="s">
        <v>4831</v>
      </c>
      <c r="D7590" s="3" t="str">
        <f t="shared" si="1317"/>
        <v>12Go Link</v>
      </c>
      <c r="E7590" s="2" t="s">
        <v>4340</v>
      </c>
    </row>
    <row r="7591">
      <c r="A7591" s="2" t="s">
        <v>4403</v>
      </c>
      <c r="B7591" s="2" t="s">
        <v>4357</v>
      </c>
      <c r="C7591" s="2" t="s">
        <v>4832</v>
      </c>
      <c r="D7591" s="3" t="str">
        <f t="shared" ref="D7591:D7596" si="1318">HYPERLINK("https://12go.asia/en/travel/Immouzzer-Hotel-Transfer/Fes-Airport", "12Go Link")</f>
        <v>12Go Link</v>
      </c>
      <c r="E7591" s="2" t="s">
        <v>4336</v>
      </c>
    </row>
    <row r="7592">
      <c r="A7592" s="2" t="s">
        <v>4403</v>
      </c>
      <c r="B7592" s="2" t="s">
        <v>4357</v>
      </c>
      <c r="C7592" s="2" t="s">
        <v>4832</v>
      </c>
      <c r="D7592" s="3" t="str">
        <f t="shared" si="1318"/>
        <v>12Go Link</v>
      </c>
      <c r="E7592" s="2" t="s">
        <v>4337</v>
      </c>
    </row>
    <row r="7593">
      <c r="A7593" s="2" t="s">
        <v>4403</v>
      </c>
      <c r="B7593" s="2" t="s">
        <v>4357</v>
      </c>
      <c r="C7593" s="2" t="s">
        <v>4832</v>
      </c>
      <c r="D7593" s="3" t="str">
        <f t="shared" si="1318"/>
        <v>12Go Link</v>
      </c>
      <c r="E7593" s="2" t="s">
        <v>4137</v>
      </c>
    </row>
    <row r="7594">
      <c r="A7594" s="2" t="s">
        <v>4403</v>
      </c>
      <c r="B7594" s="2" t="s">
        <v>4357</v>
      </c>
      <c r="C7594" s="2" t="s">
        <v>4832</v>
      </c>
      <c r="D7594" s="3" t="str">
        <f t="shared" si="1318"/>
        <v>12Go Link</v>
      </c>
      <c r="E7594" s="2" t="s">
        <v>4338</v>
      </c>
    </row>
    <row r="7595">
      <c r="A7595" s="2" t="s">
        <v>4403</v>
      </c>
      <c r="B7595" s="2" t="s">
        <v>4357</v>
      </c>
      <c r="C7595" s="2" t="s">
        <v>4832</v>
      </c>
      <c r="D7595" s="3" t="str">
        <f t="shared" si="1318"/>
        <v>12Go Link</v>
      </c>
      <c r="E7595" s="2" t="s">
        <v>4339</v>
      </c>
    </row>
    <row r="7596">
      <c r="A7596" s="2" t="s">
        <v>4403</v>
      </c>
      <c r="B7596" s="2" t="s">
        <v>4357</v>
      </c>
      <c r="C7596" s="2" t="s">
        <v>4832</v>
      </c>
      <c r="D7596" s="3" t="str">
        <f t="shared" si="1318"/>
        <v>12Go Link</v>
      </c>
      <c r="E7596" s="2" t="s">
        <v>4340</v>
      </c>
    </row>
    <row r="7597">
      <c r="A7597" s="2" t="s">
        <v>4403</v>
      </c>
      <c r="B7597" s="2" t="s">
        <v>4357</v>
      </c>
      <c r="C7597" s="2" t="s">
        <v>4833</v>
      </c>
      <c r="D7597" s="3" t="str">
        <f t="shared" ref="D7597:D7602" si="1319">HYPERLINK("https://12go.asia/en/travel/Tanger-Ibn-Battouta-Airport/Fes-Hotel-Transfer", "12Go Link")</f>
        <v>12Go Link</v>
      </c>
      <c r="E7597" s="2" t="s">
        <v>4336</v>
      </c>
    </row>
    <row r="7598">
      <c r="A7598" s="2" t="s">
        <v>4403</v>
      </c>
      <c r="B7598" s="2" t="s">
        <v>4357</v>
      </c>
      <c r="C7598" s="2" t="s">
        <v>4833</v>
      </c>
      <c r="D7598" s="3" t="str">
        <f t="shared" si="1319"/>
        <v>12Go Link</v>
      </c>
      <c r="E7598" s="2" t="s">
        <v>4337</v>
      </c>
    </row>
    <row r="7599">
      <c r="A7599" s="2" t="s">
        <v>4403</v>
      </c>
      <c r="B7599" s="2" t="s">
        <v>4357</v>
      </c>
      <c r="C7599" s="2" t="s">
        <v>4833</v>
      </c>
      <c r="D7599" s="3" t="str">
        <f t="shared" si="1319"/>
        <v>12Go Link</v>
      </c>
      <c r="E7599" s="2" t="s">
        <v>4137</v>
      </c>
    </row>
    <row r="7600">
      <c r="A7600" s="2" t="s">
        <v>4403</v>
      </c>
      <c r="B7600" s="2" t="s">
        <v>4357</v>
      </c>
      <c r="C7600" s="2" t="s">
        <v>4833</v>
      </c>
      <c r="D7600" s="3" t="str">
        <f t="shared" si="1319"/>
        <v>12Go Link</v>
      </c>
      <c r="E7600" s="2" t="s">
        <v>4338</v>
      </c>
    </row>
    <row r="7601">
      <c r="A7601" s="2" t="s">
        <v>4403</v>
      </c>
      <c r="B7601" s="2" t="s">
        <v>4357</v>
      </c>
      <c r="C7601" s="2" t="s">
        <v>4833</v>
      </c>
      <c r="D7601" s="3" t="str">
        <f t="shared" si="1319"/>
        <v>12Go Link</v>
      </c>
      <c r="E7601" s="2" t="s">
        <v>4339</v>
      </c>
    </row>
    <row r="7602">
      <c r="A7602" s="2" t="s">
        <v>4403</v>
      </c>
      <c r="B7602" s="2" t="s">
        <v>4357</v>
      </c>
      <c r="C7602" s="2" t="s">
        <v>4833</v>
      </c>
      <c r="D7602" s="3" t="str">
        <f t="shared" si="1319"/>
        <v>12Go Link</v>
      </c>
      <c r="E7602" s="2" t="s">
        <v>4340</v>
      </c>
    </row>
    <row r="7603">
      <c r="A7603" s="2" t="s">
        <v>4403</v>
      </c>
      <c r="B7603" s="2" t="s">
        <v>4357</v>
      </c>
      <c r="C7603" s="2" t="s">
        <v>4834</v>
      </c>
      <c r="D7603" s="3" t="str">
        <f t="shared" ref="D7603:D7608" si="1320">HYPERLINK("https://12go.asia/en/travel/Tangier-Hotel-Transfer/Fes-Airport", "12Go Link")</f>
        <v>12Go Link</v>
      </c>
      <c r="E7603" s="2" t="s">
        <v>4336</v>
      </c>
    </row>
    <row r="7604">
      <c r="A7604" s="2" t="s">
        <v>4403</v>
      </c>
      <c r="B7604" s="2" t="s">
        <v>4357</v>
      </c>
      <c r="C7604" s="2" t="s">
        <v>4834</v>
      </c>
      <c r="D7604" s="3" t="str">
        <f t="shared" si="1320"/>
        <v>12Go Link</v>
      </c>
      <c r="E7604" s="2" t="s">
        <v>4337</v>
      </c>
    </row>
    <row r="7605">
      <c r="A7605" s="2" t="s">
        <v>4403</v>
      </c>
      <c r="B7605" s="2" t="s">
        <v>4357</v>
      </c>
      <c r="C7605" s="2" t="s">
        <v>4834</v>
      </c>
      <c r="D7605" s="3" t="str">
        <f t="shared" si="1320"/>
        <v>12Go Link</v>
      </c>
      <c r="E7605" s="2" t="s">
        <v>4137</v>
      </c>
    </row>
    <row r="7606">
      <c r="A7606" s="2" t="s">
        <v>4403</v>
      </c>
      <c r="B7606" s="2" t="s">
        <v>4357</v>
      </c>
      <c r="C7606" s="2" t="s">
        <v>4834</v>
      </c>
      <c r="D7606" s="3" t="str">
        <f t="shared" si="1320"/>
        <v>12Go Link</v>
      </c>
      <c r="E7606" s="2" t="s">
        <v>4338</v>
      </c>
    </row>
    <row r="7607">
      <c r="A7607" s="2" t="s">
        <v>4403</v>
      </c>
      <c r="B7607" s="2" t="s">
        <v>4357</v>
      </c>
      <c r="C7607" s="2" t="s">
        <v>4834</v>
      </c>
      <c r="D7607" s="3" t="str">
        <f t="shared" si="1320"/>
        <v>12Go Link</v>
      </c>
      <c r="E7607" s="2" t="s">
        <v>4339</v>
      </c>
    </row>
    <row r="7608">
      <c r="A7608" s="2" t="s">
        <v>4403</v>
      </c>
      <c r="B7608" s="2" t="s">
        <v>4357</v>
      </c>
      <c r="C7608" s="2" t="s">
        <v>4834</v>
      </c>
      <c r="D7608" s="3" t="str">
        <f t="shared" si="1320"/>
        <v>12Go Link</v>
      </c>
      <c r="E7608" s="2" t="s">
        <v>4340</v>
      </c>
    </row>
    <row r="7609">
      <c r="A7609" s="2" t="s">
        <v>4403</v>
      </c>
      <c r="B7609" s="2" t="s">
        <v>4604</v>
      </c>
      <c r="C7609" s="2" t="s">
        <v>4835</v>
      </c>
      <c r="D7609" s="3" t="str">
        <f t="shared" ref="D7609:D7614" si="1321">HYPERLINK("https://12go.asia/en/travel/Tanger-Ibn-Battouta-Airport/Marina-Smir-Hotel-Transfer", "12Go Link")</f>
        <v>12Go Link</v>
      </c>
      <c r="E7609" s="2" t="s">
        <v>4336</v>
      </c>
    </row>
    <row r="7610">
      <c r="A7610" s="2" t="s">
        <v>4403</v>
      </c>
      <c r="B7610" s="2" t="s">
        <v>4604</v>
      </c>
      <c r="C7610" s="2" t="s">
        <v>4835</v>
      </c>
      <c r="D7610" s="3" t="str">
        <f t="shared" si="1321"/>
        <v>12Go Link</v>
      </c>
      <c r="E7610" s="2" t="s">
        <v>4337</v>
      </c>
    </row>
    <row r="7611">
      <c r="A7611" s="2" t="s">
        <v>4403</v>
      </c>
      <c r="B7611" s="2" t="s">
        <v>4604</v>
      </c>
      <c r="C7611" s="2" t="s">
        <v>4835</v>
      </c>
      <c r="D7611" s="3" t="str">
        <f t="shared" si="1321"/>
        <v>12Go Link</v>
      </c>
      <c r="E7611" s="2" t="s">
        <v>4137</v>
      </c>
    </row>
    <row r="7612">
      <c r="A7612" s="2" t="s">
        <v>4403</v>
      </c>
      <c r="B7612" s="2" t="s">
        <v>4604</v>
      </c>
      <c r="C7612" s="2" t="s">
        <v>4835</v>
      </c>
      <c r="D7612" s="3" t="str">
        <f t="shared" si="1321"/>
        <v>12Go Link</v>
      </c>
      <c r="E7612" s="2" t="s">
        <v>4338</v>
      </c>
    </row>
    <row r="7613">
      <c r="A7613" s="2" t="s">
        <v>4403</v>
      </c>
      <c r="B7613" s="2" t="s">
        <v>4604</v>
      </c>
      <c r="C7613" s="2" t="s">
        <v>4835</v>
      </c>
      <c r="D7613" s="3" t="str">
        <f t="shared" si="1321"/>
        <v>12Go Link</v>
      </c>
      <c r="E7613" s="2" t="s">
        <v>4339</v>
      </c>
    </row>
    <row r="7614">
      <c r="A7614" s="2" t="s">
        <v>4403</v>
      </c>
      <c r="B7614" s="2" t="s">
        <v>4604</v>
      </c>
      <c r="C7614" s="2" t="s">
        <v>4835</v>
      </c>
      <c r="D7614" s="3" t="str">
        <f t="shared" si="1321"/>
        <v>12Go Link</v>
      </c>
      <c r="E7614" s="2" t="s">
        <v>4340</v>
      </c>
    </row>
    <row r="7615">
      <c r="A7615" s="2" t="s">
        <v>4403</v>
      </c>
      <c r="B7615" s="2" t="s">
        <v>4372</v>
      </c>
      <c r="C7615" s="2" t="s">
        <v>4836</v>
      </c>
      <c r="D7615" s="3" t="str">
        <f t="shared" ref="D7615:D7620" si="1322">HYPERLINK("https://12go.asia/en/travel/Immouzzer-Hotel-Transfer/Marrakesh-Menara-Airport", "12Go Link")</f>
        <v>12Go Link</v>
      </c>
      <c r="E7615" s="2" t="s">
        <v>4336</v>
      </c>
    </row>
    <row r="7616">
      <c r="A7616" s="2" t="s">
        <v>4403</v>
      </c>
      <c r="B7616" s="2" t="s">
        <v>4372</v>
      </c>
      <c r="C7616" s="2" t="s">
        <v>4836</v>
      </c>
      <c r="D7616" s="3" t="str">
        <f t="shared" si="1322"/>
        <v>12Go Link</v>
      </c>
      <c r="E7616" s="2" t="s">
        <v>4337</v>
      </c>
    </row>
    <row r="7617">
      <c r="A7617" s="2" t="s">
        <v>4403</v>
      </c>
      <c r="B7617" s="2" t="s">
        <v>4372</v>
      </c>
      <c r="C7617" s="2" t="s">
        <v>4836</v>
      </c>
      <c r="D7617" s="3" t="str">
        <f t="shared" si="1322"/>
        <v>12Go Link</v>
      </c>
      <c r="E7617" s="2" t="s">
        <v>4137</v>
      </c>
    </row>
    <row r="7618">
      <c r="A7618" s="2" t="s">
        <v>4403</v>
      </c>
      <c r="B7618" s="2" t="s">
        <v>4372</v>
      </c>
      <c r="C7618" s="2" t="s">
        <v>4836</v>
      </c>
      <c r="D7618" s="3" t="str">
        <f t="shared" si="1322"/>
        <v>12Go Link</v>
      </c>
      <c r="E7618" s="2" t="s">
        <v>4338</v>
      </c>
    </row>
    <row r="7619">
      <c r="A7619" s="2" t="s">
        <v>4403</v>
      </c>
      <c r="B7619" s="2" t="s">
        <v>4372</v>
      </c>
      <c r="C7619" s="2" t="s">
        <v>4836</v>
      </c>
      <c r="D7619" s="3" t="str">
        <f t="shared" si="1322"/>
        <v>12Go Link</v>
      </c>
      <c r="E7619" s="2" t="s">
        <v>4339</v>
      </c>
    </row>
    <row r="7620">
      <c r="A7620" s="2" t="s">
        <v>4403</v>
      </c>
      <c r="B7620" s="2" t="s">
        <v>4372</v>
      </c>
      <c r="C7620" s="2" t="s">
        <v>4836</v>
      </c>
      <c r="D7620" s="3" t="str">
        <f t="shared" si="1322"/>
        <v>12Go Link</v>
      </c>
      <c r="E7620" s="2" t="s">
        <v>4340</v>
      </c>
    </row>
    <row r="7621">
      <c r="A7621" s="2" t="s">
        <v>4403</v>
      </c>
      <c r="B7621" s="2" t="s">
        <v>4372</v>
      </c>
      <c r="C7621" s="2" t="s">
        <v>4837</v>
      </c>
      <c r="D7621" s="3" t="str">
        <f t="shared" ref="D7621:D7626" si="1323">HYPERLINK("https://12go.asia/en/travel/Tangier-Hotel-Transfer/Marrakesh-Menara-Airport", "12Go Link")</f>
        <v>12Go Link</v>
      </c>
      <c r="E7621" s="2" t="s">
        <v>4336</v>
      </c>
    </row>
    <row r="7622">
      <c r="A7622" s="2" t="s">
        <v>4403</v>
      </c>
      <c r="B7622" s="2" t="s">
        <v>4372</v>
      </c>
      <c r="C7622" s="2" t="s">
        <v>4837</v>
      </c>
      <c r="D7622" s="3" t="str">
        <f t="shared" si="1323"/>
        <v>12Go Link</v>
      </c>
      <c r="E7622" s="2" t="s">
        <v>4337</v>
      </c>
    </row>
    <row r="7623">
      <c r="A7623" s="2" t="s">
        <v>4403</v>
      </c>
      <c r="B7623" s="2" t="s">
        <v>4372</v>
      </c>
      <c r="C7623" s="2" t="s">
        <v>4837</v>
      </c>
      <c r="D7623" s="3" t="str">
        <f t="shared" si="1323"/>
        <v>12Go Link</v>
      </c>
      <c r="E7623" s="2" t="s">
        <v>4137</v>
      </c>
    </row>
    <row r="7624">
      <c r="A7624" s="2" t="s">
        <v>4403</v>
      </c>
      <c r="B7624" s="2" t="s">
        <v>4372</v>
      </c>
      <c r="C7624" s="2" t="s">
        <v>4837</v>
      </c>
      <c r="D7624" s="3" t="str">
        <f t="shared" si="1323"/>
        <v>12Go Link</v>
      </c>
      <c r="E7624" s="2" t="s">
        <v>4338</v>
      </c>
    </row>
    <row r="7625">
      <c r="A7625" s="2" t="s">
        <v>4403</v>
      </c>
      <c r="B7625" s="2" t="s">
        <v>4372</v>
      </c>
      <c r="C7625" s="2" t="s">
        <v>4837</v>
      </c>
      <c r="D7625" s="3" t="str">
        <f t="shared" si="1323"/>
        <v>12Go Link</v>
      </c>
      <c r="E7625" s="2" t="s">
        <v>4339</v>
      </c>
    </row>
    <row r="7626">
      <c r="A7626" s="2" t="s">
        <v>4403</v>
      </c>
      <c r="B7626" s="2" t="s">
        <v>4372</v>
      </c>
      <c r="C7626" s="2" t="s">
        <v>4837</v>
      </c>
      <c r="D7626" s="3" t="str">
        <f t="shared" si="1323"/>
        <v>12Go Link</v>
      </c>
      <c r="E7626" s="2" t="s">
        <v>4340</v>
      </c>
    </row>
    <row r="7627">
      <c r="A7627" s="2" t="s">
        <v>4403</v>
      </c>
      <c r="B7627" s="2" t="s">
        <v>4726</v>
      </c>
      <c r="C7627" s="2" t="s">
        <v>4838</v>
      </c>
      <c r="D7627" s="3" t="str">
        <f t="shared" ref="D7627:D7632" si="1324">HYPERLINK("https://12go.asia/en/travel/Tanger-Ibn-Battouta-Airport/Nador-Hotel-Transfer", "12Go Link")</f>
        <v>12Go Link</v>
      </c>
      <c r="E7627" s="2" t="s">
        <v>4336</v>
      </c>
    </row>
    <row r="7628">
      <c r="A7628" s="2" t="s">
        <v>4403</v>
      </c>
      <c r="B7628" s="2" t="s">
        <v>4726</v>
      </c>
      <c r="C7628" s="2" t="s">
        <v>4838</v>
      </c>
      <c r="D7628" s="3" t="str">
        <f t="shared" si="1324"/>
        <v>12Go Link</v>
      </c>
      <c r="E7628" s="2" t="s">
        <v>4337</v>
      </c>
    </row>
    <row r="7629">
      <c r="A7629" s="2" t="s">
        <v>4403</v>
      </c>
      <c r="B7629" s="2" t="s">
        <v>4726</v>
      </c>
      <c r="C7629" s="2" t="s">
        <v>4838</v>
      </c>
      <c r="D7629" s="3" t="str">
        <f t="shared" si="1324"/>
        <v>12Go Link</v>
      </c>
      <c r="E7629" s="2" t="s">
        <v>4137</v>
      </c>
    </row>
    <row r="7630">
      <c r="A7630" s="2" t="s">
        <v>4403</v>
      </c>
      <c r="B7630" s="2" t="s">
        <v>4726</v>
      </c>
      <c r="C7630" s="2" t="s">
        <v>4838</v>
      </c>
      <c r="D7630" s="3" t="str">
        <f t="shared" si="1324"/>
        <v>12Go Link</v>
      </c>
      <c r="E7630" s="2" t="s">
        <v>4338</v>
      </c>
    </row>
    <row r="7631">
      <c r="A7631" s="2" t="s">
        <v>4403</v>
      </c>
      <c r="B7631" s="2" t="s">
        <v>4726</v>
      </c>
      <c r="C7631" s="2" t="s">
        <v>4838</v>
      </c>
      <c r="D7631" s="3" t="str">
        <f t="shared" si="1324"/>
        <v>12Go Link</v>
      </c>
      <c r="E7631" s="2" t="s">
        <v>4339</v>
      </c>
    </row>
    <row r="7632">
      <c r="A7632" s="2" t="s">
        <v>4403</v>
      </c>
      <c r="B7632" s="2" t="s">
        <v>4726</v>
      </c>
      <c r="C7632" s="2" t="s">
        <v>4838</v>
      </c>
      <c r="D7632" s="3" t="str">
        <f t="shared" si="1324"/>
        <v>12Go Link</v>
      </c>
      <c r="E7632" s="2" t="s">
        <v>4340</v>
      </c>
    </row>
    <row r="7633">
      <c r="A7633" s="2" t="s">
        <v>4403</v>
      </c>
      <c r="B7633" s="2" t="s">
        <v>4386</v>
      </c>
      <c r="C7633" s="2" t="s">
        <v>4839</v>
      </c>
      <c r="D7633" s="3" t="str">
        <f t="shared" ref="D7633:D7638" si="1325">HYPERLINK("https://12go.asia/en/travel/Tanger-Ibn-Battouta-Airport/Rabat-Hotel-Transfer", "12Go Link")</f>
        <v>12Go Link</v>
      </c>
      <c r="E7633" s="2" t="s">
        <v>4336</v>
      </c>
    </row>
    <row r="7634">
      <c r="A7634" s="2" t="s">
        <v>4403</v>
      </c>
      <c r="B7634" s="2" t="s">
        <v>4386</v>
      </c>
      <c r="C7634" s="2" t="s">
        <v>4839</v>
      </c>
      <c r="D7634" s="3" t="str">
        <f t="shared" si="1325"/>
        <v>12Go Link</v>
      </c>
      <c r="E7634" s="2" t="s">
        <v>4337</v>
      </c>
    </row>
    <row r="7635">
      <c r="A7635" s="2" t="s">
        <v>4403</v>
      </c>
      <c r="B7635" s="2" t="s">
        <v>4386</v>
      </c>
      <c r="C7635" s="2" t="s">
        <v>4839</v>
      </c>
      <c r="D7635" s="3" t="str">
        <f t="shared" si="1325"/>
        <v>12Go Link</v>
      </c>
      <c r="E7635" s="2" t="s">
        <v>4137</v>
      </c>
    </row>
    <row r="7636">
      <c r="A7636" s="2" t="s">
        <v>4403</v>
      </c>
      <c r="B7636" s="2" t="s">
        <v>4386</v>
      </c>
      <c r="C7636" s="2" t="s">
        <v>4839</v>
      </c>
      <c r="D7636" s="3" t="str">
        <f t="shared" si="1325"/>
        <v>12Go Link</v>
      </c>
      <c r="E7636" s="2" t="s">
        <v>4338</v>
      </c>
    </row>
    <row r="7637">
      <c r="A7637" s="2" t="s">
        <v>4403</v>
      </c>
      <c r="B7637" s="2" t="s">
        <v>4386</v>
      </c>
      <c r="C7637" s="2" t="s">
        <v>4839</v>
      </c>
      <c r="D7637" s="3" t="str">
        <f t="shared" si="1325"/>
        <v>12Go Link</v>
      </c>
      <c r="E7637" s="2" t="s">
        <v>4339</v>
      </c>
    </row>
    <row r="7638">
      <c r="A7638" s="2" t="s">
        <v>4403</v>
      </c>
      <c r="B7638" s="2" t="s">
        <v>4386</v>
      </c>
      <c r="C7638" s="2" t="s">
        <v>4839</v>
      </c>
      <c r="D7638" s="3" t="str">
        <f t="shared" si="1325"/>
        <v>12Go Link</v>
      </c>
      <c r="E7638" s="2" t="s">
        <v>4340</v>
      </c>
    </row>
    <row r="7639">
      <c r="A7639" s="2" t="s">
        <v>4403</v>
      </c>
      <c r="B7639" s="2" t="s">
        <v>4386</v>
      </c>
      <c r="C7639" s="2" t="s">
        <v>4840</v>
      </c>
      <c r="D7639" s="3" t="str">
        <f t="shared" ref="D7639:D7644" si="1326">HYPERLINK("https://12go.asia/en/travel/Tangier-Hotel-Transfer/Rabat-Sale-Airport", "12Go Link")</f>
        <v>12Go Link</v>
      </c>
      <c r="E7639" s="2" t="s">
        <v>4336</v>
      </c>
    </row>
    <row r="7640">
      <c r="A7640" s="2" t="s">
        <v>4403</v>
      </c>
      <c r="B7640" s="2" t="s">
        <v>4386</v>
      </c>
      <c r="C7640" s="2" t="s">
        <v>4840</v>
      </c>
      <c r="D7640" s="3" t="str">
        <f t="shared" si="1326"/>
        <v>12Go Link</v>
      </c>
      <c r="E7640" s="2" t="s">
        <v>4337</v>
      </c>
    </row>
    <row r="7641">
      <c r="A7641" s="2" t="s">
        <v>4403</v>
      </c>
      <c r="B7641" s="2" t="s">
        <v>4386</v>
      </c>
      <c r="C7641" s="2" t="s">
        <v>4840</v>
      </c>
      <c r="D7641" s="3" t="str">
        <f t="shared" si="1326"/>
        <v>12Go Link</v>
      </c>
      <c r="E7641" s="2" t="s">
        <v>4137</v>
      </c>
    </row>
    <row r="7642">
      <c r="A7642" s="2" t="s">
        <v>4403</v>
      </c>
      <c r="B7642" s="2" t="s">
        <v>4386</v>
      </c>
      <c r="C7642" s="2" t="s">
        <v>4840</v>
      </c>
      <c r="D7642" s="3" t="str">
        <f t="shared" si="1326"/>
        <v>12Go Link</v>
      </c>
      <c r="E7642" s="2" t="s">
        <v>4338</v>
      </c>
    </row>
    <row r="7643">
      <c r="A7643" s="2" t="s">
        <v>4403</v>
      </c>
      <c r="B7643" s="2" t="s">
        <v>4386</v>
      </c>
      <c r="C7643" s="2" t="s">
        <v>4840</v>
      </c>
      <c r="D7643" s="3" t="str">
        <f t="shared" si="1326"/>
        <v>12Go Link</v>
      </c>
      <c r="E7643" s="2" t="s">
        <v>4339</v>
      </c>
    </row>
    <row r="7644">
      <c r="A7644" s="2" t="s">
        <v>4403</v>
      </c>
      <c r="B7644" s="2" t="s">
        <v>4386</v>
      </c>
      <c r="C7644" s="2" t="s">
        <v>4840</v>
      </c>
      <c r="D7644" s="3" t="str">
        <f t="shared" si="1326"/>
        <v>12Go Link</v>
      </c>
      <c r="E7644" s="2" t="s">
        <v>4340</v>
      </c>
    </row>
    <row r="7645">
      <c r="A7645" s="2" t="s">
        <v>4403</v>
      </c>
      <c r="B7645" s="2" t="s">
        <v>4403</v>
      </c>
      <c r="C7645" s="2" t="s">
        <v>4841</v>
      </c>
      <c r="D7645" s="3" t="str">
        <f t="shared" ref="D7645:D7650" si="1327">HYPERLINK("https://12go.asia/en/travel/Tanger-Ibn-Battouta-Airport/Tangier-Hotel-Transfer", "12Go Link")</f>
        <v>12Go Link</v>
      </c>
      <c r="E7645" s="2" t="s">
        <v>4336</v>
      </c>
    </row>
    <row r="7646">
      <c r="A7646" s="2" t="s">
        <v>4403</v>
      </c>
      <c r="B7646" s="2" t="s">
        <v>4403</v>
      </c>
      <c r="C7646" s="2" t="s">
        <v>4841</v>
      </c>
      <c r="D7646" s="3" t="str">
        <f t="shared" si="1327"/>
        <v>12Go Link</v>
      </c>
      <c r="E7646" s="2" t="s">
        <v>4337</v>
      </c>
    </row>
    <row r="7647">
      <c r="A7647" s="2" t="s">
        <v>4403</v>
      </c>
      <c r="B7647" s="2" t="s">
        <v>4403</v>
      </c>
      <c r="C7647" s="2" t="s">
        <v>4841</v>
      </c>
      <c r="D7647" s="3" t="str">
        <f t="shared" si="1327"/>
        <v>12Go Link</v>
      </c>
      <c r="E7647" s="2" t="s">
        <v>4137</v>
      </c>
    </row>
    <row r="7648">
      <c r="A7648" s="2" t="s">
        <v>4403</v>
      </c>
      <c r="B7648" s="2" t="s">
        <v>4403</v>
      </c>
      <c r="C7648" s="2" t="s">
        <v>4841</v>
      </c>
      <c r="D7648" s="3" t="str">
        <f t="shared" si="1327"/>
        <v>12Go Link</v>
      </c>
      <c r="E7648" s="2" t="s">
        <v>4338</v>
      </c>
    </row>
    <row r="7649">
      <c r="A7649" s="2" t="s">
        <v>4403</v>
      </c>
      <c r="B7649" s="2" t="s">
        <v>4403</v>
      </c>
      <c r="C7649" s="2" t="s">
        <v>4841</v>
      </c>
      <c r="D7649" s="3" t="str">
        <f t="shared" si="1327"/>
        <v>12Go Link</v>
      </c>
      <c r="E7649" s="2" t="s">
        <v>4339</v>
      </c>
    </row>
    <row r="7650">
      <c r="A7650" s="2" t="s">
        <v>4403</v>
      </c>
      <c r="B7650" s="2" t="s">
        <v>4403</v>
      </c>
      <c r="C7650" s="2" t="s">
        <v>4841</v>
      </c>
      <c r="D7650" s="3" t="str">
        <f t="shared" si="1327"/>
        <v>12Go Link</v>
      </c>
      <c r="E7650" s="2" t="s">
        <v>4340</v>
      </c>
    </row>
    <row r="7651">
      <c r="A7651" s="2" t="s">
        <v>4403</v>
      </c>
      <c r="B7651" s="2" t="s">
        <v>4403</v>
      </c>
      <c r="C7651" s="2" t="s">
        <v>4842</v>
      </c>
      <c r="D7651" s="3" t="str">
        <f t="shared" ref="D7651:D7656" si="1328">HYPERLINK("https://12go.asia/en/travel/Tangier-Hotel-Transfer/Tanger-Ibn-Battouta-Airport", "12Go Link")</f>
        <v>12Go Link</v>
      </c>
      <c r="E7651" s="2" t="s">
        <v>4336</v>
      </c>
    </row>
    <row r="7652">
      <c r="A7652" s="2" t="s">
        <v>4403</v>
      </c>
      <c r="B7652" s="2" t="s">
        <v>4403</v>
      </c>
      <c r="C7652" s="2" t="s">
        <v>4842</v>
      </c>
      <c r="D7652" s="3" t="str">
        <f t="shared" si="1328"/>
        <v>12Go Link</v>
      </c>
      <c r="E7652" s="2" t="s">
        <v>4337</v>
      </c>
    </row>
    <row r="7653">
      <c r="A7653" s="2" t="s">
        <v>4403</v>
      </c>
      <c r="B7653" s="2" t="s">
        <v>4403</v>
      </c>
      <c r="C7653" s="2" t="s">
        <v>4842</v>
      </c>
      <c r="D7653" s="3" t="str">
        <f t="shared" si="1328"/>
        <v>12Go Link</v>
      </c>
      <c r="E7653" s="2" t="s">
        <v>4137</v>
      </c>
    </row>
    <row r="7654">
      <c r="A7654" s="2" t="s">
        <v>4403</v>
      </c>
      <c r="B7654" s="2" t="s">
        <v>4403</v>
      </c>
      <c r="C7654" s="2" t="s">
        <v>4842</v>
      </c>
      <c r="D7654" s="3" t="str">
        <f t="shared" si="1328"/>
        <v>12Go Link</v>
      </c>
      <c r="E7654" s="2" t="s">
        <v>4338</v>
      </c>
    </row>
    <row r="7655">
      <c r="A7655" s="2" t="s">
        <v>4403</v>
      </c>
      <c r="B7655" s="2" t="s">
        <v>4403</v>
      </c>
      <c r="C7655" s="2" t="s">
        <v>4842</v>
      </c>
      <c r="D7655" s="3" t="str">
        <f t="shared" si="1328"/>
        <v>12Go Link</v>
      </c>
      <c r="E7655" s="2" t="s">
        <v>4339</v>
      </c>
    </row>
    <row r="7656">
      <c r="A7656" s="2" t="s">
        <v>4403</v>
      </c>
      <c r="B7656" s="2" t="s">
        <v>4403</v>
      </c>
      <c r="C7656" s="2" t="s">
        <v>4842</v>
      </c>
      <c r="D7656" s="3" t="str">
        <f t="shared" si="1328"/>
        <v>12Go Link</v>
      </c>
      <c r="E7656" s="2" t="s">
        <v>4340</v>
      </c>
    </row>
    <row r="7657">
      <c r="A7657" s="2" t="s">
        <v>4403</v>
      </c>
      <c r="B7657" s="2" t="s">
        <v>4709</v>
      </c>
      <c r="C7657" s="2" t="s">
        <v>4843</v>
      </c>
      <c r="D7657" s="3" t="str">
        <f t="shared" ref="D7657:D7662" si="1329">HYPERLINK("https://12go.asia/en/travel/Tanger-Ibn-Battouta-Airport/Tetuan-Hotel-Transfer", "12Go Link")</f>
        <v>12Go Link</v>
      </c>
      <c r="E7657" s="2" t="s">
        <v>4336</v>
      </c>
    </row>
    <row r="7658">
      <c r="A7658" s="2" t="s">
        <v>4403</v>
      </c>
      <c r="B7658" s="2" t="s">
        <v>4709</v>
      </c>
      <c r="C7658" s="2" t="s">
        <v>4843</v>
      </c>
      <c r="D7658" s="3" t="str">
        <f t="shared" si="1329"/>
        <v>12Go Link</v>
      </c>
      <c r="E7658" s="2" t="s">
        <v>4337</v>
      </c>
    </row>
    <row r="7659">
      <c r="A7659" s="2" t="s">
        <v>4403</v>
      </c>
      <c r="B7659" s="2" t="s">
        <v>4709</v>
      </c>
      <c r="C7659" s="2" t="s">
        <v>4843</v>
      </c>
      <c r="D7659" s="3" t="str">
        <f t="shared" si="1329"/>
        <v>12Go Link</v>
      </c>
      <c r="E7659" s="2" t="s">
        <v>4137</v>
      </c>
    </row>
    <row r="7660">
      <c r="A7660" s="2" t="s">
        <v>4403</v>
      </c>
      <c r="B7660" s="2" t="s">
        <v>4709</v>
      </c>
      <c r="C7660" s="2" t="s">
        <v>4843</v>
      </c>
      <c r="D7660" s="3" t="str">
        <f t="shared" si="1329"/>
        <v>12Go Link</v>
      </c>
      <c r="E7660" s="2" t="s">
        <v>4338</v>
      </c>
    </row>
    <row r="7661">
      <c r="A7661" s="2" t="s">
        <v>4403</v>
      </c>
      <c r="B7661" s="2" t="s">
        <v>4709</v>
      </c>
      <c r="C7661" s="2" t="s">
        <v>4843</v>
      </c>
      <c r="D7661" s="3" t="str">
        <f t="shared" si="1329"/>
        <v>12Go Link</v>
      </c>
      <c r="E7661" s="2" t="s">
        <v>4339</v>
      </c>
    </row>
    <row r="7662">
      <c r="A7662" s="2" t="s">
        <v>4403</v>
      </c>
      <c r="B7662" s="2" t="s">
        <v>4709</v>
      </c>
      <c r="C7662" s="2" t="s">
        <v>4843</v>
      </c>
      <c r="D7662" s="3" t="str">
        <f t="shared" si="1329"/>
        <v>12Go Link</v>
      </c>
      <c r="E7662" s="2" t="s">
        <v>4340</v>
      </c>
    </row>
    <row r="7663">
      <c r="A7663" s="2" t="s">
        <v>4405</v>
      </c>
      <c r="B7663" s="2" t="s">
        <v>4334</v>
      </c>
      <c r="C7663" s="2" t="s">
        <v>4844</v>
      </c>
      <c r="D7663" s="3" t="str">
        <f t="shared" ref="D7663:D7668" si="1330">HYPERLINK("https://12go.asia/en/travel/Taroudant-Hotel-Transfer/Agadir-Al-Massira-International-Airport", "12Go Link")</f>
        <v>12Go Link</v>
      </c>
      <c r="E7663" s="2" t="s">
        <v>4336</v>
      </c>
    </row>
    <row r="7664">
      <c r="A7664" s="2" t="s">
        <v>4405</v>
      </c>
      <c r="B7664" s="2" t="s">
        <v>4334</v>
      </c>
      <c r="C7664" s="2" t="s">
        <v>4844</v>
      </c>
      <c r="D7664" s="3" t="str">
        <f t="shared" si="1330"/>
        <v>12Go Link</v>
      </c>
      <c r="E7664" s="2" t="s">
        <v>4337</v>
      </c>
    </row>
    <row r="7665">
      <c r="A7665" s="2" t="s">
        <v>4405</v>
      </c>
      <c r="B7665" s="2" t="s">
        <v>4334</v>
      </c>
      <c r="C7665" s="2" t="s">
        <v>4844</v>
      </c>
      <c r="D7665" s="3" t="str">
        <f t="shared" si="1330"/>
        <v>12Go Link</v>
      </c>
      <c r="E7665" s="2" t="s">
        <v>4137</v>
      </c>
    </row>
    <row r="7666">
      <c r="A7666" s="2" t="s">
        <v>4405</v>
      </c>
      <c r="B7666" s="2" t="s">
        <v>4334</v>
      </c>
      <c r="C7666" s="2" t="s">
        <v>4844</v>
      </c>
      <c r="D7666" s="3" t="str">
        <f t="shared" si="1330"/>
        <v>12Go Link</v>
      </c>
      <c r="E7666" s="2" t="s">
        <v>4338</v>
      </c>
    </row>
    <row r="7667">
      <c r="A7667" s="2" t="s">
        <v>4405</v>
      </c>
      <c r="B7667" s="2" t="s">
        <v>4334</v>
      </c>
      <c r="C7667" s="2" t="s">
        <v>4844</v>
      </c>
      <c r="D7667" s="3" t="str">
        <f t="shared" si="1330"/>
        <v>12Go Link</v>
      </c>
      <c r="E7667" s="2" t="s">
        <v>4339</v>
      </c>
    </row>
    <row r="7668">
      <c r="A7668" s="2" t="s">
        <v>4405</v>
      </c>
      <c r="B7668" s="2" t="s">
        <v>4334</v>
      </c>
      <c r="C7668" s="2" t="s">
        <v>4844</v>
      </c>
      <c r="D7668" s="3" t="str">
        <f t="shared" si="1330"/>
        <v>12Go Link</v>
      </c>
      <c r="E7668" s="2" t="s">
        <v>4340</v>
      </c>
    </row>
    <row r="7669">
      <c r="A7669" s="2" t="s">
        <v>4498</v>
      </c>
      <c r="B7669" s="2" t="s">
        <v>4350</v>
      </c>
      <c r="C7669" s="2" t="s">
        <v>4845</v>
      </c>
      <c r="D7669" s="3" t="str">
        <f t="shared" ref="D7669:D7674" si="1331">HYPERLINK("https://12go.asia/en/travel/Temara-Hotel-Transfer/Mohammed-V-International-Airport", "12Go Link")</f>
        <v>12Go Link</v>
      </c>
      <c r="E7669" s="2" t="s">
        <v>4336</v>
      </c>
    </row>
    <row r="7670">
      <c r="A7670" s="2" t="s">
        <v>4498</v>
      </c>
      <c r="B7670" s="2" t="s">
        <v>4350</v>
      </c>
      <c r="C7670" s="2" t="s">
        <v>4845</v>
      </c>
      <c r="D7670" s="3" t="str">
        <f t="shared" si="1331"/>
        <v>12Go Link</v>
      </c>
      <c r="E7670" s="2" t="s">
        <v>4337</v>
      </c>
    </row>
    <row r="7671">
      <c r="A7671" s="2" t="s">
        <v>4498</v>
      </c>
      <c r="B7671" s="2" t="s">
        <v>4350</v>
      </c>
      <c r="C7671" s="2" t="s">
        <v>4845</v>
      </c>
      <c r="D7671" s="3" t="str">
        <f t="shared" si="1331"/>
        <v>12Go Link</v>
      </c>
      <c r="E7671" s="2" t="s">
        <v>4137</v>
      </c>
    </row>
    <row r="7672">
      <c r="A7672" s="2" t="s">
        <v>4498</v>
      </c>
      <c r="B7672" s="2" t="s">
        <v>4350</v>
      </c>
      <c r="C7672" s="2" t="s">
        <v>4845</v>
      </c>
      <c r="D7672" s="3" t="str">
        <f t="shared" si="1331"/>
        <v>12Go Link</v>
      </c>
      <c r="E7672" s="2" t="s">
        <v>4338</v>
      </c>
    </row>
    <row r="7673">
      <c r="A7673" s="2" t="s">
        <v>4498</v>
      </c>
      <c r="B7673" s="2" t="s">
        <v>4350</v>
      </c>
      <c r="C7673" s="2" t="s">
        <v>4845</v>
      </c>
      <c r="D7673" s="3" t="str">
        <f t="shared" si="1331"/>
        <v>12Go Link</v>
      </c>
      <c r="E7673" s="2" t="s">
        <v>4339</v>
      </c>
    </row>
    <row r="7674">
      <c r="A7674" s="2" t="s">
        <v>4498</v>
      </c>
      <c r="B7674" s="2" t="s">
        <v>4350</v>
      </c>
      <c r="C7674" s="2" t="s">
        <v>4845</v>
      </c>
      <c r="D7674" s="3" t="str">
        <f t="shared" si="1331"/>
        <v>12Go Link</v>
      </c>
      <c r="E7674" s="2" t="s">
        <v>4340</v>
      </c>
    </row>
    <row r="7675">
      <c r="A7675" s="2" t="s">
        <v>4498</v>
      </c>
      <c r="B7675" s="2" t="s">
        <v>4386</v>
      </c>
      <c r="C7675" s="2" t="s">
        <v>4846</v>
      </c>
      <c r="D7675" s="3" t="str">
        <f t="shared" ref="D7675:D7680" si="1332">HYPERLINK("https://12go.asia/en/travel/Temara-Hotel-Transfer/Rabat-Sale-Airport", "12Go Link")</f>
        <v>12Go Link</v>
      </c>
      <c r="E7675" s="2" t="s">
        <v>4336</v>
      </c>
    </row>
    <row r="7676">
      <c r="A7676" s="2" t="s">
        <v>4498</v>
      </c>
      <c r="B7676" s="2" t="s">
        <v>4386</v>
      </c>
      <c r="C7676" s="2" t="s">
        <v>4846</v>
      </c>
      <c r="D7676" s="3" t="str">
        <f t="shared" si="1332"/>
        <v>12Go Link</v>
      </c>
      <c r="E7676" s="2" t="s">
        <v>4337</v>
      </c>
    </row>
    <row r="7677">
      <c r="A7677" s="2" t="s">
        <v>4498</v>
      </c>
      <c r="B7677" s="2" t="s">
        <v>4386</v>
      </c>
      <c r="C7677" s="2" t="s">
        <v>4846</v>
      </c>
      <c r="D7677" s="3" t="str">
        <f t="shared" si="1332"/>
        <v>12Go Link</v>
      </c>
      <c r="E7677" s="2" t="s">
        <v>4137</v>
      </c>
    </row>
    <row r="7678">
      <c r="A7678" s="2" t="s">
        <v>4498</v>
      </c>
      <c r="B7678" s="2" t="s">
        <v>4386</v>
      </c>
      <c r="C7678" s="2" t="s">
        <v>4846</v>
      </c>
      <c r="D7678" s="3" t="str">
        <f t="shared" si="1332"/>
        <v>12Go Link</v>
      </c>
      <c r="E7678" s="2" t="s">
        <v>4338</v>
      </c>
    </row>
    <row r="7679">
      <c r="A7679" s="2" t="s">
        <v>4498</v>
      </c>
      <c r="B7679" s="2" t="s">
        <v>4386</v>
      </c>
      <c r="C7679" s="2" t="s">
        <v>4846</v>
      </c>
      <c r="D7679" s="3" t="str">
        <f t="shared" si="1332"/>
        <v>12Go Link</v>
      </c>
      <c r="E7679" s="2" t="s">
        <v>4339</v>
      </c>
    </row>
    <row r="7680">
      <c r="A7680" s="2" t="s">
        <v>4498</v>
      </c>
      <c r="B7680" s="2" t="s">
        <v>4386</v>
      </c>
      <c r="C7680" s="2" t="s">
        <v>4846</v>
      </c>
      <c r="D7680" s="3" t="str">
        <f t="shared" si="1332"/>
        <v>12Go Link</v>
      </c>
      <c r="E7680" s="2" t="s">
        <v>4340</v>
      </c>
    </row>
    <row r="7681">
      <c r="A7681" s="2" t="s">
        <v>4709</v>
      </c>
      <c r="B7681" s="2" t="s">
        <v>4372</v>
      </c>
      <c r="C7681" s="2" t="s">
        <v>4847</v>
      </c>
      <c r="D7681" s="3" t="str">
        <f t="shared" ref="D7681:D7686" si="1333">HYPERLINK("https://12go.asia/en/travel/Tetouan-Hotel-Transfer/Marrakesh-Menara-Airport", "12Go Link")</f>
        <v>12Go Link</v>
      </c>
      <c r="E7681" s="2" t="s">
        <v>4336</v>
      </c>
    </row>
    <row r="7682">
      <c r="A7682" s="2" t="s">
        <v>4709</v>
      </c>
      <c r="B7682" s="2" t="s">
        <v>4372</v>
      </c>
      <c r="C7682" s="2" t="s">
        <v>4847</v>
      </c>
      <c r="D7682" s="3" t="str">
        <f t="shared" si="1333"/>
        <v>12Go Link</v>
      </c>
      <c r="E7682" s="2" t="s">
        <v>4337</v>
      </c>
    </row>
    <row r="7683">
      <c r="A7683" s="2" t="s">
        <v>4709</v>
      </c>
      <c r="B7683" s="2" t="s">
        <v>4372</v>
      </c>
      <c r="C7683" s="2" t="s">
        <v>4847</v>
      </c>
      <c r="D7683" s="3" t="str">
        <f t="shared" si="1333"/>
        <v>12Go Link</v>
      </c>
      <c r="E7683" s="2" t="s">
        <v>4137</v>
      </c>
    </row>
    <row r="7684">
      <c r="A7684" s="2" t="s">
        <v>4709</v>
      </c>
      <c r="B7684" s="2" t="s">
        <v>4372</v>
      </c>
      <c r="C7684" s="2" t="s">
        <v>4847</v>
      </c>
      <c r="D7684" s="3" t="str">
        <f t="shared" si="1333"/>
        <v>12Go Link</v>
      </c>
      <c r="E7684" s="2" t="s">
        <v>4338</v>
      </c>
    </row>
    <row r="7685">
      <c r="A7685" s="2" t="s">
        <v>4709</v>
      </c>
      <c r="B7685" s="2" t="s">
        <v>4372</v>
      </c>
      <c r="C7685" s="2" t="s">
        <v>4847</v>
      </c>
      <c r="D7685" s="3" t="str">
        <f t="shared" si="1333"/>
        <v>12Go Link</v>
      </c>
      <c r="E7685" s="2" t="s">
        <v>4339</v>
      </c>
    </row>
    <row r="7686">
      <c r="A7686" s="2" t="s">
        <v>4709</v>
      </c>
      <c r="B7686" s="2" t="s">
        <v>4372</v>
      </c>
      <c r="C7686" s="2" t="s">
        <v>4847</v>
      </c>
      <c r="D7686" s="3" t="str">
        <f t="shared" si="1333"/>
        <v>12Go Link</v>
      </c>
      <c r="E7686" s="2" t="s">
        <v>4340</v>
      </c>
    </row>
    <row r="7687">
      <c r="A7687" s="2" t="s">
        <v>4709</v>
      </c>
      <c r="B7687" s="2" t="s">
        <v>4386</v>
      </c>
      <c r="C7687" s="2" t="s">
        <v>4848</v>
      </c>
      <c r="D7687" s="3" t="str">
        <f t="shared" ref="D7687:D7692" si="1334">HYPERLINK("https://12go.asia/en/travel/Tetouan-Hotel-Transfer/Rabat-Sale-Airport", "12Go Link")</f>
        <v>12Go Link</v>
      </c>
      <c r="E7687" s="2" t="s">
        <v>4336</v>
      </c>
    </row>
    <row r="7688">
      <c r="A7688" s="2" t="s">
        <v>4709</v>
      </c>
      <c r="B7688" s="2" t="s">
        <v>4386</v>
      </c>
      <c r="C7688" s="2" t="s">
        <v>4848</v>
      </c>
      <c r="D7688" s="3" t="str">
        <f t="shared" si="1334"/>
        <v>12Go Link</v>
      </c>
      <c r="E7688" s="2" t="s">
        <v>4337</v>
      </c>
    </row>
    <row r="7689">
      <c r="A7689" s="2" t="s">
        <v>4709</v>
      </c>
      <c r="B7689" s="2" t="s">
        <v>4386</v>
      </c>
      <c r="C7689" s="2" t="s">
        <v>4848</v>
      </c>
      <c r="D7689" s="3" t="str">
        <f t="shared" si="1334"/>
        <v>12Go Link</v>
      </c>
      <c r="E7689" s="2" t="s">
        <v>4137</v>
      </c>
    </row>
    <row r="7690">
      <c r="A7690" s="2" t="s">
        <v>4709</v>
      </c>
      <c r="B7690" s="2" t="s">
        <v>4386</v>
      </c>
      <c r="C7690" s="2" t="s">
        <v>4848</v>
      </c>
      <c r="D7690" s="3" t="str">
        <f t="shared" si="1334"/>
        <v>12Go Link</v>
      </c>
      <c r="E7690" s="2" t="s">
        <v>4338</v>
      </c>
    </row>
    <row r="7691">
      <c r="A7691" s="2" t="s">
        <v>4709</v>
      </c>
      <c r="B7691" s="2" t="s">
        <v>4386</v>
      </c>
      <c r="C7691" s="2" t="s">
        <v>4848</v>
      </c>
      <c r="D7691" s="3" t="str">
        <f t="shared" si="1334"/>
        <v>12Go Link</v>
      </c>
      <c r="E7691" s="2" t="s">
        <v>4339</v>
      </c>
    </row>
    <row r="7692">
      <c r="A7692" s="2" t="s">
        <v>4709</v>
      </c>
      <c r="B7692" s="2" t="s">
        <v>4386</v>
      </c>
      <c r="C7692" s="2" t="s">
        <v>4848</v>
      </c>
      <c r="D7692" s="3" t="str">
        <f t="shared" si="1334"/>
        <v>12Go Link</v>
      </c>
      <c r="E7692" s="2" t="s">
        <v>4340</v>
      </c>
    </row>
    <row r="7693">
      <c r="A7693" s="2" t="s">
        <v>4709</v>
      </c>
      <c r="B7693" s="2" t="s">
        <v>4403</v>
      </c>
      <c r="C7693" s="2" t="s">
        <v>4849</v>
      </c>
      <c r="D7693" s="3" t="str">
        <f t="shared" ref="D7693:D7698" si="1335">HYPERLINK("https://12go.asia/en/travel/Tetuan-Hotel-Transfer/Tanger-Ibn-Battouta-Airport", "12Go Link")</f>
        <v>12Go Link</v>
      </c>
      <c r="E7693" s="2" t="s">
        <v>4336</v>
      </c>
    </row>
    <row r="7694">
      <c r="A7694" s="2" t="s">
        <v>4709</v>
      </c>
      <c r="B7694" s="2" t="s">
        <v>4403</v>
      </c>
      <c r="C7694" s="2" t="s">
        <v>4849</v>
      </c>
      <c r="D7694" s="3" t="str">
        <f t="shared" si="1335"/>
        <v>12Go Link</v>
      </c>
      <c r="E7694" s="2" t="s">
        <v>4337</v>
      </c>
    </row>
    <row r="7695">
      <c r="A7695" s="2" t="s">
        <v>4709</v>
      </c>
      <c r="B7695" s="2" t="s">
        <v>4403</v>
      </c>
      <c r="C7695" s="2" t="s">
        <v>4849</v>
      </c>
      <c r="D7695" s="3" t="str">
        <f t="shared" si="1335"/>
        <v>12Go Link</v>
      </c>
      <c r="E7695" s="2" t="s">
        <v>4137</v>
      </c>
    </row>
    <row r="7696">
      <c r="A7696" s="2" t="s">
        <v>4709</v>
      </c>
      <c r="B7696" s="2" t="s">
        <v>4403</v>
      </c>
      <c r="C7696" s="2" t="s">
        <v>4849</v>
      </c>
      <c r="D7696" s="3" t="str">
        <f t="shared" si="1335"/>
        <v>12Go Link</v>
      </c>
      <c r="E7696" s="2" t="s">
        <v>4338</v>
      </c>
    </row>
    <row r="7697">
      <c r="A7697" s="2" t="s">
        <v>4709</v>
      </c>
      <c r="B7697" s="2" t="s">
        <v>4403</v>
      </c>
      <c r="C7697" s="2" t="s">
        <v>4849</v>
      </c>
      <c r="D7697" s="3" t="str">
        <f t="shared" si="1335"/>
        <v>12Go Link</v>
      </c>
      <c r="E7697" s="2" t="s">
        <v>4339</v>
      </c>
    </row>
    <row r="7698">
      <c r="A7698" s="2" t="s">
        <v>4709</v>
      </c>
      <c r="B7698" s="2" t="s">
        <v>4403</v>
      </c>
      <c r="C7698" s="2" t="s">
        <v>4849</v>
      </c>
      <c r="D7698" s="3" t="str">
        <f t="shared" si="1335"/>
        <v>12Go Link</v>
      </c>
      <c r="E7698" s="2" t="s">
        <v>4340</v>
      </c>
    </row>
    <row r="7699">
      <c r="A7699" s="2" t="s">
        <v>4407</v>
      </c>
      <c r="B7699" s="2" t="s">
        <v>4334</v>
      </c>
      <c r="C7699" s="2" t="s">
        <v>4850</v>
      </c>
      <c r="D7699" s="3" t="str">
        <f t="shared" ref="D7699:D7704" si="1336">HYPERLINK("https://12go.asia/en/travel/Tiguert-Hotel-Transfer/Agadir-Al-Massira-International-Airport", "12Go Link")</f>
        <v>12Go Link</v>
      </c>
      <c r="E7699" s="2" t="s">
        <v>4336</v>
      </c>
    </row>
    <row r="7700">
      <c r="A7700" s="2" t="s">
        <v>4407</v>
      </c>
      <c r="B7700" s="2" t="s">
        <v>4334</v>
      </c>
      <c r="C7700" s="2" t="s">
        <v>4850</v>
      </c>
      <c r="D7700" s="3" t="str">
        <f t="shared" si="1336"/>
        <v>12Go Link</v>
      </c>
      <c r="E7700" s="2" t="s">
        <v>4337</v>
      </c>
    </row>
    <row r="7701">
      <c r="A7701" s="2" t="s">
        <v>4407</v>
      </c>
      <c r="B7701" s="2" t="s">
        <v>4334</v>
      </c>
      <c r="C7701" s="2" t="s">
        <v>4850</v>
      </c>
      <c r="D7701" s="3" t="str">
        <f t="shared" si="1336"/>
        <v>12Go Link</v>
      </c>
      <c r="E7701" s="2" t="s">
        <v>4137</v>
      </c>
    </row>
    <row r="7702">
      <c r="A7702" s="2" t="s">
        <v>4407</v>
      </c>
      <c r="B7702" s="2" t="s">
        <v>4334</v>
      </c>
      <c r="C7702" s="2" t="s">
        <v>4850</v>
      </c>
      <c r="D7702" s="3" t="str">
        <f t="shared" si="1336"/>
        <v>12Go Link</v>
      </c>
      <c r="E7702" s="2" t="s">
        <v>4338</v>
      </c>
    </row>
    <row r="7703">
      <c r="A7703" s="2" t="s">
        <v>4407</v>
      </c>
      <c r="B7703" s="2" t="s">
        <v>4334</v>
      </c>
      <c r="C7703" s="2" t="s">
        <v>4850</v>
      </c>
      <c r="D7703" s="3" t="str">
        <f t="shared" si="1336"/>
        <v>12Go Link</v>
      </c>
      <c r="E7703" s="2" t="s">
        <v>4339</v>
      </c>
    </row>
    <row r="7704">
      <c r="A7704" s="2" t="s">
        <v>4407</v>
      </c>
      <c r="B7704" s="2" t="s">
        <v>4334</v>
      </c>
      <c r="C7704" s="2" t="s">
        <v>4850</v>
      </c>
      <c r="D7704" s="3" t="str">
        <f t="shared" si="1336"/>
        <v>12Go Link</v>
      </c>
      <c r="E7704" s="2" t="s">
        <v>4340</v>
      </c>
    </row>
    <row r="7705">
      <c r="A7705" s="2" t="s">
        <v>4711</v>
      </c>
      <c r="B7705" s="2" t="s">
        <v>4372</v>
      </c>
      <c r="C7705" s="2" t="s">
        <v>4851</v>
      </c>
      <c r="D7705" s="3" t="str">
        <f t="shared" ref="D7705:D7710" si="1337">HYPERLINK("https://12go.asia/en/travel/Zagora-Hotel-Transfer/Marrakesh-Menara-Airport", "12Go Link")</f>
        <v>12Go Link</v>
      </c>
      <c r="E7705" s="2" t="s">
        <v>4336</v>
      </c>
    </row>
    <row r="7706">
      <c r="A7706" s="2" t="s">
        <v>4711</v>
      </c>
      <c r="B7706" s="2" t="s">
        <v>4372</v>
      </c>
      <c r="C7706" s="2" t="s">
        <v>4851</v>
      </c>
      <c r="D7706" s="3" t="str">
        <f t="shared" si="1337"/>
        <v>12Go Link</v>
      </c>
      <c r="E7706" s="2" t="s">
        <v>4337</v>
      </c>
    </row>
    <row r="7707">
      <c r="A7707" s="2" t="s">
        <v>4711</v>
      </c>
      <c r="B7707" s="2" t="s">
        <v>4372</v>
      </c>
      <c r="C7707" s="2" t="s">
        <v>4851</v>
      </c>
      <c r="D7707" s="3" t="str">
        <f t="shared" si="1337"/>
        <v>12Go Link</v>
      </c>
      <c r="E7707" s="2" t="s">
        <v>4137</v>
      </c>
    </row>
    <row r="7708">
      <c r="A7708" s="2" t="s">
        <v>4711</v>
      </c>
      <c r="B7708" s="2" t="s">
        <v>4372</v>
      </c>
      <c r="C7708" s="2" t="s">
        <v>4851</v>
      </c>
      <c r="D7708" s="3" t="str">
        <f t="shared" si="1337"/>
        <v>12Go Link</v>
      </c>
      <c r="E7708" s="2" t="s">
        <v>4338</v>
      </c>
    </row>
    <row r="7709">
      <c r="A7709" s="2" t="s">
        <v>4711</v>
      </c>
      <c r="B7709" s="2" t="s">
        <v>4372</v>
      </c>
      <c r="C7709" s="2" t="s">
        <v>4851</v>
      </c>
      <c r="D7709" s="3" t="str">
        <f t="shared" si="1337"/>
        <v>12Go Link</v>
      </c>
      <c r="E7709" s="2" t="s">
        <v>4339</v>
      </c>
    </row>
    <row r="7710">
      <c r="A7710" s="2" t="s">
        <v>4711</v>
      </c>
      <c r="B7710" s="2" t="s">
        <v>4372</v>
      </c>
      <c r="C7710" s="2" t="s">
        <v>4851</v>
      </c>
      <c r="D7710" s="3" t="str">
        <f t="shared" si="1337"/>
        <v>12Go Link</v>
      </c>
      <c r="E7710" s="2" t="s">
        <v>4340</v>
      </c>
    </row>
    <row r="7711">
      <c r="A7711" s="2" t="s">
        <v>4852</v>
      </c>
      <c r="B7711" s="2" t="s">
        <v>4853</v>
      </c>
      <c r="C7711" s="2" t="s">
        <v>4854</v>
      </c>
      <c r="D7711" s="3" t="str">
        <f>HYPERLINK("https://12go.asia/en/travel/akaroa/christchurch", "12Go Link")</f>
        <v>12Go Link</v>
      </c>
      <c r="E7711" s="2" t="s">
        <v>59</v>
      </c>
    </row>
    <row r="7712">
      <c r="A7712" s="2" t="s">
        <v>4855</v>
      </c>
      <c r="B7712" s="2" t="s">
        <v>4856</v>
      </c>
      <c r="C7712" s="2" t="s">
        <v>4857</v>
      </c>
      <c r="D7712" s="3" t="str">
        <f>HYPERLINK("https://12go.asia/en/travel/Viaduct-Harbour/Rotoroa-Island-Wharf", "12Go Link")</f>
        <v>12Go Link</v>
      </c>
      <c r="E7712" s="2" t="s">
        <v>3485</v>
      </c>
    </row>
    <row r="7713">
      <c r="A7713" s="2" t="s">
        <v>4855</v>
      </c>
      <c r="B7713" s="2" t="s">
        <v>4858</v>
      </c>
      <c r="C7713" s="2" t="s">
        <v>4859</v>
      </c>
      <c r="D7713" s="3" t="str">
        <f>HYPERLINK("https://12go.asia/en/travel/Viaduct-Harbour/Kennedy-Point-Ferry-Terminal", "12Go Link")</f>
        <v>12Go Link</v>
      </c>
      <c r="E7713" s="2" t="s">
        <v>3485</v>
      </c>
    </row>
    <row r="7714">
      <c r="A7714" s="2" t="s">
        <v>4855</v>
      </c>
      <c r="B7714" s="2" t="s">
        <v>4858</v>
      </c>
      <c r="C7714" s="2" t="s">
        <v>4860</v>
      </c>
      <c r="D7714" s="3" t="str">
        <f>HYPERLINK("https://12go.asia/en/travel/Viaduct-Harbour/Man-O-War-Vineyards", "12Go Link")</f>
        <v>12Go Link</v>
      </c>
      <c r="E7714" s="2" t="s">
        <v>3485</v>
      </c>
    </row>
    <row r="7715">
      <c r="A7715" s="2" t="s">
        <v>4861</v>
      </c>
      <c r="B7715" s="2" t="s">
        <v>4862</v>
      </c>
      <c r="C7715" s="2" t="s">
        <v>4863</v>
      </c>
      <c r="D7715" s="3" t="str">
        <f>HYPERLINK("https://12go.asia/en/travel/Days-Bay/Queens-Wharf", "12Go Link")</f>
        <v>12Go Link</v>
      </c>
      <c r="E7715" s="2" t="s">
        <v>261</v>
      </c>
    </row>
    <row r="7716">
      <c r="A7716" s="2" t="s">
        <v>4856</v>
      </c>
      <c r="B7716" s="2" t="s">
        <v>4855</v>
      </c>
      <c r="C7716" s="2" t="s">
        <v>4864</v>
      </c>
      <c r="D7716" s="3" t="str">
        <f>HYPERLINK("https://12go.asia/en/travel/Rotoroa-Island-Wharf/Viaduct-Harbour", "12Go Link")</f>
        <v>12Go Link</v>
      </c>
      <c r="E7716" s="2" t="s">
        <v>3485</v>
      </c>
    </row>
    <row r="7717">
      <c r="A7717" s="2" t="s">
        <v>4865</v>
      </c>
      <c r="B7717" s="2" t="s">
        <v>4855</v>
      </c>
      <c r="C7717" s="2" t="s">
        <v>4866</v>
      </c>
      <c r="D7717" s="3" t="str">
        <f>HYPERLINK("https://12go.asia/en/travel/Tiritiri-Matangi-Island-Wharf/Viaduct-Harbour", "12Go Link")</f>
        <v>12Go Link</v>
      </c>
      <c r="E7717" s="2" t="s">
        <v>3485</v>
      </c>
    </row>
    <row r="7718">
      <c r="A7718" s="2" t="s">
        <v>4865</v>
      </c>
      <c r="B7718" s="2" t="s">
        <v>4867</v>
      </c>
      <c r="C7718" s="2" t="s">
        <v>4868</v>
      </c>
      <c r="D7718" s="3" t="str">
        <f>HYPERLINK("https://12go.asia/en/travel/Tiritiri-Matangi-Island-Wharf/Gulf-Harbour", "12Go Link")</f>
        <v>12Go Link</v>
      </c>
      <c r="E7718" s="2" t="s">
        <v>3485</v>
      </c>
    </row>
    <row r="7719">
      <c r="A7719" s="2" t="s">
        <v>4858</v>
      </c>
      <c r="B7719" s="2" t="s">
        <v>4855</v>
      </c>
      <c r="C7719" s="2" t="s">
        <v>4869</v>
      </c>
      <c r="D7719" s="3" t="str">
        <f>HYPERLINK("https://12go.asia/en/travel/Kennedy-Point-Ferry-Terminal/Viaduct-Harbour", "12Go Link")</f>
        <v>12Go Link</v>
      </c>
      <c r="E7719" s="2" t="s">
        <v>3485</v>
      </c>
    </row>
    <row r="7720">
      <c r="A7720" s="2" t="s">
        <v>4858</v>
      </c>
      <c r="B7720" s="2" t="s">
        <v>4855</v>
      </c>
      <c r="C7720" s="2" t="s">
        <v>4870</v>
      </c>
      <c r="D7720" s="3" t="str">
        <f>HYPERLINK("https://12go.asia/en/travel/Man-O-War-Vineyards/Viaduct-Harbour", "12Go Link")</f>
        <v>12Go Link</v>
      </c>
      <c r="E7720" s="2" t="s">
        <v>3485</v>
      </c>
    </row>
    <row r="7721">
      <c r="A7721" s="2" t="s">
        <v>4862</v>
      </c>
      <c r="B7721" s="2" t="s">
        <v>4861</v>
      </c>
      <c r="C7721" s="2" t="s">
        <v>4871</v>
      </c>
      <c r="D7721" s="3" t="str">
        <f>HYPERLINK("https://12go.asia/en/travel/Queens-Wharf/Days-Bay", "12Go Link")</f>
        <v>12Go Link</v>
      </c>
      <c r="E7721" s="2" t="s">
        <v>261</v>
      </c>
    </row>
    <row r="7722">
      <c r="A7722" s="2" t="s">
        <v>4872</v>
      </c>
      <c r="B7722" s="2" t="s">
        <v>4873</v>
      </c>
      <c r="C7722" s="2" t="s">
        <v>4874</v>
      </c>
      <c r="D7722" s="3" t="str">
        <f>HYPERLINK("https://12go.asia/en/travel/Panama-City-Any-Hotel/Puerto-Dibbin-San-Blas", "12Go Link")</f>
        <v>12Go Link</v>
      </c>
      <c r="E7722" s="2" t="s">
        <v>4875</v>
      </c>
    </row>
    <row r="7723">
      <c r="A7723" s="2" t="s">
        <v>4876</v>
      </c>
      <c r="B7723" s="2" t="s">
        <v>4876</v>
      </c>
      <c r="C7723" s="2" t="s">
        <v>4877</v>
      </c>
      <c r="D7723" s="3" t="str">
        <f t="shared" ref="D7723:D7725" si="1338">HYPERLINK("https://12go.asia/en/travel/Arequipa-Airport/Arequipa-Transfer", "12Go Link")</f>
        <v>12Go Link</v>
      </c>
      <c r="E7723" s="2" t="s">
        <v>4878</v>
      </c>
    </row>
    <row r="7724">
      <c r="A7724" s="2" t="s">
        <v>4876</v>
      </c>
      <c r="B7724" s="2" t="s">
        <v>4876</v>
      </c>
      <c r="C7724" s="2" t="s">
        <v>4877</v>
      </c>
      <c r="D7724" s="3" t="str">
        <f t="shared" si="1338"/>
        <v>12Go Link</v>
      </c>
      <c r="E7724" s="2" t="s">
        <v>4879</v>
      </c>
    </row>
    <row r="7725">
      <c r="A7725" s="2" t="s">
        <v>4876</v>
      </c>
      <c r="B7725" s="2" t="s">
        <v>4876</v>
      </c>
      <c r="C7725" s="2" t="s">
        <v>4877</v>
      </c>
      <c r="D7725" s="3" t="str">
        <f t="shared" si="1338"/>
        <v>12Go Link</v>
      </c>
      <c r="E7725" s="2" t="s">
        <v>4880</v>
      </c>
    </row>
    <row r="7726">
      <c r="A7726" s="2" t="s">
        <v>4881</v>
      </c>
      <c r="B7726" s="2" t="s">
        <v>4881</v>
      </c>
      <c r="C7726" s="2" t="s">
        <v>4882</v>
      </c>
      <c r="D7726" s="3" t="str">
        <f t="shared" ref="D7726:D7728" si="1339">HYPERLINK("https://12go.asia/en/travel/Cusco-Airport/Cusco-Transfer", "12Go Link")</f>
        <v>12Go Link</v>
      </c>
      <c r="E7726" s="2" t="s">
        <v>4878</v>
      </c>
    </row>
    <row r="7727">
      <c r="A7727" s="2" t="s">
        <v>4881</v>
      </c>
      <c r="B7727" s="2" t="s">
        <v>4881</v>
      </c>
      <c r="C7727" s="2" t="s">
        <v>4882</v>
      </c>
      <c r="D7727" s="3" t="str">
        <f t="shared" si="1339"/>
        <v>12Go Link</v>
      </c>
      <c r="E7727" s="2" t="s">
        <v>4879</v>
      </c>
    </row>
    <row r="7728">
      <c r="A7728" s="2" t="s">
        <v>4881</v>
      </c>
      <c r="B7728" s="2" t="s">
        <v>4881</v>
      </c>
      <c r="C7728" s="2" t="s">
        <v>4882</v>
      </c>
      <c r="D7728" s="3" t="str">
        <f t="shared" si="1339"/>
        <v>12Go Link</v>
      </c>
      <c r="E7728" s="2" t="s">
        <v>4880</v>
      </c>
    </row>
    <row r="7729">
      <c r="A7729" s="2" t="s">
        <v>4883</v>
      </c>
      <c r="B7729" s="2" t="s">
        <v>4883</v>
      </c>
      <c r="C7729" s="2" t="s">
        <v>4884</v>
      </c>
      <c r="D7729" s="3" t="str">
        <f t="shared" ref="D7729:D7731" si="1340">HYPERLINK("https://12go.asia/en/travel/Lima-Airport/Lima-Transfer", "12Go Link")</f>
        <v>12Go Link</v>
      </c>
      <c r="E7729" s="2" t="s">
        <v>4878</v>
      </c>
    </row>
    <row r="7730">
      <c r="A7730" s="2" t="s">
        <v>4883</v>
      </c>
      <c r="B7730" s="2" t="s">
        <v>4883</v>
      </c>
      <c r="C7730" s="2" t="s">
        <v>4884</v>
      </c>
      <c r="D7730" s="3" t="str">
        <f t="shared" si="1340"/>
        <v>12Go Link</v>
      </c>
      <c r="E7730" s="2" t="s">
        <v>4879</v>
      </c>
    </row>
    <row r="7731">
      <c r="A7731" s="2" t="s">
        <v>4883</v>
      </c>
      <c r="B7731" s="2" t="s">
        <v>4883</v>
      </c>
      <c r="C7731" s="2" t="s">
        <v>4884</v>
      </c>
      <c r="D7731" s="3" t="str">
        <f t="shared" si="1340"/>
        <v>12Go Link</v>
      </c>
      <c r="E7731" s="2" t="s">
        <v>4880</v>
      </c>
    </row>
    <row r="7732">
      <c r="A7732" s="2" t="s">
        <v>4885</v>
      </c>
      <c r="B7732" s="2" t="s">
        <v>4886</v>
      </c>
      <c r="C7732" s="2" t="s">
        <v>4887</v>
      </c>
      <c r="D7732" s="3" t="str">
        <f>HYPERLINK("https://12go.asia/en/travel/Coron-Port/El-Nido-Ferry-Terminal", "12Go Link")</f>
        <v>12Go Link</v>
      </c>
      <c r="E7732" s="2" t="s">
        <v>3706</v>
      </c>
    </row>
    <row r="7733">
      <c r="A7733" s="2" t="s">
        <v>4885</v>
      </c>
      <c r="B7733" s="2" t="s">
        <v>4888</v>
      </c>
      <c r="C7733" s="2" t="s">
        <v>4889</v>
      </c>
      <c r="D7733" s="3" t="str">
        <f t="shared" ref="D7733:D7736" si="1341">HYPERLINK("https://12go.asia/en/travel/Coron-Port/Baseco-Port", "12Go Link")</f>
        <v>12Go Link</v>
      </c>
      <c r="E7733" s="2" t="s">
        <v>4890</v>
      </c>
    </row>
    <row r="7734">
      <c r="A7734" s="2" t="s">
        <v>4885</v>
      </c>
      <c r="B7734" s="2" t="s">
        <v>4888</v>
      </c>
      <c r="C7734" s="2" t="s">
        <v>4889</v>
      </c>
      <c r="D7734" s="3" t="str">
        <f t="shared" si="1341"/>
        <v>12Go Link</v>
      </c>
      <c r="E7734" s="2" t="s">
        <v>4891</v>
      </c>
    </row>
    <row r="7735">
      <c r="A7735" s="2" t="s">
        <v>4885</v>
      </c>
      <c r="B7735" s="2" t="s">
        <v>4888</v>
      </c>
      <c r="C7735" s="2" t="s">
        <v>4889</v>
      </c>
      <c r="D7735" s="3" t="str">
        <f t="shared" si="1341"/>
        <v>12Go Link</v>
      </c>
      <c r="E7735" s="2" t="s">
        <v>4892</v>
      </c>
    </row>
    <row r="7736">
      <c r="A7736" s="2" t="s">
        <v>4885</v>
      </c>
      <c r="B7736" s="2" t="s">
        <v>4888</v>
      </c>
      <c r="C7736" s="2" t="s">
        <v>4889</v>
      </c>
      <c r="D7736" s="3" t="str">
        <f t="shared" si="1341"/>
        <v>12Go Link</v>
      </c>
      <c r="E7736" s="2" t="s">
        <v>4893</v>
      </c>
    </row>
    <row r="7737">
      <c r="A7737" s="2" t="s">
        <v>4886</v>
      </c>
      <c r="B7737" s="2" t="s">
        <v>4885</v>
      </c>
      <c r="C7737" s="2" t="s">
        <v>4894</v>
      </c>
      <c r="D7737" s="3" t="str">
        <f>HYPERLINK("https://12go.asia/en/travel/El-Nido-Ferry-Terminal/Coron-Port", "12Go Link")</f>
        <v>12Go Link</v>
      </c>
      <c r="E7737" s="2" t="s">
        <v>3706</v>
      </c>
    </row>
    <row r="7738">
      <c r="A7738" s="2" t="s">
        <v>4886</v>
      </c>
      <c r="B7738" s="2" t="s">
        <v>4888</v>
      </c>
      <c r="C7738" s="2" t="s">
        <v>4895</v>
      </c>
      <c r="D7738" s="3" t="str">
        <f t="shared" ref="D7738:D7739" si="1342">HYPERLINK("https://12go.asia/en/travel/El-Nido-Ferry-Terminal/Baseco-Port", "12Go Link")</f>
        <v>12Go Link</v>
      </c>
      <c r="E7738" s="2" t="s">
        <v>4890</v>
      </c>
    </row>
    <row r="7739">
      <c r="A7739" s="2" t="s">
        <v>4886</v>
      </c>
      <c r="B7739" s="2" t="s">
        <v>4888</v>
      </c>
      <c r="C7739" s="2" t="s">
        <v>4895</v>
      </c>
      <c r="D7739" s="3" t="str">
        <f t="shared" si="1342"/>
        <v>12Go Link</v>
      </c>
      <c r="E7739" s="2" t="s">
        <v>4891</v>
      </c>
    </row>
    <row r="7740">
      <c r="A7740" s="2" t="s">
        <v>4896</v>
      </c>
      <c r="B7740" s="2" t="s">
        <v>4897</v>
      </c>
      <c r="C7740" s="2" t="s">
        <v>4898</v>
      </c>
      <c r="D7740" s="3" t="str">
        <f>HYPERLINK("https://12go.asia/en/travel/luneta-park/sagada", "12Go Link")</f>
        <v>12Go Link</v>
      </c>
      <c r="E7740" s="2" t="s">
        <v>59</v>
      </c>
    </row>
    <row r="7741">
      <c r="A7741" s="2" t="s">
        <v>4888</v>
      </c>
      <c r="B7741" s="2" t="s">
        <v>4885</v>
      </c>
      <c r="C7741" s="2" t="s">
        <v>4899</v>
      </c>
      <c r="D7741" s="3" t="str">
        <f t="shared" ref="D7741:D7744" si="1343">HYPERLINK("https://12go.asia/en/travel/Baseco-Port/Coron-Port", "12Go Link")</f>
        <v>12Go Link</v>
      </c>
      <c r="E7741" s="2" t="s">
        <v>4890</v>
      </c>
    </row>
    <row r="7742">
      <c r="A7742" s="2" t="s">
        <v>4888</v>
      </c>
      <c r="B7742" s="2" t="s">
        <v>4885</v>
      </c>
      <c r="C7742" s="2" t="s">
        <v>4899</v>
      </c>
      <c r="D7742" s="3" t="str">
        <f t="shared" si="1343"/>
        <v>12Go Link</v>
      </c>
      <c r="E7742" s="2" t="s">
        <v>4891</v>
      </c>
    </row>
    <row r="7743">
      <c r="A7743" s="2" t="s">
        <v>4888</v>
      </c>
      <c r="B7743" s="2" t="s">
        <v>4885</v>
      </c>
      <c r="C7743" s="2" t="s">
        <v>4899</v>
      </c>
      <c r="D7743" s="3" t="str">
        <f t="shared" si="1343"/>
        <v>12Go Link</v>
      </c>
      <c r="E7743" s="2" t="s">
        <v>4892</v>
      </c>
    </row>
    <row r="7744">
      <c r="A7744" s="2" t="s">
        <v>4888</v>
      </c>
      <c r="B7744" s="2" t="s">
        <v>4885</v>
      </c>
      <c r="C7744" s="2" t="s">
        <v>4899</v>
      </c>
      <c r="D7744" s="3" t="str">
        <f t="shared" si="1343"/>
        <v>12Go Link</v>
      </c>
      <c r="E7744" s="2" t="s">
        <v>4893</v>
      </c>
    </row>
    <row r="7745">
      <c r="A7745" s="2" t="s">
        <v>4888</v>
      </c>
      <c r="B7745" s="2" t="s">
        <v>4886</v>
      </c>
      <c r="C7745" s="2" t="s">
        <v>4900</v>
      </c>
      <c r="D7745" s="3" t="str">
        <f t="shared" ref="D7745:D7746" si="1344">HYPERLINK("https://12go.asia/en/travel/Baseco-Port/El-Nido-Ferry-Terminal", "12Go Link")</f>
        <v>12Go Link</v>
      </c>
      <c r="E7745" s="2" t="s">
        <v>4890</v>
      </c>
    </row>
    <row r="7746">
      <c r="A7746" s="2" t="s">
        <v>4888</v>
      </c>
      <c r="B7746" s="2" t="s">
        <v>4886</v>
      </c>
      <c r="C7746" s="2" t="s">
        <v>4900</v>
      </c>
      <c r="D7746" s="3" t="str">
        <f t="shared" si="1344"/>
        <v>12Go Link</v>
      </c>
      <c r="E7746" s="2" t="s">
        <v>4891</v>
      </c>
    </row>
    <row r="7747">
      <c r="A7747" s="2" t="s">
        <v>4901</v>
      </c>
      <c r="B7747" s="2" t="s">
        <v>4902</v>
      </c>
      <c r="C7747" s="2" t="s">
        <v>4903</v>
      </c>
      <c r="D7747" s="3" t="str">
        <f>HYPERLINK("https://12go.asia/en/travel/misamis-occidental/panglao", "12Go Link")</f>
        <v>12Go Link</v>
      </c>
      <c r="E7747" s="2" t="s">
        <v>292</v>
      </c>
    </row>
    <row r="7748">
      <c r="A7748" s="2" t="s">
        <v>4897</v>
      </c>
      <c r="B7748" s="2" t="s">
        <v>4904</v>
      </c>
      <c r="C7748" s="2" t="s">
        <v>4905</v>
      </c>
      <c r="D7748" s="3" t="str">
        <f>HYPERLINK("https://12go.asia/en/travel/sagada/baclaran", "12Go Link")</f>
        <v>12Go Link</v>
      </c>
      <c r="E7748" s="2" t="s">
        <v>59</v>
      </c>
    </row>
    <row r="7749">
      <c r="A7749" s="2" t="s">
        <v>4156</v>
      </c>
      <c r="B7749" s="2" t="s">
        <v>4153</v>
      </c>
      <c r="C7749" s="2" t="s">
        <v>4906</v>
      </c>
      <c r="D7749" s="3" t="str">
        <f t="shared" ref="D7749:D7751" si="1345">HYPERLINK("https://12go.asia/en/travel/Singapore-Hotel-Transfer/Johor-Bahru", "12Go Link")</f>
        <v>12Go Link</v>
      </c>
      <c r="E7749" s="2" t="s">
        <v>4137</v>
      </c>
    </row>
    <row r="7750">
      <c r="A7750" s="2" t="s">
        <v>4156</v>
      </c>
      <c r="B7750" s="2" t="s">
        <v>4153</v>
      </c>
      <c r="C7750" s="2" t="s">
        <v>4906</v>
      </c>
      <c r="D7750" s="3" t="str">
        <f t="shared" si="1345"/>
        <v>12Go Link</v>
      </c>
      <c r="E7750" s="2" t="s">
        <v>4138</v>
      </c>
    </row>
    <row r="7751">
      <c r="A7751" s="2" t="s">
        <v>4156</v>
      </c>
      <c r="B7751" s="2" t="s">
        <v>4153</v>
      </c>
      <c r="C7751" s="2" t="s">
        <v>4906</v>
      </c>
      <c r="D7751" s="3" t="str">
        <f t="shared" si="1345"/>
        <v>12Go Link</v>
      </c>
      <c r="E7751" s="2" t="s">
        <v>4139</v>
      </c>
    </row>
    <row r="7752">
      <c r="A7752" s="2" t="s">
        <v>4156</v>
      </c>
      <c r="B7752" s="2" t="s">
        <v>4130</v>
      </c>
      <c r="C7752" s="2" t="s">
        <v>4907</v>
      </c>
      <c r="D7752" s="3" t="str">
        <f t="shared" ref="D7752:D7754" si="1346">HYPERLINK("https://12go.asia/en/travel/Singapore-Hotel-Transfer/Kuala-Lumpur-Hotel-Transfer", "12Go Link")</f>
        <v>12Go Link</v>
      </c>
      <c r="E7752" s="2" t="s">
        <v>4137</v>
      </c>
    </row>
    <row r="7753">
      <c r="A7753" s="2" t="s">
        <v>4156</v>
      </c>
      <c r="B7753" s="2" t="s">
        <v>4130</v>
      </c>
      <c r="C7753" s="2" t="s">
        <v>4907</v>
      </c>
      <c r="D7753" s="3" t="str">
        <f t="shared" si="1346"/>
        <v>12Go Link</v>
      </c>
      <c r="E7753" s="2" t="s">
        <v>4138</v>
      </c>
    </row>
    <row r="7754">
      <c r="A7754" s="2" t="s">
        <v>4156</v>
      </c>
      <c r="B7754" s="2" t="s">
        <v>4130</v>
      </c>
      <c r="C7754" s="2" t="s">
        <v>4907</v>
      </c>
      <c r="D7754" s="3" t="str">
        <f t="shared" si="1346"/>
        <v>12Go Link</v>
      </c>
      <c r="E7754" s="2" t="s">
        <v>4139</v>
      </c>
    </row>
    <row r="7755">
      <c r="A7755" s="2" t="s">
        <v>4156</v>
      </c>
      <c r="B7755" s="2" t="s">
        <v>4130</v>
      </c>
      <c r="C7755" s="2" t="s">
        <v>4908</v>
      </c>
      <c r="D7755" s="3" t="str">
        <f>HYPERLINK("https://12go.asia/en/travel/jurong-east-bus-mrt-interchange/tbs-kuala-lumpur", "12Go Link")</f>
        <v>12Go Link</v>
      </c>
      <c r="E7755" s="2" t="s">
        <v>59</v>
      </c>
    </row>
    <row r="7756">
      <c r="A7756" s="2" t="s">
        <v>4156</v>
      </c>
      <c r="B7756" s="2" t="s">
        <v>4130</v>
      </c>
      <c r="C7756" s="2" t="s">
        <v>4909</v>
      </c>
      <c r="D7756" s="3" t="str">
        <f>HYPERLINK("https://12go.asia/en/travel/kovan-hub-206/tbs-kuala-lumpur", "12Go Link")</f>
        <v>12Go Link</v>
      </c>
      <c r="E7756" s="2" t="s">
        <v>59</v>
      </c>
    </row>
    <row r="7757">
      <c r="A7757" s="2" t="s">
        <v>3673</v>
      </c>
      <c r="B7757" s="2" t="s">
        <v>3663</v>
      </c>
      <c r="C7757" s="2" t="s">
        <v>4910</v>
      </c>
      <c r="D7757" s="3" t="str">
        <f>HYPERLINK("https://12go.asia/en/travel/Busan/Hakata", "12Go Link")</f>
        <v>12Go Link</v>
      </c>
      <c r="E7757" s="2" t="s">
        <v>3675</v>
      </c>
    </row>
    <row r="7758">
      <c r="A7758" s="2" t="s">
        <v>4911</v>
      </c>
      <c r="B7758" s="2" t="s">
        <v>4911</v>
      </c>
      <c r="C7758" s="2" t="s">
        <v>4912</v>
      </c>
      <c r="D7758" s="3" t="str">
        <f t="shared" ref="D7758:D7761" si="1347">HYPERLINK("https://12go.asia/en/travel/Incheon-Airport/Incheon-Transfer", "12Go Link")</f>
        <v>12Go Link</v>
      </c>
      <c r="E7758" s="2" t="s">
        <v>286</v>
      </c>
    </row>
    <row r="7759">
      <c r="A7759" s="2" t="s">
        <v>4911</v>
      </c>
      <c r="B7759" s="2" t="s">
        <v>4911</v>
      </c>
      <c r="C7759" s="2" t="s">
        <v>4912</v>
      </c>
      <c r="D7759" s="3" t="str">
        <f t="shared" si="1347"/>
        <v>12Go Link</v>
      </c>
      <c r="E7759" s="2" t="s">
        <v>3407</v>
      </c>
    </row>
    <row r="7760">
      <c r="A7760" s="2" t="s">
        <v>4911</v>
      </c>
      <c r="B7760" s="2" t="s">
        <v>4911</v>
      </c>
      <c r="C7760" s="2" t="s">
        <v>4912</v>
      </c>
      <c r="D7760" s="3" t="str">
        <f t="shared" si="1347"/>
        <v>12Go Link</v>
      </c>
      <c r="E7760" s="2" t="s">
        <v>3408</v>
      </c>
    </row>
    <row r="7761">
      <c r="A7761" s="2" t="s">
        <v>4911</v>
      </c>
      <c r="B7761" s="2" t="s">
        <v>4911</v>
      </c>
      <c r="C7761" s="2" t="s">
        <v>4912</v>
      </c>
      <c r="D7761" s="3" t="str">
        <f t="shared" si="1347"/>
        <v>12Go Link</v>
      </c>
      <c r="E7761" s="2" t="s">
        <v>3409</v>
      </c>
    </row>
    <row r="7762">
      <c r="A7762" s="2" t="s">
        <v>4911</v>
      </c>
      <c r="B7762" s="2" t="s">
        <v>4911</v>
      </c>
      <c r="C7762" s="2" t="s">
        <v>4913</v>
      </c>
      <c r="D7762" s="3" t="str">
        <f t="shared" ref="D7762:D7765" si="1348">HYPERLINK("https://12go.asia/en/travel/Incheon-Transfer/Incheon-Airport", "12Go Link")</f>
        <v>12Go Link</v>
      </c>
      <c r="E7762" s="2" t="s">
        <v>286</v>
      </c>
    </row>
    <row r="7763">
      <c r="A7763" s="2" t="s">
        <v>4911</v>
      </c>
      <c r="B7763" s="2" t="s">
        <v>4911</v>
      </c>
      <c r="C7763" s="2" t="s">
        <v>4913</v>
      </c>
      <c r="D7763" s="3" t="str">
        <f t="shared" si="1348"/>
        <v>12Go Link</v>
      </c>
      <c r="E7763" s="2" t="s">
        <v>3407</v>
      </c>
    </row>
    <row r="7764">
      <c r="A7764" s="2" t="s">
        <v>4911</v>
      </c>
      <c r="B7764" s="2" t="s">
        <v>4911</v>
      </c>
      <c r="C7764" s="2" t="s">
        <v>4913</v>
      </c>
      <c r="D7764" s="3" t="str">
        <f t="shared" si="1348"/>
        <v>12Go Link</v>
      </c>
      <c r="E7764" s="2" t="s">
        <v>3408</v>
      </c>
    </row>
    <row r="7765">
      <c r="A7765" s="2" t="s">
        <v>4911</v>
      </c>
      <c r="B7765" s="2" t="s">
        <v>4911</v>
      </c>
      <c r="C7765" s="2" t="s">
        <v>4913</v>
      </c>
      <c r="D7765" s="3" t="str">
        <f t="shared" si="1348"/>
        <v>12Go Link</v>
      </c>
      <c r="E7765" s="2" t="s">
        <v>3409</v>
      </c>
    </row>
    <row r="7766">
      <c r="A7766" s="2" t="s">
        <v>4911</v>
      </c>
      <c r="B7766" s="2" t="s">
        <v>4914</v>
      </c>
      <c r="C7766" s="2" t="s">
        <v>4915</v>
      </c>
      <c r="D7766" s="3" t="str">
        <f t="shared" ref="D7766:D7769" si="1349">HYPERLINK("https://12go.asia/en/travel/Incheon-Transfer/Gimpo-Airport", "12Go Link")</f>
        <v>12Go Link</v>
      </c>
      <c r="E7766" s="2" t="s">
        <v>286</v>
      </c>
    </row>
    <row r="7767">
      <c r="A7767" s="2" t="s">
        <v>4911</v>
      </c>
      <c r="B7767" s="2" t="s">
        <v>4914</v>
      </c>
      <c r="C7767" s="2" t="s">
        <v>4915</v>
      </c>
      <c r="D7767" s="3" t="str">
        <f t="shared" si="1349"/>
        <v>12Go Link</v>
      </c>
      <c r="E7767" s="2" t="s">
        <v>3407</v>
      </c>
    </row>
    <row r="7768">
      <c r="A7768" s="2" t="s">
        <v>4911</v>
      </c>
      <c r="B7768" s="2" t="s">
        <v>4914</v>
      </c>
      <c r="C7768" s="2" t="s">
        <v>4915</v>
      </c>
      <c r="D7768" s="3" t="str">
        <f t="shared" si="1349"/>
        <v>12Go Link</v>
      </c>
      <c r="E7768" s="2" t="s">
        <v>3408</v>
      </c>
    </row>
    <row r="7769">
      <c r="A7769" s="2" t="s">
        <v>4911</v>
      </c>
      <c r="B7769" s="2" t="s">
        <v>4914</v>
      </c>
      <c r="C7769" s="2" t="s">
        <v>4915</v>
      </c>
      <c r="D7769" s="3" t="str">
        <f t="shared" si="1349"/>
        <v>12Go Link</v>
      </c>
      <c r="E7769" s="2" t="s">
        <v>3409</v>
      </c>
    </row>
    <row r="7770">
      <c r="A7770" s="2" t="s">
        <v>4914</v>
      </c>
      <c r="B7770" s="2" t="s">
        <v>4911</v>
      </c>
      <c r="C7770" s="2" t="s">
        <v>4916</v>
      </c>
      <c r="D7770" s="3" t="str">
        <f t="shared" ref="D7770:D7773" si="1350">HYPERLINK("https://12go.asia/en/travel/Gimpo-Airport/Incheon-Transfer", "12Go Link")</f>
        <v>12Go Link</v>
      </c>
      <c r="E7770" s="2" t="s">
        <v>286</v>
      </c>
    </row>
    <row r="7771">
      <c r="A7771" s="2" t="s">
        <v>4914</v>
      </c>
      <c r="B7771" s="2" t="s">
        <v>4911</v>
      </c>
      <c r="C7771" s="2" t="s">
        <v>4916</v>
      </c>
      <c r="D7771" s="3" t="str">
        <f t="shared" si="1350"/>
        <v>12Go Link</v>
      </c>
      <c r="E7771" s="2" t="s">
        <v>3407</v>
      </c>
    </row>
    <row r="7772">
      <c r="A7772" s="2" t="s">
        <v>4914</v>
      </c>
      <c r="B7772" s="2" t="s">
        <v>4911</v>
      </c>
      <c r="C7772" s="2" t="s">
        <v>4916</v>
      </c>
      <c r="D7772" s="3" t="str">
        <f t="shared" si="1350"/>
        <v>12Go Link</v>
      </c>
      <c r="E7772" s="2" t="s">
        <v>3408</v>
      </c>
    </row>
    <row r="7773">
      <c r="A7773" s="2" t="s">
        <v>4914</v>
      </c>
      <c r="B7773" s="2" t="s">
        <v>4911</v>
      </c>
      <c r="C7773" s="2" t="s">
        <v>4916</v>
      </c>
      <c r="D7773" s="3" t="str">
        <f t="shared" si="1350"/>
        <v>12Go Link</v>
      </c>
      <c r="E7773" s="2" t="s">
        <v>3409</v>
      </c>
    </row>
    <row r="7774">
      <c r="A7774" s="2" t="s">
        <v>4755</v>
      </c>
      <c r="B7774" s="2" t="s">
        <v>4413</v>
      </c>
      <c r="C7774" s="2" t="s">
        <v>4917</v>
      </c>
      <c r="D7774" s="3" t="str">
        <f t="shared" ref="D7774:D7779" si="1351">HYPERLINK("https://12go.asia/en/travel/Melilla-Hotel-Transfer/Oujda-Angads-Airport", "12Go Link")</f>
        <v>12Go Link</v>
      </c>
      <c r="E7774" s="2" t="s">
        <v>4336</v>
      </c>
    </row>
    <row r="7775">
      <c r="A7775" s="2" t="s">
        <v>4755</v>
      </c>
      <c r="B7775" s="2" t="s">
        <v>4413</v>
      </c>
      <c r="C7775" s="2" t="s">
        <v>4917</v>
      </c>
      <c r="D7775" s="3" t="str">
        <f t="shared" si="1351"/>
        <v>12Go Link</v>
      </c>
      <c r="E7775" s="2" t="s">
        <v>4337</v>
      </c>
    </row>
    <row r="7776">
      <c r="A7776" s="2" t="s">
        <v>4755</v>
      </c>
      <c r="B7776" s="2" t="s">
        <v>4413</v>
      </c>
      <c r="C7776" s="2" t="s">
        <v>4917</v>
      </c>
      <c r="D7776" s="3" t="str">
        <f t="shared" si="1351"/>
        <v>12Go Link</v>
      </c>
      <c r="E7776" s="2" t="s">
        <v>4137</v>
      </c>
    </row>
    <row r="7777">
      <c r="A7777" s="2" t="s">
        <v>4755</v>
      </c>
      <c r="B7777" s="2" t="s">
        <v>4413</v>
      </c>
      <c r="C7777" s="2" t="s">
        <v>4917</v>
      </c>
      <c r="D7777" s="3" t="str">
        <f t="shared" si="1351"/>
        <v>12Go Link</v>
      </c>
      <c r="E7777" s="2" t="s">
        <v>4338</v>
      </c>
    </row>
    <row r="7778">
      <c r="A7778" s="2" t="s">
        <v>4755</v>
      </c>
      <c r="B7778" s="2" t="s">
        <v>4413</v>
      </c>
      <c r="C7778" s="2" t="s">
        <v>4917</v>
      </c>
      <c r="D7778" s="3" t="str">
        <f t="shared" si="1351"/>
        <v>12Go Link</v>
      </c>
      <c r="E7778" s="2" t="s">
        <v>4339</v>
      </c>
    </row>
    <row r="7779">
      <c r="A7779" s="2" t="s">
        <v>4755</v>
      </c>
      <c r="B7779" s="2" t="s">
        <v>4413</v>
      </c>
      <c r="C7779" s="2" t="s">
        <v>4917</v>
      </c>
      <c r="D7779" s="3" t="str">
        <f t="shared" si="1351"/>
        <v>12Go Link</v>
      </c>
      <c r="E7779" s="2" t="s">
        <v>4340</v>
      </c>
    </row>
    <row r="7780">
      <c r="A7780" s="2" t="s">
        <v>4918</v>
      </c>
      <c r="B7780" s="2" t="s">
        <v>4919</v>
      </c>
      <c r="C7780" s="2" t="s">
        <v>4920</v>
      </c>
      <c r="D7780" s="3" t="str">
        <f t="shared" ref="D7780:D7782" si="1352">HYPERLINK("https://12go.asia/en/travel/Adams-Peak/Ahangama", "12Go Link")</f>
        <v>12Go Link</v>
      </c>
      <c r="E7780" s="2" t="s">
        <v>286</v>
      </c>
    </row>
    <row r="7781">
      <c r="A7781" s="2" t="s">
        <v>4918</v>
      </c>
      <c r="B7781" s="2" t="s">
        <v>4919</v>
      </c>
      <c r="C7781" s="2" t="s">
        <v>4920</v>
      </c>
      <c r="D7781" s="3" t="str">
        <f t="shared" si="1352"/>
        <v>12Go Link</v>
      </c>
      <c r="E7781" s="2" t="s">
        <v>4139</v>
      </c>
    </row>
    <row r="7782">
      <c r="A7782" s="2" t="s">
        <v>4918</v>
      </c>
      <c r="B7782" s="2" t="s">
        <v>4919</v>
      </c>
      <c r="C7782" s="2" t="s">
        <v>4920</v>
      </c>
      <c r="D7782" s="3" t="str">
        <f t="shared" si="1352"/>
        <v>12Go Link</v>
      </c>
      <c r="E7782" s="2" t="s">
        <v>3409</v>
      </c>
    </row>
    <row r="7783">
      <c r="A7783" s="2" t="s">
        <v>4918</v>
      </c>
      <c r="B7783" s="2" t="s">
        <v>4921</v>
      </c>
      <c r="C7783" s="2" t="s">
        <v>4922</v>
      </c>
      <c r="D7783" s="3" t="str">
        <f t="shared" ref="D7783:D7785" si="1353">HYPERLINK("https://12go.asia/en/travel/Adams-Peak/Ahungalla", "12Go Link")</f>
        <v>12Go Link</v>
      </c>
      <c r="E7783" s="2" t="s">
        <v>286</v>
      </c>
    </row>
    <row r="7784">
      <c r="A7784" s="2" t="s">
        <v>4918</v>
      </c>
      <c r="B7784" s="2" t="s">
        <v>4921</v>
      </c>
      <c r="C7784" s="2" t="s">
        <v>4922</v>
      </c>
      <c r="D7784" s="3" t="str">
        <f t="shared" si="1353"/>
        <v>12Go Link</v>
      </c>
      <c r="E7784" s="2" t="s">
        <v>4139</v>
      </c>
    </row>
    <row r="7785">
      <c r="A7785" s="2" t="s">
        <v>4918</v>
      </c>
      <c r="B7785" s="2" t="s">
        <v>4921</v>
      </c>
      <c r="C7785" s="2" t="s">
        <v>4922</v>
      </c>
      <c r="D7785" s="3" t="str">
        <f t="shared" si="1353"/>
        <v>12Go Link</v>
      </c>
      <c r="E7785" s="2" t="s">
        <v>3409</v>
      </c>
    </row>
    <row r="7786">
      <c r="A7786" s="2" t="s">
        <v>4918</v>
      </c>
      <c r="B7786" s="2" t="s">
        <v>4923</v>
      </c>
      <c r="C7786" s="2" t="s">
        <v>4924</v>
      </c>
      <c r="D7786" s="3" t="str">
        <f t="shared" ref="D7786:D7788" si="1354">HYPERLINK("https://12go.asia/en/travel/Adams-Peak/Aluthgama", "12Go Link")</f>
        <v>12Go Link</v>
      </c>
      <c r="E7786" s="2" t="s">
        <v>286</v>
      </c>
    </row>
    <row r="7787">
      <c r="A7787" s="2" t="s">
        <v>4918</v>
      </c>
      <c r="B7787" s="2" t="s">
        <v>4923</v>
      </c>
      <c r="C7787" s="2" t="s">
        <v>4924</v>
      </c>
      <c r="D7787" s="3" t="str">
        <f t="shared" si="1354"/>
        <v>12Go Link</v>
      </c>
      <c r="E7787" s="2" t="s">
        <v>4139</v>
      </c>
    </row>
    <row r="7788">
      <c r="A7788" s="2" t="s">
        <v>4918</v>
      </c>
      <c r="B7788" s="2" t="s">
        <v>4923</v>
      </c>
      <c r="C7788" s="2" t="s">
        <v>4924</v>
      </c>
      <c r="D7788" s="3" t="str">
        <f t="shared" si="1354"/>
        <v>12Go Link</v>
      </c>
      <c r="E7788" s="2" t="s">
        <v>3409</v>
      </c>
    </row>
    <row r="7789">
      <c r="A7789" s="2" t="s">
        <v>4918</v>
      </c>
      <c r="B7789" s="2" t="s">
        <v>4925</v>
      </c>
      <c r="C7789" s="2" t="s">
        <v>4926</v>
      </c>
      <c r="D7789" s="3" t="str">
        <f t="shared" ref="D7789:D7791" si="1355">HYPERLINK("https://12go.asia/en/travel/Adams-Peak/Ambalangoda", "12Go Link")</f>
        <v>12Go Link</v>
      </c>
      <c r="E7789" s="2" t="s">
        <v>286</v>
      </c>
    </row>
    <row r="7790">
      <c r="A7790" s="2" t="s">
        <v>4918</v>
      </c>
      <c r="B7790" s="2" t="s">
        <v>4925</v>
      </c>
      <c r="C7790" s="2" t="s">
        <v>4926</v>
      </c>
      <c r="D7790" s="3" t="str">
        <f t="shared" si="1355"/>
        <v>12Go Link</v>
      </c>
      <c r="E7790" s="2" t="s">
        <v>4139</v>
      </c>
    </row>
    <row r="7791">
      <c r="A7791" s="2" t="s">
        <v>4918</v>
      </c>
      <c r="B7791" s="2" t="s">
        <v>4925</v>
      </c>
      <c r="C7791" s="2" t="s">
        <v>4926</v>
      </c>
      <c r="D7791" s="3" t="str">
        <f t="shared" si="1355"/>
        <v>12Go Link</v>
      </c>
      <c r="E7791" s="2" t="s">
        <v>3409</v>
      </c>
    </row>
    <row r="7792">
      <c r="A7792" s="2" t="s">
        <v>4918</v>
      </c>
      <c r="B7792" s="2" t="s">
        <v>4927</v>
      </c>
      <c r="C7792" s="2" t="s">
        <v>4928</v>
      </c>
      <c r="D7792" s="3" t="str">
        <f t="shared" ref="D7792:D7794" si="1356">HYPERLINK("https://12go.asia/en/travel/Adams-Peak/Ambalantota", "12Go Link")</f>
        <v>12Go Link</v>
      </c>
      <c r="E7792" s="2" t="s">
        <v>286</v>
      </c>
    </row>
    <row r="7793">
      <c r="A7793" s="2" t="s">
        <v>4918</v>
      </c>
      <c r="B7793" s="2" t="s">
        <v>4927</v>
      </c>
      <c r="C7793" s="2" t="s">
        <v>4928</v>
      </c>
      <c r="D7793" s="3" t="str">
        <f t="shared" si="1356"/>
        <v>12Go Link</v>
      </c>
      <c r="E7793" s="2" t="s">
        <v>4139</v>
      </c>
    </row>
    <row r="7794">
      <c r="A7794" s="2" t="s">
        <v>4918</v>
      </c>
      <c r="B7794" s="2" t="s">
        <v>4927</v>
      </c>
      <c r="C7794" s="2" t="s">
        <v>4928</v>
      </c>
      <c r="D7794" s="3" t="str">
        <f t="shared" si="1356"/>
        <v>12Go Link</v>
      </c>
      <c r="E7794" s="2" t="s">
        <v>3409</v>
      </c>
    </row>
    <row r="7795">
      <c r="A7795" s="2" t="s">
        <v>4918</v>
      </c>
      <c r="B7795" s="2" t="s">
        <v>4929</v>
      </c>
      <c r="C7795" s="2" t="s">
        <v>4930</v>
      </c>
      <c r="D7795" s="3" t="str">
        <f t="shared" ref="D7795:D7797" si="1357">HYPERLINK("https://12go.asia/en/travel/Adams-Peak/Anuradhapura", "12Go Link")</f>
        <v>12Go Link</v>
      </c>
      <c r="E7795" s="2" t="s">
        <v>286</v>
      </c>
    </row>
    <row r="7796">
      <c r="A7796" s="2" t="s">
        <v>4918</v>
      </c>
      <c r="B7796" s="2" t="s">
        <v>4929</v>
      </c>
      <c r="C7796" s="2" t="s">
        <v>4930</v>
      </c>
      <c r="D7796" s="3" t="str">
        <f t="shared" si="1357"/>
        <v>12Go Link</v>
      </c>
      <c r="E7796" s="2" t="s">
        <v>4139</v>
      </c>
    </row>
    <row r="7797">
      <c r="A7797" s="2" t="s">
        <v>4918</v>
      </c>
      <c r="B7797" s="2" t="s">
        <v>4929</v>
      </c>
      <c r="C7797" s="2" t="s">
        <v>4930</v>
      </c>
      <c r="D7797" s="3" t="str">
        <f t="shared" si="1357"/>
        <v>12Go Link</v>
      </c>
      <c r="E7797" s="2" t="s">
        <v>3409</v>
      </c>
    </row>
    <row r="7798">
      <c r="A7798" s="2" t="s">
        <v>4918</v>
      </c>
      <c r="B7798" s="2" t="s">
        <v>4931</v>
      </c>
      <c r="C7798" s="2" t="s">
        <v>4932</v>
      </c>
      <c r="D7798" s="3" t="str">
        <f t="shared" ref="D7798:D7800" si="1358">HYPERLINK("https://12go.asia/en/travel/Adams-Peak/Arugam-bay", "12Go Link")</f>
        <v>12Go Link</v>
      </c>
      <c r="E7798" s="2" t="s">
        <v>286</v>
      </c>
    </row>
    <row r="7799">
      <c r="A7799" s="2" t="s">
        <v>4918</v>
      </c>
      <c r="B7799" s="2" t="s">
        <v>4931</v>
      </c>
      <c r="C7799" s="2" t="s">
        <v>4932</v>
      </c>
      <c r="D7799" s="3" t="str">
        <f t="shared" si="1358"/>
        <v>12Go Link</v>
      </c>
      <c r="E7799" s="2" t="s">
        <v>4139</v>
      </c>
    </row>
    <row r="7800">
      <c r="A7800" s="2" t="s">
        <v>4918</v>
      </c>
      <c r="B7800" s="2" t="s">
        <v>4931</v>
      </c>
      <c r="C7800" s="2" t="s">
        <v>4932</v>
      </c>
      <c r="D7800" s="3" t="str">
        <f t="shared" si="1358"/>
        <v>12Go Link</v>
      </c>
      <c r="E7800" s="2" t="s">
        <v>3409</v>
      </c>
    </row>
    <row r="7801">
      <c r="A7801" s="2" t="s">
        <v>4918</v>
      </c>
      <c r="B7801" s="2" t="s">
        <v>4933</v>
      </c>
      <c r="C7801" s="2" t="s">
        <v>4934</v>
      </c>
      <c r="D7801" s="3" t="str">
        <f t="shared" ref="D7801:D7803" si="1359">HYPERLINK("https://12go.asia/en/travel/Adams-Peak/balapitiya", "12Go Link")</f>
        <v>12Go Link</v>
      </c>
      <c r="E7801" s="2" t="s">
        <v>286</v>
      </c>
    </row>
    <row r="7802">
      <c r="A7802" s="2" t="s">
        <v>4918</v>
      </c>
      <c r="B7802" s="2" t="s">
        <v>4933</v>
      </c>
      <c r="C7802" s="2" t="s">
        <v>4934</v>
      </c>
      <c r="D7802" s="3" t="str">
        <f t="shared" si="1359"/>
        <v>12Go Link</v>
      </c>
      <c r="E7802" s="2" t="s">
        <v>4139</v>
      </c>
    </row>
    <row r="7803">
      <c r="A7803" s="2" t="s">
        <v>4918</v>
      </c>
      <c r="B7803" s="2" t="s">
        <v>4933</v>
      </c>
      <c r="C7803" s="2" t="s">
        <v>4934</v>
      </c>
      <c r="D7803" s="3" t="str">
        <f t="shared" si="1359"/>
        <v>12Go Link</v>
      </c>
      <c r="E7803" s="2" t="s">
        <v>3409</v>
      </c>
    </row>
    <row r="7804">
      <c r="A7804" s="2" t="s">
        <v>4918</v>
      </c>
      <c r="B7804" s="2" t="s">
        <v>4935</v>
      </c>
      <c r="C7804" s="2" t="s">
        <v>4936</v>
      </c>
      <c r="D7804" s="3" t="str">
        <f t="shared" ref="D7804:D7806" si="1360">HYPERLINK("https://12go.asia/en/travel/Adams-Peak/Batticaloa", "12Go Link")</f>
        <v>12Go Link</v>
      </c>
      <c r="E7804" s="2" t="s">
        <v>286</v>
      </c>
    </row>
    <row r="7805">
      <c r="A7805" s="2" t="s">
        <v>4918</v>
      </c>
      <c r="B7805" s="2" t="s">
        <v>4935</v>
      </c>
      <c r="C7805" s="2" t="s">
        <v>4936</v>
      </c>
      <c r="D7805" s="3" t="str">
        <f t="shared" si="1360"/>
        <v>12Go Link</v>
      </c>
      <c r="E7805" s="2" t="s">
        <v>4139</v>
      </c>
    </row>
    <row r="7806">
      <c r="A7806" s="2" t="s">
        <v>4918</v>
      </c>
      <c r="B7806" s="2" t="s">
        <v>4935</v>
      </c>
      <c r="C7806" s="2" t="s">
        <v>4936</v>
      </c>
      <c r="D7806" s="3" t="str">
        <f t="shared" si="1360"/>
        <v>12Go Link</v>
      </c>
      <c r="E7806" s="2" t="s">
        <v>3409</v>
      </c>
    </row>
    <row r="7807">
      <c r="A7807" s="2" t="s">
        <v>4918</v>
      </c>
      <c r="B7807" s="2" t="s">
        <v>4937</v>
      </c>
      <c r="C7807" s="2" t="s">
        <v>4938</v>
      </c>
      <c r="D7807" s="3" t="str">
        <f t="shared" ref="D7807:D7809" si="1361">HYPERLINK("https://12go.asia/en/travel/Adams-Peak/Bentota", "12Go Link")</f>
        <v>12Go Link</v>
      </c>
      <c r="E7807" s="2" t="s">
        <v>286</v>
      </c>
    </row>
    <row r="7808">
      <c r="A7808" s="2" t="s">
        <v>4918</v>
      </c>
      <c r="B7808" s="2" t="s">
        <v>4937</v>
      </c>
      <c r="C7808" s="2" t="s">
        <v>4938</v>
      </c>
      <c r="D7808" s="3" t="str">
        <f t="shared" si="1361"/>
        <v>12Go Link</v>
      </c>
      <c r="E7808" s="2" t="s">
        <v>4139</v>
      </c>
    </row>
    <row r="7809">
      <c r="A7809" s="2" t="s">
        <v>4918</v>
      </c>
      <c r="B7809" s="2" t="s">
        <v>4937</v>
      </c>
      <c r="C7809" s="2" t="s">
        <v>4938</v>
      </c>
      <c r="D7809" s="3" t="str">
        <f t="shared" si="1361"/>
        <v>12Go Link</v>
      </c>
      <c r="E7809" s="2" t="s">
        <v>3409</v>
      </c>
    </row>
    <row r="7810">
      <c r="A7810" s="2" t="s">
        <v>4918</v>
      </c>
      <c r="B7810" s="2" t="s">
        <v>4939</v>
      </c>
      <c r="C7810" s="2" t="s">
        <v>4940</v>
      </c>
      <c r="D7810" s="3" t="str">
        <f t="shared" ref="D7810:D7812" si="1362">HYPERLINK("https://12go.asia/en/travel/Adams-Peak/Beruwala", "12Go Link")</f>
        <v>12Go Link</v>
      </c>
      <c r="E7810" s="2" t="s">
        <v>286</v>
      </c>
    </row>
    <row r="7811">
      <c r="A7811" s="2" t="s">
        <v>4918</v>
      </c>
      <c r="B7811" s="2" t="s">
        <v>4939</v>
      </c>
      <c r="C7811" s="2" t="s">
        <v>4940</v>
      </c>
      <c r="D7811" s="3" t="str">
        <f t="shared" si="1362"/>
        <v>12Go Link</v>
      </c>
      <c r="E7811" s="2" t="s">
        <v>4139</v>
      </c>
    </row>
    <row r="7812">
      <c r="A7812" s="2" t="s">
        <v>4918</v>
      </c>
      <c r="B7812" s="2" t="s">
        <v>4939</v>
      </c>
      <c r="C7812" s="2" t="s">
        <v>4940</v>
      </c>
      <c r="D7812" s="3" t="str">
        <f t="shared" si="1362"/>
        <v>12Go Link</v>
      </c>
      <c r="E7812" s="2" t="s">
        <v>3409</v>
      </c>
    </row>
    <row r="7813">
      <c r="A7813" s="2" t="s">
        <v>4918</v>
      </c>
      <c r="B7813" s="2" t="s">
        <v>4941</v>
      </c>
      <c r="C7813" s="2" t="s">
        <v>4942</v>
      </c>
      <c r="D7813" s="3" t="str">
        <f t="shared" ref="D7813:D7815" si="1363">HYPERLINK("https://12go.asia/en/travel/Adams-Peak/Bundala", "12Go Link")</f>
        <v>12Go Link</v>
      </c>
      <c r="E7813" s="2" t="s">
        <v>286</v>
      </c>
    </row>
    <row r="7814">
      <c r="A7814" s="2" t="s">
        <v>4918</v>
      </c>
      <c r="B7814" s="2" t="s">
        <v>4941</v>
      </c>
      <c r="C7814" s="2" t="s">
        <v>4942</v>
      </c>
      <c r="D7814" s="3" t="str">
        <f t="shared" si="1363"/>
        <v>12Go Link</v>
      </c>
      <c r="E7814" s="2" t="s">
        <v>4139</v>
      </c>
    </row>
    <row r="7815">
      <c r="A7815" s="2" t="s">
        <v>4918</v>
      </c>
      <c r="B7815" s="2" t="s">
        <v>4941</v>
      </c>
      <c r="C7815" s="2" t="s">
        <v>4942</v>
      </c>
      <c r="D7815" s="3" t="str">
        <f t="shared" si="1363"/>
        <v>12Go Link</v>
      </c>
      <c r="E7815" s="2" t="s">
        <v>3409</v>
      </c>
    </row>
    <row r="7816">
      <c r="A7816" s="2" t="s">
        <v>4918</v>
      </c>
      <c r="B7816" s="2" t="s">
        <v>4943</v>
      </c>
      <c r="C7816" s="2" t="s">
        <v>4944</v>
      </c>
      <c r="D7816" s="3" t="str">
        <f t="shared" ref="D7816:D7818" si="1364">HYPERLINK("https://12go.asia/en/travel/Adams-Peak/Bambalapitiya", "12Go Link")</f>
        <v>12Go Link</v>
      </c>
      <c r="E7816" s="2" t="s">
        <v>286</v>
      </c>
    </row>
    <row r="7817">
      <c r="A7817" s="2" t="s">
        <v>4918</v>
      </c>
      <c r="B7817" s="2" t="s">
        <v>4943</v>
      </c>
      <c r="C7817" s="2" t="s">
        <v>4944</v>
      </c>
      <c r="D7817" s="3" t="str">
        <f t="shared" si="1364"/>
        <v>12Go Link</v>
      </c>
      <c r="E7817" s="2" t="s">
        <v>4139</v>
      </c>
    </row>
    <row r="7818">
      <c r="A7818" s="2" t="s">
        <v>4918</v>
      </c>
      <c r="B7818" s="2" t="s">
        <v>4943</v>
      </c>
      <c r="C7818" s="2" t="s">
        <v>4944</v>
      </c>
      <c r="D7818" s="3" t="str">
        <f t="shared" si="1364"/>
        <v>12Go Link</v>
      </c>
      <c r="E7818" s="2" t="s">
        <v>3409</v>
      </c>
    </row>
    <row r="7819">
      <c r="A7819" s="2" t="s">
        <v>4918</v>
      </c>
      <c r="B7819" s="2" t="s">
        <v>4945</v>
      </c>
      <c r="C7819" s="2" t="s">
        <v>4946</v>
      </c>
      <c r="D7819" s="3" t="str">
        <f t="shared" ref="D7819:D7821" si="1365">HYPERLINK("https://12go.asia/en/travel/Adams-Peak/Bandaranaike-Airport", "12Go Link")</f>
        <v>12Go Link</v>
      </c>
      <c r="E7819" s="2" t="s">
        <v>286</v>
      </c>
    </row>
    <row r="7820">
      <c r="A7820" s="2" t="s">
        <v>4918</v>
      </c>
      <c r="B7820" s="2" t="s">
        <v>4945</v>
      </c>
      <c r="C7820" s="2" t="s">
        <v>4946</v>
      </c>
      <c r="D7820" s="3" t="str">
        <f t="shared" si="1365"/>
        <v>12Go Link</v>
      </c>
      <c r="E7820" s="2" t="s">
        <v>4139</v>
      </c>
    </row>
    <row r="7821">
      <c r="A7821" s="2" t="s">
        <v>4918</v>
      </c>
      <c r="B7821" s="2" t="s">
        <v>4945</v>
      </c>
      <c r="C7821" s="2" t="s">
        <v>4946</v>
      </c>
      <c r="D7821" s="3" t="str">
        <f t="shared" si="1365"/>
        <v>12Go Link</v>
      </c>
      <c r="E7821" s="2" t="s">
        <v>3409</v>
      </c>
    </row>
    <row r="7822">
      <c r="A7822" s="2" t="s">
        <v>4918</v>
      </c>
      <c r="B7822" s="2" t="s">
        <v>4947</v>
      </c>
      <c r="C7822" s="2" t="s">
        <v>4948</v>
      </c>
      <c r="D7822" s="3" t="str">
        <f t="shared" ref="D7822:D7824" si="1366">HYPERLINK("https://12go.asia/en/travel/Adams-Peak/Dambulla", "12Go Link")</f>
        <v>12Go Link</v>
      </c>
      <c r="E7822" s="2" t="s">
        <v>286</v>
      </c>
    </row>
    <row r="7823">
      <c r="A7823" s="2" t="s">
        <v>4918</v>
      </c>
      <c r="B7823" s="2" t="s">
        <v>4947</v>
      </c>
      <c r="C7823" s="2" t="s">
        <v>4948</v>
      </c>
      <c r="D7823" s="3" t="str">
        <f t="shared" si="1366"/>
        <v>12Go Link</v>
      </c>
      <c r="E7823" s="2" t="s">
        <v>4139</v>
      </c>
    </row>
    <row r="7824">
      <c r="A7824" s="2" t="s">
        <v>4918</v>
      </c>
      <c r="B7824" s="2" t="s">
        <v>4947</v>
      </c>
      <c r="C7824" s="2" t="s">
        <v>4948</v>
      </c>
      <c r="D7824" s="3" t="str">
        <f t="shared" si="1366"/>
        <v>12Go Link</v>
      </c>
      <c r="E7824" s="2" t="s">
        <v>3409</v>
      </c>
    </row>
    <row r="7825">
      <c r="A7825" s="2" t="s">
        <v>4918</v>
      </c>
      <c r="B7825" s="2" t="s">
        <v>4949</v>
      </c>
      <c r="C7825" s="2" t="s">
        <v>4950</v>
      </c>
      <c r="D7825" s="3" t="str">
        <f t="shared" ref="D7825:D7827" si="1367">HYPERLINK("https://12go.asia/en/travel/Adams-Peak/Deniyaya", "12Go Link")</f>
        <v>12Go Link</v>
      </c>
      <c r="E7825" s="2" t="s">
        <v>286</v>
      </c>
    </row>
    <row r="7826">
      <c r="A7826" s="2" t="s">
        <v>4918</v>
      </c>
      <c r="B7826" s="2" t="s">
        <v>4949</v>
      </c>
      <c r="C7826" s="2" t="s">
        <v>4950</v>
      </c>
      <c r="D7826" s="3" t="str">
        <f t="shared" si="1367"/>
        <v>12Go Link</v>
      </c>
      <c r="E7826" s="2" t="s">
        <v>4139</v>
      </c>
    </row>
    <row r="7827">
      <c r="A7827" s="2" t="s">
        <v>4918</v>
      </c>
      <c r="B7827" s="2" t="s">
        <v>4949</v>
      </c>
      <c r="C7827" s="2" t="s">
        <v>4950</v>
      </c>
      <c r="D7827" s="3" t="str">
        <f t="shared" si="1367"/>
        <v>12Go Link</v>
      </c>
      <c r="E7827" s="2" t="s">
        <v>3409</v>
      </c>
    </row>
    <row r="7828">
      <c r="A7828" s="2" t="s">
        <v>4918</v>
      </c>
      <c r="B7828" s="2" t="s">
        <v>4951</v>
      </c>
      <c r="C7828" s="2" t="s">
        <v>4952</v>
      </c>
      <c r="D7828" s="3" t="str">
        <f t="shared" ref="D7828:D7830" si="1368">HYPERLINK("https://12go.asia/en/travel/Adams-Peak/Dickwella", "12Go Link")</f>
        <v>12Go Link</v>
      </c>
      <c r="E7828" s="2" t="s">
        <v>286</v>
      </c>
    </row>
    <row r="7829">
      <c r="A7829" s="2" t="s">
        <v>4918</v>
      </c>
      <c r="B7829" s="2" t="s">
        <v>4951</v>
      </c>
      <c r="C7829" s="2" t="s">
        <v>4952</v>
      </c>
      <c r="D7829" s="3" t="str">
        <f t="shared" si="1368"/>
        <v>12Go Link</v>
      </c>
      <c r="E7829" s="2" t="s">
        <v>4139</v>
      </c>
    </row>
    <row r="7830">
      <c r="A7830" s="2" t="s">
        <v>4918</v>
      </c>
      <c r="B7830" s="2" t="s">
        <v>4951</v>
      </c>
      <c r="C7830" s="2" t="s">
        <v>4952</v>
      </c>
      <c r="D7830" s="3" t="str">
        <f t="shared" si="1368"/>
        <v>12Go Link</v>
      </c>
      <c r="E7830" s="2" t="s">
        <v>3409</v>
      </c>
    </row>
    <row r="7831">
      <c r="A7831" s="2" t="s">
        <v>4918</v>
      </c>
      <c r="B7831" s="2" t="s">
        <v>4951</v>
      </c>
      <c r="C7831" s="2" t="s">
        <v>4953</v>
      </c>
      <c r="D7831" s="3" t="str">
        <f t="shared" ref="D7831:D7833" si="1369">HYPERLINK("https://12go.asia/en/travel/Adams-Peak/Hiriketiya-beach", "12Go Link")</f>
        <v>12Go Link</v>
      </c>
      <c r="E7831" s="2" t="s">
        <v>286</v>
      </c>
    </row>
    <row r="7832">
      <c r="A7832" s="2" t="s">
        <v>4918</v>
      </c>
      <c r="B7832" s="2" t="s">
        <v>4951</v>
      </c>
      <c r="C7832" s="2" t="s">
        <v>4953</v>
      </c>
      <c r="D7832" s="3" t="str">
        <f t="shared" si="1369"/>
        <v>12Go Link</v>
      </c>
      <c r="E7832" s="2" t="s">
        <v>4139</v>
      </c>
    </row>
    <row r="7833">
      <c r="A7833" s="2" t="s">
        <v>4918</v>
      </c>
      <c r="B7833" s="2" t="s">
        <v>4951</v>
      </c>
      <c r="C7833" s="2" t="s">
        <v>4953</v>
      </c>
      <c r="D7833" s="3" t="str">
        <f t="shared" si="1369"/>
        <v>12Go Link</v>
      </c>
      <c r="E7833" s="2" t="s">
        <v>3409</v>
      </c>
    </row>
    <row r="7834">
      <c r="A7834" s="2" t="s">
        <v>4918</v>
      </c>
      <c r="B7834" s="2" t="s">
        <v>4954</v>
      </c>
      <c r="C7834" s="2" t="s">
        <v>4955</v>
      </c>
      <c r="D7834" s="3" t="str">
        <f t="shared" ref="D7834:D7836" si="1370">HYPERLINK("https://12go.asia/en/travel/Adams-Peak/Galle", "12Go Link")</f>
        <v>12Go Link</v>
      </c>
      <c r="E7834" s="2" t="s">
        <v>286</v>
      </c>
    </row>
    <row r="7835">
      <c r="A7835" s="2" t="s">
        <v>4918</v>
      </c>
      <c r="B7835" s="2" t="s">
        <v>4954</v>
      </c>
      <c r="C7835" s="2" t="s">
        <v>4955</v>
      </c>
      <c r="D7835" s="3" t="str">
        <f t="shared" si="1370"/>
        <v>12Go Link</v>
      </c>
      <c r="E7835" s="2" t="s">
        <v>4139</v>
      </c>
    </row>
    <row r="7836">
      <c r="A7836" s="2" t="s">
        <v>4918</v>
      </c>
      <c r="B7836" s="2" t="s">
        <v>4954</v>
      </c>
      <c r="C7836" s="2" t="s">
        <v>4955</v>
      </c>
      <c r="D7836" s="3" t="str">
        <f t="shared" si="1370"/>
        <v>12Go Link</v>
      </c>
      <c r="E7836" s="2" t="s">
        <v>3409</v>
      </c>
    </row>
    <row r="7837">
      <c r="A7837" s="2" t="s">
        <v>4918</v>
      </c>
      <c r="B7837" s="2" t="s">
        <v>4954</v>
      </c>
      <c r="C7837" s="2" t="s">
        <v>4956</v>
      </c>
      <c r="D7837" s="3" t="str">
        <f t="shared" ref="D7837:D7839" si="1371">HYPERLINK("https://12go.asia/en/travel/Adams-Peak/Talpe", "12Go Link")</f>
        <v>12Go Link</v>
      </c>
      <c r="E7837" s="2" t="s">
        <v>286</v>
      </c>
    </row>
    <row r="7838">
      <c r="A7838" s="2" t="s">
        <v>4918</v>
      </c>
      <c r="B7838" s="2" t="s">
        <v>4954</v>
      </c>
      <c r="C7838" s="2" t="s">
        <v>4956</v>
      </c>
      <c r="D7838" s="3" t="str">
        <f t="shared" si="1371"/>
        <v>12Go Link</v>
      </c>
      <c r="E7838" s="2" t="s">
        <v>4139</v>
      </c>
    </row>
    <row r="7839">
      <c r="A7839" s="2" t="s">
        <v>4918</v>
      </c>
      <c r="B7839" s="2" t="s">
        <v>4954</v>
      </c>
      <c r="C7839" s="2" t="s">
        <v>4956</v>
      </c>
      <c r="D7839" s="3" t="str">
        <f t="shared" si="1371"/>
        <v>12Go Link</v>
      </c>
      <c r="E7839" s="2" t="s">
        <v>3409</v>
      </c>
    </row>
    <row r="7840">
      <c r="A7840" s="2" t="s">
        <v>4918</v>
      </c>
      <c r="B7840" s="2" t="s">
        <v>4957</v>
      </c>
      <c r="C7840" s="2" t="s">
        <v>4958</v>
      </c>
      <c r="D7840" s="3" t="str">
        <f t="shared" ref="D7840:D7842" si="1372">HYPERLINK("https://12go.asia/en/travel/Adams-Peak/Habarana", "12Go Link")</f>
        <v>12Go Link</v>
      </c>
      <c r="E7840" s="2" t="s">
        <v>286</v>
      </c>
    </row>
    <row r="7841">
      <c r="A7841" s="2" t="s">
        <v>4918</v>
      </c>
      <c r="B7841" s="2" t="s">
        <v>4957</v>
      </c>
      <c r="C7841" s="2" t="s">
        <v>4958</v>
      </c>
      <c r="D7841" s="3" t="str">
        <f t="shared" si="1372"/>
        <v>12Go Link</v>
      </c>
      <c r="E7841" s="2" t="s">
        <v>4139</v>
      </c>
    </row>
    <row r="7842">
      <c r="A7842" s="2" t="s">
        <v>4918</v>
      </c>
      <c r="B7842" s="2" t="s">
        <v>4957</v>
      </c>
      <c r="C7842" s="2" t="s">
        <v>4958</v>
      </c>
      <c r="D7842" s="3" t="str">
        <f t="shared" si="1372"/>
        <v>12Go Link</v>
      </c>
      <c r="E7842" s="2" t="s">
        <v>3409</v>
      </c>
    </row>
    <row r="7843">
      <c r="A7843" s="2" t="s">
        <v>4918</v>
      </c>
      <c r="B7843" s="2" t="s">
        <v>4959</v>
      </c>
      <c r="C7843" s="2" t="s">
        <v>4960</v>
      </c>
      <c r="D7843" s="3" t="str">
        <f t="shared" ref="D7843:D7845" si="1373">HYPERLINK("https://12go.asia/en/travel/Adams-Peak/Ella", "12Go Link")</f>
        <v>12Go Link</v>
      </c>
      <c r="E7843" s="2" t="s">
        <v>286</v>
      </c>
    </row>
    <row r="7844">
      <c r="A7844" s="2" t="s">
        <v>4918</v>
      </c>
      <c r="B7844" s="2" t="s">
        <v>4959</v>
      </c>
      <c r="C7844" s="2" t="s">
        <v>4960</v>
      </c>
      <c r="D7844" s="3" t="str">
        <f t="shared" si="1373"/>
        <v>12Go Link</v>
      </c>
      <c r="E7844" s="2" t="s">
        <v>4139</v>
      </c>
    </row>
    <row r="7845">
      <c r="A7845" s="2" t="s">
        <v>4918</v>
      </c>
      <c r="B7845" s="2" t="s">
        <v>4959</v>
      </c>
      <c r="C7845" s="2" t="s">
        <v>4960</v>
      </c>
      <c r="D7845" s="3" t="str">
        <f t="shared" si="1373"/>
        <v>12Go Link</v>
      </c>
      <c r="E7845" s="2" t="s">
        <v>3409</v>
      </c>
    </row>
    <row r="7846">
      <c r="A7846" s="2" t="s">
        <v>4918</v>
      </c>
      <c r="B7846" s="2" t="s">
        <v>4961</v>
      </c>
      <c r="C7846" s="2" t="s">
        <v>4962</v>
      </c>
      <c r="D7846" s="3" t="str">
        <f t="shared" ref="D7846:D7848" si="1374">HYPERLINK("https://12go.asia/en/travel/Adams-Peak/Beragala", "12Go Link")</f>
        <v>12Go Link</v>
      </c>
      <c r="E7846" s="2" t="s">
        <v>286</v>
      </c>
    </row>
    <row r="7847">
      <c r="A7847" s="2" t="s">
        <v>4918</v>
      </c>
      <c r="B7847" s="2" t="s">
        <v>4961</v>
      </c>
      <c r="C7847" s="2" t="s">
        <v>4962</v>
      </c>
      <c r="D7847" s="3" t="str">
        <f t="shared" si="1374"/>
        <v>12Go Link</v>
      </c>
      <c r="E7847" s="2" t="s">
        <v>4139</v>
      </c>
    </row>
    <row r="7848">
      <c r="A7848" s="2" t="s">
        <v>4918</v>
      </c>
      <c r="B7848" s="2" t="s">
        <v>4961</v>
      </c>
      <c r="C7848" s="2" t="s">
        <v>4962</v>
      </c>
      <c r="D7848" s="3" t="str">
        <f t="shared" si="1374"/>
        <v>12Go Link</v>
      </c>
      <c r="E7848" s="2" t="s">
        <v>3409</v>
      </c>
    </row>
    <row r="7849">
      <c r="A7849" s="2" t="s">
        <v>4918</v>
      </c>
      <c r="B7849" s="2" t="s">
        <v>4963</v>
      </c>
      <c r="C7849" s="2" t="s">
        <v>4964</v>
      </c>
      <c r="D7849" s="3" t="str">
        <f t="shared" ref="D7849:D7851" si="1375">HYPERLINK("https://12go.asia/en/travel/Adams-Peak/Dick-oya", "12Go Link")</f>
        <v>12Go Link</v>
      </c>
      <c r="E7849" s="2" t="s">
        <v>286</v>
      </c>
    </row>
    <row r="7850">
      <c r="A7850" s="2" t="s">
        <v>4918</v>
      </c>
      <c r="B7850" s="2" t="s">
        <v>4963</v>
      </c>
      <c r="C7850" s="2" t="s">
        <v>4964</v>
      </c>
      <c r="D7850" s="3" t="str">
        <f t="shared" si="1375"/>
        <v>12Go Link</v>
      </c>
      <c r="E7850" s="2" t="s">
        <v>4139</v>
      </c>
    </row>
    <row r="7851">
      <c r="A7851" s="2" t="s">
        <v>4918</v>
      </c>
      <c r="B7851" s="2" t="s">
        <v>4963</v>
      </c>
      <c r="C7851" s="2" t="s">
        <v>4964</v>
      </c>
      <c r="D7851" s="3" t="str">
        <f t="shared" si="1375"/>
        <v>12Go Link</v>
      </c>
      <c r="E7851" s="2" t="s">
        <v>3409</v>
      </c>
    </row>
    <row r="7852">
      <c r="A7852" s="2" t="s">
        <v>4918</v>
      </c>
      <c r="B7852" s="2" t="s">
        <v>4965</v>
      </c>
      <c r="C7852" s="2" t="s">
        <v>4966</v>
      </c>
      <c r="D7852" s="3" t="str">
        <f t="shared" ref="D7852:D7854" si="1376">HYPERLINK("https://12go.asia/en/travel/Adams-Peak/Dodanduwa", "12Go Link")</f>
        <v>12Go Link</v>
      </c>
      <c r="E7852" s="2" t="s">
        <v>286</v>
      </c>
    </row>
    <row r="7853">
      <c r="A7853" s="2" t="s">
        <v>4918</v>
      </c>
      <c r="B7853" s="2" t="s">
        <v>4965</v>
      </c>
      <c r="C7853" s="2" t="s">
        <v>4966</v>
      </c>
      <c r="D7853" s="3" t="str">
        <f t="shared" si="1376"/>
        <v>12Go Link</v>
      </c>
      <c r="E7853" s="2" t="s">
        <v>4139</v>
      </c>
    </row>
    <row r="7854">
      <c r="A7854" s="2" t="s">
        <v>4918</v>
      </c>
      <c r="B7854" s="2" t="s">
        <v>4965</v>
      </c>
      <c r="C7854" s="2" t="s">
        <v>4966</v>
      </c>
      <c r="D7854" s="3" t="str">
        <f t="shared" si="1376"/>
        <v>12Go Link</v>
      </c>
      <c r="E7854" s="2" t="s">
        <v>3409</v>
      </c>
    </row>
    <row r="7855">
      <c r="A7855" s="2" t="s">
        <v>4918</v>
      </c>
      <c r="B7855" s="2" t="s">
        <v>4967</v>
      </c>
      <c r="C7855" s="2" t="s">
        <v>4968</v>
      </c>
      <c r="D7855" s="3" t="str">
        <f t="shared" ref="D7855:D7857" si="1377">HYPERLINK("https://12go.asia/en/travel/Adams-Peak/Induruwa", "12Go Link")</f>
        <v>12Go Link</v>
      </c>
      <c r="E7855" s="2" t="s">
        <v>286</v>
      </c>
    </row>
    <row r="7856">
      <c r="A7856" s="2" t="s">
        <v>4918</v>
      </c>
      <c r="B7856" s="2" t="s">
        <v>4967</v>
      </c>
      <c r="C7856" s="2" t="s">
        <v>4968</v>
      </c>
      <c r="D7856" s="3" t="str">
        <f t="shared" si="1377"/>
        <v>12Go Link</v>
      </c>
      <c r="E7856" s="2" t="s">
        <v>4139</v>
      </c>
    </row>
    <row r="7857">
      <c r="A7857" s="2" t="s">
        <v>4918</v>
      </c>
      <c r="B7857" s="2" t="s">
        <v>4967</v>
      </c>
      <c r="C7857" s="2" t="s">
        <v>4968</v>
      </c>
      <c r="D7857" s="3" t="str">
        <f t="shared" si="1377"/>
        <v>12Go Link</v>
      </c>
      <c r="E7857" s="2" t="s">
        <v>3409</v>
      </c>
    </row>
    <row r="7858">
      <c r="A7858" s="2" t="s">
        <v>4918</v>
      </c>
      <c r="B7858" s="2" t="s">
        <v>4969</v>
      </c>
      <c r="C7858" s="2" t="s">
        <v>4970</v>
      </c>
      <c r="D7858" s="3" t="str">
        <f t="shared" ref="D7858:D7860" si="1378">HYPERLINK("https://12go.asia/en/travel/Adams-Peak/Jaffna", "12Go Link")</f>
        <v>12Go Link</v>
      </c>
      <c r="E7858" s="2" t="s">
        <v>286</v>
      </c>
    </row>
    <row r="7859">
      <c r="A7859" s="2" t="s">
        <v>4918</v>
      </c>
      <c r="B7859" s="2" t="s">
        <v>4969</v>
      </c>
      <c r="C7859" s="2" t="s">
        <v>4970</v>
      </c>
      <c r="D7859" s="3" t="str">
        <f t="shared" si="1378"/>
        <v>12Go Link</v>
      </c>
      <c r="E7859" s="2" t="s">
        <v>4139</v>
      </c>
    </row>
    <row r="7860">
      <c r="A7860" s="2" t="s">
        <v>4918</v>
      </c>
      <c r="B7860" s="2" t="s">
        <v>4969</v>
      </c>
      <c r="C7860" s="2" t="s">
        <v>4970</v>
      </c>
      <c r="D7860" s="3" t="str">
        <f t="shared" si="1378"/>
        <v>12Go Link</v>
      </c>
      <c r="E7860" s="2" t="s">
        <v>3409</v>
      </c>
    </row>
    <row r="7861">
      <c r="A7861" s="2" t="s">
        <v>4918</v>
      </c>
      <c r="B7861" s="2" t="s">
        <v>4971</v>
      </c>
      <c r="C7861" s="2" t="s">
        <v>4972</v>
      </c>
      <c r="D7861" s="3" t="str">
        <f t="shared" ref="D7861:D7863" si="1379">HYPERLINK("https://12go.asia/en/travel/Adams-Peak/Kalapuwa", "12Go Link")</f>
        <v>12Go Link</v>
      </c>
      <c r="E7861" s="2" t="s">
        <v>286</v>
      </c>
    </row>
    <row r="7862">
      <c r="A7862" s="2" t="s">
        <v>4918</v>
      </c>
      <c r="B7862" s="2" t="s">
        <v>4971</v>
      </c>
      <c r="C7862" s="2" t="s">
        <v>4972</v>
      </c>
      <c r="D7862" s="3" t="str">
        <f t="shared" si="1379"/>
        <v>12Go Link</v>
      </c>
      <c r="E7862" s="2" t="s">
        <v>4139</v>
      </c>
    </row>
    <row r="7863">
      <c r="A7863" s="2" t="s">
        <v>4918</v>
      </c>
      <c r="B7863" s="2" t="s">
        <v>4971</v>
      </c>
      <c r="C7863" s="2" t="s">
        <v>4972</v>
      </c>
      <c r="D7863" s="3" t="str">
        <f t="shared" si="1379"/>
        <v>12Go Link</v>
      </c>
      <c r="E7863" s="2" t="s">
        <v>3409</v>
      </c>
    </row>
    <row r="7864">
      <c r="A7864" s="2" t="s">
        <v>4918</v>
      </c>
      <c r="B7864" s="2" t="s">
        <v>4973</v>
      </c>
      <c r="C7864" s="2" t="s">
        <v>4974</v>
      </c>
      <c r="D7864" s="3" t="str">
        <f t="shared" ref="D7864:D7866" si="1380">HYPERLINK("https://12go.asia/en/travel/Adams-Peak/Ampitiya", "12Go Link")</f>
        <v>12Go Link</v>
      </c>
      <c r="E7864" s="2" t="s">
        <v>286</v>
      </c>
    </row>
    <row r="7865">
      <c r="A7865" s="2" t="s">
        <v>4918</v>
      </c>
      <c r="B7865" s="2" t="s">
        <v>4973</v>
      </c>
      <c r="C7865" s="2" t="s">
        <v>4974</v>
      </c>
      <c r="D7865" s="3" t="str">
        <f t="shared" si="1380"/>
        <v>12Go Link</v>
      </c>
      <c r="E7865" s="2" t="s">
        <v>4139</v>
      </c>
    </row>
    <row r="7866">
      <c r="A7866" s="2" t="s">
        <v>4918</v>
      </c>
      <c r="B7866" s="2" t="s">
        <v>4973</v>
      </c>
      <c r="C7866" s="2" t="s">
        <v>4974</v>
      </c>
      <c r="D7866" s="3" t="str">
        <f t="shared" si="1380"/>
        <v>12Go Link</v>
      </c>
      <c r="E7866" s="2" t="s">
        <v>3409</v>
      </c>
    </row>
    <row r="7867">
      <c r="A7867" s="2" t="s">
        <v>4918</v>
      </c>
      <c r="B7867" s="2" t="s">
        <v>4973</v>
      </c>
      <c r="C7867" s="2" t="s">
        <v>4975</v>
      </c>
      <c r="D7867" s="3" t="str">
        <f t="shared" ref="D7867:D7869" si="1381">HYPERLINK("https://12go.asia/en/travel/Adams-Peak/Digana", "12Go Link")</f>
        <v>12Go Link</v>
      </c>
      <c r="E7867" s="2" t="s">
        <v>286</v>
      </c>
    </row>
    <row r="7868">
      <c r="A7868" s="2" t="s">
        <v>4918</v>
      </c>
      <c r="B7868" s="2" t="s">
        <v>4973</v>
      </c>
      <c r="C7868" s="2" t="s">
        <v>4975</v>
      </c>
      <c r="D7868" s="3" t="str">
        <f t="shared" si="1381"/>
        <v>12Go Link</v>
      </c>
      <c r="E7868" s="2" t="s">
        <v>4139</v>
      </c>
    </row>
    <row r="7869">
      <c r="A7869" s="2" t="s">
        <v>4918</v>
      </c>
      <c r="B7869" s="2" t="s">
        <v>4973</v>
      </c>
      <c r="C7869" s="2" t="s">
        <v>4975</v>
      </c>
      <c r="D7869" s="3" t="str">
        <f t="shared" si="1381"/>
        <v>12Go Link</v>
      </c>
      <c r="E7869" s="2" t="s">
        <v>3409</v>
      </c>
    </row>
    <row r="7870">
      <c r="A7870" s="2" t="s">
        <v>4918</v>
      </c>
      <c r="B7870" s="2" t="s">
        <v>4976</v>
      </c>
      <c r="C7870" s="2" t="s">
        <v>4977</v>
      </c>
      <c r="D7870" s="3" t="str">
        <f t="shared" ref="D7870:D7872" si="1382">HYPERLINK("https://12go.asia/en/travel/Adams-Peak/Kataragama", "12Go Link")</f>
        <v>12Go Link</v>
      </c>
      <c r="E7870" s="2" t="s">
        <v>286</v>
      </c>
    </row>
    <row r="7871">
      <c r="A7871" s="2" t="s">
        <v>4918</v>
      </c>
      <c r="B7871" s="2" t="s">
        <v>4976</v>
      </c>
      <c r="C7871" s="2" t="s">
        <v>4977</v>
      </c>
      <c r="D7871" s="3" t="str">
        <f t="shared" si="1382"/>
        <v>12Go Link</v>
      </c>
      <c r="E7871" s="2" t="s">
        <v>4139</v>
      </c>
    </row>
    <row r="7872">
      <c r="A7872" s="2" t="s">
        <v>4918</v>
      </c>
      <c r="B7872" s="2" t="s">
        <v>4976</v>
      </c>
      <c r="C7872" s="2" t="s">
        <v>4977</v>
      </c>
      <c r="D7872" s="3" t="str">
        <f t="shared" si="1382"/>
        <v>12Go Link</v>
      </c>
      <c r="E7872" s="2" t="s">
        <v>3409</v>
      </c>
    </row>
    <row r="7873">
      <c r="A7873" s="2" t="s">
        <v>4918</v>
      </c>
      <c r="B7873" s="2" t="s">
        <v>4978</v>
      </c>
      <c r="C7873" s="2" t="s">
        <v>4979</v>
      </c>
      <c r="D7873" s="3" t="str">
        <f t="shared" ref="D7873:D7875" si="1383">HYPERLINK("https://12go.asia/en/travel/Adams-Peak/Alawathupitiya", "12Go Link")</f>
        <v>12Go Link</v>
      </c>
      <c r="E7873" s="2" t="s">
        <v>286</v>
      </c>
    </row>
    <row r="7874">
      <c r="A7874" s="2" t="s">
        <v>4918</v>
      </c>
      <c r="B7874" s="2" t="s">
        <v>4978</v>
      </c>
      <c r="C7874" s="2" t="s">
        <v>4979</v>
      </c>
      <c r="D7874" s="3" t="str">
        <f t="shared" si="1383"/>
        <v>12Go Link</v>
      </c>
      <c r="E7874" s="2" t="s">
        <v>4139</v>
      </c>
    </row>
    <row r="7875">
      <c r="A7875" s="2" t="s">
        <v>4918</v>
      </c>
      <c r="B7875" s="2" t="s">
        <v>4978</v>
      </c>
      <c r="C7875" s="2" t="s">
        <v>4979</v>
      </c>
      <c r="D7875" s="3" t="str">
        <f t="shared" si="1383"/>
        <v>12Go Link</v>
      </c>
      <c r="E7875" s="2" t="s">
        <v>3409</v>
      </c>
    </row>
    <row r="7876">
      <c r="A7876" s="2" t="s">
        <v>4918</v>
      </c>
      <c r="B7876" s="2" t="s">
        <v>4980</v>
      </c>
      <c r="C7876" s="2" t="s">
        <v>4981</v>
      </c>
      <c r="D7876" s="3" t="str">
        <f t="shared" ref="D7876:D7878" si="1384">HYPERLINK("https://12go.asia/en/travel/Adams-Peak/Pinnawala", "12Go Link")</f>
        <v>12Go Link</v>
      </c>
      <c r="E7876" s="2" t="s">
        <v>286</v>
      </c>
    </row>
    <row r="7877">
      <c r="A7877" s="2" t="s">
        <v>4918</v>
      </c>
      <c r="B7877" s="2" t="s">
        <v>4980</v>
      </c>
      <c r="C7877" s="2" t="s">
        <v>4981</v>
      </c>
      <c r="D7877" s="3" t="str">
        <f t="shared" si="1384"/>
        <v>12Go Link</v>
      </c>
      <c r="E7877" s="2" t="s">
        <v>4139</v>
      </c>
    </row>
    <row r="7878">
      <c r="A7878" s="2" t="s">
        <v>4918</v>
      </c>
      <c r="B7878" s="2" t="s">
        <v>4980</v>
      </c>
      <c r="C7878" s="2" t="s">
        <v>4981</v>
      </c>
      <c r="D7878" s="3" t="str">
        <f t="shared" si="1384"/>
        <v>12Go Link</v>
      </c>
      <c r="E7878" s="2" t="s">
        <v>3409</v>
      </c>
    </row>
    <row r="7879">
      <c r="A7879" s="2" t="s">
        <v>4918</v>
      </c>
      <c r="B7879" s="2" t="s">
        <v>4982</v>
      </c>
      <c r="C7879" s="2" t="s">
        <v>4983</v>
      </c>
      <c r="D7879" s="3" t="str">
        <f t="shared" ref="D7879:D7881" si="1385">HYPERLINK("https://12go.asia/en/travel/Adams-Peak/Kitulgala", "12Go Link")</f>
        <v>12Go Link</v>
      </c>
      <c r="E7879" s="2" t="s">
        <v>286</v>
      </c>
    </row>
    <row r="7880">
      <c r="A7880" s="2" t="s">
        <v>4918</v>
      </c>
      <c r="B7880" s="2" t="s">
        <v>4982</v>
      </c>
      <c r="C7880" s="2" t="s">
        <v>4983</v>
      </c>
      <c r="D7880" s="3" t="str">
        <f t="shared" si="1385"/>
        <v>12Go Link</v>
      </c>
      <c r="E7880" s="2" t="s">
        <v>4139</v>
      </c>
    </row>
    <row r="7881">
      <c r="A7881" s="2" t="s">
        <v>4918</v>
      </c>
      <c r="B7881" s="2" t="s">
        <v>4982</v>
      </c>
      <c r="C7881" s="2" t="s">
        <v>4983</v>
      </c>
      <c r="D7881" s="3" t="str">
        <f t="shared" si="1385"/>
        <v>12Go Link</v>
      </c>
      <c r="E7881" s="2" t="s">
        <v>3409</v>
      </c>
    </row>
    <row r="7882">
      <c r="A7882" s="2" t="s">
        <v>4918</v>
      </c>
      <c r="B7882" s="2" t="s">
        <v>4984</v>
      </c>
      <c r="C7882" s="2" t="s">
        <v>4985</v>
      </c>
      <c r="D7882" s="3" t="str">
        <f t="shared" ref="D7882:D7884" si="1386">HYPERLINK("https://12go.asia/en/travel/Adams-Peak/Habaraduwa", "12Go Link")</f>
        <v>12Go Link</v>
      </c>
      <c r="E7882" s="2" t="s">
        <v>286</v>
      </c>
    </row>
    <row r="7883">
      <c r="A7883" s="2" t="s">
        <v>4918</v>
      </c>
      <c r="B7883" s="2" t="s">
        <v>4984</v>
      </c>
      <c r="C7883" s="2" t="s">
        <v>4985</v>
      </c>
      <c r="D7883" s="3" t="str">
        <f t="shared" si="1386"/>
        <v>12Go Link</v>
      </c>
      <c r="E7883" s="2" t="s">
        <v>4139</v>
      </c>
    </row>
    <row r="7884">
      <c r="A7884" s="2" t="s">
        <v>4918</v>
      </c>
      <c r="B7884" s="2" t="s">
        <v>4984</v>
      </c>
      <c r="C7884" s="2" t="s">
        <v>4985</v>
      </c>
      <c r="D7884" s="3" t="str">
        <f t="shared" si="1386"/>
        <v>12Go Link</v>
      </c>
      <c r="E7884" s="2" t="s">
        <v>3409</v>
      </c>
    </row>
    <row r="7885">
      <c r="A7885" s="2" t="s">
        <v>4918</v>
      </c>
      <c r="B7885" s="2" t="s">
        <v>4986</v>
      </c>
      <c r="C7885" s="2" t="s">
        <v>4987</v>
      </c>
      <c r="D7885" s="3" t="str">
        <f t="shared" ref="D7885:D7887" si="1387">HYPERLINK("https://12go.asia/en/travel/Adams-Peak/Kosgoda", "12Go Link")</f>
        <v>12Go Link</v>
      </c>
      <c r="E7885" s="2" t="s">
        <v>286</v>
      </c>
    </row>
    <row r="7886">
      <c r="A7886" s="2" t="s">
        <v>4918</v>
      </c>
      <c r="B7886" s="2" t="s">
        <v>4986</v>
      </c>
      <c r="C7886" s="2" t="s">
        <v>4987</v>
      </c>
      <c r="D7886" s="3" t="str">
        <f t="shared" si="1387"/>
        <v>12Go Link</v>
      </c>
      <c r="E7886" s="2" t="s">
        <v>4139</v>
      </c>
    </row>
    <row r="7887">
      <c r="A7887" s="2" t="s">
        <v>4918</v>
      </c>
      <c r="B7887" s="2" t="s">
        <v>4986</v>
      </c>
      <c r="C7887" s="2" t="s">
        <v>4987</v>
      </c>
      <c r="D7887" s="3" t="str">
        <f t="shared" si="1387"/>
        <v>12Go Link</v>
      </c>
      <c r="E7887" s="2" t="s">
        <v>3409</v>
      </c>
    </row>
    <row r="7888">
      <c r="A7888" s="2" t="s">
        <v>4918</v>
      </c>
      <c r="B7888" s="2" t="s">
        <v>4988</v>
      </c>
      <c r="C7888" s="2" t="s">
        <v>4989</v>
      </c>
      <c r="D7888" s="3" t="str">
        <f t="shared" ref="D7888:D7890" si="1388">HYPERLINK("https://12go.asia/en/travel/Adams-Peak/Kuchchaveli", "12Go Link")</f>
        <v>12Go Link</v>
      </c>
      <c r="E7888" s="2" t="s">
        <v>286</v>
      </c>
    </row>
    <row r="7889">
      <c r="A7889" s="2" t="s">
        <v>4918</v>
      </c>
      <c r="B7889" s="2" t="s">
        <v>4988</v>
      </c>
      <c r="C7889" s="2" t="s">
        <v>4989</v>
      </c>
      <c r="D7889" s="3" t="str">
        <f t="shared" si="1388"/>
        <v>12Go Link</v>
      </c>
      <c r="E7889" s="2" t="s">
        <v>4139</v>
      </c>
    </row>
    <row r="7890">
      <c r="A7890" s="2" t="s">
        <v>4918</v>
      </c>
      <c r="B7890" s="2" t="s">
        <v>4988</v>
      </c>
      <c r="C7890" s="2" t="s">
        <v>4989</v>
      </c>
      <c r="D7890" s="3" t="str">
        <f t="shared" si="1388"/>
        <v>12Go Link</v>
      </c>
      <c r="E7890" s="2" t="s">
        <v>3409</v>
      </c>
    </row>
    <row r="7891">
      <c r="A7891" s="2" t="s">
        <v>4918</v>
      </c>
      <c r="B7891" s="2" t="s">
        <v>4990</v>
      </c>
      <c r="C7891" s="2" t="s">
        <v>4991</v>
      </c>
      <c r="D7891" s="3" t="str">
        <f t="shared" ref="D7891:D7893" si="1389">HYPERLINK("https://12go.asia/en/travel/Adams-Peak/Mannar", "12Go Link")</f>
        <v>12Go Link</v>
      </c>
      <c r="E7891" s="2" t="s">
        <v>286</v>
      </c>
    </row>
    <row r="7892">
      <c r="A7892" s="2" t="s">
        <v>4918</v>
      </c>
      <c r="B7892" s="2" t="s">
        <v>4990</v>
      </c>
      <c r="C7892" s="2" t="s">
        <v>4991</v>
      </c>
      <c r="D7892" s="3" t="str">
        <f t="shared" si="1389"/>
        <v>12Go Link</v>
      </c>
      <c r="E7892" s="2" t="s">
        <v>4139</v>
      </c>
    </row>
    <row r="7893">
      <c r="A7893" s="2" t="s">
        <v>4918</v>
      </c>
      <c r="B7893" s="2" t="s">
        <v>4990</v>
      </c>
      <c r="C7893" s="2" t="s">
        <v>4991</v>
      </c>
      <c r="D7893" s="3" t="str">
        <f t="shared" si="1389"/>
        <v>12Go Link</v>
      </c>
      <c r="E7893" s="2" t="s">
        <v>3409</v>
      </c>
    </row>
    <row r="7894">
      <c r="A7894" s="2" t="s">
        <v>4918</v>
      </c>
      <c r="B7894" s="2" t="s">
        <v>4992</v>
      </c>
      <c r="C7894" s="2" t="s">
        <v>4993</v>
      </c>
      <c r="D7894" s="3" t="str">
        <f t="shared" ref="D7894:D7896" si="1390">HYPERLINK("https://12go.asia/en/travel/Adams-Peak/Kinigama", "12Go Link")</f>
        <v>12Go Link</v>
      </c>
      <c r="E7894" s="2" t="s">
        <v>286</v>
      </c>
    </row>
    <row r="7895">
      <c r="A7895" s="2" t="s">
        <v>4918</v>
      </c>
      <c r="B7895" s="2" t="s">
        <v>4992</v>
      </c>
      <c r="C7895" s="2" t="s">
        <v>4993</v>
      </c>
      <c r="D7895" s="3" t="str">
        <f t="shared" si="1390"/>
        <v>12Go Link</v>
      </c>
      <c r="E7895" s="2" t="s">
        <v>4139</v>
      </c>
    </row>
    <row r="7896">
      <c r="A7896" s="2" t="s">
        <v>4918</v>
      </c>
      <c r="B7896" s="2" t="s">
        <v>4992</v>
      </c>
      <c r="C7896" s="2" t="s">
        <v>4993</v>
      </c>
      <c r="D7896" s="3" t="str">
        <f t="shared" si="1390"/>
        <v>12Go Link</v>
      </c>
      <c r="E7896" s="2" t="s">
        <v>3409</v>
      </c>
    </row>
    <row r="7897">
      <c r="A7897" s="2" t="s">
        <v>4918</v>
      </c>
      <c r="B7897" s="2" t="s">
        <v>4994</v>
      </c>
      <c r="C7897" s="2" t="s">
        <v>4995</v>
      </c>
      <c r="D7897" s="3" t="str">
        <f t="shared" ref="D7897:D7899" si="1391">HYPERLINK("https://12go.asia/en/travel/Adams-Peak/Kalamatiya", "12Go Link")</f>
        <v>12Go Link</v>
      </c>
      <c r="E7897" s="2" t="s">
        <v>286</v>
      </c>
    </row>
    <row r="7898">
      <c r="A7898" s="2" t="s">
        <v>4918</v>
      </c>
      <c r="B7898" s="2" t="s">
        <v>4994</v>
      </c>
      <c r="C7898" s="2" t="s">
        <v>4995</v>
      </c>
      <c r="D7898" s="3" t="str">
        <f t="shared" si="1391"/>
        <v>12Go Link</v>
      </c>
      <c r="E7898" s="2" t="s">
        <v>4139</v>
      </c>
    </row>
    <row r="7899">
      <c r="A7899" s="2" t="s">
        <v>4918</v>
      </c>
      <c r="B7899" s="2" t="s">
        <v>4994</v>
      </c>
      <c r="C7899" s="2" t="s">
        <v>4995</v>
      </c>
      <c r="D7899" s="3" t="str">
        <f t="shared" si="1391"/>
        <v>12Go Link</v>
      </c>
      <c r="E7899" s="2" t="s">
        <v>3409</v>
      </c>
    </row>
    <row r="7900">
      <c r="A7900" s="2" t="s">
        <v>4918</v>
      </c>
      <c r="B7900" s="2" t="s">
        <v>4996</v>
      </c>
      <c r="C7900" s="2" t="s">
        <v>4997</v>
      </c>
      <c r="D7900" s="3" t="str">
        <f t="shared" ref="D7900:D7902" si="1392">HYPERLINK("https://12go.asia/en/travel/Adams-Peak/mirissa", "12Go Link")</f>
        <v>12Go Link</v>
      </c>
      <c r="E7900" s="2" t="s">
        <v>286</v>
      </c>
    </row>
    <row r="7901">
      <c r="A7901" s="2" t="s">
        <v>4918</v>
      </c>
      <c r="B7901" s="2" t="s">
        <v>4996</v>
      </c>
      <c r="C7901" s="2" t="s">
        <v>4997</v>
      </c>
      <c r="D7901" s="3" t="str">
        <f t="shared" si="1392"/>
        <v>12Go Link</v>
      </c>
      <c r="E7901" s="2" t="s">
        <v>4139</v>
      </c>
    </row>
    <row r="7902">
      <c r="A7902" s="2" t="s">
        <v>4918</v>
      </c>
      <c r="B7902" s="2" t="s">
        <v>4996</v>
      </c>
      <c r="C7902" s="2" t="s">
        <v>4997</v>
      </c>
      <c r="D7902" s="3" t="str">
        <f t="shared" si="1392"/>
        <v>12Go Link</v>
      </c>
      <c r="E7902" s="2" t="s">
        <v>3409</v>
      </c>
    </row>
    <row r="7903">
      <c r="A7903" s="2" t="s">
        <v>4918</v>
      </c>
      <c r="B7903" s="2" t="s">
        <v>4998</v>
      </c>
      <c r="C7903" s="2" t="s">
        <v>4999</v>
      </c>
      <c r="D7903" s="3" t="str">
        <f t="shared" ref="D7903:D7905" si="1393">HYPERLINK("https://12go.asia/en/travel/Adams-Peak/Nanu-Oya", "12Go Link")</f>
        <v>12Go Link</v>
      </c>
      <c r="E7903" s="2" t="s">
        <v>286</v>
      </c>
    </row>
    <row r="7904">
      <c r="A7904" s="2" t="s">
        <v>4918</v>
      </c>
      <c r="B7904" s="2" t="s">
        <v>4998</v>
      </c>
      <c r="C7904" s="2" t="s">
        <v>4999</v>
      </c>
      <c r="D7904" s="3" t="str">
        <f t="shared" si="1393"/>
        <v>12Go Link</v>
      </c>
      <c r="E7904" s="2" t="s">
        <v>4139</v>
      </c>
    </row>
    <row r="7905">
      <c r="A7905" s="2" t="s">
        <v>4918</v>
      </c>
      <c r="B7905" s="2" t="s">
        <v>4998</v>
      </c>
      <c r="C7905" s="2" t="s">
        <v>4999</v>
      </c>
      <c r="D7905" s="3" t="str">
        <f t="shared" si="1393"/>
        <v>12Go Link</v>
      </c>
      <c r="E7905" s="2" t="s">
        <v>3409</v>
      </c>
    </row>
    <row r="7906">
      <c r="A7906" s="2" t="s">
        <v>4918</v>
      </c>
      <c r="B7906" s="2" t="s">
        <v>5000</v>
      </c>
      <c r="C7906" s="2" t="s">
        <v>5001</v>
      </c>
      <c r="D7906" s="3" t="str">
        <f t="shared" ref="D7906:D7908" si="1394">HYPERLINK("https://12go.asia/en/travel/Adams-Peak/Dalupotha", "12Go Link")</f>
        <v>12Go Link</v>
      </c>
      <c r="E7906" s="2" t="s">
        <v>286</v>
      </c>
    </row>
    <row r="7907">
      <c r="A7907" s="2" t="s">
        <v>4918</v>
      </c>
      <c r="B7907" s="2" t="s">
        <v>5000</v>
      </c>
      <c r="C7907" s="2" t="s">
        <v>5001</v>
      </c>
      <c r="D7907" s="3" t="str">
        <f t="shared" si="1394"/>
        <v>12Go Link</v>
      </c>
      <c r="E7907" s="2" t="s">
        <v>4139</v>
      </c>
    </row>
    <row r="7908">
      <c r="A7908" s="2" t="s">
        <v>4918</v>
      </c>
      <c r="B7908" s="2" t="s">
        <v>5000</v>
      </c>
      <c r="C7908" s="2" t="s">
        <v>5001</v>
      </c>
      <c r="D7908" s="3" t="str">
        <f t="shared" si="1394"/>
        <v>12Go Link</v>
      </c>
      <c r="E7908" s="2" t="s">
        <v>3409</v>
      </c>
    </row>
    <row r="7909">
      <c r="A7909" s="2" t="s">
        <v>4918</v>
      </c>
      <c r="B7909" s="2" t="s">
        <v>5000</v>
      </c>
      <c r="C7909" s="2" t="s">
        <v>5002</v>
      </c>
      <c r="D7909" s="3" t="str">
        <f t="shared" ref="D7909:D7911" si="1395">HYPERLINK("https://12go.asia/en/travel/Adams-Peak/Waikkal", "12Go Link")</f>
        <v>12Go Link</v>
      </c>
      <c r="E7909" s="2" t="s">
        <v>286</v>
      </c>
    </row>
    <row r="7910">
      <c r="A7910" s="2" t="s">
        <v>4918</v>
      </c>
      <c r="B7910" s="2" t="s">
        <v>5000</v>
      </c>
      <c r="C7910" s="2" t="s">
        <v>5002</v>
      </c>
      <c r="D7910" s="3" t="str">
        <f t="shared" si="1395"/>
        <v>12Go Link</v>
      </c>
      <c r="E7910" s="2" t="s">
        <v>4139</v>
      </c>
    </row>
    <row r="7911">
      <c r="A7911" s="2" t="s">
        <v>4918</v>
      </c>
      <c r="B7911" s="2" t="s">
        <v>5000</v>
      </c>
      <c r="C7911" s="2" t="s">
        <v>5002</v>
      </c>
      <c r="D7911" s="3" t="str">
        <f t="shared" si="1395"/>
        <v>12Go Link</v>
      </c>
      <c r="E7911" s="2" t="s">
        <v>3409</v>
      </c>
    </row>
    <row r="7912">
      <c r="A7912" s="2" t="s">
        <v>4918</v>
      </c>
      <c r="B7912" s="2" t="s">
        <v>5003</v>
      </c>
      <c r="C7912" s="2" t="s">
        <v>5004</v>
      </c>
      <c r="D7912" s="3" t="str">
        <f t="shared" ref="D7912:D7914" si="1396">HYPERLINK("https://12go.asia/en/travel/Adams-Peak/Nilaveli", "12Go Link")</f>
        <v>12Go Link</v>
      </c>
      <c r="E7912" s="2" t="s">
        <v>286</v>
      </c>
    </row>
    <row r="7913">
      <c r="A7913" s="2" t="s">
        <v>4918</v>
      </c>
      <c r="B7913" s="2" t="s">
        <v>5003</v>
      </c>
      <c r="C7913" s="2" t="s">
        <v>5004</v>
      </c>
      <c r="D7913" s="3" t="str">
        <f t="shared" si="1396"/>
        <v>12Go Link</v>
      </c>
      <c r="E7913" s="2" t="s">
        <v>4139</v>
      </c>
    </row>
    <row r="7914">
      <c r="A7914" s="2" t="s">
        <v>4918</v>
      </c>
      <c r="B7914" s="2" t="s">
        <v>5003</v>
      </c>
      <c r="C7914" s="2" t="s">
        <v>5004</v>
      </c>
      <c r="D7914" s="3" t="str">
        <f t="shared" si="1396"/>
        <v>12Go Link</v>
      </c>
      <c r="E7914" s="2" t="s">
        <v>3409</v>
      </c>
    </row>
    <row r="7915">
      <c r="A7915" s="2" t="s">
        <v>4918</v>
      </c>
      <c r="B7915" s="2" t="s">
        <v>5005</v>
      </c>
      <c r="C7915" s="2" t="s">
        <v>5006</v>
      </c>
      <c r="D7915" s="3" t="str">
        <f t="shared" ref="D7915:D7917" si="1397">HYPERLINK("https://12go.asia/en/travel/Adams-Peak/Kotmale", "12Go Link")</f>
        <v>12Go Link</v>
      </c>
      <c r="E7915" s="2" t="s">
        <v>286</v>
      </c>
    </row>
    <row r="7916">
      <c r="A7916" s="2" t="s">
        <v>4918</v>
      </c>
      <c r="B7916" s="2" t="s">
        <v>5005</v>
      </c>
      <c r="C7916" s="2" t="s">
        <v>5006</v>
      </c>
      <c r="D7916" s="3" t="str">
        <f t="shared" si="1397"/>
        <v>12Go Link</v>
      </c>
      <c r="E7916" s="2" t="s">
        <v>4139</v>
      </c>
    </row>
    <row r="7917">
      <c r="A7917" s="2" t="s">
        <v>4918</v>
      </c>
      <c r="B7917" s="2" t="s">
        <v>5005</v>
      </c>
      <c r="C7917" s="2" t="s">
        <v>5006</v>
      </c>
      <c r="D7917" s="3" t="str">
        <f t="shared" si="1397"/>
        <v>12Go Link</v>
      </c>
      <c r="E7917" s="2" t="s">
        <v>3409</v>
      </c>
    </row>
    <row r="7918">
      <c r="A7918" s="2" t="s">
        <v>4918</v>
      </c>
      <c r="B7918" s="2" t="s">
        <v>5007</v>
      </c>
      <c r="C7918" s="2" t="s">
        <v>5008</v>
      </c>
      <c r="D7918" s="3" t="str">
        <f t="shared" ref="D7918:D7920" si="1398">HYPERLINK("https://12go.asia/en/travel/Adams-Peak/Pasikuda", "12Go Link")</f>
        <v>12Go Link</v>
      </c>
      <c r="E7918" s="2" t="s">
        <v>286</v>
      </c>
    </row>
    <row r="7919">
      <c r="A7919" s="2" t="s">
        <v>4918</v>
      </c>
      <c r="B7919" s="2" t="s">
        <v>5007</v>
      </c>
      <c r="C7919" s="2" t="s">
        <v>5008</v>
      </c>
      <c r="D7919" s="3" t="str">
        <f t="shared" si="1398"/>
        <v>12Go Link</v>
      </c>
      <c r="E7919" s="2" t="s">
        <v>4139</v>
      </c>
    </row>
    <row r="7920">
      <c r="A7920" s="2" t="s">
        <v>4918</v>
      </c>
      <c r="B7920" s="2" t="s">
        <v>5007</v>
      </c>
      <c r="C7920" s="2" t="s">
        <v>5008</v>
      </c>
      <c r="D7920" s="3" t="str">
        <f t="shared" si="1398"/>
        <v>12Go Link</v>
      </c>
      <c r="E7920" s="2" t="s">
        <v>3409</v>
      </c>
    </row>
    <row r="7921">
      <c r="A7921" s="2" t="s">
        <v>4918</v>
      </c>
      <c r="B7921" s="2" t="s">
        <v>5009</v>
      </c>
      <c r="C7921" s="2" t="s">
        <v>5010</v>
      </c>
      <c r="D7921" s="3" t="str">
        <f t="shared" ref="D7921:D7923" si="1399">HYPERLINK("https://12go.asia/en/travel/Adams-Peak/Galoya", "12Go Link")</f>
        <v>12Go Link</v>
      </c>
      <c r="E7921" s="2" t="s">
        <v>286</v>
      </c>
    </row>
    <row r="7922">
      <c r="A7922" s="2" t="s">
        <v>4918</v>
      </c>
      <c r="B7922" s="2" t="s">
        <v>5009</v>
      </c>
      <c r="C7922" s="2" t="s">
        <v>5010</v>
      </c>
      <c r="D7922" s="3" t="str">
        <f t="shared" si="1399"/>
        <v>12Go Link</v>
      </c>
      <c r="E7922" s="2" t="s">
        <v>4139</v>
      </c>
    </row>
    <row r="7923">
      <c r="A7923" s="2" t="s">
        <v>4918</v>
      </c>
      <c r="B7923" s="2" t="s">
        <v>5009</v>
      </c>
      <c r="C7923" s="2" t="s">
        <v>5010</v>
      </c>
      <c r="D7923" s="3" t="str">
        <f t="shared" si="1399"/>
        <v>12Go Link</v>
      </c>
      <c r="E7923" s="2" t="s">
        <v>3409</v>
      </c>
    </row>
    <row r="7924">
      <c r="A7924" s="2" t="s">
        <v>4918</v>
      </c>
      <c r="B7924" s="2" t="s">
        <v>5011</v>
      </c>
      <c r="C7924" s="2" t="s">
        <v>5012</v>
      </c>
      <c r="D7924" s="3" t="str">
        <f t="shared" ref="D7924:D7926" si="1400">HYPERLINK("https://12go.asia/en/travel/Adams-Peak/Kalpitiya", "12Go Link")</f>
        <v>12Go Link</v>
      </c>
      <c r="E7924" s="2" t="s">
        <v>286</v>
      </c>
    </row>
    <row r="7925">
      <c r="A7925" s="2" t="s">
        <v>4918</v>
      </c>
      <c r="B7925" s="2" t="s">
        <v>5011</v>
      </c>
      <c r="C7925" s="2" t="s">
        <v>5012</v>
      </c>
      <c r="D7925" s="3" t="str">
        <f t="shared" si="1400"/>
        <v>12Go Link</v>
      </c>
      <c r="E7925" s="2" t="s">
        <v>4139</v>
      </c>
    </row>
    <row r="7926">
      <c r="A7926" s="2" t="s">
        <v>4918</v>
      </c>
      <c r="B7926" s="2" t="s">
        <v>5011</v>
      </c>
      <c r="C7926" s="2" t="s">
        <v>5012</v>
      </c>
      <c r="D7926" s="3" t="str">
        <f t="shared" si="1400"/>
        <v>12Go Link</v>
      </c>
      <c r="E7926" s="2" t="s">
        <v>3409</v>
      </c>
    </row>
    <row r="7927">
      <c r="A7927" s="2" t="s">
        <v>4918</v>
      </c>
      <c r="B7927" s="2" t="s">
        <v>5011</v>
      </c>
      <c r="C7927" s="2" t="s">
        <v>5013</v>
      </c>
      <c r="D7927" s="3" t="str">
        <f t="shared" ref="D7927:D7929" si="1401">HYPERLINK("https://12go.asia/en/travel/Adams-Peak/Marawila", "12Go Link")</f>
        <v>12Go Link</v>
      </c>
      <c r="E7927" s="2" t="s">
        <v>286</v>
      </c>
    </row>
    <row r="7928">
      <c r="A7928" s="2" t="s">
        <v>4918</v>
      </c>
      <c r="B7928" s="2" t="s">
        <v>5011</v>
      </c>
      <c r="C7928" s="2" t="s">
        <v>5013</v>
      </c>
      <c r="D7928" s="3" t="str">
        <f t="shared" si="1401"/>
        <v>12Go Link</v>
      </c>
      <c r="E7928" s="2" t="s">
        <v>4139</v>
      </c>
    </row>
    <row r="7929">
      <c r="A7929" s="2" t="s">
        <v>4918</v>
      </c>
      <c r="B7929" s="2" t="s">
        <v>5011</v>
      </c>
      <c r="C7929" s="2" t="s">
        <v>5013</v>
      </c>
      <c r="D7929" s="3" t="str">
        <f t="shared" si="1401"/>
        <v>12Go Link</v>
      </c>
      <c r="E7929" s="2" t="s">
        <v>3409</v>
      </c>
    </row>
    <row r="7930">
      <c r="A7930" s="2" t="s">
        <v>4918</v>
      </c>
      <c r="B7930" s="2" t="s">
        <v>5014</v>
      </c>
      <c r="C7930" s="2" t="s">
        <v>5015</v>
      </c>
      <c r="D7930" s="3" t="str">
        <f t="shared" ref="D7930:D7932" si="1402">HYPERLINK("https://12go.asia/en/travel/Adams-Peak/Kiriella", "12Go Link")</f>
        <v>12Go Link</v>
      </c>
      <c r="E7930" s="2" t="s">
        <v>286</v>
      </c>
    </row>
    <row r="7931">
      <c r="A7931" s="2" t="s">
        <v>4918</v>
      </c>
      <c r="B7931" s="2" t="s">
        <v>5014</v>
      </c>
      <c r="C7931" s="2" t="s">
        <v>5015</v>
      </c>
      <c r="D7931" s="3" t="str">
        <f t="shared" si="1402"/>
        <v>12Go Link</v>
      </c>
      <c r="E7931" s="2" t="s">
        <v>4139</v>
      </c>
    </row>
    <row r="7932">
      <c r="A7932" s="2" t="s">
        <v>4918</v>
      </c>
      <c r="B7932" s="2" t="s">
        <v>5014</v>
      </c>
      <c r="C7932" s="2" t="s">
        <v>5015</v>
      </c>
      <c r="D7932" s="3" t="str">
        <f t="shared" si="1402"/>
        <v>12Go Link</v>
      </c>
      <c r="E7932" s="2" t="s">
        <v>3409</v>
      </c>
    </row>
    <row r="7933">
      <c r="A7933" s="2" t="s">
        <v>4918</v>
      </c>
      <c r="B7933" s="2" t="s">
        <v>5016</v>
      </c>
      <c r="C7933" s="2" t="s">
        <v>5017</v>
      </c>
      <c r="D7933" s="3" t="str">
        <f t="shared" ref="D7933:D7935" si="1403">HYPERLINK("https://12go.asia/en/travel/Adams-Peak/Pidurangala", "12Go Link")</f>
        <v>12Go Link</v>
      </c>
      <c r="E7933" s="2" t="s">
        <v>286</v>
      </c>
    </row>
    <row r="7934">
      <c r="A7934" s="2" t="s">
        <v>4918</v>
      </c>
      <c r="B7934" s="2" t="s">
        <v>5016</v>
      </c>
      <c r="C7934" s="2" t="s">
        <v>5017</v>
      </c>
      <c r="D7934" s="3" t="str">
        <f t="shared" si="1403"/>
        <v>12Go Link</v>
      </c>
      <c r="E7934" s="2" t="s">
        <v>4139</v>
      </c>
    </row>
    <row r="7935">
      <c r="A7935" s="2" t="s">
        <v>4918</v>
      </c>
      <c r="B7935" s="2" t="s">
        <v>5016</v>
      </c>
      <c r="C7935" s="2" t="s">
        <v>5017</v>
      </c>
      <c r="D7935" s="3" t="str">
        <f t="shared" si="1403"/>
        <v>12Go Link</v>
      </c>
      <c r="E7935" s="2" t="s">
        <v>3409</v>
      </c>
    </row>
    <row r="7936">
      <c r="A7936" s="2" t="s">
        <v>4918</v>
      </c>
      <c r="B7936" s="2" t="s">
        <v>5018</v>
      </c>
      <c r="C7936" s="2" t="s">
        <v>5019</v>
      </c>
      <c r="D7936" s="3" t="str">
        <f t="shared" ref="D7936:D7938" si="1404">HYPERLINK("https://12go.asia/en/travel/Adams-Peak/Rekawa", "12Go Link")</f>
        <v>12Go Link</v>
      </c>
      <c r="E7936" s="2" t="s">
        <v>286</v>
      </c>
    </row>
    <row r="7937">
      <c r="A7937" s="2" t="s">
        <v>4918</v>
      </c>
      <c r="B7937" s="2" t="s">
        <v>5018</v>
      </c>
      <c r="C7937" s="2" t="s">
        <v>5019</v>
      </c>
      <c r="D7937" s="3" t="str">
        <f t="shared" si="1404"/>
        <v>12Go Link</v>
      </c>
      <c r="E7937" s="2" t="s">
        <v>4139</v>
      </c>
    </row>
    <row r="7938">
      <c r="A7938" s="2" t="s">
        <v>4918</v>
      </c>
      <c r="B7938" s="2" t="s">
        <v>5018</v>
      </c>
      <c r="C7938" s="2" t="s">
        <v>5019</v>
      </c>
      <c r="D7938" s="3" t="str">
        <f t="shared" si="1404"/>
        <v>12Go Link</v>
      </c>
      <c r="E7938" s="2" t="s">
        <v>3409</v>
      </c>
    </row>
    <row r="7939">
      <c r="A7939" s="2" t="s">
        <v>4918</v>
      </c>
      <c r="B7939" s="2" t="s">
        <v>5020</v>
      </c>
      <c r="C7939" s="2" t="s">
        <v>5021</v>
      </c>
      <c r="D7939" s="3" t="str">
        <f t="shared" ref="D7939:D7941" si="1405">HYPERLINK("https://12go.asia/en/travel/Adams-Peak/Tissamaharama", "12Go Link")</f>
        <v>12Go Link</v>
      </c>
      <c r="E7939" s="2" t="s">
        <v>286</v>
      </c>
    </row>
    <row r="7940">
      <c r="A7940" s="2" t="s">
        <v>4918</v>
      </c>
      <c r="B7940" s="2" t="s">
        <v>5020</v>
      </c>
      <c r="C7940" s="2" t="s">
        <v>5021</v>
      </c>
      <c r="D7940" s="3" t="str">
        <f t="shared" si="1405"/>
        <v>12Go Link</v>
      </c>
      <c r="E7940" s="2" t="s">
        <v>4139</v>
      </c>
    </row>
    <row r="7941">
      <c r="A7941" s="2" t="s">
        <v>4918</v>
      </c>
      <c r="B7941" s="2" t="s">
        <v>5020</v>
      </c>
      <c r="C7941" s="2" t="s">
        <v>5021</v>
      </c>
      <c r="D7941" s="3" t="str">
        <f t="shared" si="1405"/>
        <v>12Go Link</v>
      </c>
      <c r="E7941" s="2" t="s">
        <v>3409</v>
      </c>
    </row>
    <row r="7942">
      <c r="A7942" s="2" t="s">
        <v>4918</v>
      </c>
      <c r="B7942" s="2" t="s">
        <v>5020</v>
      </c>
      <c r="C7942" s="2" t="s">
        <v>5022</v>
      </c>
      <c r="D7942" s="3" t="str">
        <f t="shared" ref="D7942:D7944" si="1406">HYPERLINK("https://12go.asia/en/travel/Adams-Peak/Yala-Park", "12Go Link")</f>
        <v>12Go Link</v>
      </c>
      <c r="E7942" s="2" t="s">
        <v>286</v>
      </c>
    </row>
    <row r="7943">
      <c r="A7943" s="2" t="s">
        <v>4918</v>
      </c>
      <c r="B7943" s="2" t="s">
        <v>5020</v>
      </c>
      <c r="C7943" s="2" t="s">
        <v>5022</v>
      </c>
      <c r="D7943" s="3" t="str">
        <f t="shared" si="1406"/>
        <v>12Go Link</v>
      </c>
      <c r="E7943" s="2" t="s">
        <v>4139</v>
      </c>
    </row>
    <row r="7944">
      <c r="A7944" s="2" t="s">
        <v>4918</v>
      </c>
      <c r="B7944" s="2" t="s">
        <v>5020</v>
      </c>
      <c r="C7944" s="2" t="s">
        <v>5022</v>
      </c>
      <c r="D7944" s="3" t="str">
        <f t="shared" si="1406"/>
        <v>12Go Link</v>
      </c>
      <c r="E7944" s="2" t="s">
        <v>3409</v>
      </c>
    </row>
    <row r="7945">
      <c r="A7945" s="2" t="s">
        <v>4918</v>
      </c>
      <c r="B7945" s="2" t="s">
        <v>5023</v>
      </c>
      <c r="C7945" s="2" t="s">
        <v>5024</v>
      </c>
      <c r="D7945" s="3" t="str">
        <f t="shared" ref="D7945:D7947" si="1407">HYPERLINK("https://12go.asia/en/travel/Adams-Peak/Nilaweli", "12Go Link")</f>
        <v>12Go Link</v>
      </c>
      <c r="E7945" s="2" t="s">
        <v>286</v>
      </c>
    </row>
    <row r="7946">
      <c r="A7946" s="2" t="s">
        <v>4918</v>
      </c>
      <c r="B7946" s="2" t="s">
        <v>5023</v>
      </c>
      <c r="C7946" s="2" t="s">
        <v>5024</v>
      </c>
      <c r="D7946" s="3" t="str">
        <f t="shared" si="1407"/>
        <v>12Go Link</v>
      </c>
      <c r="E7946" s="2" t="s">
        <v>4139</v>
      </c>
    </row>
    <row r="7947">
      <c r="A7947" s="2" t="s">
        <v>4918</v>
      </c>
      <c r="B7947" s="2" t="s">
        <v>5023</v>
      </c>
      <c r="C7947" s="2" t="s">
        <v>5024</v>
      </c>
      <c r="D7947" s="3" t="str">
        <f t="shared" si="1407"/>
        <v>12Go Link</v>
      </c>
      <c r="E7947" s="2" t="s">
        <v>3409</v>
      </c>
    </row>
    <row r="7948">
      <c r="A7948" s="2" t="s">
        <v>4918</v>
      </c>
      <c r="B7948" s="2" t="s">
        <v>5025</v>
      </c>
      <c r="C7948" s="2" t="s">
        <v>5026</v>
      </c>
      <c r="D7948" s="3" t="str">
        <f t="shared" ref="D7948:D7950" si="1408">HYPERLINK("https://12go.asia/en/travel/Adams-Peak/Udawalawa", "12Go Link")</f>
        <v>12Go Link</v>
      </c>
      <c r="E7948" s="2" t="s">
        <v>286</v>
      </c>
    </row>
    <row r="7949">
      <c r="A7949" s="2" t="s">
        <v>4918</v>
      </c>
      <c r="B7949" s="2" t="s">
        <v>5025</v>
      </c>
      <c r="C7949" s="2" t="s">
        <v>5026</v>
      </c>
      <c r="D7949" s="3" t="str">
        <f t="shared" si="1408"/>
        <v>12Go Link</v>
      </c>
      <c r="E7949" s="2" t="s">
        <v>4139</v>
      </c>
    </row>
    <row r="7950">
      <c r="A7950" s="2" t="s">
        <v>4918</v>
      </c>
      <c r="B7950" s="2" t="s">
        <v>5025</v>
      </c>
      <c r="C7950" s="2" t="s">
        <v>5026</v>
      </c>
      <c r="D7950" s="3" t="str">
        <f t="shared" si="1408"/>
        <v>12Go Link</v>
      </c>
      <c r="E7950" s="2" t="s">
        <v>3409</v>
      </c>
    </row>
    <row r="7951">
      <c r="A7951" s="2" t="s">
        <v>4918</v>
      </c>
      <c r="B7951" s="2" t="s">
        <v>5027</v>
      </c>
      <c r="C7951" s="2" t="s">
        <v>5028</v>
      </c>
      <c r="D7951" s="3" t="str">
        <f t="shared" ref="D7951:D7953" si="1409">HYPERLINK("https://12go.asia/en/travel/Adams-Peak/Unawatuna", "12Go Link")</f>
        <v>12Go Link</v>
      </c>
      <c r="E7951" s="2" t="s">
        <v>286</v>
      </c>
    </row>
    <row r="7952">
      <c r="A7952" s="2" t="s">
        <v>4918</v>
      </c>
      <c r="B7952" s="2" t="s">
        <v>5027</v>
      </c>
      <c r="C7952" s="2" t="s">
        <v>5028</v>
      </c>
      <c r="D7952" s="3" t="str">
        <f t="shared" si="1409"/>
        <v>12Go Link</v>
      </c>
      <c r="E7952" s="2" t="s">
        <v>4139</v>
      </c>
    </row>
    <row r="7953">
      <c r="A7953" s="2" t="s">
        <v>4918</v>
      </c>
      <c r="B7953" s="2" t="s">
        <v>5027</v>
      </c>
      <c r="C7953" s="2" t="s">
        <v>5028</v>
      </c>
      <c r="D7953" s="3" t="str">
        <f t="shared" si="1409"/>
        <v>12Go Link</v>
      </c>
      <c r="E7953" s="2" t="s">
        <v>3409</v>
      </c>
    </row>
    <row r="7954">
      <c r="A7954" s="2" t="s">
        <v>4918</v>
      </c>
      <c r="B7954" s="2" t="s">
        <v>5029</v>
      </c>
      <c r="C7954" s="2" t="s">
        <v>5030</v>
      </c>
      <c r="D7954" s="3" t="str">
        <f t="shared" ref="D7954:D7956" si="1410">HYPERLINK("https://12go.asia/en/travel/Adams-Peak/Attanagalla", "12Go Link")</f>
        <v>12Go Link</v>
      </c>
      <c r="E7954" s="2" t="s">
        <v>286</v>
      </c>
    </row>
    <row r="7955">
      <c r="A7955" s="2" t="s">
        <v>4918</v>
      </c>
      <c r="B7955" s="2" t="s">
        <v>5029</v>
      </c>
      <c r="C7955" s="2" t="s">
        <v>5030</v>
      </c>
      <c r="D7955" s="3" t="str">
        <f t="shared" si="1410"/>
        <v>12Go Link</v>
      </c>
      <c r="E7955" s="2" t="s">
        <v>4139</v>
      </c>
    </row>
    <row r="7956">
      <c r="A7956" s="2" t="s">
        <v>4918</v>
      </c>
      <c r="B7956" s="2" t="s">
        <v>5029</v>
      </c>
      <c r="C7956" s="2" t="s">
        <v>5030</v>
      </c>
      <c r="D7956" s="3" t="str">
        <f t="shared" si="1410"/>
        <v>12Go Link</v>
      </c>
      <c r="E7956" s="2" t="s">
        <v>3409</v>
      </c>
    </row>
    <row r="7957">
      <c r="A7957" s="2" t="s">
        <v>4918</v>
      </c>
      <c r="B7957" s="2" t="s">
        <v>5031</v>
      </c>
      <c r="C7957" s="2" t="s">
        <v>5032</v>
      </c>
      <c r="D7957" s="3" t="str">
        <f t="shared" ref="D7957:D7959" si="1411">HYPERLINK("https://12go.asia/en/travel/Adams-Peak/Moronthuduwa", "12Go Link")</f>
        <v>12Go Link</v>
      </c>
      <c r="E7957" s="2" t="s">
        <v>286</v>
      </c>
    </row>
    <row r="7958">
      <c r="A7958" s="2" t="s">
        <v>4918</v>
      </c>
      <c r="B7958" s="2" t="s">
        <v>5031</v>
      </c>
      <c r="C7958" s="2" t="s">
        <v>5032</v>
      </c>
      <c r="D7958" s="3" t="str">
        <f t="shared" si="1411"/>
        <v>12Go Link</v>
      </c>
      <c r="E7958" s="2" t="s">
        <v>4139</v>
      </c>
    </row>
    <row r="7959">
      <c r="A7959" s="2" t="s">
        <v>4918</v>
      </c>
      <c r="B7959" s="2" t="s">
        <v>5031</v>
      </c>
      <c r="C7959" s="2" t="s">
        <v>5032</v>
      </c>
      <c r="D7959" s="3" t="str">
        <f t="shared" si="1411"/>
        <v>12Go Link</v>
      </c>
      <c r="E7959" s="2" t="s">
        <v>3409</v>
      </c>
    </row>
    <row r="7960">
      <c r="A7960" s="2" t="s">
        <v>4918</v>
      </c>
      <c r="B7960" s="2" t="s">
        <v>5031</v>
      </c>
      <c r="C7960" s="2" t="s">
        <v>5033</v>
      </c>
      <c r="D7960" s="3" t="str">
        <f t="shared" ref="D7960:D7962" si="1412">HYPERLINK("https://12go.asia/en/travel/Adams-Peak/Waskaduwa", "12Go Link")</f>
        <v>12Go Link</v>
      </c>
      <c r="E7960" s="2" t="s">
        <v>286</v>
      </c>
    </row>
    <row r="7961">
      <c r="A7961" s="2" t="s">
        <v>4918</v>
      </c>
      <c r="B7961" s="2" t="s">
        <v>5031</v>
      </c>
      <c r="C7961" s="2" t="s">
        <v>5033</v>
      </c>
      <c r="D7961" s="3" t="str">
        <f t="shared" si="1412"/>
        <v>12Go Link</v>
      </c>
      <c r="E7961" s="2" t="s">
        <v>4139</v>
      </c>
    </row>
    <row r="7962">
      <c r="A7962" s="2" t="s">
        <v>4918</v>
      </c>
      <c r="B7962" s="2" t="s">
        <v>5031</v>
      </c>
      <c r="C7962" s="2" t="s">
        <v>5033</v>
      </c>
      <c r="D7962" s="3" t="str">
        <f t="shared" si="1412"/>
        <v>12Go Link</v>
      </c>
      <c r="E7962" s="2" t="s">
        <v>3409</v>
      </c>
    </row>
    <row r="7963">
      <c r="A7963" s="2" t="s">
        <v>4918</v>
      </c>
      <c r="B7963" s="2" t="s">
        <v>5034</v>
      </c>
      <c r="C7963" s="2" t="s">
        <v>5035</v>
      </c>
      <c r="D7963" s="3" t="str">
        <f t="shared" ref="D7963:D7965" si="1413">HYPERLINK("https://12go.asia/en/travel/Adams-Peak/Weddagala", "12Go Link")</f>
        <v>12Go Link</v>
      </c>
      <c r="E7963" s="2" t="s">
        <v>286</v>
      </c>
    </row>
    <row r="7964">
      <c r="A7964" s="2" t="s">
        <v>4918</v>
      </c>
      <c r="B7964" s="2" t="s">
        <v>5034</v>
      </c>
      <c r="C7964" s="2" t="s">
        <v>5035</v>
      </c>
      <c r="D7964" s="3" t="str">
        <f t="shared" si="1413"/>
        <v>12Go Link</v>
      </c>
      <c r="E7964" s="2" t="s">
        <v>4139</v>
      </c>
    </row>
    <row r="7965">
      <c r="A7965" s="2" t="s">
        <v>4918</v>
      </c>
      <c r="B7965" s="2" t="s">
        <v>5034</v>
      </c>
      <c r="C7965" s="2" t="s">
        <v>5035</v>
      </c>
      <c r="D7965" s="3" t="str">
        <f t="shared" si="1413"/>
        <v>12Go Link</v>
      </c>
      <c r="E7965" s="2" t="s">
        <v>3409</v>
      </c>
    </row>
    <row r="7966">
      <c r="A7966" s="2" t="s">
        <v>4918</v>
      </c>
      <c r="B7966" s="2" t="s">
        <v>5036</v>
      </c>
      <c r="C7966" s="2" t="s">
        <v>5037</v>
      </c>
      <c r="D7966" s="3" t="str">
        <f t="shared" ref="D7966:D7968" si="1414">HYPERLINK("https://12go.asia/en/travel/Adams-Peak/Weligatta", "12Go Link")</f>
        <v>12Go Link</v>
      </c>
      <c r="E7966" s="2" t="s">
        <v>286</v>
      </c>
    </row>
    <row r="7967">
      <c r="A7967" s="2" t="s">
        <v>4918</v>
      </c>
      <c r="B7967" s="2" t="s">
        <v>5036</v>
      </c>
      <c r="C7967" s="2" t="s">
        <v>5037</v>
      </c>
      <c r="D7967" s="3" t="str">
        <f t="shared" si="1414"/>
        <v>12Go Link</v>
      </c>
      <c r="E7967" s="2" t="s">
        <v>4139</v>
      </c>
    </row>
    <row r="7968">
      <c r="A7968" s="2" t="s">
        <v>4918</v>
      </c>
      <c r="B7968" s="2" t="s">
        <v>5036</v>
      </c>
      <c r="C7968" s="2" t="s">
        <v>5037</v>
      </c>
      <c r="D7968" s="3" t="str">
        <f t="shared" si="1414"/>
        <v>12Go Link</v>
      </c>
      <c r="E7968" s="2" t="s">
        <v>3409</v>
      </c>
    </row>
    <row r="7969">
      <c r="A7969" s="2" t="s">
        <v>4918</v>
      </c>
      <c r="B7969" s="2" t="s">
        <v>5038</v>
      </c>
      <c r="C7969" s="2" t="s">
        <v>5039</v>
      </c>
      <c r="D7969" s="3" t="str">
        <f t="shared" ref="D7969:D7971" si="1415">HYPERLINK("https://12go.asia/en/travel/Adams-Peak/Akuressa", "12Go Link")</f>
        <v>12Go Link</v>
      </c>
      <c r="E7969" s="2" t="s">
        <v>286</v>
      </c>
    </row>
    <row r="7970">
      <c r="A7970" s="2" t="s">
        <v>4918</v>
      </c>
      <c r="B7970" s="2" t="s">
        <v>5038</v>
      </c>
      <c r="C7970" s="2" t="s">
        <v>5039</v>
      </c>
      <c r="D7970" s="3" t="str">
        <f t="shared" si="1415"/>
        <v>12Go Link</v>
      </c>
      <c r="E7970" s="2" t="s">
        <v>4139</v>
      </c>
    </row>
    <row r="7971">
      <c r="A7971" s="2" t="s">
        <v>4918</v>
      </c>
      <c r="B7971" s="2" t="s">
        <v>5038</v>
      </c>
      <c r="C7971" s="2" t="s">
        <v>5039</v>
      </c>
      <c r="D7971" s="3" t="str">
        <f t="shared" si="1415"/>
        <v>12Go Link</v>
      </c>
      <c r="E7971" s="2" t="s">
        <v>3409</v>
      </c>
    </row>
    <row r="7972">
      <c r="A7972" s="2" t="s">
        <v>4918</v>
      </c>
      <c r="B7972" s="2" t="s">
        <v>5040</v>
      </c>
      <c r="C7972" s="2" t="s">
        <v>5041</v>
      </c>
      <c r="D7972" s="3" t="str">
        <f t="shared" ref="D7972:D7974" si="1416">HYPERLINK("https://12go.asia/en/travel/Adams-Peak/Wilpattu", "12Go Link")</f>
        <v>12Go Link</v>
      </c>
      <c r="E7972" s="2" t="s">
        <v>286</v>
      </c>
    </row>
    <row r="7973">
      <c r="A7973" s="2" t="s">
        <v>4918</v>
      </c>
      <c r="B7973" s="2" t="s">
        <v>5040</v>
      </c>
      <c r="C7973" s="2" t="s">
        <v>5041</v>
      </c>
      <c r="D7973" s="3" t="str">
        <f t="shared" si="1416"/>
        <v>12Go Link</v>
      </c>
      <c r="E7973" s="2" t="s">
        <v>4139</v>
      </c>
    </row>
    <row r="7974">
      <c r="A7974" s="2" t="s">
        <v>4918</v>
      </c>
      <c r="B7974" s="2" t="s">
        <v>5040</v>
      </c>
      <c r="C7974" s="2" t="s">
        <v>5041</v>
      </c>
      <c r="D7974" s="3" t="str">
        <f t="shared" si="1416"/>
        <v>12Go Link</v>
      </c>
      <c r="E7974" s="2" t="s">
        <v>3409</v>
      </c>
    </row>
    <row r="7975">
      <c r="A7975" s="2" t="s">
        <v>4919</v>
      </c>
      <c r="B7975" s="2" t="s">
        <v>4918</v>
      </c>
      <c r="C7975" s="2" t="s">
        <v>5042</v>
      </c>
      <c r="D7975" s="3" t="str">
        <f t="shared" ref="D7975:D7977" si="1417">HYPERLINK("https://12go.asia/en/travel/Ahangama/Adams-Peak", "12Go Link")</f>
        <v>12Go Link</v>
      </c>
      <c r="E7975" s="2" t="s">
        <v>286</v>
      </c>
    </row>
    <row r="7976">
      <c r="A7976" s="2" t="s">
        <v>4919</v>
      </c>
      <c r="B7976" s="2" t="s">
        <v>4918</v>
      </c>
      <c r="C7976" s="2" t="s">
        <v>5042</v>
      </c>
      <c r="D7976" s="3" t="str">
        <f t="shared" si="1417"/>
        <v>12Go Link</v>
      </c>
      <c r="E7976" s="2" t="s">
        <v>4139</v>
      </c>
    </row>
    <row r="7977">
      <c r="A7977" s="2" t="s">
        <v>4919</v>
      </c>
      <c r="B7977" s="2" t="s">
        <v>4918</v>
      </c>
      <c r="C7977" s="2" t="s">
        <v>5042</v>
      </c>
      <c r="D7977" s="3" t="str">
        <f t="shared" si="1417"/>
        <v>12Go Link</v>
      </c>
      <c r="E7977" s="2" t="s">
        <v>3409</v>
      </c>
    </row>
    <row r="7978">
      <c r="A7978" s="2" t="s">
        <v>4919</v>
      </c>
      <c r="B7978" s="2" t="s">
        <v>4921</v>
      </c>
      <c r="C7978" s="2" t="s">
        <v>5043</v>
      </c>
      <c r="D7978" s="3" t="str">
        <f t="shared" ref="D7978:D7980" si="1418">HYPERLINK("https://12go.asia/en/travel/Ahangama/Ahungalla", "12Go Link")</f>
        <v>12Go Link</v>
      </c>
      <c r="E7978" s="2" t="s">
        <v>286</v>
      </c>
    </row>
    <row r="7979">
      <c r="A7979" s="2" t="s">
        <v>4919</v>
      </c>
      <c r="B7979" s="2" t="s">
        <v>4921</v>
      </c>
      <c r="C7979" s="2" t="s">
        <v>5043</v>
      </c>
      <c r="D7979" s="3" t="str">
        <f t="shared" si="1418"/>
        <v>12Go Link</v>
      </c>
      <c r="E7979" s="2" t="s">
        <v>4139</v>
      </c>
    </row>
    <row r="7980">
      <c r="A7980" s="2" t="s">
        <v>4919</v>
      </c>
      <c r="B7980" s="2" t="s">
        <v>4921</v>
      </c>
      <c r="C7980" s="2" t="s">
        <v>5043</v>
      </c>
      <c r="D7980" s="3" t="str">
        <f t="shared" si="1418"/>
        <v>12Go Link</v>
      </c>
      <c r="E7980" s="2" t="s">
        <v>3409</v>
      </c>
    </row>
    <row r="7981">
      <c r="A7981" s="2" t="s">
        <v>4919</v>
      </c>
      <c r="B7981" s="2" t="s">
        <v>4923</v>
      </c>
      <c r="C7981" s="2" t="s">
        <v>5044</v>
      </c>
      <c r="D7981" s="3" t="str">
        <f t="shared" ref="D7981:D7983" si="1419">HYPERLINK("https://12go.asia/en/travel/Ahangama/Aluthgama", "12Go Link")</f>
        <v>12Go Link</v>
      </c>
      <c r="E7981" s="2" t="s">
        <v>286</v>
      </c>
    </row>
    <row r="7982">
      <c r="A7982" s="2" t="s">
        <v>4919</v>
      </c>
      <c r="B7982" s="2" t="s">
        <v>4923</v>
      </c>
      <c r="C7982" s="2" t="s">
        <v>5044</v>
      </c>
      <c r="D7982" s="3" t="str">
        <f t="shared" si="1419"/>
        <v>12Go Link</v>
      </c>
      <c r="E7982" s="2" t="s">
        <v>4139</v>
      </c>
    </row>
    <row r="7983">
      <c r="A7983" s="2" t="s">
        <v>4919</v>
      </c>
      <c r="B7983" s="2" t="s">
        <v>4923</v>
      </c>
      <c r="C7983" s="2" t="s">
        <v>5044</v>
      </c>
      <c r="D7983" s="3" t="str">
        <f t="shared" si="1419"/>
        <v>12Go Link</v>
      </c>
      <c r="E7983" s="2" t="s">
        <v>3409</v>
      </c>
    </row>
    <row r="7984">
      <c r="A7984" s="2" t="s">
        <v>4919</v>
      </c>
      <c r="B7984" s="2" t="s">
        <v>4925</v>
      </c>
      <c r="C7984" s="2" t="s">
        <v>5045</v>
      </c>
      <c r="D7984" s="3" t="str">
        <f t="shared" ref="D7984:D7986" si="1420">HYPERLINK("https://12go.asia/en/travel/Ahangama/Ambalangoda", "12Go Link")</f>
        <v>12Go Link</v>
      </c>
      <c r="E7984" s="2" t="s">
        <v>286</v>
      </c>
    </row>
    <row r="7985">
      <c r="A7985" s="2" t="s">
        <v>4919</v>
      </c>
      <c r="B7985" s="2" t="s">
        <v>4925</v>
      </c>
      <c r="C7985" s="2" t="s">
        <v>5045</v>
      </c>
      <c r="D7985" s="3" t="str">
        <f t="shared" si="1420"/>
        <v>12Go Link</v>
      </c>
      <c r="E7985" s="2" t="s">
        <v>4139</v>
      </c>
    </row>
    <row r="7986">
      <c r="A7986" s="2" t="s">
        <v>4919</v>
      </c>
      <c r="B7986" s="2" t="s">
        <v>4925</v>
      </c>
      <c r="C7986" s="2" t="s">
        <v>5045</v>
      </c>
      <c r="D7986" s="3" t="str">
        <f t="shared" si="1420"/>
        <v>12Go Link</v>
      </c>
      <c r="E7986" s="2" t="s">
        <v>3409</v>
      </c>
    </row>
    <row r="7987">
      <c r="A7987" s="2" t="s">
        <v>4919</v>
      </c>
      <c r="B7987" s="2" t="s">
        <v>4927</v>
      </c>
      <c r="C7987" s="2" t="s">
        <v>5046</v>
      </c>
      <c r="D7987" s="3" t="str">
        <f t="shared" ref="D7987:D7989" si="1421">HYPERLINK("https://12go.asia/en/travel/Ahangama/Ambalantota", "12Go Link")</f>
        <v>12Go Link</v>
      </c>
      <c r="E7987" s="2" t="s">
        <v>286</v>
      </c>
    </row>
    <row r="7988">
      <c r="A7988" s="2" t="s">
        <v>4919</v>
      </c>
      <c r="B7988" s="2" t="s">
        <v>4927</v>
      </c>
      <c r="C7988" s="2" t="s">
        <v>5046</v>
      </c>
      <c r="D7988" s="3" t="str">
        <f t="shared" si="1421"/>
        <v>12Go Link</v>
      </c>
      <c r="E7988" s="2" t="s">
        <v>4139</v>
      </c>
    </row>
    <row r="7989">
      <c r="A7989" s="2" t="s">
        <v>4919</v>
      </c>
      <c r="B7989" s="2" t="s">
        <v>4927</v>
      </c>
      <c r="C7989" s="2" t="s">
        <v>5046</v>
      </c>
      <c r="D7989" s="3" t="str">
        <f t="shared" si="1421"/>
        <v>12Go Link</v>
      </c>
      <c r="E7989" s="2" t="s">
        <v>3409</v>
      </c>
    </row>
    <row r="7990">
      <c r="A7990" s="2" t="s">
        <v>4919</v>
      </c>
      <c r="B7990" s="2" t="s">
        <v>4929</v>
      </c>
      <c r="C7990" s="2" t="s">
        <v>5047</v>
      </c>
      <c r="D7990" s="3" t="str">
        <f t="shared" ref="D7990:D7992" si="1422">HYPERLINK("https://12go.asia/en/travel/Ahangama/Anuradhapura", "12Go Link")</f>
        <v>12Go Link</v>
      </c>
      <c r="E7990" s="2" t="s">
        <v>286</v>
      </c>
    </row>
    <row r="7991">
      <c r="A7991" s="2" t="s">
        <v>4919</v>
      </c>
      <c r="B7991" s="2" t="s">
        <v>4929</v>
      </c>
      <c r="C7991" s="2" t="s">
        <v>5047</v>
      </c>
      <c r="D7991" s="3" t="str">
        <f t="shared" si="1422"/>
        <v>12Go Link</v>
      </c>
      <c r="E7991" s="2" t="s">
        <v>4139</v>
      </c>
    </row>
    <row r="7992">
      <c r="A7992" s="2" t="s">
        <v>4919</v>
      </c>
      <c r="B7992" s="2" t="s">
        <v>4929</v>
      </c>
      <c r="C7992" s="2" t="s">
        <v>5047</v>
      </c>
      <c r="D7992" s="3" t="str">
        <f t="shared" si="1422"/>
        <v>12Go Link</v>
      </c>
      <c r="E7992" s="2" t="s">
        <v>3409</v>
      </c>
    </row>
    <row r="7993">
      <c r="A7993" s="2" t="s">
        <v>4919</v>
      </c>
      <c r="B7993" s="2" t="s">
        <v>4931</v>
      </c>
      <c r="C7993" s="2" t="s">
        <v>5048</v>
      </c>
      <c r="D7993" s="3" t="str">
        <f t="shared" ref="D7993:D7995" si="1423">HYPERLINK("https://12go.asia/en/travel/Ahangama/Arugam-bay", "12Go Link")</f>
        <v>12Go Link</v>
      </c>
      <c r="E7993" s="2" t="s">
        <v>286</v>
      </c>
    </row>
    <row r="7994">
      <c r="A7994" s="2" t="s">
        <v>4919</v>
      </c>
      <c r="B7994" s="2" t="s">
        <v>4931</v>
      </c>
      <c r="C7994" s="2" t="s">
        <v>5048</v>
      </c>
      <c r="D7994" s="3" t="str">
        <f t="shared" si="1423"/>
        <v>12Go Link</v>
      </c>
      <c r="E7994" s="2" t="s">
        <v>4139</v>
      </c>
    </row>
    <row r="7995">
      <c r="A7995" s="2" t="s">
        <v>4919</v>
      </c>
      <c r="B7995" s="2" t="s">
        <v>4931</v>
      </c>
      <c r="C7995" s="2" t="s">
        <v>5048</v>
      </c>
      <c r="D7995" s="3" t="str">
        <f t="shared" si="1423"/>
        <v>12Go Link</v>
      </c>
      <c r="E7995" s="2" t="s">
        <v>3409</v>
      </c>
    </row>
    <row r="7996">
      <c r="A7996" s="2" t="s">
        <v>4919</v>
      </c>
      <c r="B7996" s="2" t="s">
        <v>4933</v>
      </c>
      <c r="C7996" s="2" t="s">
        <v>5049</v>
      </c>
      <c r="D7996" s="3" t="str">
        <f t="shared" ref="D7996:D7998" si="1424">HYPERLINK("https://12go.asia/en/travel/Ahangama/balapitiya", "12Go Link")</f>
        <v>12Go Link</v>
      </c>
      <c r="E7996" s="2" t="s">
        <v>286</v>
      </c>
    </row>
    <row r="7997">
      <c r="A7997" s="2" t="s">
        <v>4919</v>
      </c>
      <c r="B7997" s="2" t="s">
        <v>4933</v>
      </c>
      <c r="C7997" s="2" t="s">
        <v>5049</v>
      </c>
      <c r="D7997" s="3" t="str">
        <f t="shared" si="1424"/>
        <v>12Go Link</v>
      </c>
      <c r="E7997" s="2" t="s">
        <v>4139</v>
      </c>
    </row>
    <row r="7998">
      <c r="A7998" s="2" t="s">
        <v>4919</v>
      </c>
      <c r="B7998" s="2" t="s">
        <v>4933</v>
      </c>
      <c r="C7998" s="2" t="s">
        <v>5049</v>
      </c>
      <c r="D7998" s="3" t="str">
        <f t="shared" si="1424"/>
        <v>12Go Link</v>
      </c>
      <c r="E7998" s="2" t="s">
        <v>3409</v>
      </c>
    </row>
    <row r="7999">
      <c r="A7999" s="2" t="s">
        <v>4919</v>
      </c>
      <c r="B7999" s="2" t="s">
        <v>4935</v>
      </c>
      <c r="C7999" s="2" t="s">
        <v>5050</v>
      </c>
      <c r="D7999" s="3" t="str">
        <f t="shared" ref="D7999:D8001" si="1425">HYPERLINK("https://12go.asia/en/travel/Ahangama/Batticaloa", "12Go Link")</f>
        <v>12Go Link</v>
      </c>
      <c r="E7999" s="2" t="s">
        <v>286</v>
      </c>
    </row>
    <row r="8000">
      <c r="A8000" s="2" t="s">
        <v>4919</v>
      </c>
      <c r="B8000" s="2" t="s">
        <v>4935</v>
      </c>
      <c r="C8000" s="2" t="s">
        <v>5050</v>
      </c>
      <c r="D8000" s="3" t="str">
        <f t="shared" si="1425"/>
        <v>12Go Link</v>
      </c>
      <c r="E8000" s="2" t="s">
        <v>4139</v>
      </c>
    </row>
    <row r="8001">
      <c r="A8001" s="2" t="s">
        <v>4919</v>
      </c>
      <c r="B8001" s="2" t="s">
        <v>4935</v>
      </c>
      <c r="C8001" s="2" t="s">
        <v>5050</v>
      </c>
      <c r="D8001" s="3" t="str">
        <f t="shared" si="1425"/>
        <v>12Go Link</v>
      </c>
      <c r="E8001" s="2" t="s">
        <v>3409</v>
      </c>
    </row>
    <row r="8002">
      <c r="A8002" s="2" t="s">
        <v>4919</v>
      </c>
      <c r="B8002" s="2" t="s">
        <v>4937</v>
      </c>
      <c r="C8002" s="2" t="s">
        <v>5051</v>
      </c>
      <c r="D8002" s="3" t="str">
        <f t="shared" ref="D8002:D8004" si="1426">HYPERLINK("https://12go.asia/en/travel/Ahangama/Bentota", "12Go Link")</f>
        <v>12Go Link</v>
      </c>
      <c r="E8002" s="2" t="s">
        <v>286</v>
      </c>
    </row>
    <row r="8003">
      <c r="A8003" s="2" t="s">
        <v>4919</v>
      </c>
      <c r="B8003" s="2" t="s">
        <v>4937</v>
      </c>
      <c r="C8003" s="2" t="s">
        <v>5051</v>
      </c>
      <c r="D8003" s="3" t="str">
        <f t="shared" si="1426"/>
        <v>12Go Link</v>
      </c>
      <c r="E8003" s="2" t="s">
        <v>4139</v>
      </c>
    </row>
    <row r="8004">
      <c r="A8004" s="2" t="s">
        <v>4919</v>
      </c>
      <c r="B8004" s="2" t="s">
        <v>4937</v>
      </c>
      <c r="C8004" s="2" t="s">
        <v>5051</v>
      </c>
      <c r="D8004" s="3" t="str">
        <f t="shared" si="1426"/>
        <v>12Go Link</v>
      </c>
      <c r="E8004" s="2" t="s">
        <v>3409</v>
      </c>
    </row>
    <row r="8005">
      <c r="A8005" s="2" t="s">
        <v>4919</v>
      </c>
      <c r="B8005" s="2" t="s">
        <v>4939</v>
      </c>
      <c r="C8005" s="2" t="s">
        <v>5052</v>
      </c>
      <c r="D8005" s="3" t="str">
        <f t="shared" ref="D8005:D8007" si="1427">HYPERLINK("https://12go.asia/en/travel/Ahangama/Beruwala", "12Go Link")</f>
        <v>12Go Link</v>
      </c>
      <c r="E8005" s="2" t="s">
        <v>286</v>
      </c>
    </row>
    <row r="8006">
      <c r="A8006" s="2" t="s">
        <v>4919</v>
      </c>
      <c r="B8006" s="2" t="s">
        <v>4939</v>
      </c>
      <c r="C8006" s="2" t="s">
        <v>5052</v>
      </c>
      <c r="D8006" s="3" t="str">
        <f t="shared" si="1427"/>
        <v>12Go Link</v>
      </c>
      <c r="E8006" s="2" t="s">
        <v>4139</v>
      </c>
    </row>
    <row r="8007">
      <c r="A8007" s="2" t="s">
        <v>4919</v>
      </c>
      <c r="B8007" s="2" t="s">
        <v>4939</v>
      </c>
      <c r="C8007" s="2" t="s">
        <v>5052</v>
      </c>
      <c r="D8007" s="3" t="str">
        <f t="shared" si="1427"/>
        <v>12Go Link</v>
      </c>
      <c r="E8007" s="2" t="s">
        <v>3409</v>
      </c>
    </row>
    <row r="8008">
      <c r="A8008" s="2" t="s">
        <v>4919</v>
      </c>
      <c r="B8008" s="2" t="s">
        <v>4941</v>
      </c>
      <c r="C8008" s="2" t="s">
        <v>5053</v>
      </c>
      <c r="D8008" s="3" t="str">
        <f t="shared" ref="D8008:D8010" si="1428">HYPERLINK("https://12go.asia/en/travel/Ahangama/Bundala", "12Go Link")</f>
        <v>12Go Link</v>
      </c>
      <c r="E8008" s="2" t="s">
        <v>286</v>
      </c>
    </row>
    <row r="8009">
      <c r="A8009" s="2" t="s">
        <v>4919</v>
      </c>
      <c r="B8009" s="2" t="s">
        <v>4941</v>
      </c>
      <c r="C8009" s="2" t="s">
        <v>5053</v>
      </c>
      <c r="D8009" s="3" t="str">
        <f t="shared" si="1428"/>
        <v>12Go Link</v>
      </c>
      <c r="E8009" s="2" t="s">
        <v>4139</v>
      </c>
    </row>
    <row r="8010">
      <c r="A8010" s="2" t="s">
        <v>4919</v>
      </c>
      <c r="B8010" s="2" t="s">
        <v>4941</v>
      </c>
      <c r="C8010" s="2" t="s">
        <v>5053</v>
      </c>
      <c r="D8010" s="3" t="str">
        <f t="shared" si="1428"/>
        <v>12Go Link</v>
      </c>
      <c r="E8010" s="2" t="s">
        <v>3409</v>
      </c>
    </row>
    <row r="8011">
      <c r="A8011" s="2" t="s">
        <v>4919</v>
      </c>
      <c r="B8011" s="2" t="s">
        <v>4945</v>
      </c>
      <c r="C8011" s="2" t="s">
        <v>5054</v>
      </c>
      <c r="D8011" s="3" t="str">
        <f t="shared" ref="D8011:D8013" si="1429">HYPERLINK("https://12go.asia/en/travel/Ahangama/Bandaranaike-Airport", "12Go Link")</f>
        <v>12Go Link</v>
      </c>
      <c r="E8011" s="2" t="s">
        <v>286</v>
      </c>
    </row>
    <row r="8012">
      <c r="A8012" s="2" t="s">
        <v>4919</v>
      </c>
      <c r="B8012" s="2" t="s">
        <v>4945</v>
      </c>
      <c r="C8012" s="2" t="s">
        <v>5054</v>
      </c>
      <c r="D8012" s="3" t="str">
        <f t="shared" si="1429"/>
        <v>12Go Link</v>
      </c>
      <c r="E8012" s="2" t="s">
        <v>4139</v>
      </c>
    </row>
    <row r="8013">
      <c r="A8013" s="2" t="s">
        <v>4919</v>
      </c>
      <c r="B8013" s="2" t="s">
        <v>4945</v>
      </c>
      <c r="C8013" s="2" t="s">
        <v>5054</v>
      </c>
      <c r="D8013" s="3" t="str">
        <f t="shared" si="1429"/>
        <v>12Go Link</v>
      </c>
      <c r="E8013" s="2" t="s">
        <v>3409</v>
      </c>
    </row>
    <row r="8014">
      <c r="A8014" s="2" t="s">
        <v>4919</v>
      </c>
      <c r="B8014" s="2" t="s">
        <v>4949</v>
      </c>
      <c r="C8014" s="2" t="s">
        <v>5055</v>
      </c>
      <c r="D8014" s="3" t="str">
        <f t="shared" ref="D8014:D8016" si="1430">HYPERLINK("https://12go.asia/en/travel/Ahangama/Deniyaya", "12Go Link")</f>
        <v>12Go Link</v>
      </c>
      <c r="E8014" s="2" t="s">
        <v>286</v>
      </c>
    </row>
    <row r="8015">
      <c r="A8015" s="2" t="s">
        <v>4919</v>
      </c>
      <c r="B8015" s="2" t="s">
        <v>4949</v>
      </c>
      <c r="C8015" s="2" t="s">
        <v>5055</v>
      </c>
      <c r="D8015" s="3" t="str">
        <f t="shared" si="1430"/>
        <v>12Go Link</v>
      </c>
      <c r="E8015" s="2" t="s">
        <v>4139</v>
      </c>
    </row>
    <row r="8016">
      <c r="A8016" s="2" t="s">
        <v>4919</v>
      </c>
      <c r="B8016" s="2" t="s">
        <v>4949</v>
      </c>
      <c r="C8016" s="2" t="s">
        <v>5055</v>
      </c>
      <c r="D8016" s="3" t="str">
        <f t="shared" si="1430"/>
        <v>12Go Link</v>
      </c>
      <c r="E8016" s="2" t="s">
        <v>3409</v>
      </c>
    </row>
    <row r="8017">
      <c r="A8017" s="2" t="s">
        <v>4919</v>
      </c>
      <c r="B8017" s="2" t="s">
        <v>4951</v>
      </c>
      <c r="C8017" s="2" t="s">
        <v>5056</v>
      </c>
      <c r="D8017" s="3" t="str">
        <f t="shared" ref="D8017:D8019" si="1431">HYPERLINK("https://12go.asia/en/travel/Ahangama/Dickwella", "12Go Link")</f>
        <v>12Go Link</v>
      </c>
      <c r="E8017" s="2" t="s">
        <v>286</v>
      </c>
    </row>
    <row r="8018">
      <c r="A8018" s="2" t="s">
        <v>4919</v>
      </c>
      <c r="B8018" s="2" t="s">
        <v>4951</v>
      </c>
      <c r="C8018" s="2" t="s">
        <v>5056</v>
      </c>
      <c r="D8018" s="3" t="str">
        <f t="shared" si="1431"/>
        <v>12Go Link</v>
      </c>
      <c r="E8018" s="2" t="s">
        <v>4139</v>
      </c>
    </row>
    <row r="8019">
      <c r="A8019" s="2" t="s">
        <v>4919</v>
      </c>
      <c r="B8019" s="2" t="s">
        <v>4951</v>
      </c>
      <c r="C8019" s="2" t="s">
        <v>5056</v>
      </c>
      <c r="D8019" s="3" t="str">
        <f t="shared" si="1431"/>
        <v>12Go Link</v>
      </c>
      <c r="E8019" s="2" t="s">
        <v>3409</v>
      </c>
    </row>
    <row r="8020">
      <c r="A8020" s="2" t="s">
        <v>4919</v>
      </c>
      <c r="B8020" s="2" t="s">
        <v>4951</v>
      </c>
      <c r="C8020" s="2" t="s">
        <v>5057</v>
      </c>
      <c r="D8020" s="3" t="str">
        <f t="shared" ref="D8020:D8022" si="1432">HYPERLINK("https://12go.asia/en/travel/Ahangama/Hiriketiya-beach", "12Go Link")</f>
        <v>12Go Link</v>
      </c>
      <c r="E8020" s="2" t="s">
        <v>286</v>
      </c>
    </row>
    <row r="8021">
      <c r="A8021" s="2" t="s">
        <v>4919</v>
      </c>
      <c r="B8021" s="2" t="s">
        <v>4951</v>
      </c>
      <c r="C8021" s="2" t="s">
        <v>5057</v>
      </c>
      <c r="D8021" s="3" t="str">
        <f t="shared" si="1432"/>
        <v>12Go Link</v>
      </c>
      <c r="E8021" s="2" t="s">
        <v>4139</v>
      </c>
    </row>
    <row r="8022">
      <c r="A8022" s="2" t="s">
        <v>4919</v>
      </c>
      <c r="B8022" s="2" t="s">
        <v>4951</v>
      </c>
      <c r="C8022" s="2" t="s">
        <v>5057</v>
      </c>
      <c r="D8022" s="3" t="str">
        <f t="shared" si="1432"/>
        <v>12Go Link</v>
      </c>
      <c r="E8022" s="2" t="s">
        <v>3409</v>
      </c>
    </row>
    <row r="8023">
      <c r="A8023" s="2" t="s">
        <v>4919</v>
      </c>
      <c r="B8023" s="2" t="s">
        <v>4954</v>
      </c>
      <c r="C8023" s="2" t="s">
        <v>5058</v>
      </c>
      <c r="D8023" s="3" t="str">
        <f t="shared" ref="D8023:D8025" si="1433">HYPERLINK("https://12go.asia/en/travel/Ahangama/Galle", "12Go Link")</f>
        <v>12Go Link</v>
      </c>
      <c r="E8023" s="2" t="s">
        <v>286</v>
      </c>
    </row>
    <row r="8024">
      <c r="A8024" s="2" t="s">
        <v>4919</v>
      </c>
      <c r="B8024" s="2" t="s">
        <v>4954</v>
      </c>
      <c r="C8024" s="2" t="s">
        <v>5058</v>
      </c>
      <c r="D8024" s="3" t="str">
        <f t="shared" si="1433"/>
        <v>12Go Link</v>
      </c>
      <c r="E8024" s="2" t="s">
        <v>4139</v>
      </c>
    </row>
    <row r="8025">
      <c r="A8025" s="2" t="s">
        <v>4919</v>
      </c>
      <c r="B8025" s="2" t="s">
        <v>4954</v>
      </c>
      <c r="C8025" s="2" t="s">
        <v>5058</v>
      </c>
      <c r="D8025" s="3" t="str">
        <f t="shared" si="1433"/>
        <v>12Go Link</v>
      </c>
      <c r="E8025" s="2" t="s">
        <v>3409</v>
      </c>
    </row>
    <row r="8026">
      <c r="A8026" s="2" t="s">
        <v>4919</v>
      </c>
      <c r="B8026" s="2" t="s">
        <v>4954</v>
      </c>
      <c r="C8026" s="2" t="s">
        <v>5059</v>
      </c>
      <c r="D8026" s="3" t="str">
        <f t="shared" ref="D8026:D8028" si="1434">HYPERLINK("https://12go.asia/en/travel/Ahangama/Talpe", "12Go Link")</f>
        <v>12Go Link</v>
      </c>
      <c r="E8026" s="2" t="s">
        <v>286</v>
      </c>
    </row>
    <row r="8027">
      <c r="A8027" s="2" t="s">
        <v>4919</v>
      </c>
      <c r="B8027" s="2" t="s">
        <v>4954</v>
      </c>
      <c r="C8027" s="2" t="s">
        <v>5059</v>
      </c>
      <c r="D8027" s="3" t="str">
        <f t="shared" si="1434"/>
        <v>12Go Link</v>
      </c>
      <c r="E8027" s="2" t="s">
        <v>4139</v>
      </c>
    </row>
    <row r="8028">
      <c r="A8028" s="2" t="s">
        <v>4919</v>
      </c>
      <c r="B8028" s="2" t="s">
        <v>4954</v>
      </c>
      <c r="C8028" s="2" t="s">
        <v>5059</v>
      </c>
      <c r="D8028" s="3" t="str">
        <f t="shared" si="1434"/>
        <v>12Go Link</v>
      </c>
      <c r="E8028" s="2" t="s">
        <v>3409</v>
      </c>
    </row>
    <row r="8029">
      <c r="A8029" s="2" t="s">
        <v>4919</v>
      </c>
      <c r="B8029" s="2" t="s">
        <v>4957</v>
      </c>
      <c r="C8029" s="2" t="s">
        <v>5060</v>
      </c>
      <c r="D8029" s="3" t="str">
        <f t="shared" ref="D8029:D8031" si="1435">HYPERLINK("https://12go.asia/en/travel/Ahangama/Habarana", "12Go Link")</f>
        <v>12Go Link</v>
      </c>
      <c r="E8029" s="2" t="s">
        <v>286</v>
      </c>
    </row>
    <row r="8030">
      <c r="A8030" s="2" t="s">
        <v>4919</v>
      </c>
      <c r="B8030" s="2" t="s">
        <v>4957</v>
      </c>
      <c r="C8030" s="2" t="s">
        <v>5060</v>
      </c>
      <c r="D8030" s="3" t="str">
        <f t="shared" si="1435"/>
        <v>12Go Link</v>
      </c>
      <c r="E8030" s="2" t="s">
        <v>4139</v>
      </c>
    </row>
    <row r="8031">
      <c r="A8031" s="2" t="s">
        <v>4919</v>
      </c>
      <c r="B8031" s="2" t="s">
        <v>4957</v>
      </c>
      <c r="C8031" s="2" t="s">
        <v>5060</v>
      </c>
      <c r="D8031" s="3" t="str">
        <f t="shared" si="1435"/>
        <v>12Go Link</v>
      </c>
      <c r="E8031" s="2" t="s">
        <v>3409</v>
      </c>
    </row>
    <row r="8032">
      <c r="A8032" s="2" t="s">
        <v>4919</v>
      </c>
      <c r="B8032" s="2" t="s">
        <v>4959</v>
      </c>
      <c r="C8032" s="2" t="s">
        <v>5061</v>
      </c>
      <c r="D8032" s="3" t="str">
        <f t="shared" ref="D8032:D8034" si="1436">HYPERLINK("https://12go.asia/en/travel/Ahangama/Ella", "12Go Link")</f>
        <v>12Go Link</v>
      </c>
      <c r="E8032" s="2" t="s">
        <v>286</v>
      </c>
    </row>
    <row r="8033">
      <c r="A8033" s="2" t="s">
        <v>4919</v>
      </c>
      <c r="B8033" s="2" t="s">
        <v>4959</v>
      </c>
      <c r="C8033" s="2" t="s">
        <v>5061</v>
      </c>
      <c r="D8033" s="3" t="str">
        <f t="shared" si="1436"/>
        <v>12Go Link</v>
      </c>
      <c r="E8033" s="2" t="s">
        <v>4139</v>
      </c>
    </row>
    <row r="8034">
      <c r="A8034" s="2" t="s">
        <v>4919</v>
      </c>
      <c r="B8034" s="2" t="s">
        <v>4959</v>
      </c>
      <c r="C8034" s="2" t="s">
        <v>5061</v>
      </c>
      <c r="D8034" s="3" t="str">
        <f t="shared" si="1436"/>
        <v>12Go Link</v>
      </c>
      <c r="E8034" s="2" t="s">
        <v>3409</v>
      </c>
    </row>
    <row r="8035">
      <c r="A8035" s="2" t="s">
        <v>4919</v>
      </c>
      <c r="B8035" s="2" t="s">
        <v>4961</v>
      </c>
      <c r="C8035" s="2" t="s">
        <v>5062</v>
      </c>
      <c r="D8035" s="3" t="str">
        <f t="shared" ref="D8035:D8037" si="1437">HYPERLINK("https://12go.asia/en/travel/Ahangama/Beragala", "12Go Link")</f>
        <v>12Go Link</v>
      </c>
      <c r="E8035" s="2" t="s">
        <v>286</v>
      </c>
    </row>
    <row r="8036">
      <c r="A8036" s="2" t="s">
        <v>4919</v>
      </c>
      <c r="B8036" s="2" t="s">
        <v>4961</v>
      </c>
      <c r="C8036" s="2" t="s">
        <v>5062</v>
      </c>
      <c r="D8036" s="3" t="str">
        <f t="shared" si="1437"/>
        <v>12Go Link</v>
      </c>
      <c r="E8036" s="2" t="s">
        <v>4139</v>
      </c>
    </row>
    <row r="8037">
      <c r="A8037" s="2" t="s">
        <v>4919</v>
      </c>
      <c r="B8037" s="2" t="s">
        <v>4961</v>
      </c>
      <c r="C8037" s="2" t="s">
        <v>5062</v>
      </c>
      <c r="D8037" s="3" t="str">
        <f t="shared" si="1437"/>
        <v>12Go Link</v>
      </c>
      <c r="E8037" s="2" t="s">
        <v>3409</v>
      </c>
    </row>
    <row r="8038">
      <c r="A8038" s="2" t="s">
        <v>4919</v>
      </c>
      <c r="B8038" s="2" t="s">
        <v>4963</v>
      </c>
      <c r="C8038" s="2" t="s">
        <v>5063</v>
      </c>
      <c r="D8038" s="3" t="str">
        <f t="shared" ref="D8038:D8040" si="1438">HYPERLINK("https://12go.asia/en/travel/Ahangama/Dick-oya", "12Go Link")</f>
        <v>12Go Link</v>
      </c>
      <c r="E8038" s="2" t="s">
        <v>286</v>
      </c>
    </row>
    <row r="8039">
      <c r="A8039" s="2" t="s">
        <v>4919</v>
      </c>
      <c r="B8039" s="2" t="s">
        <v>4963</v>
      </c>
      <c r="C8039" s="2" t="s">
        <v>5063</v>
      </c>
      <c r="D8039" s="3" t="str">
        <f t="shared" si="1438"/>
        <v>12Go Link</v>
      </c>
      <c r="E8039" s="2" t="s">
        <v>4139</v>
      </c>
    </row>
    <row r="8040">
      <c r="A8040" s="2" t="s">
        <v>4919</v>
      </c>
      <c r="B8040" s="2" t="s">
        <v>4963</v>
      </c>
      <c r="C8040" s="2" t="s">
        <v>5063</v>
      </c>
      <c r="D8040" s="3" t="str">
        <f t="shared" si="1438"/>
        <v>12Go Link</v>
      </c>
      <c r="E8040" s="2" t="s">
        <v>3409</v>
      </c>
    </row>
    <row r="8041">
      <c r="A8041" s="2" t="s">
        <v>4919</v>
      </c>
      <c r="B8041" s="2" t="s">
        <v>4965</v>
      </c>
      <c r="C8041" s="2" t="s">
        <v>5064</v>
      </c>
      <c r="D8041" s="3" t="str">
        <f t="shared" ref="D8041:D8043" si="1439">HYPERLINK("https://12go.asia/en/travel/Ahangama/Dodanduwa", "12Go Link")</f>
        <v>12Go Link</v>
      </c>
      <c r="E8041" s="2" t="s">
        <v>286</v>
      </c>
    </row>
    <row r="8042">
      <c r="A8042" s="2" t="s">
        <v>4919</v>
      </c>
      <c r="B8042" s="2" t="s">
        <v>4965</v>
      </c>
      <c r="C8042" s="2" t="s">
        <v>5064</v>
      </c>
      <c r="D8042" s="3" t="str">
        <f t="shared" si="1439"/>
        <v>12Go Link</v>
      </c>
      <c r="E8042" s="2" t="s">
        <v>4139</v>
      </c>
    </row>
    <row r="8043">
      <c r="A8043" s="2" t="s">
        <v>4919</v>
      </c>
      <c r="B8043" s="2" t="s">
        <v>4965</v>
      </c>
      <c r="C8043" s="2" t="s">
        <v>5064</v>
      </c>
      <c r="D8043" s="3" t="str">
        <f t="shared" si="1439"/>
        <v>12Go Link</v>
      </c>
      <c r="E8043" s="2" t="s">
        <v>3409</v>
      </c>
    </row>
    <row r="8044">
      <c r="A8044" s="2" t="s">
        <v>4919</v>
      </c>
      <c r="B8044" s="2" t="s">
        <v>4967</v>
      </c>
      <c r="C8044" s="2" t="s">
        <v>5065</v>
      </c>
      <c r="D8044" s="3" t="str">
        <f t="shared" ref="D8044:D8046" si="1440">HYPERLINK("https://12go.asia/en/travel/Ahangama/Induruwa", "12Go Link")</f>
        <v>12Go Link</v>
      </c>
      <c r="E8044" s="2" t="s">
        <v>286</v>
      </c>
    </row>
    <row r="8045">
      <c r="A8045" s="2" t="s">
        <v>4919</v>
      </c>
      <c r="B8045" s="2" t="s">
        <v>4967</v>
      </c>
      <c r="C8045" s="2" t="s">
        <v>5065</v>
      </c>
      <c r="D8045" s="3" t="str">
        <f t="shared" si="1440"/>
        <v>12Go Link</v>
      </c>
      <c r="E8045" s="2" t="s">
        <v>4139</v>
      </c>
    </row>
    <row r="8046">
      <c r="A8046" s="2" t="s">
        <v>4919</v>
      </c>
      <c r="B8046" s="2" t="s">
        <v>4967</v>
      </c>
      <c r="C8046" s="2" t="s">
        <v>5065</v>
      </c>
      <c r="D8046" s="3" t="str">
        <f t="shared" si="1440"/>
        <v>12Go Link</v>
      </c>
      <c r="E8046" s="2" t="s">
        <v>3409</v>
      </c>
    </row>
    <row r="8047">
      <c r="A8047" s="2" t="s">
        <v>4919</v>
      </c>
      <c r="B8047" s="2" t="s">
        <v>4969</v>
      </c>
      <c r="C8047" s="2" t="s">
        <v>5066</v>
      </c>
      <c r="D8047" s="3" t="str">
        <f t="shared" ref="D8047:D8049" si="1441">HYPERLINK("https://12go.asia/en/travel/Ahangama/Jaffna", "12Go Link")</f>
        <v>12Go Link</v>
      </c>
      <c r="E8047" s="2" t="s">
        <v>286</v>
      </c>
    </row>
    <row r="8048">
      <c r="A8048" s="2" t="s">
        <v>4919</v>
      </c>
      <c r="B8048" s="2" t="s">
        <v>4969</v>
      </c>
      <c r="C8048" s="2" t="s">
        <v>5066</v>
      </c>
      <c r="D8048" s="3" t="str">
        <f t="shared" si="1441"/>
        <v>12Go Link</v>
      </c>
      <c r="E8048" s="2" t="s">
        <v>4139</v>
      </c>
    </row>
    <row r="8049">
      <c r="A8049" s="2" t="s">
        <v>4919</v>
      </c>
      <c r="B8049" s="2" t="s">
        <v>4969</v>
      </c>
      <c r="C8049" s="2" t="s">
        <v>5066</v>
      </c>
      <c r="D8049" s="3" t="str">
        <f t="shared" si="1441"/>
        <v>12Go Link</v>
      </c>
      <c r="E8049" s="2" t="s">
        <v>3409</v>
      </c>
    </row>
    <row r="8050">
      <c r="A8050" s="2" t="s">
        <v>4919</v>
      </c>
      <c r="B8050" s="2" t="s">
        <v>4971</v>
      </c>
      <c r="C8050" s="2" t="s">
        <v>5067</v>
      </c>
      <c r="D8050" s="3" t="str">
        <f t="shared" ref="D8050:D8052" si="1442">HYPERLINK("https://12go.asia/en/travel/Ahangama/Kalapuwa", "12Go Link")</f>
        <v>12Go Link</v>
      </c>
      <c r="E8050" s="2" t="s">
        <v>286</v>
      </c>
    </row>
    <row r="8051">
      <c r="A8051" s="2" t="s">
        <v>4919</v>
      </c>
      <c r="B8051" s="2" t="s">
        <v>4971</v>
      </c>
      <c r="C8051" s="2" t="s">
        <v>5067</v>
      </c>
      <c r="D8051" s="3" t="str">
        <f t="shared" si="1442"/>
        <v>12Go Link</v>
      </c>
      <c r="E8051" s="2" t="s">
        <v>4139</v>
      </c>
    </row>
    <row r="8052">
      <c r="A8052" s="2" t="s">
        <v>4919</v>
      </c>
      <c r="B8052" s="2" t="s">
        <v>4971</v>
      </c>
      <c r="C8052" s="2" t="s">
        <v>5067</v>
      </c>
      <c r="D8052" s="3" t="str">
        <f t="shared" si="1442"/>
        <v>12Go Link</v>
      </c>
      <c r="E8052" s="2" t="s">
        <v>3409</v>
      </c>
    </row>
    <row r="8053">
      <c r="A8053" s="2" t="s">
        <v>4919</v>
      </c>
      <c r="B8053" s="2" t="s">
        <v>4973</v>
      </c>
      <c r="C8053" s="2" t="s">
        <v>5068</v>
      </c>
      <c r="D8053" s="3" t="str">
        <f t="shared" ref="D8053:D8055" si="1443">HYPERLINK("https://12go.asia/en/travel/Ahangama/Digana", "12Go Link")</f>
        <v>12Go Link</v>
      </c>
      <c r="E8053" s="2" t="s">
        <v>286</v>
      </c>
    </row>
    <row r="8054">
      <c r="A8054" s="2" t="s">
        <v>4919</v>
      </c>
      <c r="B8054" s="2" t="s">
        <v>4973</v>
      </c>
      <c r="C8054" s="2" t="s">
        <v>5068</v>
      </c>
      <c r="D8054" s="3" t="str">
        <f t="shared" si="1443"/>
        <v>12Go Link</v>
      </c>
      <c r="E8054" s="2" t="s">
        <v>4139</v>
      </c>
    </row>
    <row r="8055">
      <c r="A8055" s="2" t="s">
        <v>4919</v>
      </c>
      <c r="B8055" s="2" t="s">
        <v>4973</v>
      </c>
      <c r="C8055" s="2" t="s">
        <v>5068</v>
      </c>
      <c r="D8055" s="3" t="str">
        <f t="shared" si="1443"/>
        <v>12Go Link</v>
      </c>
      <c r="E8055" s="2" t="s">
        <v>3409</v>
      </c>
    </row>
    <row r="8056">
      <c r="A8056" s="2" t="s">
        <v>4919</v>
      </c>
      <c r="B8056" s="2" t="s">
        <v>4976</v>
      </c>
      <c r="C8056" s="2" t="s">
        <v>5069</v>
      </c>
      <c r="D8056" s="3" t="str">
        <f t="shared" ref="D8056:D8058" si="1444">HYPERLINK("https://12go.asia/en/travel/Ahangama/Kataragama", "12Go Link")</f>
        <v>12Go Link</v>
      </c>
      <c r="E8056" s="2" t="s">
        <v>286</v>
      </c>
    </row>
    <row r="8057">
      <c r="A8057" s="2" t="s">
        <v>4919</v>
      </c>
      <c r="B8057" s="2" t="s">
        <v>4976</v>
      </c>
      <c r="C8057" s="2" t="s">
        <v>5069</v>
      </c>
      <c r="D8057" s="3" t="str">
        <f t="shared" si="1444"/>
        <v>12Go Link</v>
      </c>
      <c r="E8057" s="2" t="s">
        <v>4139</v>
      </c>
    </row>
    <row r="8058">
      <c r="A8058" s="2" t="s">
        <v>4919</v>
      </c>
      <c r="B8058" s="2" t="s">
        <v>4976</v>
      </c>
      <c r="C8058" s="2" t="s">
        <v>5069</v>
      </c>
      <c r="D8058" s="3" t="str">
        <f t="shared" si="1444"/>
        <v>12Go Link</v>
      </c>
      <c r="E8058" s="2" t="s">
        <v>3409</v>
      </c>
    </row>
    <row r="8059">
      <c r="A8059" s="2" t="s">
        <v>4919</v>
      </c>
      <c r="B8059" s="2" t="s">
        <v>4978</v>
      </c>
      <c r="C8059" s="2" t="s">
        <v>5070</v>
      </c>
      <c r="D8059" s="3" t="str">
        <f t="shared" ref="D8059:D8061" si="1445">HYPERLINK("https://12go.asia/en/travel/Ahangama/Alawathupitiya", "12Go Link")</f>
        <v>12Go Link</v>
      </c>
      <c r="E8059" s="2" t="s">
        <v>286</v>
      </c>
    </row>
    <row r="8060">
      <c r="A8060" s="2" t="s">
        <v>4919</v>
      </c>
      <c r="B8060" s="2" t="s">
        <v>4978</v>
      </c>
      <c r="C8060" s="2" t="s">
        <v>5070</v>
      </c>
      <c r="D8060" s="3" t="str">
        <f t="shared" si="1445"/>
        <v>12Go Link</v>
      </c>
      <c r="E8060" s="2" t="s">
        <v>4139</v>
      </c>
    </row>
    <row r="8061">
      <c r="A8061" s="2" t="s">
        <v>4919</v>
      </c>
      <c r="B8061" s="2" t="s">
        <v>4978</v>
      </c>
      <c r="C8061" s="2" t="s">
        <v>5070</v>
      </c>
      <c r="D8061" s="3" t="str">
        <f t="shared" si="1445"/>
        <v>12Go Link</v>
      </c>
      <c r="E8061" s="2" t="s">
        <v>3409</v>
      </c>
    </row>
    <row r="8062">
      <c r="A8062" s="2" t="s">
        <v>4919</v>
      </c>
      <c r="B8062" s="2" t="s">
        <v>4980</v>
      </c>
      <c r="C8062" s="2" t="s">
        <v>5071</v>
      </c>
      <c r="D8062" s="3" t="str">
        <f t="shared" ref="D8062:D8064" si="1446">HYPERLINK("https://12go.asia/en/travel/Ahangama/Pinnawala", "12Go Link")</f>
        <v>12Go Link</v>
      </c>
      <c r="E8062" s="2" t="s">
        <v>286</v>
      </c>
    </row>
    <row r="8063">
      <c r="A8063" s="2" t="s">
        <v>4919</v>
      </c>
      <c r="B8063" s="2" t="s">
        <v>4980</v>
      </c>
      <c r="C8063" s="2" t="s">
        <v>5071</v>
      </c>
      <c r="D8063" s="3" t="str">
        <f t="shared" si="1446"/>
        <v>12Go Link</v>
      </c>
      <c r="E8063" s="2" t="s">
        <v>4139</v>
      </c>
    </row>
    <row r="8064">
      <c r="A8064" s="2" t="s">
        <v>4919</v>
      </c>
      <c r="B8064" s="2" t="s">
        <v>4980</v>
      </c>
      <c r="C8064" s="2" t="s">
        <v>5071</v>
      </c>
      <c r="D8064" s="3" t="str">
        <f t="shared" si="1446"/>
        <v>12Go Link</v>
      </c>
      <c r="E8064" s="2" t="s">
        <v>3409</v>
      </c>
    </row>
    <row r="8065">
      <c r="A8065" s="2" t="s">
        <v>4919</v>
      </c>
      <c r="B8065" s="2" t="s">
        <v>4982</v>
      </c>
      <c r="C8065" s="2" t="s">
        <v>5072</v>
      </c>
      <c r="D8065" s="3" t="str">
        <f t="shared" ref="D8065:D8067" si="1447">HYPERLINK("https://12go.asia/en/travel/Ahangama/Kitulgala", "12Go Link")</f>
        <v>12Go Link</v>
      </c>
      <c r="E8065" s="2" t="s">
        <v>286</v>
      </c>
    </row>
    <row r="8066">
      <c r="A8066" s="2" t="s">
        <v>4919</v>
      </c>
      <c r="B8066" s="2" t="s">
        <v>4982</v>
      </c>
      <c r="C8066" s="2" t="s">
        <v>5072</v>
      </c>
      <c r="D8066" s="3" t="str">
        <f t="shared" si="1447"/>
        <v>12Go Link</v>
      </c>
      <c r="E8066" s="2" t="s">
        <v>4139</v>
      </c>
    </row>
    <row r="8067">
      <c r="A8067" s="2" t="s">
        <v>4919</v>
      </c>
      <c r="B8067" s="2" t="s">
        <v>4982</v>
      </c>
      <c r="C8067" s="2" t="s">
        <v>5072</v>
      </c>
      <c r="D8067" s="3" t="str">
        <f t="shared" si="1447"/>
        <v>12Go Link</v>
      </c>
      <c r="E8067" s="2" t="s">
        <v>3409</v>
      </c>
    </row>
    <row r="8068">
      <c r="A8068" s="2" t="s">
        <v>4919</v>
      </c>
      <c r="B8068" s="2" t="s">
        <v>4984</v>
      </c>
      <c r="C8068" s="2" t="s">
        <v>5073</v>
      </c>
      <c r="D8068" s="3" t="str">
        <f t="shared" ref="D8068:D8070" si="1448">HYPERLINK("https://12go.asia/en/travel/Ahangama/Habaraduwa", "12Go Link")</f>
        <v>12Go Link</v>
      </c>
      <c r="E8068" s="2" t="s">
        <v>286</v>
      </c>
    </row>
    <row r="8069">
      <c r="A8069" s="2" t="s">
        <v>4919</v>
      </c>
      <c r="B8069" s="2" t="s">
        <v>4984</v>
      </c>
      <c r="C8069" s="2" t="s">
        <v>5073</v>
      </c>
      <c r="D8069" s="3" t="str">
        <f t="shared" si="1448"/>
        <v>12Go Link</v>
      </c>
      <c r="E8069" s="2" t="s">
        <v>4139</v>
      </c>
    </row>
    <row r="8070">
      <c r="A8070" s="2" t="s">
        <v>4919</v>
      </c>
      <c r="B8070" s="2" t="s">
        <v>4984</v>
      </c>
      <c r="C8070" s="2" t="s">
        <v>5073</v>
      </c>
      <c r="D8070" s="3" t="str">
        <f t="shared" si="1448"/>
        <v>12Go Link</v>
      </c>
      <c r="E8070" s="2" t="s">
        <v>3409</v>
      </c>
    </row>
    <row r="8071">
      <c r="A8071" s="2" t="s">
        <v>4919</v>
      </c>
      <c r="B8071" s="2" t="s">
        <v>4986</v>
      </c>
      <c r="C8071" s="2" t="s">
        <v>5074</v>
      </c>
      <c r="D8071" s="3" t="str">
        <f t="shared" ref="D8071:D8073" si="1449">HYPERLINK("https://12go.asia/en/travel/Ahangama/Kosgoda", "12Go Link")</f>
        <v>12Go Link</v>
      </c>
      <c r="E8071" s="2" t="s">
        <v>286</v>
      </c>
    </row>
    <row r="8072">
      <c r="A8072" s="2" t="s">
        <v>4919</v>
      </c>
      <c r="B8072" s="2" t="s">
        <v>4986</v>
      </c>
      <c r="C8072" s="2" t="s">
        <v>5074</v>
      </c>
      <c r="D8072" s="3" t="str">
        <f t="shared" si="1449"/>
        <v>12Go Link</v>
      </c>
      <c r="E8072" s="2" t="s">
        <v>4139</v>
      </c>
    </row>
    <row r="8073">
      <c r="A8073" s="2" t="s">
        <v>4919</v>
      </c>
      <c r="B8073" s="2" t="s">
        <v>4986</v>
      </c>
      <c r="C8073" s="2" t="s">
        <v>5074</v>
      </c>
      <c r="D8073" s="3" t="str">
        <f t="shared" si="1449"/>
        <v>12Go Link</v>
      </c>
      <c r="E8073" s="2" t="s">
        <v>3409</v>
      </c>
    </row>
    <row r="8074">
      <c r="A8074" s="2" t="s">
        <v>4919</v>
      </c>
      <c r="B8074" s="2" t="s">
        <v>4988</v>
      </c>
      <c r="C8074" s="2" t="s">
        <v>5075</v>
      </c>
      <c r="D8074" s="3" t="str">
        <f t="shared" ref="D8074:D8076" si="1450">HYPERLINK("https://12go.asia/en/travel/Ahangama/Kuchchaveli", "12Go Link")</f>
        <v>12Go Link</v>
      </c>
      <c r="E8074" s="2" t="s">
        <v>286</v>
      </c>
    </row>
    <row r="8075">
      <c r="A8075" s="2" t="s">
        <v>4919</v>
      </c>
      <c r="B8075" s="2" t="s">
        <v>4988</v>
      </c>
      <c r="C8075" s="2" t="s">
        <v>5075</v>
      </c>
      <c r="D8075" s="3" t="str">
        <f t="shared" si="1450"/>
        <v>12Go Link</v>
      </c>
      <c r="E8075" s="2" t="s">
        <v>4139</v>
      </c>
    </row>
    <row r="8076">
      <c r="A8076" s="2" t="s">
        <v>4919</v>
      </c>
      <c r="B8076" s="2" t="s">
        <v>4988</v>
      </c>
      <c r="C8076" s="2" t="s">
        <v>5075</v>
      </c>
      <c r="D8076" s="3" t="str">
        <f t="shared" si="1450"/>
        <v>12Go Link</v>
      </c>
      <c r="E8076" s="2" t="s">
        <v>3409</v>
      </c>
    </row>
    <row r="8077">
      <c r="A8077" s="2" t="s">
        <v>4919</v>
      </c>
      <c r="B8077" s="2" t="s">
        <v>4990</v>
      </c>
      <c r="C8077" s="2" t="s">
        <v>5076</v>
      </c>
      <c r="D8077" s="3" t="str">
        <f t="shared" ref="D8077:D8079" si="1451">HYPERLINK("https://12go.asia/en/travel/Ahangama/Mannar", "12Go Link")</f>
        <v>12Go Link</v>
      </c>
      <c r="E8077" s="2" t="s">
        <v>286</v>
      </c>
    </row>
    <row r="8078">
      <c r="A8078" s="2" t="s">
        <v>4919</v>
      </c>
      <c r="B8078" s="2" t="s">
        <v>4990</v>
      </c>
      <c r="C8078" s="2" t="s">
        <v>5076</v>
      </c>
      <c r="D8078" s="3" t="str">
        <f t="shared" si="1451"/>
        <v>12Go Link</v>
      </c>
      <c r="E8078" s="2" t="s">
        <v>4139</v>
      </c>
    </row>
    <row r="8079">
      <c r="A8079" s="2" t="s">
        <v>4919</v>
      </c>
      <c r="B8079" s="2" t="s">
        <v>4990</v>
      </c>
      <c r="C8079" s="2" t="s">
        <v>5076</v>
      </c>
      <c r="D8079" s="3" t="str">
        <f t="shared" si="1451"/>
        <v>12Go Link</v>
      </c>
      <c r="E8079" s="2" t="s">
        <v>3409</v>
      </c>
    </row>
    <row r="8080">
      <c r="A8080" s="2" t="s">
        <v>4919</v>
      </c>
      <c r="B8080" s="2" t="s">
        <v>4992</v>
      </c>
      <c r="C8080" s="2" t="s">
        <v>5077</v>
      </c>
      <c r="D8080" s="3" t="str">
        <f t="shared" ref="D8080:D8082" si="1452">HYPERLINK("https://12go.asia/en/travel/Ahangama/Kinigama", "12Go Link")</f>
        <v>12Go Link</v>
      </c>
      <c r="E8080" s="2" t="s">
        <v>286</v>
      </c>
    </row>
    <row r="8081">
      <c r="A8081" s="2" t="s">
        <v>4919</v>
      </c>
      <c r="B8081" s="2" t="s">
        <v>4992</v>
      </c>
      <c r="C8081" s="2" t="s">
        <v>5077</v>
      </c>
      <c r="D8081" s="3" t="str">
        <f t="shared" si="1452"/>
        <v>12Go Link</v>
      </c>
      <c r="E8081" s="2" t="s">
        <v>4139</v>
      </c>
    </row>
    <row r="8082">
      <c r="A8082" s="2" t="s">
        <v>4919</v>
      </c>
      <c r="B8082" s="2" t="s">
        <v>4992</v>
      </c>
      <c r="C8082" s="2" t="s">
        <v>5077</v>
      </c>
      <c r="D8082" s="3" t="str">
        <f t="shared" si="1452"/>
        <v>12Go Link</v>
      </c>
      <c r="E8082" s="2" t="s">
        <v>3409</v>
      </c>
    </row>
    <row r="8083">
      <c r="A8083" s="2" t="s">
        <v>4919</v>
      </c>
      <c r="B8083" s="2" t="s">
        <v>4994</v>
      </c>
      <c r="C8083" s="2" t="s">
        <v>5078</v>
      </c>
      <c r="D8083" s="3" t="str">
        <f t="shared" ref="D8083:D8085" si="1453">HYPERLINK("https://12go.asia/en/travel/Ahangama/Kalamatiya", "12Go Link")</f>
        <v>12Go Link</v>
      </c>
      <c r="E8083" s="2" t="s">
        <v>286</v>
      </c>
    </row>
    <row r="8084">
      <c r="A8084" s="2" t="s">
        <v>4919</v>
      </c>
      <c r="B8084" s="2" t="s">
        <v>4994</v>
      </c>
      <c r="C8084" s="2" t="s">
        <v>5078</v>
      </c>
      <c r="D8084" s="3" t="str">
        <f t="shared" si="1453"/>
        <v>12Go Link</v>
      </c>
      <c r="E8084" s="2" t="s">
        <v>4139</v>
      </c>
    </row>
    <row r="8085">
      <c r="A8085" s="2" t="s">
        <v>4919</v>
      </c>
      <c r="B8085" s="2" t="s">
        <v>4994</v>
      </c>
      <c r="C8085" s="2" t="s">
        <v>5078</v>
      </c>
      <c r="D8085" s="3" t="str">
        <f t="shared" si="1453"/>
        <v>12Go Link</v>
      </c>
      <c r="E8085" s="2" t="s">
        <v>3409</v>
      </c>
    </row>
    <row r="8086">
      <c r="A8086" s="2" t="s">
        <v>4919</v>
      </c>
      <c r="B8086" s="2" t="s">
        <v>4994</v>
      </c>
      <c r="C8086" s="2" t="s">
        <v>5079</v>
      </c>
      <c r="D8086" s="3" t="str">
        <f t="shared" ref="D8086:D8087" si="1454">HYPERLINK("https://12go.asia/en/travel/Ahangama/Matara", "12Go Link")</f>
        <v>12Go Link</v>
      </c>
      <c r="E8086" s="2" t="s">
        <v>5080</v>
      </c>
    </row>
    <row r="8087">
      <c r="A8087" s="2" t="s">
        <v>4919</v>
      </c>
      <c r="B8087" s="2" t="s">
        <v>4994</v>
      </c>
      <c r="C8087" s="2" t="s">
        <v>5079</v>
      </c>
      <c r="D8087" s="3" t="str">
        <f t="shared" si="1454"/>
        <v>12Go Link</v>
      </c>
      <c r="E8087" s="2" t="s">
        <v>5081</v>
      </c>
    </row>
    <row r="8088">
      <c r="A8088" s="2" t="s">
        <v>4919</v>
      </c>
      <c r="B8088" s="2" t="s">
        <v>4996</v>
      </c>
      <c r="C8088" s="2" t="s">
        <v>5082</v>
      </c>
      <c r="D8088" s="3" t="str">
        <f t="shared" ref="D8088:D8090" si="1455">HYPERLINK("https://12go.asia/en/travel/Ahangama/mirissa", "12Go Link")</f>
        <v>12Go Link</v>
      </c>
      <c r="E8088" s="2" t="s">
        <v>286</v>
      </c>
    </row>
    <row r="8089">
      <c r="A8089" s="2" t="s">
        <v>4919</v>
      </c>
      <c r="B8089" s="2" t="s">
        <v>4996</v>
      </c>
      <c r="C8089" s="2" t="s">
        <v>5082</v>
      </c>
      <c r="D8089" s="3" t="str">
        <f t="shared" si="1455"/>
        <v>12Go Link</v>
      </c>
      <c r="E8089" s="2" t="s">
        <v>4139</v>
      </c>
    </row>
    <row r="8090">
      <c r="A8090" s="2" t="s">
        <v>4919</v>
      </c>
      <c r="B8090" s="2" t="s">
        <v>4996</v>
      </c>
      <c r="C8090" s="2" t="s">
        <v>5082</v>
      </c>
      <c r="D8090" s="3" t="str">
        <f t="shared" si="1455"/>
        <v>12Go Link</v>
      </c>
      <c r="E8090" s="2" t="s">
        <v>3409</v>
      </c>
    </row>
    <row r="8091">
      <c r="A8091" s="2" t="s">
        <v>4919</v>
      </c>
      <c r="B8091" s="2" t="s">
        <v>4996</v>
      </c>
      <c r="C8091" s="2" t="s">
        <v>5083</v>
      </c>
      <c r="D8091" s="3" t="str">
        <f t="shared" ref="D8091:D8092" si="1456">HYPERLINK("https://12go.asia/en/travel/Ahangama/Mirissa", "12Go Link")</f>
        <v>12Go Link</v>
      </c>
      <c r="E8091" s="2" t="s">
        <v>5080</v>
      </c>
    </row>
    <row r="8092">
      <c r="A8092" s="2" t="s">
        <v>4919</v>
      </c>
      <c r="B8092" s="2" t="s">
        <v>4996</v>
      </c>
      <c r="C8092" s="2" t="s">
        <v>5083</v>
      </c>
      <c r="D8092" s="3" t="str">
        <f t="shared" si="1456"/>
        <v>12Go Link</v>
      </c>
      <c r="E8092" s="2" t="s">
        <v>5081</v>
      </c>
    </row>
    <row r="8093">
      <c r="A8093" s="2" t="s">
        <v>4919</v>
      </c>
      <c r="B8093" s="2" t="s">
        <v>4998</v>
      </c>
      <c r="C8093" s="2" t="s">
        <v>5084</v>
      </c>
      <c r="D8093" s="3" t="str">
        <f t="shared" ref="D8093:D8095" si="1457">HYPERLINK("https://12go.asia/en/travel/Ahangama/Nanu-Oya", "12Go Link")</f>
        <v>12Go Link</v>
      </c>
      <c r="E8093" s="2" t="s">
        <v>286</v>
      </c>
    </row>
    <row r="8094">
      <c r="A8094" s="2" t="s">
        <v>4919</v>
      </c>
      <c r="B8094" s="2" t="s">
        <v>4998</v>
      </c>
      <c r="C8094" s="2" t="s">
        <v>5084</v>
      </c>
      <c r="D8094" s="3" t="str">
        <f t="shared" si="1457"/>
        <v>12Go Link</v>
      </c>
      <c r="E8094" s="2" t="s">
        <v>4139</v>
      </c>
    </row>
    <row r="8095">
      <c r="A8095" s="2" t="s">
        <v>4919</v>
      </c>
      <c r="B8095" s="2" t="s">
        <v>4998</v>
      </c>
      <c r="C8095" s="2" t="s">
        <v>5084</v>
      </c>
      <c r="D8095" s="3" t="str">
        <f t="shared" si="1457"/>
        <v>12Go Link</v>
      </c>
      <c r="E8095" s="2" t="s">
        <v>3409</v>
      </c>
    </row>
    <row r="8096">
      <c r="A8096" s="2" t="s">
        <v>4919</v>
      </c>
      <c r="B8096" s="2" t="s">
        <v>5000</v>
      </c>
      <c r="C8096" s="2" t="s">
        <v>5085</v>
      </c>
      <c r="D8096" s="3" t="str">
        <f t="shared" ref="D8096:D8098" si="1458">HYPERLINK("https://12go.asia/en/travel/Ahangama/Waikkal", "12Go Link")</f>
        <v>12Go Link</v>
      </c>
      <c r="E8096" s="2" t="s">
        <v>286</v>
      </c>
    </row>
    <row r="8097">
      <c r="A8097" s="2" t="s">
        <v>4919</v>
      </c>
      <c r="B8097" s="2" t="s">
        <v>5000</v>
      </c>
      <c r="C8097" s="2" t="s">
        <v>5085</v>
      </c>
      <c r="D8097" s="3" t="str">
        <f t="shared" si="1458"/>
        <v>12Go Link</v>
      </c>
      <c r="E8097" s="2" t="s">
        <v>4139</v>
      </c>
    </row>
    <row r="8098">
      <c r="A8098" s="2" t="s">
        <v>4919</v>
      </c>
      <c r="B8098" s="2" t="s">
        <v>5000</v>
      </c>
      <c r="C8098" s="2" t="s">
        <v>5085</v>
      </c>
      <c r="D8098" s="3" t="str">
        <f t="shared" si="1458"/>
        <v>12Go Link</v>
      </c>
      <c r="E8098" s="2" t="s">
        <v>3409</v>
      </c>
    </row>
    <row r="8099">
      <c r="A8099" s="2" t="s">
        <v>4919</v>
      </c>
      <c r="B8099" s="2" t="s">
        <v>5003</v>
      </c>
      <c r="C8099" s="2" t="s">
        <v>5086</v>
      </c>
      <c r="D8099" s="3" t="str">
        <f t="shared" ref="D8099:D8101" si="1459">HYPERLINK("https://12go.asia/en/travel/Ahangama/Nilaveli", "12Go Link")</f>
        <v>12Go Link</v>
      </c>
      <c r="E8099" s="2" t="s">
        <v>286</v>
      </c>
    </row>
    <row r="8100">
      <c r="A8100" s="2" t="s">
        <v>4919</v>
      </c>
      <c r="B8100" s="2" t="s">
        <v>5003</v>
      </c>
      <c r="C8100" s="2" t="s">
        <v>5086</v>
      </c>
      <c r="D8100" s="3" t="str">
        <f t="shared" si="1459"/>
        <v>12Go Link</v>
      </c>
      <c r="E8100" s="2" t="s">
        <v>4139</v>
      </c>
    </row>
    <row r="8101">
      <c r="A8101" s="2" t="s">
        <v>4919</v>
      </c>
      <c r="B8101" s="2" t="s">
        <v>5003</v>
      </c>
      <c r="C8101" s="2" t="s">
        <v>5086</v>
      </c>
      <c r="D8101" s="3" t="str">
        <f t="shared" si="1459"/>
        <v>12Go Link</v>
      </c>
      <c r="E8101" s="2" t="s">
        <v>3409</v>
      </c>
    </row>
    <row r="8102">
      <c r="A8102" s="2" t="s">
        <v>4919</v>
      </c>
      <c r="B8102" s="2" t="s">
        <v>5007</v>
      </c>
      <c r="C8102" s="2" t="s">
        <v>5087</v>
      </c>
      <c r="D8102" s="3" t="str">
        <f t="shared" ref="D8102:D8104" si="1460">HYPERLINK("https://12go.asia/en/travel/Ahangama/Pasikuda", "12Go Link")</f>
        <v>12Go Link</v>
      </c>
      <c r="E8102" s="2" t="s">
        <v>286</v>
      </c>
    </row>
    <row r="8103">
      <c r="A8103" s="2" t="s">
        <v>4919</v>
      </c>
      <c r="B8103" s="2" t="s">
        <v>5007</v>
      </c>
      <c r="C8103" s="2" t="s">
        <v>5087</v>
      </c>
      <c r="D8103" s="3" t="str">
        <f t="shared" si="1460"/>
        <v>12Go Link</v>
      </c>
      <c r="E8103" s="2" t="s">
        <v>4139</v>
      </c>
    </row>
    <row r="8104">
      <c r="A8104" s="2" t="s">
        <v>4919</v>
      </c>
      <c r="B8104" s="2" t="s">
        <v>5007</v>
      </c>
      <c r="C8104" s="2" t="s">
        <v>5087</v>
      </c>
      <c r="D8104" s="3" t="str">
        <f t="shared" si="1460"/>
        <v>12Go Link</v>
      </c>
      <c r="E8104" s="2" t="s">
        <v>3409</v>
      </c>
    </row>
    <row r="8105">
      <c r="A8105" s="2" t="s">
        <v>4919</v>
      </c>
      <c r="B8105" s="2" t="s">
        <v>5009</v>
      </c>
      <c r="C8105" s="2" t="s">
        <v>5088</v>
      </c>
      <c r="D8105" s="3" t="str">
        <f t="shared" ref="D8105:D8107" si="1461">HYPERLINK("https://12go.asia/en/travel/Ahangama/Galoya", "12Go Link")</f>
        <v>12Go Link</v>
      </c>
      <c r="E8105" s="2" t="s">
        <v>286</v>
      </c>
    </row>
    <row r="8106">
      <c r="A8106" s="2" t="s">
        <v>4919</v>
      </c>
      <c r="B8106" s="2" t="s">
        <v>5009</v>
      </c>
      <c r="C8106" s="2" t="s">
        <v>5088</v>
      </c>
      <c r="D8106" s="3" t="str">
        <f t="shared" si="1461"/>
        <v>12Go Link</v>
      </c>
      <c r="E8106" s="2" t="s">
        <v>4139</v>
      </c>
    </row>
    <row r="8107">
      <c r="A8107" s="2" t="s">
        <v>4919</v>
      </c>
      <c r="B8107" s="2" t="s">
        <v>5009</v>
      </c>
      <c r="C8107" s="2" t="s">
        <v>5088</v>
      </c>
      <c r="D8107" s="3" t="str">
        <f t="shared" si="1461"/>
        <v>12Go Link</v>
      </c>
      <c r="E8107" s="2" t="s">
        <v>3409</v>
      </c>
    </row>
    <row r="8108">
      <c r="A8108" s="2" t="s">
        <v>4919</v>
      </c>
      <c r="B8108" s="2" t="s">
        <v>5011</v>
      </c>
      <c r="C8108" s="2" t="s">
        <v>5089</v>
      </c>
      <c r="D8108" s="3" t="str">
        <f t="shared" ref="D8108:D8110" si="1462">HYPERLINK("https://12go.asia/en/travel/Ahangama/Kalpitiya", "12Go Link")</f>
        <v>12Go Link</v>
      </c>
      <c r="E8108" s="2" t="s">
        <v>286</v>
      </c>
    </row>
    <row r="8109">
      <c r="A8109" s="2" t="s">
        <v>4919</v>
      </c>
      <c r="B8109" s="2" t="s">
        <v>5011</v>
      </c>
      <c r="C8109" s="2" t="s">
        <v>5089</v>
      </c>
      <c r="D8109" s="3" t="str">
        <f t="shared" si="1462"/>
        <v>12Go Link</v>
      </c>
      <c r="E8109" s="2" t="s">
        <v>4139</v>
      </c>
    </row>
    <row r="8110">
      <c r="A8110" s="2" t="s">
        <v>4919</v>
      </c>
      <c r="B8110" s="2" t="s">
        <v>5011</v>
      </c>
      <c r="C8110" s="2" t="s">
        <v>5089</v>
      </c>
      <c r="D8110" s="3" t="str">
        <f t="shared" si="1462"/>
        <v>12Go Link</v>
      </c>
      <c r="E8110" s="2" t="s">
        <v>3409</v>
      </c>
    </row>
    <row r="8111">
      <c r="A8111" s="2" t="s">
        <v>4919</v>
      </c>
      <c r="B8111" s="2" t="s">
        <v>5011</v>
      </c>
      <c r="C8111" s="2" t="s">
        <v>5090</v>
      </c>
      <c r="D8111" s="3" t="str">
        <f t="shared" ref="D8111:D8113" si="1463">HYPERLINK("https://12go.asia/en/travel/Ahangama/Marawila", "12Go Link")</f>
        <v>12Go Link</v>
      </c>
      <c r="E8111" s="2" t="s">
        <v>286</v>
      </c>
    </row>
    <row r="8112">
      <c r="A8112" s="2" t="s">
        <v>4919</v>
      </c>
      <c r="B8112" s="2" t="s">
        <v>5011</v>
      </c>
      <c r="C8112" s="2" t="s">
        <v>5090</v>
      </c>
      <c r="D8112" s="3" t="str">
        <f t="shared" si="1463"/>
        <v>12Go Link</v>
      </c>
      <c r="E8112" s="2" t="s">
        <v>4139</v>
      </c>
    </row>
    <row r="8113">
      <c r="A8113" s="2" t="s">
        <v>4919</v>
      </c>
      <c r="B8113" s="2" t="s">
        <v>5011</v>
      </c>
      <c r="C8113" s="2" t="s">
        <v>5090</v>
      </c>
      <c r="D8113" s="3" t="str">
        <f t="shared" si="1463"/>
        <v>12Go Link</v>
      </c>
      <c r="E8113" s="2" t="s">
        <v>3409</v>
      </c>
    </row>
    <row r="8114">
      <c r="A8114" s="2" t="s">
        <v>4919</v>
      </c>
      <c r="B8114" s="2" t="s">
        <v>5014</v>
      </c>
      <c r="C8114" s="2" t="s">
        <v>5091</v>
      </c>
      <c r="D8114" s="3" t="str">
        <f t="shared" ref="D8114:D8116" si="1464">HYPERLINK("https://12go.asia/en/travel/Ahangama/Kiriella", "12Go Link")</f>
        <v>12Go Link</v>
      </c>
      <c r="E8114" s="2" t="s">
        <v>286</v>
      </c>
    </row>
    <row r="8115">
      <c r="A8115" s="2" t="s">
        <v>4919</v>
      </c>
      <c r="B8115" s="2" t="s">
        <v>5014</v>
      </c>
      <c r="C8115" s="2" t="s">
        <v>5091</v>
      </c>
      <c r="D8115" s="3" t="str">
        <f t="shared" si="1464"/>
        <v>12Go Link</v>
      </c>
      <c r="E8115" s="2" t="s">
        <v>4139</v>
      </c>
    </row>
    <row r="8116">
      <c r="A8116" s="2" t="s">
        <v>4919</v>
      </c>
      <c r="B8116" s="2" t="s">
        <v>5014</v>
      </c>
      <c r="C8116" s="2" t="s">
        <v>5091</v>
      </c>
      <c r="D8116" s="3" t="str">
        <f t="shared" si="1464"/>
        <v>12Go Link</v>
      </c>
      <c r="E8116" s="2" t="s">
        <v>3409</v>
      </c>
    </row>
    <row r="8117">
      <c r="A8117" s="2" t="s">
        <v>4919</v>
      </c>
      <c r="B8117" s="2" t="s">
        <v>5018</v>
      </c>
      <c r="C8117" s="2" t="s">
        <v>5092</v>
      </c>
      <c r="D8117" s="3" t="str">
        <f t="shared" ref="D8117:D8119" si="1465">HYPERLINK("https://12go.asia/en/travel/Ahangama/Rekawa", "12Go Link")</f>
        <v>12Go Link</v>
      </c>
      <c r="E8117" s="2" t="s">
        <v>286</v>
      </c>
    </row>
    <row r="8118">
      <c r="A8118" s="2" t="s">
        <v>4919</v>
      </c>
      <c r="B8118" s="2" t="s">
        <v>5018</v>
      </c>
      <c r="C8118" s="2" t="s">
        <v>5092</v>
      </c>
      <c r="D8118" s="3" t="str">
        <f t="shared" si="1465"/>
        <v>12Go Link</v>
      </c>
      <c r="E8118" s="2" t="s">
        <v>4139</v>
      </c>
    </row>
    <row r="8119">
      <c r="A8119" s="2" t="s">
        <v>4919</v>
      </c>
      <c r="B8119" s="2" t="s">
        <v>5018</v>
      </c>
      <c r="C8119" s="2" t="s">
        <v>5092</v>
      </c>
      <c r="D8119" s="3" t="str">
        <f t="shared" si="1465"/>
        <v>12Go Link</v>
      </c>
      <c r="E8119" s="2" t="s">
        <v>3409</v>
      </c>
    </row>
    <row r="8120">
      <c r="A8120" s="2" t="s">
        <v>4919</v>
      </c>
      <c r="B8120" s="2" t="s">
        <v>5020</v>
      </c>
      <c r="C8120" s="2" t="s">
        <v>5093</v>
      </c>
      <c r="D8120" s="3" t="str">
        <f t="shared" ref="D8120:D8122" si="1466">HYPERLINK("https://12go.asia/en/travel/Ahangama/Tissamaharama", "12Go Link")</f>
        <v>12Go Link</v>
      </c>
      <c r="E8120" s="2" t="s">
        <v>286</v>
      </c>
    </row>
    <row r="8121">
      <c r="A8121" s="2" t="s">
        <v>4919</v>
      </c>
      <c r="B8121" s="2" t="s">
        <v>5020</v>
      </c>
      <c r="C8121" s="2" t="s">
        <v>5093</v>
      </c>
      <c r="D8121" s="3" t="str">
        <f t="shared" si="1466"/>
        <v>12Go Link</v>
      </c>
      <c r="E8121" s="2" t="s">
        <v>4139</v>
      </c>
    </row>
    <row r="8122">
      <c r="A8122" s="2" t="s">
        <v>4919</v>
      </c>
      <c r="B8122" s="2" t="s">
        <v>5020</v>
      </c>
      <c r="C8122" s="2" t="s">
        <v>5093</v>
      </c>
      <c r="D8122" s="3" t="str">
        <f t="shared" si="1466"/>
        <v>12Go Link</v>
      </c>
      <c r="E8122" s="2" t="s">
        <v>3409</v>
      </c>
    </row>
    <row r="8123">
      <c r="A8123" s="2" t="s">
        <v>4919</v>
      </c>
      <c r="B8123" s="2" t="s">
        <v>5020</v>
      </c>
      <c r="C8123" s="2" t="s">
        <v>5094</v>
      </c>
      <c r="D8123" s="3" t="str">
        <f t="shared" ref="D8123:D8125" si="1467">HYPERLINK("https://12go.asia/en/travel/Ahangama/Yala-Park", "12Go Link")</f>
        <v>12Go Link</v>
      </c>
      <c r="E8123" s="2" t="s">
        <v>286</v>
      </c>
    </row>
    <row r="8124">
      <c r="A8124" s="2" t="s">
        <v>4919</v>
      </c>
      <c r="B8124" s="2" t="s">
        <v>5020</v>
      </c>
      <c r="C8124" s="2" t="s">
        <v>5094</v>
      </c>
      <c r="D8124" s="3" t="str">
        <f t="shared" si="1467"/>
        <v>12Go Link</v>
      </c>
      <c r="E8124" s="2" t="s">
        <v>4139</v>
      </c>
    </row>
    <row r="8125">
      <c r="A8125" s="2" t="s">
        <v>4919</v>
      </c>
      <c r="B8125" s="2" t="s">
        <v>5020</v>
      </c>
      <c r="C8125" s="2" t="s">
        <v>5094</v>
      </c>
      <c r="D8125" s="3" t="str">
        <f t="shared" si="1467"/>
        <v>12Go Link</v>
      </c>
      <c r="E8125" s="2" t="s">
        <v>3409</v>
      </c>
    </row>
    <row r="8126">
      <c r="A8126" s="2" t="s">
        <v>4919</v>
      </c>
      <c r="B8126" s="2" t="s">
        <v>5023</v>
      </c>
      <c r="C8126" s="2" t="s">
        <v>5095</v>
      </c>
      <c r="D8126" s="3" t="str">
        <f t="shared" ref="D8126:D8128" si="1468">HYPERLINK("https://12go.asia/en/travel/Ahangama/Nilaweli", "12Go Link")</f>
        <v>12Go Link</v>
      </c>
      <c r="E8126" s="2" t="s">
        <v>286</v>
      </c>
    </row>
    <row r="8127">
      <c r="A8127" s="2" t="s">
        <v>4919</v>
      </c>
      <c r="B8127" s="2" t="s">
        <v>5023</v>
      </c>
      <c r="C8127" s="2" t="s">
        <v>5095</v>
      </c>
      <c r="D8127" s="3" t="str">
        <f t="shared" si="1468"/>
        <v>12Go Link</v>
      </c>
      <c r="E8127" s="2" t="s">
        <v>4139</v>
      </c>
    </row>
    <row r="8128">
      <c r="A8128" s="2" t="s">
        <v>4919</v>
      </c>
      <c r="B8128" s="2" t="s">
        <v>5023</v>
      </c>
      <c r="C8128" s="2" t="s">
        <v>5095</v>
      </c>
      <c r="D8128" s="3" t="str">
        <f t="shared" si="1468"/>
        <v>12Go Link</v>
      </c>
      <c r="E8128" s="2" t="s">
        <v>3409</v>
      </c>
    </row>
    <row r="8129">
      <c r="A8129" s="2" t="s">
        <v>4919</v>
      </c>
      <c r="B8129" s="2" t="s">
        <v>5025</v>
      </c>
      <c r="C8129" s="2" t="s">
        <v>5096</v>
      </c>
      <c r="D8129" s="3" t="str">
        <f t="shared" ref="D8129:D8131" si="1469">HYPERLINK("https://12go.asia/en/travel/Ahangama/Udawalawa", "12Go Link")</f>
        <v>12Go Link</v>
      </c>
      <c r="E8129" s="2" t="s">
        <v>286</v>
      </c>
    </row>
    <row r="8130">
      <c r="A8130" s="2" t="s">
        <v>4919</v>
      </c>
      <c r="B8130" s="2" t="s">
        <v>5025</v>
      </c>
      <c r="C8130" s="2" t="s">
        <v>5096</v>
      </c>
      <c r="D8130" s="3" t="str">
        <f t="shared" si="1469"/>
        <v>12Go Link</v>
      </c>
      <c r="E8130" s="2" t="s">
        <v>4139</v>
      </c>
    </row>
    <row r="8131">
      <c r="A8131" s="2" t="s">
        <v>4919</v>
      </c>
      <c r="B8131" s="2" t="s">
        <v>5025</v>
      </c>
      <c r="C8131" s="2" t="s">
        <v>5096</v>
      </c>
      <c r="D8131" s="3" t="str">
        <f t="shared" si="1469"/>
        <v>12Go Link</v>
      </c>
      <c r="E8131" s="2" t="s">
        <v>3409</v>
      </c>
    </row>
    <row r="8132">
      <c r="A8132" s="2" t="s">
        <v>4919</v>
      </c>
      <c r="B8132" s="2" t="s">
        <v>5027</v>
      </c>
      <c r="C8132" s="2" t="s">
        <v>5097</v>
      </c>
      <c r="D8132" s="3" t="str">
        <f t="shared" ref="D8132:D8134" si="1470">HYPERLINK("https://12go.asia/en/travel/Ahangama/Unawatuna", "12Go Link")</f>
        <v>12Go Link</v>
      </c>
      <c r="E8132" s="2" t="s">
        <v>286</v>
      </c>
    </row>
    <row r="8133">
      <c r="A8133" s="2" t="s">
        <v>4919</v>
      </c>
      <c r="B8133" s="2" t="s">
        <v>5027</v>
      </c>
      <c r="C8133" s="2" t="s">
        <v>5097</v>
      </c>
      <c r="D8133" s="3" t="str">
        <f t="shared" si="1470"/>
        <v>12Go Link</v>
      </c>
      <c r="E8133" s="2" t="s">
        <v>4139</v>
      </c>
    </row>
    <row r="8134">
      <c r="A8134" s="2" t="s">
        <v>4919</v>
      </c>
      <c r="B8134" s="2" t="s">
        <v>5027</v>
      </c>
      <c r="C8134" s="2" t="s">
        <v>5097</v>
      </c>
      <c r="D8134" s="3" t="str">
        <f t="shared" si="1470"/>
        <v>12Go Link</v>
      </c>
      <c r="E8134" s="2" t="s">
        <v>3409</v>
      </c>
    </row>
    <row r="8135">
      <c r="A8135" s="2" t="s">
        <v>4919</v>
      </c>
      <c r="B8135" s="2" t="s">
        <v>5029</v>
      </c>
      <c r="C8135" s="2" t="s">
        <v>5098</v>
      </c>
      <c r="D8135" s="3" t="str">
        <f t="shared" ref="D8135:D8137" si="1471">HYPERLINK("https://12go.asia/en/travel/Ahangama/Attanagalla", "12Go Link")</f>
        <v>12Go Link</v>
      </c>
      <c r="E8135" s="2" t="s">
        <v>286</v>
      </c>
    </row>
    <row r="8136">
      <c r="A8136" s="2" t="s">
        <v>4919</v>
      </c>
      <c r="B8136" s="2" t="s">
        <v>5029</v>
      </c>
      <c r="C8136" s="2" t="s">
        <v>5098</v>
      </c>
      <c r="D8136" s="3" t="str">
        <f t="shared" si="1471"/>
        <v>12Go Link</v>
      </c>
      <c r="E8136" s="2" t="s">
        <v>4139</v>
      </c>
    </row>
    <row r="8137">
      <c r="A8137" s="2" t="s">
        <v>4919</v>
      </c>
      <c r="B8137" s="2" t="s">
        <v>5029</v>
      </c>
      <c r="C8137" s="2" t="s">
        <v>5098</v>
      </c>
      <c r="D8137" s="3" t="str">
        <f t="shared" si="1471"/>
        <v>12Go Link</v>
      </c>
      <c r="E8137" s="2" t="s">
        <v>3409</v>
      </c>
    </row>
    <row r="8138">
      <c r="A8138" s="2" t="s">
        <v>4919</v>
      </c>
      <c r="B8138" s="2" t="s">
        <v>5031</v>
      </c>
      <c r="C8138" s="2" t="s">
        <v>5099</v>
      </c>
      <c r="D8138" s="3" t="str">
        <f t="shared" ref="D8138:D8140" si="1472">HYPERLINK("https://12go.asia/en/travel/Ahangama/Moronthuduwa", "12Go Link")</f>
        <v>12Go Link</v>
      </c>
      <c r="E8138" s="2" t="s">
        <v>286</v>
      </c>
    </row>
    <row r="8139">
      <c r="A8139" s="2" t="s">
        <v>4919</v>
      </c>
      <c r="B8139" s="2" t="s">
        <v>5031</v>
      </c>
      <c r="C8139" s="2" t="s">
        <v>5099</v>
      </c>
      <c r="D8139" s="3" t="str">
        <f t="shared" si="1472"/>
        <v>12Go Link</v>
      </c>
      <c r="E8139" s="2" t="s">
        <v>4139</v>
      </c>
    </row>
    <row r="8140">
      <c r="A8140" s="2" t="s">
        <v>4919</v>
      </c>
      <c r="B8140" s="2" t="s">
        <v>5031</v>
      </c>
      <c r="C8140" s="2" t="s">
        <v>5099</v>
      </c>
      <c r="D8140" s="3" t="str">
        <f t="shared" si="1472"/>
        <v>12Go Link</v>
      </c>
      <c r="E8140" s="2" t="s">
        <v>3409</v>
      </c>
    </row>
    <row r="8141">
      <c r="A8141" s="2" t="s">
        <v>4919</v>
      </c>
      <c r="B8141" s="2" t="s">
        <v>5031</v>
      </c>
      <c r="C8141" s="2" t="s">
        <v>5100</v>
      </c>
      <c r="D8141" s="3" t="str">
        <f t="shared" ref="D8141:D8143" si="1473">HYPERLINK("https://12go.asia/en/travel/Ahangama/Waskaduwa", "12Go Link")</f>
        <v>12Go Link</v>
      </c>
      <c r="E8141" s="2" t="s">
        <v>286</v>
      </c>
    </row>
    <row r="8142">
      <c r="A8142" s="2" t="s">
        <v>4919</v>
      </c>
      <c r="B8142" s="2" t="s">
        <v>5031</v>
      </c>
      <c r="C8142" s="2" t="s">
        <v>5100</v>
      </c>
      <c r="D8142" s="3" t="str">
        <f t="shared" si="1473"/>
        <v>12Go Link</v>
      </c>
      <c r="E8142" s="2" t="s">
        <v>4139</v>
      </c>
    </row>
    <row r="8143">
      <c r="A8143" s="2" t="s">
        <v>4919</v>
      </c>
      <c r="B8143" s="2" t="s">
        <v>5031</v>
      </c>
      <c r="C8143" s="2" t="s">
        <v>5100</v>
      </c>
      <c r="D8143" s="3" t="str">
        <f t="shared" si="1473"/>
        <v>12Go Link</v>
      </c>
      <c r="E8143" s="2" t="s">
        <v>3409</v>
      </c>
    </row>
    <row r="8144">
      <c r="A8144" s="2" t="s">
        <v>4919</v>
      </c>
      <c r="B8144" s="2" t="s">
        <v>5034</v>
      </c>
      <c r="C8144" s="2" t="s">
        <v>5101</v>
      </c>
      <c r="D8144" s="3" t="str">
        <f t="shared" ref="D8144:D8146" si="1474">HYPERLINK("https://12go.asia/en/travel/Ahangama/Weddagala", "12Go Link")</f>
        <v>12Go Link</v>
      </c>
      <c r="E8144" s="2" t="s">
        <v>286</v>
      </c>
    </row>
    <row r="8145">
      <c r="A8145" s="2" t="s">
        <v>4919</v>
      </c>
      <c r="B8145" s="2" t="s">
        <v>5034</v>
      </c>
      <c r="C8145" s="2" t="s">
        <v>5101</v>
      </c>
      <c r="D8145" s="3" t="str">
        <f t="shared" si="1474"/>
        <v>12Go Link</v>
      </c>
      <c r="E8145" s="2" t="s">
        <v>4139</v>
      </c>
    </row>
    <row r="8146">
      <c r="A8146" s="2" t="s">
        <v>4919</v>
      </c>
      <c r="B8146" s="2" t="s">
        <v>5034</v>
      </c>
      <c r="C8146" s="2" t="s">
        <v>5101</v>
      </c>
      <c r="D8146" s="3" t="str">
        <f t="shared" si="1474"/>
        <v>12Go Link</v>
      </c>
      <c r="E8146" s="2" t="s">
        <v>3409</v>
      </c>
    </row>
    <row r="8147">
      <c r="A8147" s="2" t="s">
        <v>4919</v>
      </c>
      <c r="B8147" s="2" t="s">
        <v>5036</v>
      </c>
      <c r="C8147" s="2" t="s">
        <v>5102</v>
      </c>
      <c r="D8147" s="3" t="str">
        <f t="shared" ref="D8147:D8149" si="1475">HYPERLINK("https://12go.asia/en/travel/Ahangama/Weligatta", "12Go Link")</f>
        <v>12Go Link</v>
      </c>
      <c r="E8147" s="2" t="s">
        <v>286</v>
      </c>
    </row>
    <row r="8148">
      <c r="A8148" s="2" t="s">
        <v>4919</v>
      </c>
      <c r="B8148" s="2" t="s">
        <v>5036</v>
      </c>
      <c r="C8148" s="2" t="s">
        <v>5102</v>
      </c>
      <c r="D8148" s="3" t="str">
        <f t="shared" si="1475"/>
        <v>12Go Link</v>
      </c>
      <c r="E8148" s="2" t="s">
        <v>4139</v>
      </c>
    </row>
    <row r="8149">
      <c r="A8149" s="2" t="s">
        <v>4919</v>
      </c>
      <c r="B8149" s="2" t="s">
        <v>5036</v>
      </c>
      <c r="C8149" s="2" t="s">
        <v>5102</v>
      </c>
      <c r="D8149" s="3" t="str">
        <f t="shared" si="1475"/>
        <v>12Go Link</v>
      </c>
      <c r="E8149" s="2" t="s">
        <v>3409</v>
      </c>
    </row>
    <row r="8150">
      <c r="A8150" s="2" t="s">
        <v>4919</v>
      </c>
      <c r="B8150" s="2" t="s">
        <v>5038</v>
      </c>
      <c r="C8150" s="2" t="s">
        <v>5103</v>
      </c>
      <c r="D8150" s="3" t="str">
        <f t="shared" ref="D8150:D8152" si="1476">HYPERLINK("https://12go.asia/en/travel/Ahangama/Akuressa", "12Go Link")</f>
        <v>12Go Link</v>
      </c>
      <c r="E8150" s="2" t="s">
        <v>286</v>
      </c>
    </row>
    <row r="8151">
      <c r="A8151" s="2" t="s">
        <v>4919</v>
      </c>
      <c r="B8151" s="2" t="s">
        <v>5038</v>
      </c>
      <c r="C8151" s="2" t="s">
        <v>5103</v>
      </c>
      <c r="D8151" s="3" t="str">
        <f t="shared" si="1476"/>
        <v>12Go Link</v>
      </c>
      <c r="E8151" s="2" t="s">
        <v>4139</v>
      </c>
    </row>
    <row r="8152">
      <c r="A8152" s="2" t="s">
        <v>4919</v>
      </c>
      <c r="B8152" s="2" t="s">
        <v>5038</v>
      </c>
      <c r="C8152" s="2" t="s">
        <v>5103</v>
      </c>
      <c r="D8152" s="3" t="str">
        <f t="shared" si="1476"/>
        <v>12Go Link</v>
      </c>
      <c r="E8152" s="2" t="s">
        <v>3409</v>
      </c>
    </row>
    <row r="8153">
      <c r="A8153" s="2" t="s">
        <v>4919</v>
      </c>
      <c r="B8153" s="2" t="s">
        <v>5038</v>
      </c>
      <c r="C8153" s="2" t="s">
        <v>5104</v>
      </c>
      <c r="D8153" s="3" t="str">
        <f t="shared" ref="D8153:D8154" si="1477">HYPERLINK("https://12go.asia/en/travel/Ahangama/Weligama", "12Go Link")</f>
        <v>12Go Link</v>
      </c>
      <c r="E8153" s="2" t="s">
        <v>5080</v>
      </c>
    </row>
    <row r="8154">
      <c r="A8154" s="2" t="s">
        <v>4919</v>
      </c>
      <c r="B8154" s="2" t="s">
        <v>5038</v>
      </c>
      <c r="C8154" s="2" t="s">
        <v>5104</v>
      </c>
      <c r="D8154" s="3" t="str">
        <f t="shared" si="1477"/>
        <v>12Go Link</v>
      </c>
      <c r="E8154" s="2" t="s">
        <v>5081</v>
      </c>
    </row>
    <row r="8155">
      <c r="A8155" s="2" t="s">
        <v>4919</v>
      </c>
      <c r="B8155" s="2" t="s">
        <v>5040</v>
      </c>
      <c r="C8155" s="2" t="s">
        <v>5105</v>
      </c>
      <c r="D8155" s="3" t="str">
        <f t="shared" ref="D8155:D8157" si="1478">HYPERLINK("https://12go.asia/en/travel/Ahangama/Wilpattu", "12Go Link")</f>
        <v>12Go Link</v>
      </c>
      <c r="E8155" s="2" t="s">
        <v>286</v>
      </c>
    </row>
    <row r="8156">
      <c r="A8156" s="2" t="s">
        <v>4919</v>
      </c>
      <c r="B8156" s="2" t="s">
        <v>5040</v>
      </c>
      <c r="C8156" s="2" t="s">
        <v>5105</v>
      </c>
      <c r="D8156" s="3" t="str">
        <f t="shared" si="1478"/>
        <v>12Go Link</v>
      </c>
      <c r="E8156" s="2" t="s">
        <v>4139</v>
      </c>
    </row>
    <row r="8157">
      <c r="A8157" s="2" t="s">
        <v>4919</v>
      </c>
      <c r="B8157" s="2" t="s">
        <v>5040</v>
      </c>
      <c r="C8157" s="2" t="s">
        <v>5105</v>
      </c>
      <c r="D8157" s="3" t="str">
        <f t="shared" si="1478"/>
        <v>12Go Link</v>
      </c>
      <c r="E8157" s="2" t="s">
        <v>3409</v>
      </c>
    </row>
    <row r="8158">
      <c r="A8158" s="2" t="s">
        <v>4921</v>
      </c>
      <c r="B8158" s="2" t="s">
        <v>4918</v>
      </c>
      <c r="C8158" s="2" t="s">
        <v>5106</v>
      </c>
      <c r="D8158" s="3" t="str">
        <f t="shared" ref="D8158:D8160" si="1479">HYPERLINK("https://12go.asia/en/travel/Ahungalla/Adams-Peak", "12Go Link")</f>
        <v>12Go Link</v>
      </c>
      <c r="E8158" s="2" t="s">
        <v>286</v>
      </c>
    </row>
    <row r="8159">
      <c r="A8159" s="2" t="s">
        <v>4921</v>
      </c>
      <c r="B8159" s="2" t="s">
        <v>4918</v>
      </c>
      <c r="C8159" s="2" t="s">
        <v>5106</v>
      </c>
      <c r="D8159" s="3" t="str">
        <f t="shared" si="1479"/>
        <v>12Go Link</v>
      </c>
      <c r="E8159" s="2" t="s">
        <v>4139</v>
      </c>
    </row>
    <row r="8160">
      <c r="A8160" s="2" t="s">
        <v>4921</v>
      </c>
      <c r="B8160" s="2" t="s">
        <v>4918</v>
      </c>
      <c r="C8160" s="2" t="s">
        <v>5106</v>
      </c>
      <c r="D8160" s="3" t="str">
        <f t="shared" si="1479"/>
        <v>12Go Link</v>
      </c>
      <c r="E8160" s="2" t="s">
        <v>3409</v>
      </c>
    </row>
    <row r="8161">
      <c r="A8161" s="2" t="s">
        <v>4921</v>
      </c>
      <c r="B8161" s="2" t="s">
        <v>4919</v>
      </c>
      <c r="C8161" s="2" t="s">
        <v>5107</v>
      </c>
      <c r="D8161" s="3" t="str">
        <f t="shared" ref="D8161:D8163" si="1480">HYPERLINK("https://12go.asia/en/travel/Ahungalla/Ahangama", "12Go Link")</f>
        <v>12Go Link</v>
      </c>
      <c r="E8161" s="2" t="s">
        <v>286</v>
      </c>
    </row>
    <row r="8162">
      <c r="A8162" s="2" t="s">
        <v>4921</v>
      </c>
      <c r="B8162" s="2" t="s">
        <v>4919</v>
      </c>
      <c r="C8162" s="2" t="s">
        <v>5107</v>
      </c>
      <c r="D8162" s="3" t="str">
        <f t="shared" si="1480"/>
        <v>12Go Link</v>
      </c>
      <c r="E8162" s="2" t="s">
        <v>4139</v>
      </c>
    </row>
    <row r="8163">
      <c r="A8163" s="2" t="s">
        <v>4921</v>
      </c>
      <c r="B8163" s="2" t="s">
        <v>4919</v>
      </c>
      <c r="C8163" s="2" t="s">
        <v>5107</v>
      </c>
      <c r="D8163" s="3" t="str">
        <f t="shared" si="1480"/>
        <v>12Go Link</v>
      </c>
      <c r="E8163" s="2" t="s">
        <v>3409</v>
      </c>
    </row>
    <row r="8164">
      <c r="A8164" s="2" t="s">
        <v>4921</v>
      </c>
      <c r="B8164" s="2" t="s">
        <v>4923</v>
      </c>
      <c r="C8164" s="2" t="s">
        <v>5108</v>
      </c>
      <c r="D8164" s="3" t="str">
        <f t="shared" ref="D8164:D8166" si="1481">HYPERLINK("https://12go.asia/en/travel/Ahungalla/Aluthgama", "12Go Link")</f>
        <v>12Go Link</v>
      </c>
      <c r="E8164" s="2" t="s">
        <v>286</v>
      </c>
    </row>
    <row r="8165">
      <c r="A8165" s="2" t="s">
        <v>4921</v>
      </c>
      <c r="B8165" s="2" t="s">
        <v>4923</v>
      </c>
      <c r="C8165" s="2" t="s">
        <v>5108</v>
      </c>
      <c r="D8165" s="3" t="str">
        <f t="shared" si="1481"/>
        <v>12Go Link</v>
      </c>
      <c r="E8165" s="2" t="s">
        <v>4139</v>
      </c>
    </row>
    <row r="8166">
      <c r="A8166" s="2" t="s">
        <v>4921</v>
      </c>
      <c r="B8166" s="2" t="s">
        <v>4923</v>
      </c>
      <c r="C8166" s="2" t="s">
        <v>5108</v>
      </c>
      <c r="D8166" s="3" t="str">
        <f t="shared" si="1481"/>
        <v>12Go Link</v>
      </c>
      <c r="E8166" s="2" t="s">
        <v>3409</v>
      </c>
    </row>
    <row r="8167">
      <c r="A8167" s="2" t="s">
        <v>4921</v>
      </c>
      <c r="B8167" s="2" t="s">
        <v>4925</v>
      </c>
      <c r="C8167" s="2" t="s">
        <v>5109</v>
      </c>
      <c r="D8167" s="3" t="str">
        <f t="shared" ref="D8167:D8169" si="1482">HYPERLINK("https://12go.asia/en/travel/Ahungalla/Ambalangoda", "12Go Link")</f>
        <v>12Go Link</v>
      </c>
      <c r="E8167" s="2" t="s">
        <v>286</v>
      </c>
    </row>
    <row r="8168">
      <c r="A8168" s="2" t="s">
        <v>4921</v>
      </c>
      <c r="B8168" s="2" t="s">
        <v>4925</v>
      </c>
      <c r="C8168" s="2" t="s">
        <v>5109</v>
      </c>
      <c r="D8168" s="3" t="str">
        <f t="shared" si="1482"/>
        <v>12Go Link</v>
      </c>
      <c r="E8168" s="2" t="s">
        <v>4139</v>
      </c>
    </row>
    <row r="8169">
      <c r="A8169" s="2" t="s">
        <v>4921</v>
      </c>
      <c r="B8169" s="2" t="s">
        <v>4925</v>
      </c>
      <c r="C8169" s="2" t="s">
        <v>5109</v>
      </c>
      <c r="D8169" s="3" t="str">
        <f t="shared" si="1482"/>
        <v>12Go Link</v>
      </c>
      <c r="E8169" s="2" t="s">
        <v>3409</v>
      </c>
    </row>
    <row r="8170">
      <c r="A8170" s="2" t="s">
        <v>4921</v>
      </c>
      <c r="B8170" s="2" t="s">
        <v>4927</v>
      </c>
      <c r="C8170" s="2" t="s">
        <v>5110</v>
      </c>
      <c r="D8170" s="3" t="str">
        <f t="shared" ref="D8170:D8172" si="1483">HYPERLINK("https://12go.asia/en/travel/Ahungalla/Ambalantota", "12Go Link")</f>
        <v>12Go Link</v>
      </c>
      <c r="E8170" s="2" t="s">
        <v>286</v>
      </c>
    </row>
    <row r="8171">
      <c r="A8171" s="2" t="s">
        <v>4921</v>
      </c>
      <c r="B8171" s="2" t="s">
        <v>4927</v>
      </c>
      <c r="C8171" s="2" t="s">
        <v>5110</v>
      </c>
      <c r="D8171" s="3" t="str">
        <f t="shared" si="1483"/>
        <v>12Go Link</v>
      </c>
      <c r="E8171" s="2" t="s">
        <v>4139</v>
      </c>
    </row>
    <row r="8172">
      <c r="A8172" s="2" t="s">
        <v>4921</v>
      </c>
      <c r="B8172" s="2" t="s">
        <v>4927</v>
      </c>
      <c r="C8172" s="2" t="s">
        <v>5110</v>
      </c>
      <c r="D8172" s="3" t="str">
        <f t="shared" si="1483"/>
        <v>12Go Link</v>
      </c>
      <c r="E8172" s="2" t="s">
        <v>3409</v>
      </c>
    </row>
    <row r="8173">
      <c r="A8173" s="2" t="s">
        <v>4921</v>
      </c>
      <c r="B8173" s="2" t="s">
        <v>4929</v>
      </c>
      <c r="C8173" s="2" t="s">
        <v>5111</v>
      </c>
      <c r="D8173" s="3" t="str">
        <f t="shared" ref="D8173:D8175" si="1484">HYPERLINK("https://12go.asia/en/travel/Ahungalla/Anuradhapura", "12Go Link")</f>
        <v>12Go Link</v>
      </c>
      <c r="E8173" s="2" t="s">
        <v>286</v>
      </c>
    </row>
    <row r="8174">
      <c r="A8174" s="2" t="s">
        <v>4921</v>
      </c>
      <c r="B8174" s="2" t="s">
        <v>4929</v>
      </c>
      <c r="C8174" s="2" t="s">
        <v>5111</v>
      </c>
      <c r="D8174" s="3" t="str">
        <f t="shared" si="1484"/>
        <v>12Go Link</v>
      </c>
      <c r="E8174" s="2" t="s">
        <v>4139</v>
      </c>
    </row>
    <row r="8175">
      <c r="A8175" s="2" t="s">
        <v>4921</v>
      </c>
      <c r="B8175" s="2" t="s">
        <v>4929</v>
      </c>
      <c r="C8175" s="2" t="s">
        <v>5111</v>
      </c>
      <c r="D8175" s="3" t="str">
        <f t="shared" si="1484"/>
        <v>12Go Link</v>
      </c>
      <c r="E8175" s="2" t="s">
        <v>3409</v>
      </c>
    </row>
    <row r="8176">
      <c r="A8176" s="2" t="s">
        <v>4921</v>
      </c>
      <c r="B8176" s="2" t="s">
        <v>4931</v>
      </c>
      <c r="C8176" s="2" t="s">
        <v>5112</v>
      </c>
      <c r="D8176" s="3" t="str">
        <f t="shared" ref="D8176:D8178" si="1485">HYPERLINK("https://12go.asia/en/travel/Ahungalla/Arugam-bay", "12Go Link")</f>
        <v>12Go Link</v>
      </c>
      <c r="E8176" s="2" t="s">
        <v>286</v>
      </c>
    </row>
    <row r="8177">
      <c r="A8177" s="2" t="s">
        <v>4921</v>
      </c>
      <c r="B8177" s="2" t="s">
        <v>4931</v>
      </c>
      <c r="C8177" s="2" t="s">
        <v>5112</v>
      </c>
      <c r="D8177" s="3" t="str">
        <f t="shared" si="1485"/>
        <v>12Go Link</v>
      </c>
      <c r="E8177" s="2" t="s">
        <v>4139</v>
      </c>
    </row>
    <row r="8178">
      <c r="A8178" s="2" t="s">
        <v>4921</v>
      </c>
      <c r="B8178" s="2" t="s">
        <v>4931</v>
      </c>
      <c r="C8178" s="2" t="s">
        <v>5112</v>
      </c>
      <c r="D8178" s="3" t="str">
        <f t="shared" si="1485"/>
        <v>12Go Link</v>
      </c>
      <c r="E8178" s="2" t="s">
        <v>3409</v>
      </c>
    </row>
    <row r="8179">
      <c r="A8179" s="2" t="s">
        <v>4921</v>
      </c>
      <c r="B8179" s="2" t="s">
        <v>4933</v>
      </c>
      <c r="C8179" s="2" t="s">
        <v>5113</v>
      </c>
      <c r="D8179" s="3" t="str">
        <f t="shared" ref="D8179:D8181" si="1486">HYPERLINK("https://12go.asia/en/travel/Ahungalla/balapitiya", "12Go Link")</f>
        <v>12Go Link</v>
      </c>
      <c r="E8179" s="2" t="s">
        <v>286</v>
      </c>
    </row>
    <row r="8180">
      <c r="A8180" s="2" t="s">
        <v>4921</v>
      </c>
      <c r="B8180" s="2" t="s">
        <v>4933</v>
      </c>
      <c r="C8180" s="2" t="s">
        <v>5113</v>
      </c>
      <c r="D8180" s="3" t="str">
        <f t="shared" si="1486"/>
        <v>12Go Link</v>
      </c>
      <c r="E8180" s="2" t="s">
        <v>4139</v>
      </c>
    </row>
    <row r="8181">
      <c r="A8181" s="2" t="s">
        <v>4921</v>
      </c>
      <c r="B8181" s="2" t="s">
        <v>4933</v>
      </c>
      <c r="C8181" s="2" t="s">
        <v>5113</v>
      </c>
      <c r="D8181" s="3" t="str">
        <f t="shared" si="1486"/>
        <v>12Go Link</v>
      </c>
      <c r="E8181" s="2" t="s">
        <v>3409</v>
      </c>
    </row>
    <row r="8182">
      <c r="A8182" s="2" t="s">
        <v>4921</v>
      </c>
      <c r="B8182" s="2" t="s">
        <v>4935</v>
      </c>
      <c r="C8182" s="2" t="s">
        <v>5114</v>
      </c>
      <c r="D8182" s="3" t="str">
        <f t="shared" ref="D8182:D8184" si="1487">HYPERLINK("https://12go.asia/en/travel/Ahungalla/Batticaloa", "12Go Link")</f>
        <v>12Go Link</v>
      </c>
      <c r="E8182" s="2" t="s">
        <v>286</v>
      </c>
    </row>
    <row r="8183">
      <c r="A8183" s="2" t="s">
        <v>4921</v>
      </c>
      <c r="B8183" s="2" t="s">
        <v>4935</v>
      </c>
      <c r="C8183" s="2" t="s">
        <v>5114</v>
      </c>
      <c r="D8183" s="3" t="str">
        <f t="shared" si="1487"/>
        <v>12Go Link</v>
      </c>
      <c r="E8183" s="2" t="s">
        <v>4139</v>
      </c>
    </row>
    <row r="8184">
      <c r="A8184" s="2" t="s">
        <v>4921</v>
      </c>
      <c r="B8184" s="2" t="s">
        <v>4935</v>
      </c>
      <c r="C8184" s="2" t="s">
        <v>5114</v>
      </c>
      <c r="D8184" s="3" t="str">
        <f t="shared" si="1487"/>
        <v>12Go Link</v>
      </c>
      <c r="E8184" s="2" t="s">
        <v>3409</v>
      </c>
    </row>
    <row r="8185">
      <c r="A8185" s="2" t="s">
        <v>4921</v>
      </c>
      <c r="B8185" s="2" t="s">
        <v>4937</v>
      </c>
      <c r="C8185" s="2" t="s">
        <v>5115</v>
      </c>
      <c r="D8185" s="3" t="str">
        <f t="shared" ref="D8185:D8187" si="1488">HYPERLINK("https://12go.asia/en/travel/Ahungalla/Bentota", "12Go Link")</f>
        <v>12Go Link</v>
      </c>
      <c r="E8185" s="2" t="s">
        <v>286</v>
      </c>
    </row>
    <row r="8186">
      <c r="A8186" s="2" t="s">
        <v>4921</v>
      </c>
      <c r="B8186" s="2" t="s">
        <v>4937</v>
      </c>
      <c r="C8186" s="2" t="s">
        <v>5115</v>
      </c>
      <c r="D8186" s="3" t="str">
        <f t="shared" si="1488"/>
        <v>12Go Link</v>
      </c>
      <c r="E8186" s="2" t="s">
        <v>4139</v>
      </c>
    </row>
    <row r="8187">
      <c r="A8187" s="2" t="s">
        <v>4921</v>
      </c>
      <c r="B8187" s="2" t="s">
        <v>4937</v>
      </c>
      <c r="C8187" s="2" t="s">
        <v>5115</v>
      </c>
      <c r="D8187" s="3" t="str">
        <f t="shared" si="1488"/>
        <v>12Go Link</v>
      </c>
      <c r="E8187" s="2" t="s">
        <v>3409</v>
      </c>
    </row>
    <row r="8188">
      <c r="A8188" s="2" t="s">
        <v>4921</v>
      </c>
      <c r="B8188" s="2" t="s">
        <v>4939</v>
      </c>
      <c r="C8188" s="2" t="s">
        <v>5116</v>
      </c>
      <c r="D8188" s="3" t="str">
        <f t="shared" ref="D8188:D8190" si="1489">HYPERLINK("https://12go.asia/en/travel/Ahungalla/Beruwala", "12Go Link")</f>
        <v>12Go Link</v>
      </c>
      <c r="E8188" s="2" t="s">
        <v>286</v>
      </c>
    </row>
    <row r="8189">
      <c r="A8189" s="2" t="s">
        <v>4921</v>
      </c>
      <c r="B8189" s="2" t="s">
        <v>4939</v>
      </c>
      <c r="C8189" s="2" t="s">
        <v>5116</v>
      </c>
      <c r="D8189" s="3" t="str">
        <f t="shared" si="1489"/>
        <v>12Go Link</v>
      </c>
      <c r="E8189" s="2" t="s">
        <v>4139</v>
      </c>
    </row>
    <row r="8190">
      <c r="A8190" s="2" t="s">
        <v>4921</v>
      </c>
      <c r="B8190" s="2" t="s">
        <v>4939</v>
      </c>
      <c r="C8190" s="2" t="s">
        <v>5116</v>
      </c>
      <c r="D8190" s="3" t="str">
        <f t="shared" si="1489"/>
        <v>12Go Link</v>
      </c>
      <c r="E8190" s="2" t="s">
        <v>3409</v>
      </c>
    </row>
    <row r="8191">
      <c r="A8191" s="2" t="s">
        <v>4921</v>
      </c>
      <c r="B8191" s="2" t="s">
        <v>4941</v>
      </c>
      <c r="C8191" s="2" t="s">
        <v>5117</v>
      </c>
      <c r="D8191" s="3" t="str">
        <f t="shared" ref="D8191:D8193" si="1490">HYPERLINK("https://12go.asia/en/travel/Ahungalla/Bundala", "12Go Link")</f>
        <v>12Go Link</v>
      </c>
      <c r="E8191" s="2" t="s">
        <v>286</v>
      </c>
    </row>
    <row r="8192">
      <c r="A8192" s="2" t="s">
        <v>4921</v>
      </c>
      <c r="B8192" s="2" t="s">
        <v>4941</v>
      </c>
      <c r="C8192" s="2" t="s">
        <v>5117</v>
      </c>
      <c r="D8192" s="3" t="str">
        <f t="shared" si="1490"/>
        <v>12Go Link</v>
      </c>
      <c r="E8192" s="2" t="s">
        <v>4139</v>
      </c>
    </row>
    <row r="8193">
      <c r="A8193" s="2" t="s">
        <v>4921</v>
      </c>
      <c r="B8193" s="2" t="s">
        <v>4941</v>
      </c>
      <c r="C8193" s="2" t="s">
        <v>5117</v>
      </c>
      <c r="D8193" s="3" t="str">
        <f t="shared" si="1490"/>
        <v>12Go Link</v>
      </c>
      <c r="E8193" s="2" t="s">
        <v>3409</v>
      </c>
    </row>
    <row r="8194">
      <c r="A8194" s="2" t="s">
        <v>4921</v>
      </c>
      <c r="B8194" s="2" t="s">
        <v>4945</v>
      </c>
      <c r="C8194" s="2" t="s">
        <v>5118</v>
      </c>
      <c r="D8194" s="3" t="str">
        <f t="shared" ref="D8194:D8196" si="1491">HYPERLINK("https://12go.asia/en/travel/Ahungalla/Bandaranaike-Airport", "12Go Link")</f>
        <v>12Go Link</v>
      </c>
      <c r="E8194" s="2" t="s">
        <v>286</v>
      </c>
    </row>
    <row r="8195">
      <c r="A8195" s="2" t="s">
        <v>4921</v>
      </c>
      <c r="B8195" s="2" t="s">
        <v>4945</v>
      </c>
      <c r="C8195" s="2" t="s">
        <v>5118</v>
      </c>
      <c r="D8195" s="3" t="str">
        <f t="shared" si="1491"/>
        <v>12Go Link</v>
      </c>
      <c r="E8195" s="2" t="s">
        <v>4139</v>
      </c>
    </row>
    <row r="8196">
      <c r="A8196" s="2" t="s">
        <v>4921</v>
      </c>
      <c r="B8196" s="2" t="s">
        <v>4945</v>
      </c>
      <c r="C8196" s="2" t="s">
        <v>5118</v>
      </c>
      <c r="D8196" s="3" t="str">
        <f t="shared" si="1491"/>
        <v>12Go Link</v>
      </c>
      <c r="E8196" s="2" t="s">
        <v>3409</v>
      </c>
    </row>
    <row r="8197">
      <c r="A8197" s="2" t="s">
        <v>4921</v>
      </c>
      <c r="B8197" s="2" t="s">
        <v>4949</v>
      </c>
      <c r="C8197" s="2" t="s">
        <v>5119</v>
      </c>
      <c r="D8197" s="3" t="str">
        <f t="shared" ref="D8197:D8199" si="1492">HYPERLINK("https://12go.asia/en/travel/Ahungalla/Deniyaya", "12Go Link")</f>
        <v>12Go Link</v>
      </c>
      <c r="E8197" s="2" t="s">
        <v>286</v>
      </c>
    </row>
    <row r="8198">
      <c r="A8198" s="2" t="s">
        <v>4921</v>
      </c>
      <c r="B8198" s="2" t="s">
        <v>4949</v>
      </c>
      <c r="C8198" s="2" t="s">
        <v>5119</v>
      </c>
      <c r="D8198" s="3" t="str">
        <f t="shared" si="1492"/>
        <v>12Go Link</v>
      </c>
      <c r="E8198" s="2" t="s">
        <v>4139</v>
      </c>
    </row>
    <row r="8199">
      <c r="A8199" s="2" t="s">
        <v>4921</v>
      </c>
      <c r="B8199" s="2" t="s">
        <v>4949</v>
      </c>
      <c r="C8199" s="2" t="s">
        <v>5119</v>
      </c>
      <c r="D8199" s="3" t="str">
        <f t="shared" si="1492"/>
        <v>12Go Link</v>
      </c>
      <c r="E8199" s="2" t="s">
        <v>3409</v>
      </c>
    </row>
    <row r="8200">
      <c r="A8200" s="2" t="s">
        <v>4921</v>
      </c>
      <c r="B8200" s="2" t="s">
        <v>4951</v>
      </c>
      <c r="C8200" s="2" t="s">
        <v>5120</v>
      </c>
      <c r="D8200" s="3" t="str">
        <f t="shared" ref="D8200:D8202" si="1493">HYPERLINK("https://12go.asia/en/travel/Ahungalla/Dickwella", "12Go Link")</f>
        <v>12Go Link</v>
      </c>
      <c r="E8200" s="2" t="s">
        <v>286</v>
      </c>
    </row>
    <row r="8201">
      <c r="A8201" s="2" t="s">
        <v>4921</v>
      </c>
      <c r="B8201" s="2" t="s">
        <v>4951</v>
      </c>
      <c r="C8201" s="2" t="s">
        <v>5120</v>
      </c>
      <c r="D8201" s="3" t="str">
        <f t="shared" si="1493"/>
        <v>12Go Link</v>
      </c>
      <c r="E8201" s="2" t="s">
        <v>4139</v>
      </c>
    </row>
    <row r="8202">
      <c r="A8202" s="2" t="s">
        <v>4921</v>
      </c>
      <c r="B8202" s="2" t="s">
        <v>4951</v>
      </c>
      <c r="C8202" s="2" t="s">
        <v>5120</v>
      </c>
      <c r="D8202" s="3" t="str">
        <f t="shared" si="1493"/>
        <v>12Go Link</v>
      </c>
      <c r="E8202" s="2" t="s">
        <v>3409</v>
      </c>
    </row>
    <row r="8203">
      <c r="A8203" s="2" t="s">
        <v>4921</v>
      </c>
      <c r="B8203" s="2" t="s">
        <v>4951</v>
      </c>
      <c r="C8203" s="2" t="s">
        <v>5121</v>
      </c>
      <c r="D8203" s="3" t="str">
        <f t="shared" ref="D8203:D8205" si="1494">HYPERLINK("https://12go.asia/en/travel/Ahungalla/Hiriketiya-beach", "12Go Link")</f>
        <v>12Go Link</v>
      </c>
      <c r="E8203" s="2" t="s">
        <v>286</v>
      </c>
    </row>
    <row r="8204">
      <c r="A8204" s="2" t="s">
        <v>4921</v>
      </c>
      <c r="B8204" s="2" t="s">
        <v>4951</v>
      </c>
      <c r="C8204" s="2" t="s">
        <v>5121</v>
      </c>
      <c r="D8204" s="3" t="str">
        <f t="shared" si="1494"/>
        <v>12Go Link</v>
      </c>
      <c r="E8204" s="2" t="s">
        <v>4139</v>
      </c>
    </row>
    <row r="8205">
      <c r="A8205" s="2" t="s">
        <v>4921</v>
      </c>
      <c r="B8205" s="2" t="s">
        <v>4951</v>
      </c>
      <c r="C8205" s="2" t="s">
        <v>5121</v>
      </c>
      <c r="D8205" s="3" t="str">
        <f t="shared" si="1494"/>
        <v>12Go Link</v>
      </c>
      <c r="E8205" s="2" t="s">
        <v>3409</v>
      </c>
    </row>
    <row r="8206">
      <c r="A8206" s="2" t="s">
        <v>4921</v>
      </c>
      <c r="B8206" s="2" t="s">
        <v>4954</v>
      </c>
      <c r="C8206" s="2" t="s">
        <v>5122</v>
      </c>
      <c r="D8206" s="3" t="str">
        <f t="shared" ref="D8206:D8208" si="1495">HYPERLINK("https://12go.asia/en/travel/Ahungalla/Galle", "12Go Link")</f>
        <v>12Go Link</v>
      </c>
      <c r="E8206" s="2" t="s">
        <v>286</v>
      </c>
    </row>
    <row r="8207">
      <c r="A8207" s="2" t="s">
        <v>4921</v>
      </c>
      <c r="B8207" s="2" t="s">
        <v>4954</v>
      </c>
      <c r="C8207" s="2" t="s">
        <v>5122</v>
      </c>
      <c r="D8207" s="3" t="str">
        <f t="shared" si="1495"/>
        <v>12Go Link</v>
      </c>
      <c r="E8207" s="2" t="s">
        <v>4139</v>
      </c>
    </row>
    <row r="8208">
      <c r="A8208" s="2" t="s">
        <v>4921</v>
      </c>
      <c r="B8208" s="2" t="s">
        <v>4954</v>
      </c>
      <c r="C8208" s="2" t="s">
        <v>5122</v>
      </c>
      <c r="D8208" s="3" t="str">
        <f t="shared" si="1495"/>
        <v>12Go Link</v>
      </c>
      <c r="E8208" s="2" t="s">
        <v>3409</v>
      </c>
    </row>
    <row r="8209">
      <c r="A8209" s="2" t="s">
        <v>4921</v>
      </c>
      <c r="B8209" s="2" t="s">
        <v>4954</v>
      </c>
      <c r="C8209" s="2" t="s">
        <v>5123</v>
      </c>
      <c r="D8209" s="3" t="str">
        <f t="shared" ref="D8209:D8211" si="1496">HYPERLINK("https://12go.asia/en/travel/Ahungalla/Talpe", "12Go Link")</f>
        <v>12Go Link</v>
      </c>
      <c r="E8209" s="2" t="s">
        <v>286</v>
      </c>
    </row>
    <row r="8210">
      <c r="A8210" s="2" t="s">
        <v>4921</v>
      </c>
      <c r="B8210" s="2" t="s">
        <v>4954</v>
      </c>
      <c r="C8210" s="2" t="s">
        <v>5123</v>
      </c>
      <c r="D8210" s="3" t="str">
        <f t="shared" si="1496"/>
        <v>12Go Link</v>
      </c>
      <c r="E8210" s="2" t="s">
        <v>4139</v>
      </c>
    </row>
    <row r="8211">
      <c r="A8211" s="2" t="s">
        <v>4921</v>
      </c>
      <c r="B8211" s="2" t="s">
        <v>4954</v>
      </c>
      <c r="C8211" s="2" t="s">
        <v>5123</v>
      </c>
      <c r="D8211" s="3" t="str">
        <f t="shared" si="1496"/>
        <v>12Go Link</v>
      </c>
      <c r="E8211" s="2" t="s">
        <v>3409</v>
      </c>
    </row>
    <row r="8212">
      <c r="A8212" s="2" t="s">
        <v>4921</v>
      </c>
      <c r="B8212" s="2" t="s">
        <v>4957</v>
      </c>
      <c r="C8212" s="2" t="s">
        <v>5124</v>
      </c>
      <c r="D8212" s="3" t="str">
        <f t="shared" ref="D8212:D8214" si="1497">HYPERLINK("https://12go.asia/en/travel/Ahungalla/Habarana", "12Go Link")</f>
        <v>12Go Link</v>
      </c>
      <c r="E8212" s="2" t="s">
        <v>286</v>
      </c>
    </row>
    <row r="8213">
      <c r="A8213" s="2" t="s">
        <v>4921</v>
      </c>
      <c r="B8213" s="2" t="s">
        <v>4957</v>
      </c>
      <c r="C8213" s="2" t="s">
        <v>5124</v>
      </c>
      <c r="D8213" s="3" t="str">
        <f t="shared" si="1497"/>
        <v>12Go Link</v>
      </c>
      <c r="E8213" s="2" t="s">
        <v>4139</v>
      </c>
    </row>
    <row r="8214">
      <c r="A8214" s="2" t="s">
        <v>4921</v>
      </c>
      <c r="B8214" s="2" t="s">
        <v>4957</v>
      </c>
      <c r="C8214" s="2" t="s">
        <v>5124</v>
      </c>
      <c r="D8214" s="3" t="str">
        <f t="shared" si="1497"/>
        <v>12Go Link</v>
      </c>
      <c r="E8214" s="2" t="s">
        <v>3409</v>
      </c>
    </row>
    <row r="8215">
      <c r="A8215" s="2" t="s">
        <v>4921</v>
      </c>
      <c r="B8215" s="2" t="s">
        <v>4959</v>
      </c>
      <c r="C8215" s="2" t="s">
        <v>5125</v>
      </c>
      <c r="D8215" s="3" t="str">
        <f t="shared" ref="D8215:D8217" si="1498">HYPERLINK("https://12go.asia/en/travel/Ahungalla/Ella", "12Go Link")</f>
        <v>12Go Link</v>
      </c>
      <c r="E8215" s="2" t="s">
        <v>286</v>
      </c>
    </row>
    <row r="8216">
      <c r="A8216" s="2" t="s">
        <v>4921</v>
      </c>
      <c r="B8216" s="2" t="s">
        <v>4959</v>
      </c>
      <c r="C8216" s="2" t="s">
        <v>5125</v>
      </c>
      <c r="D8216" s="3" t="str">
        <f t="shared" si="1498"/>
        <v>12Go Link</v>
      </c>
      <c r="E8216" s="2" t="s">
        <v>4139</v>
      </c>
    </row>
    <row r="8217">
      <c r="A8217" s="2" t="s">
        <v>4921</v>
      </c>
      <c r="B8217" s="2" t="s">
        <v>4959</v>
      </c>
      <c r="C8217" s="2" t="s">
        <v>5125</v>
      </c>
      <c r="D8217" s="3" t="str">
        <f t="shared" si="1498"/>
        <v>12Go Link</v>
      </c>
      <c r="E8217" s="2" t="s">
        <v>3409</v>
      </c>
    </row>
    <row r="8218">
      <c r="A8218" s="2" t="s">
        <v>4921</v>
      </c>
      <c r="B8218" s="2" t="s">
        <v>4961</v>
      </c>
      <c r="C8218" s="2" t="s">
        <v>5126</v>
      </c>
      <c r="D8218" s="3" t="str">
        <f t="shared" ref="D8218:D8220" si="1499">HYPERLINK("https://12go.asia/en/travel/Ahungalla/Beragala", "12Go Link")</f>
        <v>12Go Link</v>
      </c>
      <c r="E8218" s="2" t="s">
        <v>286</v>
      </c>
    </row>
    <row r="8219">
      <c r="A8219" s="2" t="s">
        <v>4921</v>
      </c>
      <c r="B8219" s="2" t="s">
        <v>4961</v>
      </c>
      <c r="C8219" s="2" t="s">
        <v>5126</v>
      </c>
      <c r="D8219" s="3" t="str">
        <f t="shared" si="1499"/>
        <v>12Go Link</v>
      </c>
      <c r="E8219" s="2" t="s">
        <v>4139</v>
      </c>
    </row>
    <row r="8220">
      <c r="A8220" s="2" t="s">
        <v>4921</v>
      </c>
      <c r="B8220" s="2" t="s">
        <v>4961</v>
      </c>
      <c r="C8220" s="2" t="s">
        <v>5126</v>
      </c>
      <c r="D8220" s="3" t="str">
        <f t="shared" si="1499"/>
        <v>12Go Link</v>
      </c>
      <c r="E8220" s="2" t="s">
        <v>3409</v>
      </c>
    </row>
    <row r="8221">
      <c r="A8221" s="2" t="s">
        <v>4921</v>
      </c>
      <c r="B8221" s="2" t="s">
        <v>4963</v>
      </c>
      <c r="C8221" s="2" t="s">
        <v>5127</v>
      </c>
      <c r="D8221" s="3" t="str">
        <f t="shared" ref="D8221:D8223" si="1500">HYPERLINK("https://12go.asia/en/travel/Ahungalla/Dick-oya", "12Go Link")</f>
        <v>12Go Link</v>
      </c>
      <c r="E8221" s="2" t="s">
        <v>286</v>
      </c>
    </row>
    <row r="8222">
      <c r="A8222" s="2" t="s">
        <v>4921</v>
      </c>
      <c r="B8222" s="2" t="s">
        <v>4963</v>
      </c>
      <c r="C8222" s="2" t="s">
        <v>5127</v>
      </c>
      <c r="D8222" s="3" t="str">
        <f t="shared" si="1500"/>
        <v>12Go Link</v>
      </c>
      <c r="E8222" s="2" t="s">
        <v>4139</v>
      </c>
    </row>
    <row r="8223">
      <c r="A8223" s="2" t="s">
        <v>4921</v>
      </c>
      <c r="B8223" s="2" t="s">
        <v>4963</v>
      </c>
      <c r="C8223" s="2" t="s">
        <v>5127</v>
      </c>
      <c r="D8223" s="3" t="str">
        <f t="shared" si="1500"/>
        <v>12Go Link</v>
      </c>
      <c r="E8223" s="2" t="s">
        <v>3409</v>
      </c>
    </row>
    <row r="8224">
      <c r="A8224" s="2" t="s">
        <v>4921</v>
      </c>
      <c r="B8224" s="2" t="s">
        <v>4965</v>
      </c>
      <c r="C8224" s="2" t="s">
        <v>5128</v>
      </c>
      <c r="D8224" s="3" t="str">
        <f t="shared" ref="D8224:D8226" si="1501">HYPERLINK("https://12go.asia/en/travel/Ahungalla/Dodanduwa", "12Go Link")</f>
        <v>12Go Link</v>
      </c>
      <c r="E8224" s="2" t="s">
        <v>286</v>
      </c>
    </row>
    <row r="8225">
      <c r="A8225" s="2" t="s">
        <v>4921</v>
      </c>
      <c r="B8225" s="2" t="s">
        <v>4965</v>
      </c>
      <c r="C8225" s="2" t="s">
        <v>5128</v>
      </c>
      <c r="D8225" s="3" t="str">
        <f t="shared" si="1501"/>
        <v>12Go Link</v>
      </c>
      <c r="E8225" s="2" t="s">
        <v>4139</v>
      </c>
    </row>
    <row r="8226">
      <c r="A8226" s="2" t="s">
        <v>4921</v>
      </c>
      <c r="B8226" s="2" t="s">
        <v>4965</v>
      </c>
      <c r="C8226" s="2" t="s">
        <v>5128</v>
      </c>
      <c r="D8226" s="3" t="str">
        <f t="shared" si="1501"/>
        <v>12Go Link</v>
      </c>
      <c r="E8226" s="2" t="s">
        <v>3409</v>
      </c>
    </row>
    <row r="8227">
      <c r="A8227" s="2" t="s">
        <v>4921</v>
      </c>
      <c r="B8227" s="2" t="s">
        <v>4967</v>
      </c>
      <c r="C8227" s="2" t="s">
        <v>5129</v>
      </c>
      <c r="D8227" s="3" t="str">
        <f t="shared" ref="D8227:D8229" si="1502">HYPERLINK("https://12go.asia/en/travel/Ahungalla/Induruwa", "12Go Link")</f>
        <v>12Go Link</v>
      </c>
      <c r="E8227" s="2" t="s">
        <v>286</v>
      </c>
    </row>
    <row r="8228">
      <c r="A8228" s="2" t="s">
        <v>4921</v>
      </c>
      <c r="B8228" s="2" t="s">
        <v>4967</v>
      </c>
      <c r="C8228" s="2" t="s">
        <v>5129</v>
      </c>
      <c r="D8228" s="3" t="str">
        <f t="shared" si="1502"/>
        <v>12Go Link</v>
      </c>
      <c r="E8228" s="2" t="s">
        <v>4139</v>
      </c>
    </row>
    <row r="8229">
      <c r="A8229" s="2" t="s">
        <v>4921</v>
      </c>
      <c r="B8229" s="2" t="s">
        <v>4967</v>
      </c>
      <c r="C8229" s="2" t="s">
        <v>5129</v>
      </c>
      <c r="D8229" s="3" t="str">
        <f t="shared" si="1502"/>
        <v>12Go Link</v>
      </c>
      <c r="E8229" s="2" t="s">
        <v>3409</v>
      </c>
    </row>
    <row r="8230">
      <c r="A8230" s="2" t="s">
        <v>4921</v>
      </c>
      <c r="B8230" s="2" t="s">
        <v>4969</v>
      </c>
      <c r="C8230" s="2" t="s">
        <v>5130</v>
      </c>
      <c r="D8230" s="3" t="str">
        <f t="shared" ref="D8230:D8232" si="1503">HYPERLINK("https://12go.asia/en/travel/Ahungalla/Jaffna", "12Go Link")</f>
        <v>12Go Link</v>
      </c>
      <c r="E8230" s="2" t="s">
        <v>286</v>
      </c>
    </row>
    <row r="8231">
      <c r="A8231" s="2" t="s">
        <v>4921</v>
      </c>
      <c r="B8231" s="2" t="s">
        <v>4969</v>
      </c>
      <c r="C8231" s="2" t="s">
        <v>5130</v>
      </c>
      <c r="D8231" s="3" t="str">
        <f t="shared" si="1503"/>
        <v>12Go Link</v>
      </c>
      <c r="E8231" s="2" t="s">
        <v>4139</v>
      </c>
    </row>
    <row r="8232">
      <c r="A8232" s="2" t="s">
        <v>4921</v>
      </c>
      <c r="B8232" s="2" t="s">
        <v>4969</v>
      </c>
      <c r="C8232" s="2" t="s">
        <v>5130</v>
      </c>
      <c r="D8232" s="3" t="str">
        <f t="shared" si="1503"/>
        <v>12Go Link</v>
      </c>
      <c r="E8232" s="2" t="s">
        <v>3409</v>
      </c>
    </row>
    <row r="8233">
      <c r="A8233" s="2" t="s">
        <v>4921</v>
      </c>
      <c r="B8233" s="2" t="s">
        <v>4971</v>
      </c>
      <c r="C8233" s="2" t="s">
        <v>5131</v>
      </c>
      <c r="D8233" s="3" t="str">
        <f t="shared" ref="D8233:D8235" si="1504">HYPERLINK("https://12go.asia/en/travel/Ahungalla/Kalapuwa", "12Go Link")</f>
        <v>12Go Link</v>
      </c>
      <c r="E8233" s="2" t="s">
        <v>286</v>
      </c>
    </row>
    <row r="8234">
      <c r="A8234" s="2" t="s">
        <v>4921</v>
      </c>
      <c r="B8234" s="2" t="s">
        <v>4971</v>
      </c>
      <c r="C8234" s="2" t="s">
        <v>5131</v>
      </c>
      <c r="D8234" s="3" t="str">
        <f t="shared" si="1504"/>
        <v>12Go Link</v>
      </c>
      <c r="E8234" s="2" t="s">
        <v>4139</v>
      </c>
    </row>
    <row r="8235">
      <c r="A8235" s="2" t="s">
        <v>4921</v>
      </c>
      <c r="B8235" s="2" t="s">
        <v>4971</v>
      </c>
      <c r="C8235" s="2" t="s">
        <v>5131</v>
      </c>
      <c r="D8235" s="3" t="str">
        <f t="shared" si="1504"/>
        <v>12Go Link</v>
      </c>
      <c r="E8235" s="2" t="s">
        <v>3409</v>
      </c>
    </row>
    <row r="8236">
      <c r="A8236" s="2" t="s">
        <v>4921</v>
      </c>
      <c r="B8236" s="2" t="s">
        <v>4973</v>
      </c>
      <c r="C8236" s="2" t="s">
        <v>5132</v>
      </c>
      <c r="D8236" s="3" t="str">
        <f t="shared" ref="D8236:D8238" si="1505">HYPERLINK("https://12go.asia/en/travel/Ahungalla/Digana", "12Go Link")</f>
        <v>12Go Link</v>
      </c>
      <c r="E8236" s="2" t="s">
        <v>286</v>
      </c>
    </row>
    <row r="8237">
      <c r="A8237" s="2" t="s">
        <v>4921</v>
      </c>
      <c r="B8237" s="2" t="s">
        <v>4973</v>
      </c>
      <c r="C8237" s="2" t="s">
        <v>5132</v>
      </c>
      <c r="D8237" s="3" t="str">
        <f t="shared" si="1505"/>
        <v>12Go Link</v>
      </c>
      <c r="E8237" s="2" t="s">
        <v>4139</v>
      </c>
    </row>
    <row r="8238">
      <c r="A8238" s="2" t="s">
        <v>4921</v>
      </c>
      <c r="B8238" s="2" t="s">
        <v>4973</v>
      </c>
      <c r="C8238" s="2" t="s">
        <v>5132</v>
      </c>
      <c r="D8238" s="3" t="str">
        <f t="shared" si="1505"/>
        <v>12Go Link</v>
      </c>
      <c r="E8238" s="2" t="s">
        <v>3409</v>
      </c>
    </row>
    <row r="8239">
      <c r="A8239" s="2" t="s">
        <v>4921</v>
      </c>
      <c r="B8239" s="2" t="s">
        <v>4976</v>
      </c>
      <c r="C8239" s="2" t="s">
        <v>5133</v>
      </c>
      <c r="D8239" s="3" t="str">
        <f t="shared" ref="D8239:D8241" si="1506">HYPERLINK("https://12go.asia/en/travel/Ahungalla/Kataragama", "12Go Link")</f>
        <v>12Go Link</v>
      </c>
      <c r="E8239" s="2" t="s">
        <v>286</v>
      </c>
    </row>
    <row r="8240">
      <c r="A8240" s="2" t="s">
        <v>4921</v>
      </c>
      <c r="B8240" s="2" t="s">
        <v>4976</v>
      </c>
      <c r="C8240" s="2" t="s">
        <v>5133</v>
      </c>
      <c r="D8240" s="3" t="str">
        <f t="shared" si="1506"/>
        <v>12Go Link</v>
      </c>
      <c r="E8240" s="2" t="s">
        <v>4139</v>
      </c>
    </row>
    <row r="8241">
      <c r="A8241" s="2" t="s">
        <v>4921</v>
      </c>
      <c r="B8241" s="2" t="s">
        <v>4976</v>
      </c>
      <c r="C8241" s="2" t="s">
        <v>5133</v>
      </c>
      <c r="D8241" s="3" t="str">
        <f t="shared" si="1506"/>
        <v>12Go Link</v>
      </c>
      <c r="E8241" s="2" t="s">
        <v>3409</v>
      </c>
    </row>
    <row r="8242">
      <c r="A8242" s="2" t="s">
        <v>4921</v>
      </c>
      <c r="B8242" s="2" t="s">
        <v>4978</v>
      </c>
      <c r="C8242" s="2" t="s">
        <v>5134</v>
      </c>
      <c r="D8242" s="3" t="str">
        <f t="shared" ref="D8242:D8244" si="1507">HYPERLINK("https://12go.asia/en/travel/Ahungalla/Alawathupitiya", "12Go Link")</f>
        <v>12Go Link</v>
      </c>
      <c r="E8242" s="2" t="s">
        <v>286</v>
      </c>
    </row>
    <row r="8243">
      <c r="A8243" s="2" t="s">
        <v>4921</v>
      </c>
      <c r="B8243" s="2" t="s">
        <v>4978</v>
      </c>
      <c r="C8243" s="2" t="s">
        <v>5134</v>
      </c>
      <c r="D8243" s="3" t="str">
        <f t="shared" si="1507"/>
        <v>12Go Link</v>
      </c>
      <c r="E8243" s="2" t="s">
        <v>4139</v>
      </c>
    </row>
    <row r="8244">
      <c r="A8244" s="2" t="s">
        <v>4921</v>
      </c>
      <c r="B8244" s="2" t="s">
        <v>4978</v>
      </c>
      <c r="C8244" s="2" t="s">
        <v>5134</v>
      </c>
      <c r="D8244" s="3" t="str">
        <f t="shared" si="1507"/>
        <v>12Go Link</v>
      </c>
      <c r="E8244" s="2" t="s">
        <v>3409</v>
      </c>
    </row>
    <row r="8245">
      <c r="A8245" s="2" t="s">
        <v>4921</v>
      </c>
      <c r="B8245" s="2" t="s">
        <v>4980</v>
      </c>
      <c r="C8245" s="2" t="s">
        <v>5135</v>
      </c>
      <c r="D8245" s="3" t="str">
        <f t="shared" ref="D8245:D8247" si="1508">HYPERLINK("https://12go.asia/en/travel/Ahungalla/Pinnawala", "12Go Link")</f>
        <v>12Go Link</v>
      </c>
      <c r="E8245" s="2" t="s">
        <v>286</v>
      </c>
    </row>
    <row r="8246">
      <c r="A8246" s="2" t="s">
        <v>4921</v>
      </c>
      <c r="B8246" s="2" t="s">
        <v>4980</v>
      </c>
      <c r="C8246" s="2" t="s">
        <v>5135</v>
      </c>
      <c r="D8246" s="3" t="str">
        <f t="shared" si="1508"/>
        <v>12Go Link</v>
      </c>
      <c r="E8246" s="2" t="s">
        <v>4139</v>
      </c>
    </row>
    <row r="8247">
      <c r="A8247" s="2" t="s">
        <v>4921</v>
      </c>
      <c r="B8247" s="2" t="s">
        <v>4980</v>
      </c>
      <c r="C8247" s="2" t="s">
        <v>5135</v>
      </c>
      <c r="D8247" s="3" t="str">
        <f t="shared" si="1508"/>
        <v>12Go Link</v>
      </c>
      <c r="E8247" s="2" t="s">
        <v>3409</v>
      </c>
    </row>
    <row r="8248">
      <c r="A8248" s="2" t="s">
        <v>4921</v>
      </c>
      <c r="B8248" s="2" t="s">
        <v>4982</v>
      </c>
      <c r="C8248" s="2" t="s">
        <v>5136</v>
      </c>
      <c r="D8248" s="3" t="str">
        <f t="shared" ref="D8248:D8250" si="1509">HYPERLINK("https://12go.asia/en/travel/Ahungalla/Kitulgala", "12Go Link")</f>
        <v>12Go Link</v>
      </c>
      <c r="E8248" s="2" t="s">
        <v>286</v>
      </c>
    </row>
    <row r="8249">
      <c r="A8249" s="2" t="s">
        <v>4921</v>
      </c>
      <c r="B8249" s="2" t="s">
        <v>4982</v>
      </c>
      <c r="C8249" s="2" t="s">
        <v>5136</v>
      </c>
      <c r="D8249" s="3" t="str">
        <f t="shared" si="1509"/>
        <v>12Go Link</v>
      </c>
      <c r="E8249" s="2" t="s">
        <v>4139</v>
      </c>
    </row>
    <row r="8250">
      <c r="A8250" s="2" t="s">
        <v>4921</v>
      </c>
      <c r="B8250" s="2" t="s">
        <v>4982</v>
      </c>
      <c r="C8250" s="2" t="s">
        <v>5136</v>
      </c>
      <c r="D8250" s="3" t="str">
        <f t="shared" si="1509"/>
        <v>12Go Link</v>
      </c>
      <c r="E8250" s="2" t="s">
        <v>3409</v>
      </c>
    </row>
    <row r="8251">
      <c r="A8251" s="2" t="s">
        <v>4921</v>
      </c>
      <c r="B8251" s="2" t="s">
        <v>4984</v>
      </c>
      <c r="C8251" s="2" t="s">
        <v>5137</v>
      </c>
      <c r="D8251" s="3" t="str">
        <f t="shared" ref="D8251:D8253" si="1510">HYPERLINK("https://12go.asia/en/travel/Ahungalla/Habaraduwa", "12Go Link")</f>
        <v>12Go Link</v>
      </c>
      <c r="E8251" s="2" t="s">
        <v>286</v>
      </c>
    </row>
    <row r="8252">
      <c r="A8252" s="2" t="s">
        <v>4921</v>
      </c>
      <c r="B8252" s="2" t="s">
        <v>4984</v>
      </c>
      <c r="C8252" s="2" t="s">
        <v>5137</v>
      </c>
      <c r="D8252" s="3" t="str">
        <f t="shared" si="1510"/>
        <v>12Go Link</v>
      </c>
      <c r="E8252" s="2" t="s">
        <v>4139</v>
      </c>
    </row>
    <row r="8253">
      <c r="A8253" s="2" t="s">
        <v>4921</v>
      </c>
      <c r="B8253" s="2" t="s">
        <v>4984</v>
      </c>
      <c r="C8253" s="2" t="s">
        <v>5137</v>
      </c>
      <c r="D8253" s="3" t="str">
        <f t="shared" si="1510"/>
        <v>12Go Link</v>
      </c>
      <c r="E8253" s="2" t="s">
        <v>3409</v>
      </c>
    </row>
    <row r="8254">
      <c r="A8254" s="2" t="s">
        <v>4921</v>
      </c>
      <c r="B8254" s="2" t="s">
        <v>4986</v>
      </c>
      <c r="C8254" s="2" t="s">
        <v>5138</v>
      </c>
      <c r="D8254" s="3" t="str">
        <f t="shared" ref="D8254:D8256" si="1511">HYPERLINK("https://12go.asia/en/travel/Ahungalla/Kosgoda", "12Go Link")</f>
        <v>12Go Link</v>
      </c>
      <c r="E8254" s="2" t="s">
        <v>286</v>
      </c>
    </row>
    <row r="8255">
      <c r="A8255" s="2" t="s">
        <v>4921</v>
      </c>
      <c r="B8255" s="2" t="s">
        <v>4986</v>
      </c>
      <c r="C8255" s="2" t="s">
        <v>5138</v>
      </c>
      <c r="D8255" s="3" t="str">
        <f t="shared" si="1511"/>
        <v>12Go Link</v>
      </c>
      <c r="E8255" s="2" t="s">
        <v>4139</v>
      </c>
    </row>
    <row r="8256">
      <c r="A8256" s="2" t="s">
        <v>4921</v>
      </c>
      <c r="B8256" s="2" t="s">
        <v>4986</v>
      </c>
      <c r="C8256" s="2" t="s">
        <v>5138</v>
      </c>
      <c r="D8256" s="3" t="str">
        <f t="shared" si="1511"/>
        <v>12Go Link</v>
      </c>
      <c r="E8256" s="2" t="s">
        <v>3409</v>
      </c>
    </row>
    <row r="8257">
      <c r="A8257" s="2" t="s">
        <v>4921</v>
      </c>
      <c r="B8257" s="2" t="s">
        <v>4988</v>
      </c>
      <c r="C8257" s="2" t="s">
        <v>5139</v>
      </c>
      <c r="D8257" s="3" t="str">
        <f t="shared" ref="D8257:D8259" si="1512">HYPERLINK("https://12go.asia/en/travel/Ahungalla/Kuchchaveli", "12Go Link")</f>
        <v>12Go Link</v>
      </c>
      <c r="E8257" s="2" t="s">
        <v>286</v>
      </c>
    </row>
    <row r="8258">
      <c r="A8258" s="2" t="s">
        <v>4921</v>
      </c>
      <c r="B8258" s="2" t="s">
        <v>4988</v>
      </c>
      <c r="C8258" s="2" t="s">
        <v>5139</v>
      </c>
      <c r="D8258" s="3" t="str">
        <f t="shared" si="1512"/>
        <v>12Go Link</v>
      </c>
      <c r="E8258" s="2" t="s">
        <v>4139</v>
      </c>
    </row>
    <row r="8259">
      <c r="A8259" s="2" t="s">
        <v>4921</v>
      </c>
      <c r="B8259" s="2" t="s">
        <v>4988</v>
      </c>
      <c r="C8259" s="2" t="s">
        <v>5139</v>
      </c>
      <c r="D8259" s="3" t="str">
        <f t="shared" si="1512"/>
        <v>12Go Link</v>
      </c>
      <c r="E8259" s="2" t="s">
        <v>3409</v>
      </c>
    </row>
    <row r="8260">
      <c r="A8260" s="2" t="s">
        <v>4921</v>
      </c>
      <c r="B8260" s="2" t="s">
        <v>4990</v>
      </c>
      <c r="C8260" s="2" t="s">
        <v>5140</v>
      </c>
      <c r="D8260" s="3" t="str">
        <f t="shared" ref="D8260:D8262" si="1513">HYPERLINK("https://12go.asia/en/travel/Ahungalla/Mannar", "12Go Link")</f>
        <v>12Go Link</v>
      </c>
      <c r="E8260" s="2" t="s">
        <v>286</v>
      </c>
    </row>
    <row r="8261">
      <c r="A8261" s="2" t="s">
        <v>4921</v>
      </c>
      <c r="B8261" s="2" t="s">
        <v>4990</v>
      </c>
      <c r="C8261" s="2" t="s">
        <v>5140</v>
      </c>
      <c r="D8261" s="3" t="str">
        <f t="shared" si="1513"/>
        <v>12Go Link</v>
      </c>
      <c r="E8261" s="2" t="s">
        <v>4139</v>
      </c>
    </row>
    <row r="8262">
      <c r="A8262" s="2" t="s">
        <v>4921</v>
      </c>
      <c r="B8262" s="2" t="s">
        <v>4990</v>
      </c>
      <c r="C8262" s="2" t="s">
        <v>5140</v>
      </c>
      <c r="D8262" s="3" t="str">
        <f t="shared" si="1513"/>
        <v>12Go Link</v>
      </c>
      <c r="E8262" s="2" t="s">
        <v>3409</v>
      </c>
    </row>
    <row r="8263">
      <c r="A8263" s="2" t="s">
        <v>4921</v>
      </c>
      <c r="B8263" s="2" t="s">
        <v>4992</v>
      </c>
      <c r="C8263" s="2" t="s">
        <v>5141</v>
      </c>
      <c r="D8263" s="3" t="str">
        <f t="shared" ref="D8263:D8265" si="1514">HYPERLINK("https://12go.asia/en/travel/Ahungalla/Kinigama", "12Go Link")</f>
        <v>12Go Link</v>
      </c>
      <c r="E8263" s="2" t="s">
        <v>286</v>
      </c>
    </row>
    <row r="8264">
      <c r="A8264" s="2" t="s">
        <v>4921</v>
      </c>
      <c r="B8264" s="2" t="s">
        <v>4992</v>
      </c>
      <c r="C8264" s="2" t="s">
        <v>5141</v>
      </c>
      <c r="D8264" s="3" t="str">
        <f t="shared" si="1514"/>
        <v>12Go Link</v>
      </c>
      <c r="E8264" s="2" t="s">
        <v>4139</v>
      </c>
    </row>
    <row r="8265">
      <c r="A8265" s="2" t="s">
        <v>4921</v>
      </c>
      <c r="B8265" s="2" t="s">
        <v>4992</v>
      </c>
      <c r="C8265" s="2" t="s">
        <v>5141</v>
      </c>
      <c r="D8265" s="3" t="str">
        <f t="shared" si="1514"/>
        <v>12Go Link</v>
      </c>
      <c r="E8265" s="2" t="s">
        <v>3409</v>
      </c>
    </row>
    <row r="8266">
      <c r="A8266" s="2" t="s">
        <v>4921</v>
      </c>
      <c r="B8266" s="2" t="s">
        <v>4994</v>
      </c>
      <c r="C8266" s="2" t="s">
        <v>5142</v>
      </c>
      <c r="D8266" s="3" t="str">
        <f t="shared" ref="D8266:D8268" si="1515">HYPERLINK("https://12go.asia/en/travel/Ahungalla/Kalamatiya", "12Go Link")</f>
        <v>12Go Link</v>
      </c>
      <c r="E8266" s="2" t="s">
        <v>286</v>
      </c>
    </row>
    <row r="8267">
      <c r="A8267" s="2" t="s">
        <v>4921</v>
      </c>
      <c r="B8267" s="2" t="s">
        <v>4994</v>
      </c>
      <c r="C8267" s="2" t="s">
        <v>5142</v>
      </c>
      <c r="D8267" s="3" t="str">
        <f t="shared" si="1515"/>
        <v>12Go Link</v>
      </c>
      <c r="E8267" s="2" t="s">
        <v>4139</v>
      </c>
    </row>
    <row r="8268">
      <c r="A8268" s="2" t="s">
        <v>4921</v>
      </c>
      <c r="B8268" s="2" t="s">
        <v>4994</v>
      </c>
      <c r="C8268" s="2" t="s">
        <v>5142</v>
      </c>
      <c r="D8268" s="3" t="str">
        <f t="shared" si="1515"/>
        <v>12Go Link</v>
      </c>
      <c r="E8268" s="2" t="s">
        <v>3409</v>
      </c>
    </row>
    <row r="8269">
      <c r="A8269" s="2" t="s">
        <v>4921</v>
      </c>
      <c r="B8269" s="2" t="s">
        <v>4996</v>
      </c>
      <c r="C8269" s="2" t="s">
        <v>5143</v>
      </c>
      <c r="D8269" s="3" t="str">
        <f t="shared" ref="D8269:D8271" si="1516">HYPERLINK("https://12go.asia/en/travel/Ahungalla/mirissa", "12Go Link")</f>
        <v>12Go Link</v>
      </c>
      <c r="E8269" s="2" t="s">
        <v>286</v>
      </c>
    </row>
    <row r="8270">
      <c r="A8270" s="2" t="s">
        <v>4921</v>
      </c>
      <c r="B8270" s="2" t="s">
        <v>4996</v>
      </c>
      <c r="C8270" s="2" t="s">
        <v>5143</v>
      </c>
      <c r="D8270" s="3" t="str">
        <f t="shared" si="1516"/>
        <v>12Go Link</v>
      </c>
      <c r="E8270" s="2" t="s">
        <v>4139</v>
      </c>
    </row>
    <row r="8271">
      <c r="A8271" s="2" t="s">
        <v>4921</v>
      </c>
      <c r="B8271" s="2" t="s">
        <v>4996</v>
      </c>
      <c r="C8271" s="2" t="s">
        <v>5143</v>
      </c>
      <c r="D8271" s="3" t="str">
        <f t="shared" si="1516"/>
        <v>12Go Link</v>
      </c>
      <c r="E8271" s="2" t="s">
        <v>3409</v>
      </c>
    </row>
    <row r="8272">
      <c r="A8272" s="2" t="s">
        <v>4921</v>
      </c>
      <c r="B8272" s="2" t="s">
        <v>4998</v>
      </c>
      <c r="C8272" s="2" t="s">
        <v>5144</v>
      </c>
      <c r="D8272" s="3" t="str">
        <f t="shared" ref="D8272:D8274" si="1517">HYPERLINK("https://12go.asia/en/travel/Ahungalla/Nanu-Oya", "12Go Link")</f>
        <v>12Go Link</v>
      </c>
      <c r="E8272" s="2" t="s">
        <v>286</v>
      </c>
    </row>
    <row r="8273">
      <c r="A8273" s="2" t="s">
        <v>4921</v>
      </c>
      <c r="B8273" s="2" t="s">
        <v>4998</v>
      </c>
      <c r="C8273" s="2" t="s">
        <v>5144</v>
      </c>
      <c r="D8273" s="3" t="str">
        <f t="shared" si="1517"/>
        <v>12Go Link</v>
      </c>
      <c r="E8273" s="2" t="s">
        <v>4139</v>
      </c>
    </row>
    <row r="8274">
      <c r="A8274" s="2" t="s">
        <v>4921</v>
      </c>
      <c r="B8274" s="2" t="s">
        <v>4998</v>
      </c>
      <c r="C8274" s="2" t="s">
        <v>5144</v>
      </c>
      <c r="D8274" s="3" t="str">
        <f t="shared" si="1517"/>
        <v>12Go Link</v>
      </c>
      <c r="E8274" s="2" t="s">
        <v>3409</v>
      </c>
    </row>
    <row r="8275">
      <c r="A8275" s="2" t="s">
        <v>4921</v>
      </c>
      <c r="B8275" s="2" t="s">
        <v>5000</v>
      </c>
      <c r="C8275" s="2" t="s">
        <v>5145</v>
      </c>
      <c r="D8275" s="3" t="str">
        <f t="shared" ref="D8275:D8277" si="1518">HYPERLINK("https://12go.asia/en/travel/Ahungalla/Waikkal", "12Go Link")</f>
        <v>12Go Link</v>
      </c>
      <c r="E8275" s="2" t="s">
        <v>286</v>
      </c>
    </row>
    <row r="8276">
      <c r="A8276" s="2" t="s">
        <v>4921</v>
      </c>
      <c r="B8276" s="2" t="s">
        <v>5000</v>
      </c>
      <c r="C8276" s="2" t="s">
        <v>5145</v>
      </c>
      <c r="D8276" s="3" t="str">
        <f t="shared" si="1518"/>
        <v>12Go Link</v>
      </c>
      <c r="E8276" s="2" t="s">
        <v>4139</v>
      </c>
    </row>
    <row r="8277">
      <c r="A8277" s="2" t="s">
        <v>4921</v>
      </c>
      <c r="B8277" s="2" t="s">
        <v>5000</v>
      </c>
      <c r="C8277" s="2" t="s">
        <v>5145</v>
      </c>
      <c r="D8277" s="3" t="str">
        <f t="shared" si="1518"/>
        <v>12Go Link</v>
      </c>
      <c r="E8277" s="2" t="s">
        <v>3409</v>
      </c>
    </row>
    <row r="8278">
      <c r="A8278" s="2" t="s">
        <v>4921</v>
      </c>
      <c r="B8278" s="2" t="s">
        <v>5003</v>
      </c>
      <c r="C8278" s="2" t="s">
        <v>5146</v>
      </c>
      <c r="D8278" s="3" t="str">
        <f t="shared" ref="D8278:D8280" si="1519">HYPERLINK("https://12go.asia/en/travel/Ahungalla/Nilaveli", "12Go Link")</f>
        <v>12Go Link</v>
      </c>
      <c r="E8278" s="2" t="s">
        <v>286</v>
      </c>
    </row>
    <row r="8279">
      <c r="A8279" s="2" t="s">
        <v>4921</v>
      </c>
      <c r="B8279" s="2" t="s">
        <v>5003</v>
      </c>
      <c r="C8279" s="2" t="s">
        <v>5146</v>
      </c>
      <c r="D8279" s="3" t="str">
        <f t="shared" si="1519"/>
        <v>12Go Link</v>
      </c>
      <c r="E8279" s="2" t="s">
        <v>4139</v>
      </c>
    </row>
    <row r="8280">
      <c r="A8280" s="2" t="s">
        <v>4921</v>
      </c>
      <c r="B8280" s="2" t="s">
        <v>5003</v>
      </c>
      <c r="C8280" s="2" t="s">
        <v>5146</v>
      </c>
      <c r="D8280" s="3" t="str">
        <f t="shared" si="1519"/>
        <v>12Go Link</v>
      </c>
      <c r="E8280" s="2" t="s">
        <v>3409</v>
      </c>
    </row>
    <row r="8281">
      <c r="A8281" s="2" t="s">
        <v>4921</v>
      </c>
      <c r="B8281" s="2" t="s">
        <v>5007</v>
      </c>
      <c r="C8281" s="2" t="s">
        <v>5147</v>
      </c>
      <c r="D8281" s="3" t="str">
        <f t="shared" ref="D8281:D8283" si="1520">HYPERLINK("https://12go.asia/en/travel/Ahungalla/Pasikuda", "12Go Link")</f>
        <v>12Go Link</v>
      </c>
      <c r="E8281" s="2" t="s">
        <v>286</v>
      </c>
    </row>
    <row r="8282">
      <c r="A8282" s="2" t="s">
        <v>4921</v>
      </c>
      <c r="B8282" s="2" t="s">
        <v>5007</v>
      </c>
      <c r="C8282" s="2" t="s">
        <v>5147</v>
      </c>
      <c r="D8282" s="3" t="str">
        <f t="shared" si="1520"/>
        <v>12Go Link</v>
      </c>
      <c r="E8282" s="2" t="s">
        <v>4139</v>
      </c>
    </row>
    <row r="8283">
      <c r="A8283" s="2" t="s">
        <v>4921</v>
      </c>
      <c r="B8283" s="2" t="s">
        <v>5007</v>
      </c>
      <c r="C8283" s="2" t="s">
        <v>5147</v>
      </c>
      <c r="D8283" s="3" t="str">
        <f t="shared" si="1520"/>
        <v>12Go Link</v>
      </c>
      <c r="E8283" s="2" t="s">
        <v>3409</v>
      </c>
    </row>
    <row r="8284">
      <c r="A8284" s="2" t="s">
        <v>4921</v>
      </c>
      <c r="B8284" s="2" t="s">
        <v>5009</v>
      </c>
      <c r="C8284" s="2" t="s">
        <v>5148</v>
      </c>
      <c r="D8284" s="3" t="str">
        <f t="shared" ref="D8284:D8286" si="1521">HYPERLINK("https://12go.asia/en/travel/Ahungalla/Galoya", "12Go Link")</f>
        <v>12Go Link</v>
      </c>
      <c r="E8284" s="2" t="s">
        <v>286</v>
      </c>
    </row>
    <row r="8285">
      <c r="A8285" s="2" t="s">
        <v>4921</v>
      </c>
      <c r="B8285" s="2" t="s">
        <v>5009</v>
      </c>
      <c r="C8285" s="2" t="s">
        <v>5148</v>
      </c>
      <c r="D8285" s="3" t="str">
        <f t="shared" si="1521"/>
        <v>12Go Link</v>
      </c>
      <c r="E8285" s="2" t="s">
        <v>4139</v>
      </c>
    </row>
    <row r="8286">
      <c r="A8286" s="2" t="s">
        <v>4921</v>
      </c>
      <c r="B8286" s="2" t="s">
        <v>5009</v>
      </c>
      <c r="C8286" s="2" t="s">
        <v>5148</v>
      </c>
      <c r="D8286" s="3" t="str">
        <f t="shared" si="1521"/>
        <v>12Go Link</v>
      </c>
      <c r="E8286" s="2" t="s">
        <v>3409</v>
      </c>
    </row>
    <row r="8287">
      <c r="A8287" s="2" t="s">
        <v>4921</v>
      </c>
      <c r="B8287" s="2" t="s">
        <v>5011</v>
      </c>
      <c r="C8287" s="2" t="s">
        <v>5149</v>
      </c>
      <c r="D8287" s="3" t="str">
        <f t="shared" ref="D8287:D8289" si="1522">HYPERLINK("https://12go.asia/en/travel/Ahungalla/Kalpitiya", "12Go Link")</f>
        <v>12Go Link</v>
      </c>
      <c r="E8287" s="2" t="s">
        <v>286</v>
      </c>
    </row>
    <row r="8288">
      <c r="A8288" s="2" t="s">
        <v>4921</v>
      </c>
      <c r="B8288" s="2" t="s">
        <v>5011</v>
      </c>
      <c r="C8288" s="2" t="s">
        <v>5149</v>
      </c>
      <c r="D8288" s="3" t="str">
        <f t="shared" si="1522"/>
        <v>12Go Link</v>
      </c>
      <c r="E8288" s="2" t="s">
        <v>4139</v>
      </c>
    </row>
    <row r="8289">
      <c r="A8289" s="2" t="s">
        <v>4921</v>
      </c>
      <c r="B8289" s="2" t="s">
        <v>5011</v>
      </c>
      <c r="C8289" s="2" t="s">
        <v>5149</v>
      </c>
      <c r="D8289" s="3" t="str">
        <f t="shared" si="1522"/>
        <v>12Go Link</v>
      </c>
      <c r="E8289" s="2" t="s">
        <v>3409</v>
      </c>
    </row>
    <row r="8290">
      <c r="A8290" s="2" t="s">
        <v>4921</v>
      </c>
      <c r="B8290" s="2" t="s">
        <v>5011</v>
      </c>
      <c r="C8290" s="2" t="s">
        <v>5150</v>
      </c>
      <c r="D8290" s="3" t="str">
        <f t="shared" ref="D8290:D8292" si="1523">HYPERLINK("https://12go.asia/en/travel/Ahungalla/Marawila", "12Go Link")</f>
        <v>12Go Link</v>
      </c>
      <c r="E8290" s="2" t="s">
        <v>286</v>
      </c>
    </row>
    <row r="8291">
      <c r="A8291" s="2" t="s">
        <v>4921</v>
      </c>
      <c r="B8291" s="2" t="s">
        <v>5011</v>
      </c>
      <c r="C8291" s="2" t="s">
        <v>5150</v>
      </c>
      <c r="D8291" s="3" t="str">
        <f t="shared" si="1523"/>
        <v>12Go Link</v>
      </c>
      <c r="E8291" s="2" t="s">
        <v>4139</v>
      </c>
    </row>
    <row r="8292">
      <c r="A8292" s="2" t="s">
        <v>4921</v>
      </c>
      <c r="B8292" s="2" t="s">
        <v>5011</v>
      </c>
      <c r="C8292" s="2" t="s">
        <v>5150</v>
      </c>
      <c r="D8292" s="3" t="str">
        <f t="shared" si="1523"/>
        <v>12Go Link</v>
      </c>
      <c r="E8292" s="2" t="s">
        <v>3409</v>
      </c>
    </row>
    <row r="8293">
      <c r="A8293" s="2" t="s">
        <v>4921</v>
      </c>
      <c r="B8293" s="2" t="s">
        <v>5014</v>
      </c>
      <c r="C8293" s="2" t="s">
        <v>5151</v>
      </c>
      <c r="D8293" s="3" t="str">
        <f t="shared" ref="D8293:D8295" si="1524">HYPERLINK("https://12go.asia/en/travel/Ahungalla/Kiriella", "12Go Link")</f>
        <v>12Go Link</v>
      </c>
      <c r="E8293" s="2" t="s">
        <v>286</v>
      </c>
    </row>
    <row r="8294">
      <c r="A8294" s="2" t="s">
        <v>4921</v>
      </c>
      <c r="B8294" s="2" t="s">
        <v>5014</v>
      </c>
      <c r="C8294" s="2" t="s">
        <v>5151</v>
      </c>
      <c r="D8294" s="3" t="str">
        <f t="shared" si="1524"/>
        <v>12Go Link</v>
      </c>
      <c r="E8294" s="2" t="s">
        <v>4139</v>
      </c>
    </row>
    <row r="8295">
      <c r="A8295" s="2" t="s">
        <v>4921</v>
      </c>
      <c r="B8295" s="2" t="s">
        <v>5014</v>
      </c>
      <c r="C8295" s="2" t="s">
        <v>5151</v>
      </c>
      <c r="D8295" s="3" t="str">
        <f t="shared" si="1524"/>
        <v>12Go Link</v>
      </c>
      <c r="E8295" s="2" t="s">
        <v>3409</v>
      </c>
    </row>
    <row r="8296">
      <c r="A8296" s="2" t="s">
        <v>4921</v>
      </c>
      <c r="B8296" s="2" t="s">
        <v>5018</v>
      </c>
      <c r="C8296" s="2" t="s">
        <v>5152</v>
      </c>
      <c r="D8296" s="3" t="str">
        <f t="shared" ref="D8296:D8298" si="1525">HYPERLINK("https://12go.asia/en/travel/Ahungalla/Rekawa", "12Go Link")</f>
        <v>12Go Link</v>
      </c>
      <c r="E8296" s="2" t="s">
        <v>286</v>
      </c>
    </row>
    <row r="8297">
      <c r="A8297" s="2" t="s">
        <v>4921</v>
      </c>
      <c r="B8297" s="2" t="s">
        <v>5018</v>
      </c>
      <c r="C8297" s="2" t="s">
        <v>5152</v>
      </c>
      <c r="D8297" s="3" t="str">
        <f t="shared" si="1525"/>
        <v>12Go Link</v>
      </c>
      <c r="E8297" s="2" t="s">
        <v>4139</v>
      </c>
    </row>
    <row r="8298">
      <c r="A8298" s="2" t="s">
        <v>4921</v>
      </c>
      <c r="B8298" s="2" t="s">
        <v>5018</v>
      </c>
      <c r="C8298" s="2" t="s">
        <v>5152</v>
      </c>
      <c r="D8298" s="3" t="str">
        <f t="shared" si="1525"/>
        <v>12Go Link</v>
      </c>
      <c r="E8298" s="2" t="s">
        <v>3409</v>
      </c>
    </row>
    <row r="8299">
      <c r="A8299" s="2" t="s">
        <v>4921</v>
      </c>
      <c r="B8299" s="2" t="s">
        <v>5020</v>
      </c>
      <c r="C8299" s="2" t="s">
        <v>5153</v>
      </c>
      <c r="D8299" s="3" t="str">
        <f t="shared" ref="D8299:D8301" si="1526">HYPERLINK("https://12go.asia/en/travel/Ahungalla/Tissamaharama", "12Go Link")</f>
        <v>12Go Link</v>
      </c>
      <c r="E8299" s="2" t="s">
        <v>286</v>
      </c>
    </row>
    <row r="8300">
      <c r="A8300" s="2" t="s">
        <v>4921</v>
      </c>
      <c r="B8300" s="2" t="s">
        <v>5020</v>
      </c>
      <c r="C8300" s="2" t="s">
        <v>5153</v>
      </c>
      <c r="D8300" s="3" t="str">
        <f t="shared" si="1526"/>
        <v>12Go Link</v>
      </c>
      <c r="E8300" s="2" t="s">
        <v>4139</v>
      </c>
    </row>
    <row r="8301">
      <c r="A8301" s="2" t="s">
        <v>4921</v>
      </c>
      <c r="B8301" s="2" t="s">
        <v>5020</v>
      </c>
      <c r="C8301" s="2" t="s">
        <v>5153</v>
      </c>
      <c r="D8301" s="3" t="str">
        <f t="shared" si="1526"/>
        <v>12Go Link</v>
      </c>
      <c r="E8301" s="2" t="s">
        <v>3409</v>
      </c>
    </row>
    <row r="8302">
      <c r="A8302" s="2" t="s">
        <v>4921</v>
      </c>
      <c r="B8302" s="2" t="s">
        <v>5020</v>
      </c>
      <c r="C8302" s="2" t="s">
        <v>5154</v>
      </c>
      <c r="D8302" s="3" t="str">
        <f t="shared" ref="D8302:D8304" si="1527">HYPERLINK("https://12go.asia/en/travel/Ahungalla/Yala-Park", "12Go Link")</f>
        <v>12Go Link</v>
      </c>
      <c r="E8302" s="2" t="s">
        <v>286</v>
      </c>
    </row>
    <row r="8303">
      <c r="A8303" s="2" t="s">
        <v>4921</v>
      </c>
      <c r="B8303" s="2" t="s">
        <v>5020</v>
      </c>
      <c r="C8303" s="2" t="s">
        <v>5154</v>
      </c>
      <c r="D8303" s="3" t="str">
        <f t="shared" si="1527"/>
        <v>12Go Link</v>
      </c>
      <c r="E8303" s="2" t="s">
        <v>4139</v>
      </c>
    </row>
    <row r="8304">
      <c r="A8304" s="2" t="s">
        <v>4921</v>
      </c>
      <c r="B8304" s="2" t="s">
        <v>5020</v>
      </c>
      <c r="C8304" s="2" t="s">
        <v>5154</v>
      </c>
      <c r="D8304" s="3" t="str">
        <f t="shared" si="1527"/>
        <v>12Go Link</v>
      </c>
      <c r="E8304" s="2" t="s">
        <v>3409</v>
      </c>
    </row>
    <row r="8305">
      <c r="A8305" s="2" t="s">
        <v>4921</v>
      </c>
      <c r="B8305" s="2" t="s">
        <v>5023</v>
      </c>
      <c r="C8305" s="2" t="s">
        <v>5155</v>
      </c>
      <c r="D8305" s="3" t="str">
        <f t="shared" ref="D8305:D8307" si="1528">HYPERLINK("https://12go.asia/en/travel/Ahungalla/Nilaweli", "12Go Link")</f>
        <v>12Go Link</v>
      </c>
      <c r="E8305" s="2" t="s">
        <v>286</v>
      </c>
    </row>
    <row r="8306">
      <c r="A8306" s="2" t="s">
        <v>4921</v>
      </c>
      <c r="B8306" s="2" t="s">
        <v>5023</v>
      </c>
      <c r="C8306" s="2" t="s">
        <v>5155</v>
      </c>
      <c r="D8306" s="3" t="str">
        <f t="shared" si="1528"/>
        <v>12Go Link</v>
      </c>
      <c r="E8306" s="2" t="s">
        <v>4139</v>
      </c>
    </row>
    <row r="8307">
      <c r="A8307" s="2" t="s">
        <v>4921</v>
      </c>
      <c r="B8307" s="2" t="s">
        <v>5023</v>
      </c>
      <c r="C8307" s="2" t="s">
        <v>5155</v>
      </c>
      <c r="D8307" s="3" t="str">
        <f t="shared" si="1528"/>
        <v>12Go Link</v>
      </c>
      <c r="E8307" s="2" t="s">
        <v>3409</v>
      </c>
    </row>
    <row r="8308">
      <c r="A8308" s="2" t="s">
        <v>4921</v>
      </c>
      <c r="B8308" s="2" t="s">
        <v>5025</v>
      </c>
      <c r="C8308" s="2" t="s">
        <v>5156</v>
      </c>
      <c r="D8308" s="3" t="str">
        <f t="shared" ref="D8308:D8310" si="1529">HYPERLINK("https://12go.asia/en/travel/Ahungalla/Udawalawa", "12Go Link")</f>
        <v>12Go Link</v>
      </c>
      <c r="E8308" s="2" t="s">
        <v>286</v>
      </c>
    </row>
    <row r="8309">
      <c r="A8309" s="2" t="s">
        <v>4921</v>
      </c>
      <c r="B8309" s="2" t="s">
        <v>5025</v>
      </c>
      <c r="C8309" s="2" t="s">
        <v>5156</v>
      </c>
      <c r="D8309" s="3" t="str">
        <f t="shared" si="1529"/>
        <v>12Go Link</v>
      </c>
      <c r="E8309" s="2" t="s">
        <v>4139</v>
      </c>
    </row>
    <row r="8310">
      <c r="A8310" s="2" t="s">
        <v>4921</v>
      </c>
      <c r="B8310" s="2" t="s">
        <v>5025</v>
      </c>
      <c r="C8310" s="2" t="s">
        <v>5156</v>
      </c>
      <c r="D8310" s="3" t="str">
        <f t="shared" si="1529"/>
        <v>12Go Link</v>
      </c>
      <c r="E8310" s="2" t="s">
        <v>3409</v>
      </c>
    </row>
    <row r="8311">
      <c r="A8311" s="2" t="s">
        <v>4921</v>
      </c>
      <c r="B8311" s="2" t="s">
        <v>5027</v>
      </c>
      <c r="C8311" s="2" t="s">
        <v>5157</v>
      </c>
      <c r="D8311" s="3" t="str">
        <f t="shared" ref="D8311:D8313" si="1530">HYPERLINK("https://12go.asia/en/travel/Ahungalla/Unawatuna", "12Go Link")</f>
        <v>12Go Link</v>
      </c>
      <c r="E8311" s="2" t="s">
        <v>286</v>
      </c>
    </row>
    <row r="8312">
      <c r="A8312" s="2" t="s">
        <v>4921</v>
      </c>
      <c r="B8312" s="2" t="s">
        <v>5027</v>
      </c>
      <c r="C8312" s="2" t="s">
        <v>5157</v>
      </c>
      <c r="D8312" s="3" t="str">
        <f t="shared" si="1530"/>
        <v>12Go Link</v>
      </c>
      <c r="E8312" s="2" t="s">
        <v>4139</v>
      </c>
    </row>
    <row r="8313">
      <c r="A8313" s="2" t="s">
        <v>4921</v>
      </c>
      <c r="B8313" s="2" t="s">
        <v>5027</v>
      </c>
      <c r="C8313" s="2" t="s">
        <v>5157</v>
      </c>
      <c r="D8313" s="3" t="str">
        <f t="shared" si="1530"/>
        <v>12Go Link</v>
      </c>
      <c r="E8313" s="2" t="s">
        <v>3409</v>
      </c>
    </row>
    <row r="8314">
      <c r="A8314" s="2" t="s">
        <v>4921</v>
      </c>
      <c r="B8314" s="2" t="s">
        <v>5029</v>
      </c>
      <c r="C8314" s="2" t="s">
        <v>5158</v>
      </c>
      <c r="D8314" s="3" t="str">
        <f t="shared" ref="D8314:D8316" si="1531">HYPERLINK("https://12go.asia/en/travel/Ahungalla/Attanagalla", "12Go Link")</f>
        <v>12Go Link</v>
      </c>
      <c r="E8314" s="2" t="s">
        <v>286</v>
      </c>
    </row>
    <row r="8315">
      <c r="A8315" s="2" t="s">
        <v>4921</v>
      </c>
      <c r="B8315" s="2" t="s">
        <v>5029</v>
      </c>
      <c r="C8315" s="2" t="s">
        <v>5158</v>
      </c>
      <c r="D8315" s="3" t="str">
        <f t="shared" si="1531"/>
        <v>12Go Link</v>
      </c>
      <c r="E8315" s="2" t="s">
        <v>4139</v>
      </c>
    </row>
    <row r="8316">
      <c r="A8316" s="2" t="s">
        <v>4921</v>
      </c>
      <c r="B8316" s="2" t="s">
        <v>5029</v>
      </c>
      <c r="C8316" s="2" t="s">
        <v>5158</v>
      </c>
      <c r="D8316" s="3" t="str">
        <f t="shared" si="1531"/>
        <v>12Go Link</v>
      </c>
      <c r="E8316" s="2" t="s">
        <v>3409</v>
      </c>
    </row>
    <row r="8317">
      <c r="A8317" s="2" t="s">
        <v>4921</v>
      </c>
      <c r="B8317" s="2" t="s">
        <v>5031</v>
      </c>
      <c r="C8317" s="2" t="s">
        <v>5159</v>
      </c>
      <c r="D8317" s="3" t="str">
        <f t="shared" ref="D8317:D8319" si="1532">HYPERLINK("https://12go.asia/en/travel/Ahungalla/Moronthuduwa", "12Go Link")</f>
        <v>12Go Link</v>
      </c>
      <c r="E8317" s="2" t="s">
        <v>286</v>
      </c>
    </row>
    <row r="8318">
      <c r="A8318" s="2" t="s">
        <v>4921</v>
      </c>
      <c r="B8318" s="2" t="s">
        <v>5031</v>
      </c>
      <c r="C8318" s="2" t="s">
        <v>5159</v>
      </c>
      <c r="D8318" s="3" t="str">
        <f t="shared" si="1532"/>
        <v>12Go Link</v>
      </c>
      <c r="E8318" s="2" t="s">
        <v>4139</v>
      </c>
    </row>
    <row r="8319">
      <c r="A8319" s="2" t="s">
        <v>4921</v>
      </c>
      <c r="B8319" s="2" t="s">
        <v>5031</v>
      </c>
      <c r="C8319" s="2" t="s">
        <v>5159</v>
      </c>
      <c r="D8319" s="3" t="str">
        <f t="shared" si="1532"/>
        <v>12Go Link</v>
      </c>
      <c r="E8319" s="2" t="s">
        <v>3409</v>
      </c>
    </row>
    <row r="8320">
      <c r="A8320" s="2" t="s">
        <v>4921</v>
      </c>
      <c r="B8320" s="2" t="s">
        <v>5031</v>
      </c>
      <c r="C8320" s="2" t="s">
        <v>5160</v>
      </c>
      <c r="D8320" s="3" t="str">
        <f t="shared" ref="D8320:D8322" si="1533">HYPERLINK("https://12go.asia/en/travel/Ahungalla/Waskaduwa", "12Go Link")</f>
        <v>12Go Link</v>
      </c>
      <c r="E8320" s="2" t="s">
        <v>286</v>
      </c>
    </row>
    <row r="8321">
      <c r="A8321" s="2" t="s">
        <v>4921</v>
      </c>
      <c r="B8321" s="2" t="s">
        <v>5031</v>
      </c>
      <c r="C8321" s="2" t="s">
        <v>5160</v>
      </c>
      <c r="D8321" s="3" t="str">
        <f t="shared" si="1533"/>
        <v>12Go Link</v>
      </c>
      <c r="E8321" s="2" t="s">
        <v>4139</v>
      </c>
    </row>
    <row r="8322">
      <c r="A8322" s="2" t="s">
        <v>4921</v>
      </c>
      <c r="B8322" s="2" t="s">
        <v>5031</v>
      </c>
      <c r="C8322" s="2" t="s">
        <v>5160</v>
      </c>
      <c r="D8322" s="3" t="str">
        <f t="shared" si="1533"/>
        <v>12Go Link</v>
      </c>
      <c r="E8322" s="2" t="s">
        <v>3409</v>
      </c>
    </row>
    <row r="8323">
      <c r="A8323" s="2" t="s">
        <v>4921</v>
      </c>
      <c r="B8323" s="2" t="s">
        <v>5034</v>
      </c>
      <c r="C8323" s="2" t="s">
        <v>5161</v>
      </c>
      <c r="D8323" s="3" t="str">
        <f t="shared" ref="D8323:D8325" si="1534">HYPERLINK("https://12go.asia/en/travel/Ahungalla/Weddagala", "12Go Link")</f>
        <v>12Go Link</v>
      </c>
      <c r="E8323" s="2" t="s">
        <v>286</v>
      </c>
    </row>
    <row r="8324">
      <c r="A8324" s="2" t="s">
        <v>4921</v>
      </c>
      <c r="B8324" s="2" t="s">
        <v>5034</v>
      </c>
      <c r="C8324" s="2" t="s">
        <v>5161</v>
      </c>
      <c r="D8324" s="3" t="str">
        <f t="shared" si="1534"/>
        <v>12Go Link</v>
      </c>
      <c r="E8324" s="2" t="s">
        <v>4139</v>
      </c>
    </row>
    <row r="8325">
      <c r="A8325" s="2" t="s">
        <v>4921</v>
      </c>
      <c r="B8325" s="2" t="s">
        <v>5034</v>
      </c>
      <c r="C8325" s="2" t="s">
        <v>5161</v>
      </c>
      <c r="D8325" s="3" t="str">
        <f t="shared" si="1534"/>
        <v>12Go Link</v>
      </c>
      <c r="E8325" s="2" t="s">
        <v>3409</v>
      </c>
    </row>
    <row r="8326">
      <c r="A8326" s="2" t="s">
        <v>4921</v>
      </c>
      <c r="B8326" s="2" t="s">
        <v>5036</v>
      </c>
      <c r="C8326" s="2" t="s">
        <v>5162</v>
      </c>
      <c r="D8326" s="3" t="str">
        <f t="shared" ref="D8326:D8328" si="1535">HYPERLINK("https://12go.asia/en/travel/Ahungalla/Weligatta", "12Go Link")</f>
        <v>12Go Link</v>
      </c>
      <c r="E8326" s="2" t="s">
        <v>286</v>
      </c>
    </row>
    <row r="8327">
      <c r="A8327" s="2" t="s">
        <v>4921</v>
      </c>
      <c r="B8327" s="2" t="s">
        <v>5036</v>
      </c>
      <c r="C8327" s="2" t="s">
        <v>5162</v>
      </c>
      <c r="D8327" s="3" t="str">
        <f t="shared" si="1535"/>
        <v>12Go Link</v>
      </c>
      <c r="E8327" s="2" t="s">
        <v>4139</v>
      </c>
    </row>
    <row r="8328">
      <c r="A8328" s="2" t="s">
        <v>4921</v>
      </c>
      <c r="B8328" s="2" t="s">
        <v>5036</v>
      </c>
      <c r="C8328" s="2" t="s">
        <v>5162</v>
      </c>
      <c r="D8328" s="3" t="str">
        <f t="shared" si="1535"/>
        <v>12Go Link</v>
      </c>
      <c r="E8328" s="2" t="s">
        <v>3409</v>
      </c>
    </row>
    <row r="8329">
      <c r="A8329" s="2" t="s">
        <v>4921</v>
      </c>
      <c r="B8329" s="2" t="s">
        <v>5038</v>
      </c>
      <c r="C8329" s="2" t="s">
        <v>5163</v>
      </c>
      <c r="D8329" s="3" t="str">
        <f t="shared" ref="D8329:D8331" si="1536">HYPERLINK("https://12go.asia/en/travel/Ahungalla/Akuressa", "12Go Link")</f>
        <v>12Go Link</v>
      </c>
      <c r="E8329" s="2" t="s">
        <v>286</v>
      </c>
    </row>
    <row r="8330">
      <c r="A8330" s="2" t="s">
        <v>4921</v>
      </c>
      <c r="B8330" s="2" t="s">
        <v>5038</v>
      </c>
      <c r="C8330" s="2" t="s">
        <v>5163</v>
      </c>
      <c r="D8330" s="3" t="str">
        <f t="shared" si="1536"/>
        <v>12Go Link</v>
      </c>
      <c r="E8330" s="2" t="s">
        <v>4139</v>
      </c>
    </row>
    <row r="8331">
      <c r="A8331" s="2" t="s">
        <v>4921</v>
      </c>
      <c r="B8331" s="2" t="s">
        <v>5038</v>
      </c>
      <c r="C8331" s="2" t="s">
        <v>5163</v>
      </c>
      <c r="D8331" s="3" t="str">
        <f t="shared" si="1536"/>
        <v>12Go Link</v>
      </c>
      <c r="E8331" s="2" t="s">
        <v>3409</v>
      </c>
    </row>
    <row r="8332">
      <c r="A8332" s="2" t="s">
        <v>4921</v>
      </c>
      <c r="B8332" s="2" t="s">
        <v>5040</v>
      </c>
      <c r="C8332" s="2" t="s">
        <v>5164</v>
      </c>
      <c r="D8332" s="3" t="str">
        <f t="shared" ref="D8332:D8334" si="1537">HYPERLINK("https://12go.asia/en/travel/Ahungalla/Wilpattu", "12Go Link")</f>
        <v>12Go Link</v>
      </c>
      <c r="E8332" s="2" t="s">
        <v>286</v>
      </c>
    </row>
    <row r="8333">
      <c r="A8333" s="2" t="s">
        <v>4921</v>
      </c>
      <c r="B8333" s="2" t="s">
        <v>5040</v>
      </c>
      <c r="C8333" s="2" t="s">
        <v>5164</v>
      </c>
      <c r="D8333" s="3" t="str">
        <f t="shared" si="1537"/>
        <v>12Go Link</v>
      </c>
      <c r="E8333" s="2" t="s">
        <v>4139</v>
      </c>
    </row>
    <row r="8334">
      <c r="A8334" s="2" t="s">
        <v>4921</v>
      </c>
      <c r="B8334" s="2" t="s">
        <v>5040</v>
      </c>
      <c r="C8334" s="2" t="s">
        <v>5164</v>
      </c>
      <c r="D8334" s="3" t="str">
        <f t="shared" si="1537"/>
        <v>12Go Link</v>
      </c>
      <c r="E8334" s="2" t="s">
        <v>3409</v>
      </c>
    </row>
    <row r="8335">
      <c r="A8335" s="2" t="s">
        <v>4923</v>
      </c>
      <c r="B8335" s="2" t="s">
        <v>4918</v>
      </c>
      <c r="C8335" s="2" t="s">
        <v>5165</v>
      </c>
      <c r="D8335" s="3" t="str">
        <f t="shared" ref="D8335:D8337" si="1538">HYPERLINK("https://12go.asia/en/travel/Aluthgama/Adams-Peak", "12Go Link")</f>
        <v>12Go Link</v>
      </c>
      <c r="E8335" s="2" t="s">
        <v>286</v>
      </c>
    </row>
    <row r="8336">
      <c r="A8336" s="2" t="s">
        <v>4923</v>
      </c>
      <c r="B8336" s="2" t="s">
        <v>4918</v>
      </c>
      <c r="C8336" s="2" t="s">
        <v>5165</v>
      </c>
      <c r="D8336" s="3" t="str">
        <f t="shared" si="1538"/>
        <v>12Go Link</v>
      </c>
      <c r="E8336" s="2" t="s">
        <v>4139</v>
      </c>
    </row>
    <row r="8337">
      <c r="A8337" s="2" t="s">
        <v>4923</v>
      </c>
      <c r="B8337" s="2" t="s">
        <v>4918</v>
      </c>
      <c r="C8337" s="2" t="s">
        <v>5165</v>
      </c>
      <c r="D8337" s="3" t="str">
        <f t="shared" si="1538"/>
        <v>12Go Link</v>
      </c>
      <c r="E8337" s="2" t="s">
        <v>3409</v>
      </c>
    </row>
    <row r="8338">
      <c r="A8338" s="2" t="s">
        <v>4923</v>
      </c>
      <c r="B8338" s="2" t="s">
        <v>4919</v>
      </c>
      <c r="C8338" s="2" t="s">
        <v>5166</v>
      </c>
      <c r="D8338" s="3" t="str">
        <f t="shared" ref="D8338:D8340" si="1539">HYPERLINK("https://12go.asia/en/travel/Aluthgama/Ahangama", "12Go Link")</f>
        <v>12Go Link</v>
      </c>
      <c r="E8338" s="2" t="s">
        <v>286</v>
      </c>
    </row>
    <row r="8339">
      <c r="A8339" s="2" t="s">
        <v>4923</v>
      </c>
      <c r="B8339" s="2" t="s">
        <v>4919</v>
      </c>
      <c r="C8339" s="2" t="s">
        <v>5166</v>
      </c>
      <c r="D8339" s="3" t="str">
        <f t="shared" si="1539"/>
        <v>12Go Link</v>
      </c>
      <c r="E8339" s="2" t="s">
        <v>4139</v>
      </c>
    </row>
    <row r="8340">
      <c r="A8340" s="2" t="s">
        <v>4923</v>
      </c>
      <c r="B8340" s="2" t="s">
        <v>4919</v>
      </c>
      <c r="C8340" s="2" t="s">
        <v>5166</v>
      </c>
      <c r="D8340" s="3" t="str">
        <f t="shared" si="1539"/>
        <v>12Go Link</v>
      </c>
      <c r="E8340" s="2" t="s">
        <v>3409</v>
      </c>
    </row>
    <row r="8341">
      <c r="A8341" s="2" t="s">
        <v>4923</v>
      </c>
      <c r="B8341" s="2" t="s">
        <v>4921</v>
      </c>
      <c r="C8341" s="2" t="s">
        <v>5167</v>
      </c>
      <c r="D8341" s="3" t="str">
        <f t="shared" ref="D8341:D8343" si="1540">HYPERLINK("https://12go.asia/en/travel/Aluthgama/Ahungalla", "12Go Link")</f>
        <v>12Go Link</v>
      </c>
      <c r="E8341" s="2" t="s">
        <v>286</v>
      </c>
    </row>
    <row r="8342">
      <c r="A8342" s="2" t="s">
        <v>4923</v>
      </c>
      <c r="B8342" s="2" t="s">
        <v>4921</v>
      </c>
      <c r="C8342" s="2" t="s">
        <v>5167</v>
      </c>
      <c r="D8342" s="3" t="str">
        <f t="shared" si="1540"/>
        <v>12Go Link</v>
      </c>
      <c r="E8342" s="2" t="s">
        <v>4139</v>
      </c>
    </row>
    <row r="8343">
      <c r="A8343" s="2" t="s">
        <v>4923</v>
      </c>
      <c r="B8343" s="2" t="s">
        <v>4921</v>
      </c>
      <c r="C8343" s="2" t="s">
        <v>5167</v>
      </c>
      <c r="D8343" s="3" t="str">
        <f t="shared" si="1540"/>
        <v>12Go Link</v>
      </c>
      <c r="E8343" s="2" t="s">
        <v>3409</v>
      </c>
    </row>
    <row r="8344">
      <c r="A8344" s="2" t="s">
        <v>4923</v>
      </c>
      <c r="B8344" s="2" t="s">
        <v>4925</v>
      </c>
      <c r="C8344" s="2" t="s">
        <v>5168</v>
      </c>
      <c r="D8344" s="3" t="str">
        <f t="shared" ref="D8344:D8346" si="1541">HYPERLINK("https://12go.asia/en/travel/Aluthgama/Ambalangoda", "12Go Link")</f>
        <v>12Go Link</v>
      </c>
      <c r="E8344" s="2" t="s">
        <v>286</v>
      </c>
    </row>
    <row r="8345">
      <c r="A8345" s="2" t="s">
        <v>4923</v>
      </c>
      <c r="B8345" s="2" t="s">
        <v>4925</v>
      </c>
      <c r="C8345" s="2" t="s">
        <v>5168</v>
      </c>
      <c r="D8345" s="3" t="str">
        <f t="shared" si="1541"/>
        <v>12Go Link</v>
      </c>
      <c r="E8345" s="2" t="s">
        <v>4139</v>
      </c>
    </row>
    <row r="8346">
      <c r="A8346" s="2" t="s">
        <v>4923</v>
      </c>
      <c r="B8346" s="2" t="s">
        <v>4925</v>
      </c>
      <c r="C8346" s="2" t="s">
        <v>5168</v>
      </c>
      <c r="D8346" s="3" t="str">
        <f t="shared" si="1541"/>
        <v>12Go Link</v>
      </c>
      <c r="E8346" s="2" t="s">
        <v>3409</v>
      </c>
    </row>
    <row r="8347">
      <c r="A8347" s="2" t="s">
        <v>4923</v>
      </c>
      <c r="B8347" s="2" t="s">
        <v>4927</v>
      </c>
      <c r="C8347" s="2" t="s">
        <v>5169</v>
      </c>
      <c r="D8347" s="3" t="str">
        <f t="shared" ref="D8347:D8349" si="1542">HYPERLINK("https://12go.asia/en/travel/Aluthgama/Ambalantota", "12Go Link")</f>
        <v>12Go Link</v>
      </c>
      <c r="E8347" s="2" t="s">
        <v>286</v>
      </c>
    </row>
    <row r="8348">
      <c r="A8348" s="2" t="s">
        <v>4923</v>
      </c>
      <c r="B8348" s="2" t="s">
        <v>4927</v>
      </c>
      <c r="C8348" s="2" t="s">
        <v>5169</v>
      </c>
      <c r="D8348" s="3" t="str">
        <f t="shared" si="1542"/>
        <v>12Go Link</v>
      </c>
      <c r="E8348" s="2" t="s">
        <v>4139</v>
      </c>
    </row>
    <row r="8349">
      <c r="A8349" s="2" t="s">
        <v>4923</v>
      </c>
      <c r="B8349" s="2" t="s">
        <v>4927</v>
      </c>
      <c r="C8349" s="2" t="s">
        <v>5169</v>
      </c>
      <c r="D8349" s="3" t="str">
        <f t="shared" si="1542"/>
        <v>12Go Link</v>
      </c>
      <c r="E8349" s="2" t="s">
        <v>3409</v>
      </c>
    </row>
    <row r="8350">
      <c r="A8350" s="2" t="s">
        <v>4923</v>
      </c>
      <c r="B8350" s="2" t="s">
        <v>4929</v>
      </c>
      <c r="C8350" s="2" t="s">
        <v>5170</v>
      </c>
      <c r="D8350" s="3" t="str">
        <f t="shared" ref="D8350:D8352" si="1543">HYPERLINK("https://12go.asia/en/travel/Aluthgama/Anuradhapura", "12Go Link")</f>
        <v>12Go Link</v>
      </c>
      <c r="E8350" s="2" t="s">
        <v>286</v>
      </c>
    </row>
    <row r="8351">
      <c r="A8351" s="2" t="s">
        <v>4923</v>
      </c>
      <c r="B8351" s="2" t="s">
        <v>4929</v>
      </c>
      <c r="C8351" s="2" t="s">
        <v>5170</v>
      </c>
      <c r="D8351" s="3" t="str">
        <f t="shared" si="1543"/>
        <v>12Go Link</v>
      </c>
      <c r="E8351" s="2" t="s">
        <v>4139</v>
      </c>
    </row>
    <row r="8352">
      <c r="A8352" s="2" t="s">
        <v>4923</v>
      </c>
      <c r="B8352" s="2" t="s">
        <v>4929</v>
      </c>
      <c r="C8352" s="2" t="s">
        <v>5170</v>
      </c>
      <c r="D8352" s="3" t="str">
        <f t="shared" si="1543"/>
        <v>12Go Link</v>
      </c>
      <c r="E8352" s="2" t="s">
        <v>3409</v>
      </c>
    </row>
    <row r="8353">
      <c r="A8353" s="2" t="s">
        <v>4923</v>
      </c>
      <c r="B8353" s="2" t="s">
        <v>4931</v>
      </c>
      <c r="C8353" s="2" t="s">
        <v>5171</v>
      </c>
      <c r="D8353" s="3" t="str">
        <f t="shared" ref="D8353:D8355" si="1544">HYPERLINK("https://12go.asia/en/travel/Aluthgama/Arugam-bay", "12Go Link")</f>
        <v>12Go Link</v>
      </c>
      <c r="E8353" s="2" t="s">
        <v>286</v>
      </c>
    </row>
    <row r="8354">
      <c r="A8354" s="2" t="s">
        <v>4923</v>
      </c>
      <c r="B8354" s="2" t="s">
        <v>4931</v>
      </c>
      <c r="C8354" s="2" t="s">
        <v>5171</v>
      </c>
      <c r="D8354" s="3" t="str">
        <f t="shared" si="1544"/>
        <v>12Go Link</v>
      </c>
      <c r="E8354" s="2" t="s">
        <v>4139</v>
      </c>
    </row>
    <row r="8355">
      <c r="A8355" s="2" t="s">
        <v>4923</v>
      </c>
      <c r="B8355" s="2" t="s">
        <v>4931</v>
      </c>
      <c r="C8355" s="2" t="s">
        <v>5171</v>
      </c>
      <c r="D8355" s="3" t="str">
        <f t="shared" si="1544"/>
        <v>12Go Link</v>
      </c>
      <c r="E8355" s="2" t="s">
        <v>3409</v>
      </c>
    </row>
    <row r="8356">
      <c r="A8356" s="2" t="s">
        <v>4923</v>
      </c>
      <c r="B8356" s="2" t="s">
        <v>4933</v>
      </c>
      <c r="C8356" s="2" t="s">
        <v>5172</v>
      </c>
      <c r="D8356" s="3" t="str">
        <f t="shared" ref="D8356:D8358" si="1545">HYPERLINK("https://12go.asia/en/travel/Aluthgama/balapitiya", "12Go Link")</f>
        <v>12Go Link</v>
      </c>
      <c r="E8356" s="2" t="s">
        <v>286</v>
      </c>
    </row>
    <row r="8357">
      <c r="A8357" s="2" t="s">
        <v>4923</v>
      </c>
      <c r="B8357" s="2" t="s">
        <v>4933</v>
      </c>
      <c r="C8357" s="2" t="s">
        <v>5172</v>
      </c>
      <c r="D8357" s="3" t="str">
        <f t="shared" si="1545"/>
        <v>12Go Link</v>
      </c>
      <c r="E8357" s="2" t="s">
        <v>4139</v>
      </c>
    </row>
    <row r="8358">
      <c r="A8358" s="2" t="s">
        <v>4923</v>
      </c>
      <c r="B8358" s="2" t="s">
        <v>4933</v>
      </c>
      <c r="C8358" s="2" t="s">
        <v>5172</v>
      </c>
      <c r="D8358" s="3" t="str">
        <f t="shared" si="1545"/>
        <v>12Go Link</v>
      </c>
      <c r="E8358" s="2" t="s">
        <v>3409</v>
      </c>
    </row>
    <row r="8359">
      <c r="A8359" s="2" t="s">
        <v>4923</v>
      </c>
      <c r="B8359" s="2" t="s">
        <v>4935</v>
      </c>
      <c r="C8359" s="2" t="s">
        <v>5173</v>
      </c>
      <c r="D8359" s="3" t="str">
        <f t="shared" ref="D8359:D8361" si="1546">HYPERLINK("https://12go.asia/en/travel/Aluthgama/Batticaloa", "12Go Link")</f>
        <v>12Go Link</v>
      </c>
      <c r="E8359" s="2" t="s">
        <v>286</v>
      </c>
    </row>
    <row r="8360">
      <c r="A8360" s="2" t="s">
        <v>4923</v>
      </c>
      <c r="B8360" s="2" t="s">
        <v>4935</v>
      </c>
      <c r="C8360" s="2" t="s">
        <v>5173</v>
      </c>
      <c r="D8360" s="3" t="str">
        <f t="shared" si="1546"/>
        <v>12Go Link</v>
      </c>
      <c r="E8360" s="2" t="s">
        <v>4139</v>
      </c>
    </row>
    <row r="8361">
      <c r="A8361" s="2" t="s">
        <v>4923</v>
      </c>
      <c r="B8361" s="2" t="s">
        <v>4935</v>
      </c>
      <c r="C8361" s="2" t="s">
        <v>5173</v>
      </c>
      <c r="D8361" s="3" t="str">
        <f t="shared" si="1546"/>
        <v>12Go Link</v>
      </c>
      <c r="E8361" s="2" t="s">
        <v>3409</v>
      </c>
    </row>
    <row r="8362">
      <c r="A8362" s="2" t="s">
        <v>4923</v>
      </c>
      <c r="B8362" s="2" t="s">
        <v>4937</v>
      </c>
      <c r="C8362" s="2" t="s">
        <v>5174</v>
      </c>
      <c r="D8362" s="3" t="str">
        <f t="shared" ref="D8362:D8364" si="1547">HYPERLINK("https://12go.asia/en/travel/Aluthgama/Bentota", "12Go Link")</f>
        <v>12Go Link</v>
      </c>
      <c r="E8362" s="2" t="s">
        <v>286</v>
      </c>
    </row>
    <row r="8363">
      <c r="A8363" s="2" t="s">
        <v>4923</v>
      </c>
      <c r="B8363" s="2" t="s">
        <v>4937</v>
      </c>
      <c r="C8363" s="2" t="s">
        <v>5174</v>
      </c>
      <c r="D8363" s="3" t="str">
        <f t="shared" si="1547"/>
        <v>12Go Link</v>
      </c>
      <c r="E8363" s="2" t="s">
        <v>4139</v>
      </c>
    </row>
    <row r="8364">
      <c r="A8364" s="2" t="s">
        <v>4923</v>
      </c>
      <c r="B8364" s="2" t="s">
        <v>4937</v>
      </c>
      <c r="C8364" s="2" t="s">
        <v>5174</v>
      </c>
      <c r="D8364" s="3" t="str">
        <f t="shared" si="1547"/>
        <v>12Go Link</v>
      </c>
      <c r="E8364" s="2" t="s">
        <v>3409</v>
      </c>
    </row>
    <row r="8365">
      <c r="A8365" s="2" t="s">
        <v>4923</v>
      </c>
      <c r="B8365" s="2" t="s">
        <v>4939</v>
      </c>
      <c r="C8365" s="2" t="s">
        <v>5175</v>
      </c>
      <c r="D8365" s="3" t="str">
        <f t="shared" ref="D8365:D8367" si="1548">HYPERLINK("https://12go.asia/en/travel/Aluthgama/Beruwala", "12Go Link")</f>
        <v>12Go Link</v>
      </c>
      <c r="E8365" s="2" t="s">
        <v>286</v>
      </c>
    </row>
    <row r="8366">
      <c r="A8366" s="2" t="s">
        <v>4923</v>
      </c>
      <c r="B8366" s="2" t="s">
        <v>4939</v>
      </c>
      <c r="C8366" s="2" t="s">
        <v>5175</v>
      </c>
      <c r="D8366" s="3" t="str">
        <f t="shared" si="1548"/>
        <v>12Go Link</v>
      </c>
      <c r="E8366" s="2" t="s">
        <v>4139</v>
      </c>
    </row>
    <row r="8367">
      <c r="A8367" s="2" t="s">
        <v>4923</v>
      </c>
      <c r="B8367" s="2" t="s">
        <v>4939</v>
      </c>
      <c r="C8367" s="2" t="s">
        <v>5175</v>
      </c>
      <c r="D8367" s="3" t="str">
        <f t="shared" si="1548"/>
        <v>12Go Link</v>
      </c>
      <c r="E8367" s="2" t="s">
        <v>3409</v>
      </c>
    </row>
    <row r="8368">
      <c r="A8368" s="2" t="s">
        <v>4923</v>
      </c>
      <c r="B8368" s="2" t="s">
        <v>4941</v>
      </c>
      <c r="C8368" s="2" t="s">
        <v>5176</v>
      </c>
      <c r="D8368" s="3" t="str">
        <f t="shared" ref="D8368:D8370" si="1549">HYPERLINK("https://12go.asia/en/travel/Aluthgama/Bundala", "12Go Link")</f>
        <v>12Go Link</v>
      </c>
      <c r="E8368" s="2" t="s">
        <v>286</v>
      </c>
    </row>
    <row r="8369">
      <c r="A8369" s="2" t="s">
        <v>4923</v>
      </c>
      <c r="B8369" s="2" t="s">
        <v>4941</v>
      </c>
      <c r="C8369" s="2" t="s">
        <v>5176</v>
      </c>
      <c r="D8369" s="3" t="str">
        <f t="shared" si="1549"/>
        <v>12Go Link</v>
      </c>
      <c r="E8369" s="2" t="s">
        <v>4139</v>
      </c>
    </row>
    <row r="8370">
      <c r="A8370" s="2" t="s">
        <v>4923</v>
      </c>
      <c r="B8370" s="2" t="s">
        <v>4941</v>
      </c>
      <c r="C8370" s="2" t="s">
        <v>5176</v>
      </c>
      <c r="D8370" s="3" t="str">
        <f t="shared" si="1549"/>
        <v>12Go Link</v>
      </c>
      <c r="E8370" s="2" t="s">
        <v>3409</v>
      </c>
    </row>
    <row r="8371">
      <c r="A8371" s="2" t="s">
        <v>4923</v>
      </c>
      <c r="B8371" s="2" t="s">
        <v>4945</v>
      </c>
      <c r="C8371" s="2" t="s">
        <v>5177</v>
      </c>
      <c r="D8371" s="3" t="str">
        <f t="shared" ref="D8371:D8373" si="1550">HYPERLINK("https://12go.asia/en/travel/Aluthgama/Bandaranaike-Airport", "12Go Link")</f>
        <v>12Go Link</v>
      </c>
      <c r="E8371" s="2" t="s">
        <v>286</v>
      </c>
    </row>
    <row r="8372">
      <c r="A8372" s="2" t="s">
        <v>4923</v>
      </c>
      <c r="B8372" s="2" t="s">
        <v>4945</v>
      </c>
      <c r="C8372" s="2" t="s">
        <v>5177</v>
      </c>
      <c r="D8372" s="3" t="str">
        <f t="shared" si="1550"/>
        <v>12Go Link</v>
      </c>
      <c r="E8372" s="2" t="s">
        <v>4139</v>
      </c>
    </row>
    <row r="8373">
      <c r="A8373" s="2" t="s">
        <v>4923</v>
      </c>
      <c r="B8373" s="2" t="s">
        <v>4945</v>
      </c>
      <c r="C8373" s="2" t="s">
        <v>5177</v>
      </c>
      <c r="D8373" s="3" t="str">
        <f t="shared" si="1550"/>
        <v>12Go Link</v>
      </c>
      <c r="E8373" s="2" t="s">
        <v>3409</v>
      </c>
    </row>
    <row r="8374">
      <c r="A8374" s="2" t="s">
        <v>4923</v>
      </c>
      <c r="B8374" s="2" t="s">
        <v>4949</v>
      </c>
      <c r="C8374" s="2" t="s">
        <v>5178</v>
      </c>
      <c r="D8374" s="3" t="str">
        <f t="shared" ref="D8374:D8376" si="1551">HYPERLINK("https://12go.asia/en/travel/Aluthgama/Deniyaya", "12Go Link")</f>
        <v>12Go Link</v>
      </c>
      <c r="E8374" s="2" t="s">
        <v>286</v>
      </c>
    </row>
    <row r="8375">
      <c r="A8375" s="2" t="s">
        <v>4923</v>
      </c>
      <c r="B8375" s="2" t="s">
        <v>4949</v>
      </c>
      <c r="C8375" s="2" t="s">
        <v>5178</v>
      </c>
      <c r="D8375" s="3" t="str">
        <f t="shared" si="1551"/>
        <v>12Go Link</v>
      </c>
      <c r="E8375" s="2" t="s">
        <v>4139</v>
      </c>
    </row>
    <row r="8376">
      <c r="A8376" s="2" t="s">
        <v>4923</v>
      </c>
      <c r="B8376" s="2" t="s">
        <v>4949</v>
      </c>
      <c r="C8376" s="2" t="s">
        <v>5178</v>
      </c>
      <c r="D8376" s="3" t="str">
        <f t="shared" si="1551"/>
        <v>12Go Link</v>
      </c>
      <c r="E8376" s="2" t="s">
        <v>3409</v>
      </c>
    </row>
    <row r="8377">
      <c r="A8377" s="2" t="s">
        <v>4923</v>
      </c>
      <c r="B8377" s="2" t="s">
        <v>4951</v>
      </c>
      <c r="C8377" s="2" t="s">
        <v>5179</v>
      </c>
      <c r="D8377" s="3" t="str">
        <f t="shared" ref="D8377:D8379" si="1552">HYPERLINK("https://12go.asia/en/travel/Aluthgama/Dickwella", "12Go Link")</f>
        <v>12Go Link</v>
      </c>
      <c r="E8377" s="2" t="s">
        <v>286</v>
      </c>
    </row>
    <row r="8378">
      <c r="A8378" s="2" t="s">
        <v>4923</v>
      </c>
      <c r="B8378" s="2" t="s">
        <v>4951</v>
      </c>
      <c r="C8378" s="2" t="s">
        <v>5179</v>
      </c>
      <c r="D8378" s="3" t="str">
        <f t="shared" si="1552"/>
        <v>12Go Link</v>
      </c>
      <c r="E8378" s="2" t="s">
        <v>4139</v>
      </c>
    </row>
    <row r="8379">
      <c r="A8379" s="2" t="s">
        <v>4923</v>
      </c>
      <c r="B8379" s="2" t="s">
        <v>4951</v>
      </c>
      <c r="C8379" s="2" t="s">
        <v>5179</v>
      </c>
      <c r="D8379" s="3" t="str">
        <f t="shared" si="1552"/>
        <v>12Go Link</v>
      </c>
      <c r="E8379" s="2" t="s">
        <v>3409</v>
      </c>
    </row>
    <row r="8380">
      <c r="A8380" s="2" t="s">
        <v>4923</v>
      </c>
      <c r="B8380" s="2" t="s">
        <v>4951</v>
      </c>
      <c r="C8380" s="2" t="s">
        <v>5180</v>
      </c>
      <c r="D8380" s="3" t="str">
        <f t="shared" ref="D8380:D8382" si="1553">HYPERLINK("https://12go.asia/en/travel/Aluthgama/Hiriketiya-beach", "12Go Link")</f>
        <v>12Go Link</v>
      </c>
      <c r="E8380" s="2" t="s">
        <v>286</v>
      </c>
    </row>
    <row r="8381">
      <c r="A8381" s="2" t="s">
        <v>4923</v>
      </c>
      <c r="B8381" s="2" t="s">
        <v>4951</v>
      </c>
      <c r="C8381" s="2" t="s">
        <v>5180</v>
      </c>
      <c r="D8381" s="3" t="str">
        <f t="shared" si="1553"/>
        <v>12Go Link</v>
      </c>
      <c r="E8381" s="2" t="s">
        <v>4139</v>
      </c>
    </row>
    <row r="8382">
      <c r="A8382" s="2" t="s">
        <v>4923</v>
      </c>
      <c r="B8382" s="2" t="s">
        <v>4951</v>
      </c>
      <c r="C8382" s="2" t="s">
        <v>5180</v>
      </c>
      <c r="D8382" s="3" t="str">
        <f t="shared" si="1553"/>
        <v>12Go Link</v>
      </c>
      <c r="E8382" s="2" t="s">
        <v>3409</v>
      </c>
    </row>
    <row r="8383">
      <c r="A8383" s="2" t="s">
        <v>4923</v>
      </c>
      <c r="B8383" s="2" t="s">
        <v>4954</v>
      </c>
      <c r="C8383" s="2" t="s">
        <v>5181</v>
      </c>
      <c r="D8383" s="3" t="str">
        <f t="shared" ref="D8383:D8386" si="1554">HYPERLINK("https://12go.asia/en/travel/Aluthgama/Galle", "12Go Link")</f>
        <v>12Go Link</v>
      </c>
      <c r="E8383" s="2" t="s">
        <v>286</v>
      </c>
    </row>
    <row r="8384">
      <c r="A8384" s="2" t="s">
        <v>4923</v>
      </c>
      <c r="B8384" s="2" t="s">
        <v>4954</v>
      </c>
      <c r="C8384" s="2" t="s">
        <v>5181</v>
      </c>
      <c r="D8384" s="3" t="str">
        <f t="shared" si="1554"/>
        <v>12Go Link</v>
      </c>
      <c r="E8384" s="2" t="s">
        <v>4139</v>
      </c>
    </row>
    <row r="8385">
      <c r="A8385" s="2" t="s">
        <v>4923</v>
      </c>
      <c r="B8385" s="2" t="s">
        <v>4954</v>
      </c>
      <c r="C8385" s="2" t="s">
        <v>5181</v>
      </c>
      <c r="D8385" s="3" t="str">
        <f t="shared" si="1554"/>
        <v>12Go Link</v>
      </c>
      <c r="E8385" s="2" t="s">
        <v>3409</v>
      </c>
    </row>
    <row r="8386">
      <c r="A8386" s="2" t="s">
        <v>4923</v>
      </c>
      <c r="B8386" s="2" t="s">
        <v>4954</v>
      </c>
      <c r="C8386" s="2" t="s">
        <v>5181</v>
      </c>
      <c r="D8386" s="3" t="str">
        <f t="shared" si="1554"/>
        <v>12Go Link</v>
      </c>
      <c r="E8386" s="2" t="s">
        <v>5080</v>
      </c>
    </row>
    <row r="8387">
      <c r="A8387" s="2" t="s">
        <v>4923</v>
      </c>
      <c r="B8387" s="2" t="s">
        <v>4954</v>
      </c>
      <c r="C8387" s="2" t="s">
        <v>5182</v>
      </c>
      <c r="D8387" s="3" t="str">
        <f t="shared" ref="D8387:D8389" si="1555">HYPERLINK("https://12go.asia/en/travel/Aluthgama/Talpe", "12Go Link")</f>
        <v>12Go Link</v>
      </c>
      <c r="E8387" s="2" t="s">
        <v>286</v>
      </c>
    </row>
    <row r="8388">
      <c r="A8388" s="2" t="s">
        <v>4923</v>
      </c>
      <c r="B8388" s="2" t="s">
        <v>4954</v>
      </c>
      <c r="C8388" s="2" t="s">
        <v>5182</v>
      </c>
      <c r="D8388" s="3" t="str">
        <f t="shared" si="1555"/>
        <v>12Go Link</v>
      </c>
      <c r="E8388" s="2" t="s">
        <v>4139</v>
      </c>
    </row>
    <row r="8389">
      <c r="A8389" s="2" t="s">
        <v>4923</v>
      </c>
      <c r="B8389" s="2" t="s">
        <v>4954</v>
      </c>
      <c r="C8389" s="2" t="s">
        <v>5182</v>
      </c>
      <c r="D8389" s="3" t="str">
        <f t="shared" si="1555"/>
        <v>12Go Link</v>
      </c>
      <c r="E8389" s="2" t="s">
        <v>3409</v>
      </c>
    </row>
    <row r="8390">
      <c r="A8390" s="2" t="s">
        <v>4923</v>
      </c>
      <c r="B8390" s="2" t="s">
        <v>4957</v>
      </c>
      <c r="C8390" s="2" t="s">
        <v>5183</v>
      </c>
      <c r="D8390" s="3" t="str">
        <f t="shared" ref="D8390:D8392" si="1556">HYPERLINK("https://12go.asia/en/travel/Aluthgama/Habarana", "12Go Link")</f>
        <v>12Go Link</v>
      </c>
      <c r="E8390" s="2" t="s">
        <v>286</v>
      </c>
    </row>
    <row r="8391">
      <c r="A8391" s="2" t="s">
        <v>4923</v>
      </c>
      <c r="B8391" s="2" t="s">
        <v>4957</v>
      </c>
      <c r="C8391" s="2" t="s">
        <v>5183</v>
      </c>
      <c r="D8391" s="3" t="str">
        <f t="shared" si="1556"/>
        <v>12Go Link</v>
      </c>
      <c r="E8391" s="2" t="s">
        <v>4139</v>
      </c>
    </row>
    <row r="8392">
      <c r="A8392" s="2" t="s">
        <v>4923</v>
      </c>
      <c r="B8392" s="2" t="s">
        <v>4957</v>
      </c>
      <c r="C8392" s="2" t="s">
        <v>5183</v>
      </c>
      <c r="D8392" s="3" t="str">
        <f t="shared" si="1556"/>
        <v>12Go Link</v>
      </c>
      <c r="E8392" s="2" t="s">
        <v>3409</v>
      </c>
    </row>
    <row r="8393">
      <c r="A8393" s="2" t="s">
        <v>4923</v>
      </c>
      <c r="B8393" s="2" t="s">
        <v>4959</v>
      </c>
      <c r="C8393" s="2" t="s">
        <v>5184</v>
      </c>
      <c r="D8393" s="3" t="str">
        <f t="shared" ref="D8393:D8395" si="1557">HYPERLINK("https://12go.asia/en/travel/Aluthgama/Ella", "12Go Link")</f>
        <v>12Go Link</v>
      </c>
      <c r="E8393" s="2" t="s">
        <v>286</v>
      </c>
    </row>
    <row r="8394">
      <c r="A8394" s="2" t="s">
        <v>4923</v>
      </c>
      <c r="B8394" s="2" t="s">
        <v>4959</v>
      </c>
      <c r="C8394" s="2" t="s">
        <v>5184</v>
      </c>
      <c r="D8394" s="3" t="str">
        <f t="shared" si="1557"/>
        <v>12Go Link</v>
      </c>
      <c r="E8394" s="2" t="s">
        <v>4139</v>
      </c>
    </row>
    <row r="8395">
      <c r="A8395" s="2" t="s">
        <v>4923</v>
      </c>
      <c r="B8395" s="2" t="s">
        <v>4959</v>
      </c>
      <c r="C8395" s="2" t="s">
        <v>5184</v>
      </c>
      <c r="D8395" s="3" t="str">
        <f t="shared" si="1557"/>
        <v>12Go Link</v>
      </c>
      <c r="E8395" s="2" t="s">
        <v>3409</v>
      </c>
    </row>
    <row r="8396">
      <c r="A8396" s="2" t="s">
        <v>4923</v>
      </c>
      <c r="B8396" s="2" t="s">
        <v>4961</v>
      </c>
      <c r="C8396" s="2" t="s">
        <v>5185</v>
      </c>
      <c r="D8396" s="3" t="str">
        <f t="shared" ref="D8396:D8398" si="1558">HYPERLINK("https://12go.asia/en/travel/Aluthgama/Beragala", "12Go Link")</f>
        <v>12Go Link</v>
      </c>
      <c r="E8396" s="2" t="s">
        <v>286</v>
      </c>
    </row>
    <row r="8397">
      <c r="A8397" s="2" t="s">
        <v>4923</v>
      </c>
      <c r="B8397" s="2" t="s">
        <v>4961</v>
      </c>
      <c r="C8397" s="2" t="s">
        <v>5185</v>
      </c>
      <c r="D8397" s="3" t="str">
        <f t="shared" si="1558"/>
        <v>12Go Link</v>
      </c>
      <c r="E8397" s="2" t="s">
        <v>4139</v>
      </c>
    </row>
    <row r="8398">
      <c r="A8398" s="2" t="s">
        <v>4923</v>
      </c>
      <c r="B8398" s="2" t="s">
        <v>4961</v>
      </c>
      <c r="C8398" s="2" t="s">
        <v>5185</v>
      </c>
      <c r="D8398" s="3" t="str">
        <f t="shared" si="1558"/>
        <v>12Go Link</v>
      </c>
      <c r="E8398" s="2" t="s">
        <v>3409</v>
      </c>
    </row>
    <row r="8399">
      <c r="A8399" s="2" t="s">
        <v>4923</v>
      </c>
      <c r="B8399" s="2" t="s">
        <v>4963</v>
      </c>
      <c r="C8399" s="2" t="s">
        <v>5186</v>
      </c>
      <c r="D8399" s="3" t="str">
        <f t="shared" ref="D8399:D8401" si="1559">HYPERLINK("https://12go.asia/en/travel/Aluthgama/Dick-oya", "12Go Link")</f>
        <v>12Go Link</v>
      </c>
      <c r="E8399" s="2" t="s">
        <v>286</v>
      </c>
    </row>
    <row r="8400">
      <c r="A8400" s="2" t="s">
        <v>4923</v>
      </c>
      <c r="B8400" s="2" t="s">
        <v>4963</v>
      </c>
      <c r="C8400" s="2" t="s">
        <v>5186</v>
      </c>
      <c r="D8400" s="3" t="str">
        <f t="shared" si="1559"/>
        <v>12Go Link</v>
      </c>
      <c r="E8400" s="2" t="s">
        <v>4139</v>
      </c>
    </row>
    <row r="8401">
      <c r="A8401" s="2" t="s">
        <v>4923</v>
      </c>
      <c r="B8401" s="2" t="s">
        <v>4963</v>
      </c>
      <c r="C8401" s="2" t="s">
        <v>5186</v>
      </c>
      <c r="D8401" s="3" t="str">
        <f t="shared" si="1559"/>
        <v>12Go Link</v>
      </c>
      <c r="E8401" s="2" t="s">
        <v>3409</v>
      </c>
    </row>
    <row r="8402">
      <c r="A8402" s="2" t="s">
        <v>4923</v>
      </c>
      <c r="B8402" s="2" t="s">
        <v>4965</v>
      </c>
      <c r="C8402" s="2" t="s">
        <v>5187</v>
      </c>
      <c r="D8402" s="3" t="str">
        <f t="shared" ref="D8402:D8404" si="1560">HYPERLINK("https://12go.asia/en/travel/Aluthgama/Dodanduwa", "12Go Link")</f>
        <v>12Go Link</v>
      </c>
      <c r="E8402" s="2" t="s">
        <v>286</v>
      </c>
    </row>
    <row r="8403">
      <c r="A8403" s="2" t="s">
        <v>4923</v>
      </c>
      <c r="B8403" s="2" t="s">
        <v>4965</v>
      </c>
      <c r="C8403" s="2" t="s">
        <v>5187</v>
      </c>
      <c r="D8403" s="3" t="str">
        <f t="shared" si="1560"/>
        <v>12Go Link</v>
      </c>
      <c r="E8403" s="2" t="s">
        <v>4139</v>
      </c>
    </row>
    <row r="8404">
      <c r="A8404" s="2" t="s">
        <v>4923</v>
      </c>
      <c r="B8404" s="2" t="s">
        <v>4965</v>
      </c>
      <c r="C8404" s="2" t="s">
        <v>5187</v>
      </c>
      <c r="D8404" s="3" t="str">
        <f t="shared" si="1560"/>
        <v>12Go Link</v>
      </c>
      <c r="E8404" s="2" t="s">
        <v>3409</v>
      </c>
    </row>
    <row r="8405">
      <c r="A8405" s="2" t="s">
        <v>4923</v>
      </c>
      <c r="B8405" s="2" t="s">
        <v>4967</v>
      </c>
      <c r="C8405" s="2" t="s">
        <v>5188</v>
      </c>
      <c r="D8405" s="3" t="str">
        <f t="shared" ref="D8405:D8407" si="1561">HYPERLINK("https://12go.asia/en/travel/Aluthgama/Induruwa", "12Go Link")</f>
        <v>12Go Link</v>
      </c>
      <c r="E8405" s="2" t="s">
        <v>286</v>
      </c>
    </row>
    <row r="8406">
      <c r="A8406" s="2" t="s">
        <v>4923</v>
      </c>
      <c r="B8406" s="2" t="s">
        <v>4967</v>
      </c>
      <c r="C8406" s="2" t="s">
        <v>5188</v>
      </c>
      <c r="D8406" s="3" t="str">
        <f t="shared" si="1561"/>
        <v>12Go Link</v>
      </c>
      <c r="E8406" s="2" t="s">
        <v>4139</v>
      </c>
    </row>
    <row r="8407">
      <c r="A8407" s="2" t="s">
        <v>4923</v>
      </c>
      <c r="B8407" s="2" t="s">
        <v>4967</v>
      </c>
      <c r="C8407" s="2" t="s">
        <v>5188</v>
      </c>
      <c r="D8407" s="3" t="str">
        <f t="shared" si="1561"/>
        <v>12Go Link</v>
      </c>
      <c r="E8407" s="2" t="s">
        <v>3409</v>
      </c>
    </row>
    <row r="8408">
      <c r="A8408" s="2" t="s">
        <v>4923</v>
      </c>
      <c r="B8408" s="2" t="s">
        <v>4969</v>
      </c>
      <c r="C8408" s="2" t="s">
        <v>5189</v>
      </c>
      <c r="D8408" s="3" t="str">
        <f t="shared" ref="D8408:D8410" si="1562">HYPERLINK("https://12go.asia/en/travel/Aluthgama/Jaffna", "12Go Link")</f>
        <v>12Go Link</v>
      </c>
      <c r="E8408" s="2" t="s">
        <v>286</v>
      </c>
    </row>
    <row r="8409">
      <c r="A8409" s="2" t="s">
        <v>4923</v>
      </c>
      <c r="B8409" s="2" t="s">
        <v>4969</v>
      </c>
      <c r="C8409" s="2" t="s">
        <v>5189</v>
      </c>
      <c r="D8409" s="3" t="str">
        <f t="shared" si="1562"/>
        <v>12Go Link</v>
      </c>
      <c r="E8409" s="2" t="s">
        <v>4139</v>
      </c>
    </row>
    <row r="8410">
      <c r="A8410" s="2" t="s">
        <v>4923</v>
      </c>
      <c r="B8410" s="2" t="s">
        <v>4969</v>
      </c>
      <c r="C8410" s="2" t="s">
        <v>5189</v>
      </c>
      <c r="D8410" s="3" t="str">
        <f t="shared" si="1562"/>
        <v>12Go Link</v>
      </c>
      <c r="E8410" s="2" t="s">
        <v>3409</v>
      </c>
    </row>
    <row r="8411">
      <c r="A8411" s="2" t="s">
        <v>4923</v>
      </c>
      <c r="B8411" s="2" t="s">
        <v>4971</v>
      </c>
      <c r="C8411" s="2" t="s">
        <v>5190</v>
      </c>
      <c r="D8411" s="3" t="str">
        <f t="shared" ref="D8411:D8413" si="1563">HYPERLINK("https://12go.asia/en/travel/Aluthgama/Kalapuwa", "12Go Link")</f>
        <v>12Go Link</v>
      </c>
      <c r="E8411" s="2" t="s">
        <v>286</v>
      </c>
    </row>
    <row r="8412">
      <c r="A8412" s="2" t="s">
        <v>4923</v>
      </c>
      <c r="B8412" s="2" t="s">
        <v>4971</v>
      </c>
      <c r="C8412" s="2" t="s">
        <v>5190</v>
      </c>
      <c r="D8412" s="3" t="str">
        <f t="shared" si="1563"/>
        <v>12Go Link</v>
      </c>
      <c r="E8412" s="2" t="s">
        <v>4139</v>
      </c>
    </row>
    <row r="8413">
      <c r="A8413" s="2" t="s">
        <v>4923</v>
      </c>
      <c r="B8413" s="2" t="s">
        <v>4971</v>
      </c>
      <c r="C8413" s="2" t="s">
        <v>5190</v>
      </c>
      <c r="D8413" s="3" t="str">
        <f t="shared" si="1563"/>
        <v>12Go Link</v>
      </c>
      <c r="E8413" s="2" t="s">
        <v>3409</v>
      </c>
    </row>
    <row r="8414">
      <c r="A8414" s="2" t="s">
        <v>4923</v>
      </c>
      <c r="B8414" s="2" t="s">
        <v>4973</v>
      </c>
      <c r="C8414" s="2" t="s">
        <v>5191</v>
      </c>
      <c r="D8414" s="3" t="str">
        <f t="shared" ref="D8414:D8416" si="1564">HYPERLINK("https://12go.asia/en/travel/Aluthgama/Digana", "12Go Link")</f>
        <v>12Go Link</v>
      </c>
      <c r="E8414" s="2" t="s">
        <v>286</v>
      </c>
    </row>
    <row r="8415">
      <c r="A8415" s="2" t="s">
        <v>4923</v>
      </c>
      <c r="B8415" s="2" t="s">
        <v>4973</v>
      </c>
      <c r="C8415" s="2" t="s">
        <v>5191</v>
      </c>
      <c r="D8415" s="3" t="str">
        <f t="shared" si="1564"/>
        <v>12Go Link</v>
      </c>
      <c r="E8415" s="2" t="s">
        <v>4139</v>
      </c>
    </row>
    <row r="8416">
      <c r="A8416" s="2" t="s">
        <v>4923</v>
      </c>
      <c r="B8416" s="2" t="s">
        <v>4973</v>
      </c>
      <c r="C8416" s="2" t="s">
        <v>5191</v>
      </c>
      <c r="D8416" s="3" t="str">
        <f t="shared" si="1564"/>
        <v>12Go Link</v>
      </c>
      <c r="E8416" s="2" t="s">
        <v>3409</v>
      </c>
    </row>
    <row r="8417">
      <c r="A8417" s="2" t="s">
        <v>4923</v>
      </c>
      <c r="B8417" s="2" t="s">
        <v>4976</v>
      </c>
      <c r="C8417" s="2" t="s">
        <v>5192</v>
      </c>
      <c r="D8417" s="3" t="str">
        <f t="shared" ref="D8417:D8419" si="1565">HYPERLINK("https://12go.asia/en/travel/Aluthgama/Kataragama", "12Go Link")</f>
        <v>12Go Link</v>
      </c>
      <c r="E8417" s="2" t="s">
        <v>286</v>
      </c>
    </row>
    <row r="8418">
      <c r="A8418" s="2" t="s">
        <v>4923</v>
      </c>
      <c r="B8418" s="2" t="s">
        <v>4976</v>
      </c>
      <c r="C8418" s="2" t="s">
        <v>5192</v>
      </c>
      <c r="D8418" s="3" t="str">
        <f t="shared" si="1565"/>
        <v>12Go Link</v>
      </c>
      <c r="E8418" s="2" t="s">
        <v>4139</v>
      </c>
    </row>
    <row r="8419">
      <c r="A8419" s="2" t="s">
        <v>4923</v>
      </c>
      <c r="B8419" s="2" t="s">
        <v>4976</v>
      </c>
      <c r="C8419" s="2" t="s">
        <v>5192</v>
      </c>
      <c r="D8419" s="3" t="str">
        <f t="shared" si="1565"/>
        <v>12Go Link</v>
      </c>
      <c r="E8419" s="2" t="s">
        <v>3409</v>
      </c>
    </row>
    <row r="8420">
      <c r="A8420" s="2" t="s">
        <v>4923</v>
      </c>
      <c r="B8420" s="2" t="s">
        <v>4978</v>
      </c>
      <c r="C8420" s="2" t="s">
        <v>5193</v>
      </c>
      <c r="D8420" s="3" t="str">
        <f t="shared" ref="D8420:D8422" si="1566">HYPERLINK("https://12go.asia/en/travel/Aluthgama/Alawathupitiya", "12Go Link")</f>
        <v>12Go Link</v>
      </c>
      <c r="E8420" s="2" t="s">
        <v>286</v>
      </c>
    </row>
    <row r="8421">
      <c r="A8421" s="2" t="s">
        <v>4923</v>
      </c>
      <c r="B8421" s="2" t="s">
        <v>4978</v>
      </c>
      <c r="C8421" s="2" t="s">
        <v>5193</v>
      </c>
      <c r="D8421" s="3" t="str">
        <f t="shared" si="1566"/>
        <v>12Go Link</v>
      </c>
      <c r="E8421" s="2" t="s">
        <v>4139</v>
      </c>
    </row>
    <row r="8422">
      <c r="A8422" s="2" t="s">
        <v>4923</v>
      </c>
      <c r="B8422" s="2" t="s">
        <v>4978</v>
      </c>
      <c r="C8422" s="2" t="s">
        <v>5193</v>
      </c>
      <c r="D8422" s="3" t="str">
        <f t="shared" si="1566"/>
        <v>12Go Link</v>
      </c>
      <c r="E8422" s="2" t="s">
        <v>3409</v>
      </c>
    </row>
    <row r="8423">
      <c r="A8423" s="2" t="s">
        <v>4923</v>
      </c>
      <c r="B8423" s="2" t="s">
        <v>4980</v>
      </c>
      <c r="C8423" s="2" t="s">
        <v>5194</v>
      </c>
      <c r="D8423" s="3" t="str">
        <f t="shared" ref="D8423:D8425" si="1567">HYPERLINK("https://12go.asia/en/travel/Aluthgama/Pinnawala", "12Go Link")</f>
        <v>12Go Link</v>
      </c>
      <c r="E8423" s="2" t="s">
        <v>286</v>
      </c>
    </row>
    <row r="8424">
      <c r="A8424" s="2" t="s">
        <v>4923</v>
      </c>
      <c r="B8424" s="2" t="s">
        <v>4980</v>
      </c>
      <c r="C8424" s="2" t="s">
        <v>5194</v>
      </c>
      <c r="D8424" s="3" t="str">
        <f t="shared" si="1567"/>
        <v>12Go Link</v>
      </c>
      <c r="E8424" s="2" t="s">
        <v>4139</v>
      </c>
    </row>
    <row r="8425">
      <c r="A8425" s="2" t="s">
        <v>4923</v>
      </c>
      <c r="B8425" s="2" t="s">
        <v>4980</v>
      </c>
      <c r="C8425" s="2" t="s">
        <v>5194</v>
      </c>
      <c r="D8425" s="3" t="str">
        <f t="shared" si="1567"/>
        <v>12Go Link</v>
      </c>
      <c r="E8425" s="2" t="s">
        <v>3409</v>
      </c>
    </row>
    <row r="8426">
      <c r="A8426" s="2" t="s">
        <v>4923</v>
      </c>
      <c r="B8426" s="2" t="s">
        <v>4982</v>
      </c>
      <c r="C8426" s="2" t="s">
        <v>5195</v>
      </c>
      <c r="D8426" s="3" t="str">
        <f t="shared" ref="D8426:D8428" si="1568">HYPERLINK("https://12go.asia/en/travel/Aluthgama/Kitulgala", "12Go Link")</f>
        <v>12Go Link</v>
      </c>
      <c r="E8426" s="2" t="s">
        <v>286</v>
      </c>
    </row>
    <row r="8427">
      <c r="A8427" s="2" t="s">
        <v>4923</v>
      </c>
      <c r="B8427" s="2" t="s">
        <v>4982</v>
      </c>
      <c r="C8427" s="2" t="s">
        <v>5195</v>
      </c>
      <c r="D8427" s="3" t="str">
        <f t="shared" si="1568"/>
        <v>12Go Link</v>
      </c>
      <c r="E8427" s="2" t="s">
        <v>4139</v>
      </c>
    </row>
    <row r="8428">
      <c r="A8428" s="2" t="s">
        <v>4923</v>
      </c>
      <c r="B8428" s="2" t="s">
        <v>4982</v>
      </c>
      <c r="C8428" s="2" t="s">
        <v>5195</v>
      </c>
      <c r="D8428" s="3" t="str">
        <f t="shared" si="1568"/>
        <v>12Go Link</v>
      </c>
      <c r="E8428" s="2" t="s">
        <v>3409</v>
      </c>
    </row>
    <row r="8429">
      <c r="A8429" s="2" t="s">
        <v>4923</v>
      </c>
      <c r="B8429" s="2" t="s">
        <v>4984</v>
      </c>
      <c r="C8429" s="2" t="s">
        <v>5196</v>
      </c>
      <c r="D8429" s="3" t="str">
        <f t="shared" ref="D8429:D8431" si="1569">HYPERLINK("https://12go.asia/en/travel/Aluthgama/Habaraduwa", "12Go Link")</f>
        <v>12Go Link</v>
      </c>
      <c r="E8429" s="2" t="s">
        <v>286</v>
      </c>
    </row>
    <row r="8430">
      <c r="A8430" s="2" t="s">
        <v>4923</v>
      </c>
      <c r="B8430" s="2" t="s">
        <v>4984</v>
      </c>
      <c r="C8430" s="2" t="s">
        <v>5196</v>
      </c>
      <c r="D8430" s="3" t="str">
        <f t="shared" si="1569"/>
        <v>12Go Link</v>
      </c>
      <c r="E8430" s="2" t="s">
        <v>4139</v>
      </c>
    </row>
    <row r="8431">
      <c r="A8431" s="2" t="s">
        <v>4923</v>
      </c>
      <c r="B8431" s="2" t="s">
        <v>4984</v>
      </c>
      <c r="C8431" s="2" t="s">
        <v>5196</v>
      </c>
      <c r="D8431" s="3" t="str">
        <f t="shared" si="1569"/>
        <v>12Go Link</v>
      </c>
      <c r="E8431" s="2" t="s">
        <v>3409</v>
      </c>
    </row>
    <row r="8432">
      <c r="A8432" s="2" t="s">
        <v>4923</v>
      </c>
      <c r="B8432" s="2" t="s">
        <v>4986</v>
      </c>
      <c r="C8432" s="2" t="s">
        <v>5197</v>
      </c>
      <c r="D8432" s="3" t="str">
        <f t="shared" ref="D8432:D8434" si="1570">HYPERLINK("https://12go.asia/en/travel/Aluthgama/Kosgoda", "12Go Link")</f>
        <v>12Go Link</v>
      </c>
      <c r="E8432" s="2" t="s">
        <v>286</v>
      </c>
    </row>
    <row r="8433">
      <c r="A8433" s="2" t="s">
        <v>4923</v>
      </c>
      <c r="B8433" s="2" t="s">
        <v>4986</v>
      </c>
      <c r="C8433" s="2" t="s">
        <v>5197</v>
      </c>
      <c r="D8433" s="3" t="str">
        <f t="shared" si="1570"/>
        <v>12Go Link</v>
      </c>
      <c r="E8433" s="2" t="s">
        <v>4139</v>
      </c>
    </row>
    <row r="8434">
      <c r="A8434" s="2" t="s">
        <v>4923</v>
      </c>
      <c r="B8434" s="2" t="s">
        <v>4986</v>
      </c>
      <c r="C8434" s="2" t="s">
        <v>5197</v>
      </c>
      <c r="D8434" s="3" t="str">
        <f t="shared" si="1570"/>
        <v>12Go Link</v>
      </c>
      <c r="E8434" s="2" t="s">
        <v>3409</v>
      </c>
    </row>
    <row r="8435">
      <c r="A8435" s="2" t="s">
        <v>4923</v>
      </c>
      <c r="B8435" s="2" t="s">
        <v>4988</v>
      </c>
      <c r="C8435" s="2" t="s">
        <v>5198</v>
      </c>
      <c r="D8435" s="3" t="str">
        <f t="shared" ref="D8435:D8437" si="1571">HYPERLINK("https://12go.asia/en/travel/Aluthgama/Kuchchaveli", "12Go Link")</f>
        <v>12Go Link</v>
      </c>
      <c r="E8435" s="2" t="s">
        <v>286</v>
      </c>
    </row>
    <row r="8436">
      <c r="A8436" s="2" t="s">
        <v>4923</v>
      </c>
      <c r="B8436" s="2" t="s">
        <v>4988</v>
      </c>
      <c r="C8436" s="2" t="s">
        <v>5198</v>
      </c>
      <c r="D8436" s="3" t="str">
        <f t="shared" si="1571"/>
        <v>12Go Link</v>
      </c>
      <c r="E8436" s="2" t="s">
        <v>4139</v>
      </c>
    </row>
    <row r="8437">
      <c r="A8437" s="2" t="s">
        <v>4923</v>
      </c>
      <c r="B8437" s="2" t="s">
        <v>4988</v>
      </c>
      <c r="C8437" s="2" t="s">
        <v>5198</v>
      </c>
      <c r="D8437" s="3" t="str">
        <f t="shared" si="1571"/>
        <v>12Go Link</v>
      </c>
      <c r="E8437" s="2" t="s">
        <v>3409</v>
      </c>
    </row>
    <row r="8438">
      <c r="A8438" s="2" t="s">
        <v>4923</v>
      </c>
      <c r="B8438" s="2" t="s">
        <v>4990</v>
      </c>
      <c r="C8438" s="2" t="s">
        <v>5199</v>
      </c>
      <c r="D8438" s="3" t="str">
        <f t="shared" ref="D8438:D8440" si="1572">HYPERLINK("https://12go.asia/en/travel/Aluthgama/Mannar", "12Go Link")</f>
        <v>12Go Link</v>
      </c>
      <c r="E8438" s="2" t="s">
        <v>286</v>
      </c>
    </row>
    <row r="8439">
      <c r="A8439" s="2" t="s">
        <v>4923</v>
      </c>
      <c r="B8439" s="2" t="s">
        <v>4990</v>
      </c>
      <c r="C8439" s="2" t="s">
        <v>5199</v>
      </c>
      <c r="D8439" s="3" t="str">
        <f t="shared" si="1572"/>
        <v>12Go Link</v>
      </c>
      <c r="E8439" s="2" t="s">
        <v>4139</v>
      </c>
    </row>
    <row r="8440">
      <c r="A8440" s="2" t="s">
        <v>4923</v>
      </c>
      <c r="B8440" s="2" t="s">
        <v>4990</v>
      </c>
      <c r="C8440" s="2" t="s">
        <v>5199</v>
      </c>
      <c r="D8440" s="3" t="str">
        <f t="shared" si="1572"/>
        <v>12Go Link</v>
      </c>
      <c r="E8440" s="2" t="s">
        <v>3409</v>
      </c>
    </row>
    <row r="8441">
      <c r="A8441" s="2" t="s">
        <v>4923</v>
      </c>
      <c r="B8441" s="2" t="s">
        <v>4992</v>
      </c>
      <c r="C8441" s="2" t="s">
        <v>5200</v>
      </c>
      <c r="D8441" s="3" t="str">
        <f t="shared" ref="D8441:D8443" si="1573">HYPERLINK("https://12go.asia/en/travel/Aluthgama/Kinigama", "12Go Link")</f>
        <v>12Go Link</v>
      </c>
      <c r="E8441" s="2" t="s">
        <v>286</v>
      </c>
    </row>
    <row r="8442">
      <c r="A8442" s="2" t="s">
        <v>4923</v>
      </c>
      <c r="B8442" s="2" t="s">
        <v>4992</v>
      </c>
      <c r="C8442" s="2" t="s">
        <v>5200</v>
      </c>
      <c r="D8442" s="3" t="str">
        <f t="shared" si="1573"/>
        <v>12Go Link</v>
      </c>
      <c r="E8442" s="2" t="s">
        <v>4139</v>
      </c>
    </row>
    <row r="8443">
      <c r="A8443" s="2" t="s">
        <v>4923</v>
      </c>
      <c r="B8443" s="2" t="s">
        <v>4992</v>
      </c>
      <c r="C8443" s="2" t="s">
        <v>5200</v>
      </c>
      <c r="D8443" s="3" t="str">
        <f t="shared" si="1573"/>
        <v>12Go Link</v>
      </c>
      <c r="E8443" s="2" t="s">
        <v>3409</v>
      </c>
    </row>
    <row r="8444">
      <c r="A8444" s="2" t="s">
        <v>4923</v>
      </c>
      <c r="B8444" s="2" t="s">
        <v>4994</v>
      </c>
      <c r="C8444" s="2" t="s">
        <v>5201</v>
      </c>
      <c r="D8444" s="3" t="str">
        <f t="shared" ref="D8444:D8446" si="1574">HYPERLINK("https://12go.asia/en/travel/Aluthgama/Kalamatiya", "12Go Link")</f>
        <v>12Go Link</v>
      </c>
      <c r="E8444" s="2" t="s">
        <v>286</v>
      </c>
    </row>
    <row r="8445">
      <c r="A8445" s="2" t="s">
        <v>4923</v>
      </c>
      <c r="B8445" s="2" t="s">
        <v>4994</v>
      </c>
      <c r="C8445" s="2" t="s">
        <v>5201</v>
      </c>
      <c r="D8445" s="3" t="str">
        <f t="shared" si="1574"/>
        <v>12Go Link</v>
      </c>
      <c r="E8445" s="2" t="s">
        <v>4139</v>
      </c>
    </row>
    <row r="8446">
      <c r="A8446" s="2" t="s">
        <v>4923</v>
      </c>
      <c r="B8446" s="2" t="s">
        <v>4994</v>
      </c>
      <c r="C8446" s="2" t="s">
        <v>5201</v>
      </c>
      <c r="D8446" s="3" t="str">
        <f t="shared" si="1574"/>
        <v>12Go Link</v>
      </c>
      <c r="E8446" s="2" t="s">
        <v>3409</v>
      </c>
    </row>
    <row r="8447">
      <c r="A8447" s="2" t="s">
        <v>4923</v>
      </c>
      <c r="B8447" s="2" t="s">
        <v>4994</v>
      </c>
      <c r="C8447" s="2" t="s">
        <v>5202</v>
      </c>
      <c r="D8447" s="3" t="str">
        <f>HYPERLINK("https://12go.asia/en/travel/Aluthgama/Matara", "12Go Link")</f>
        <v>12Go Link</v>
      </c>
      <c r="E8447" s="2" t="s">
        <v>5080</v>
      </c>
    </row>
    <row r="8448">
      <c r="A8448" s="2" t="s">
        <v>4923</v>
      </c>
      <c r="B8448" s="2" t="s">
        <v>4996</v>
      </c>
      <c r="C8448" s="2" t="s">
        <v>5203</v>
      </c>
      <c r="D8448" s="3" t="str">
        <f t="shared" ref="D8448:D8450" si="1575">HYPERLINK("https://12go.asia/en/travel/Aluthgama/mirissa", "12Go Link")</f>
        <v>12Go Link</v>
      </c>
      <c r="E8448" s="2" t="s">
        <v>286</v>
      </c>
    </row>
    <row r="8449">
      <c r="A8449" s="2" t="s">
        <v>4923</v>
      </c>
      <c r="B8449" s="2" t="s">
        <v>4996</v>
      </c>
      <c r="C8449" s="2" t="s">
        <v>5203</v>
      </c>
      <c r="D8449" s="3" t="str">
        <f t="shared" si="1575"/>
        <v>12Go Link</v>
      </c>
      <c r="E8449" s="2" t="s">
        <v>4139</v>
      </c>
    </row>
    <row r="8450">
      <c r="A8450" s="2" t="s">
        <v>4923</v>
      </c>
      <c r="B8450" s="2" t="s">
        <v>4996</v>
      </c>
      <c r="C8450" s="2" t="s">
        <v>5203</v>
      </c>
      <c r="D8450" s="3" t="str">
        <f t="shared" si="1575"/>
        <v>12Go Link</v>
      </c>
      <c r="E8450" s="2" t="s">
        <v>3409</v>
      </c>
    </row>
    <row r="8451">
      <c r="A8451" s="2" t="s">
        <v>4923</v>
      </c>
      <c r="B8451" s="2" t="s">
        <v>5204</v>
      </c>
      <c r="C8451" s="2" t="s">
        <v>5205</v>
      </c>
      <c r="D8451" s="3" t="str">
        <f>HYPERLINK("https://12go.asia/en/travel/Aluthgama/Moratuwa", "12Go Link")</f>
        <v>12Go Link</v>
      </c>
      <c r="E8451" s="2" t="s">
        <v>5206</v>
      </c>
    </row>
    <row r="8452">
      <c r="A8452" s="2" t="s">
        <v>4923</v>
      </c>
      <c r="B8452" s="2" t="s">
        <v>4998</v>
      </c>
      <c r="C8452" s="2" t="s">
        <v>5207</v>
      </c>
      <c r="D8452" s="3" t="str">
        <f t="shared" ref="D8452:D8454" si="1576">HYPERLINK("https://12go.asia/en/travel/Aluthgama/Nanu-Oya", "12Go Link")</f>
        <v>12Go Link</v>
      </c>
      <c r="E8452" s="2" t="s">
        <v>286</v>
      </c>
    </row>
    <row r="8453">
      <c r="A8453" s="2" t="s">
        <v>4923</v>
      </c>
      <c r="B8453" s="2" t="s">
        <v>4998</v>
      </c>
      <c r="C8453" s="2" t="s">
        <v>5207</v>
      </c>
      <c r="D8453" s="3" t="str">
        <f t="shared" si="1576"/>
        <v>12Go Link</v>
      </c>
      <c r="E8453" s="2" t="s">
        <v>4139</v>
      </c>
    </row>
    <row r="8454">
      <c r="A8454" s="2" t="s">
        <v>4923</v>
      </c>
      <c r="B8454" s="2" t="s">
        <v>4998</v>
      </c>
      <c r="C8454" s="2" t="s">
        <v>5207</v>
      </c>
      <c r="D8454" s="3" t="str">
        <f t="shared" si="1576"/>
        <v>12Go Link</v>
      </c>
      <c r="E8454" s="2" t="s">
        <v>3409</v>
      </c>
    </row>
    <row r="8455">
      <c r="A8455" s="2" t="s">
        <v>4923</v>
      </c>
      <c r="B8455" s="2" t="s">
        <v>5000</v>
      </c>
      <c r="C8455" s="2" t="s">
        <v>5208</v>
      </c>
      <c r="D8455" s="3" t="str">
        <f t="shared" ref="D8455:D8457" si="1577">HYPERLINK("https://12go.asia/en/travel/Aluthgama/Waikkal", "12Go Link")</f>
        <v>12Go Link</v>
      </c>
      <c r="E8455" s="2" t="s">
        <v>286</v>
      </c>
    </row>
    <row r="8456">
      <c r="A8456" s="2" t="s">
        <v>4923</v>
      </c>
      <c r="B8456" s="2" t="s">
        <v>5000</v>
      </c>
      <c r="C8456" s="2" t="s">
        <v>5208</v>
      </c>
      <c r="D8456" s="3" t="str">
        <f t="shared" si="1577"/>
        <v>12Go Link</v>
      </c>
      <c r="E8456" s="2" t="s">
        <v>4139</v>
      </c>
    </row>
    <row r="8457">
      <c r="A8457" s="2" t="s">
        <v>4923</v>
      </c>
      <c r="B8457" s="2" t="s">
        <v>5000</v>
      </c>
      <c r="C8457" s="2" t="s">
        <v>5208</v>
      </c>
      <c r="D8457" s="3" t="str">
        <f t="shared" si="1577"/>
        <v>12Go Link</v>
      </c>
      <c r="E8457" s="2" t="s">
        <v>3409</v>
      </c>
    </row>
    <row r="8458">
      <c r="A8458" s="2" t="s">
        <v>4923</v>
      </c>
      <c r="B8458" s="2" t="s">
        <v>5003</v>
      </c>
      <c r="C8458" s="2" t="s">
        <v>5209</v>
      </c>
      <c r="D8458" s="3" t="str">
        <f t="shared" ref="D8458:D8460" si="1578">HYPERLINK("https://12go.asia/en/travel/Aluthgama/Nilaveli", "12Go Link")</f>
        <v>12Go Link</v>
      </c>
      <c r="E8458" s="2" t="s">
        <v>286</v>
      </c>
    </row>
    <row r="8459">
      <c r="A8459" s="2" t="s">
        <v>4923</v>
      </c>
      <c r="B8459" s="2" t="s">
        <v>5003</v>
      </c>
      <c r="C8459" s="2" t="s">
        <v>5209</v>
      </c>
      <c r="D8459" s="3" t="str">
        <f t="shared" si="1578"/>
        <v>12Go Link</v>
      </c>
      <c r="E8459" s="2" t="s">
        <v>4139</v>
      </c>
    </row>
    <row r="8460">
      <c r="A8460" s="2" t="s">
        <v>4923</v>
      </c>
      <c r="B8460" s="2" t="s">
        <v>5003</v>
      </c>
      <c r="C8460" s="2" t="s">
        <v>5209</v>
      </c>
      <c r="D8460" s="3" t="str">
        <f t="shared" si="1578"/>
        <v>12Go Link</v>
      </c>
      <c r="E8460" s="2" t="s">
        <v>3409</v>
      </c>
    </row>
    <row r="8461">
      <c r="A8461" s="2" t="s">
        <v>4923</v>
      </c>
      <c r="B8461" s="2" t="s">
        <v>5007</v>
      </c>
      <c r="C8461" s="2" t="s">
        <v>5210</v>
      </c>
      <c r="D8461" s="3" t="str">
        <f t="shared" ref="D8461:D8463" si="1579">HYPERLINK("https://12go.asia/en/travel/Aluthgama/Pasikuda", "12Go Link")</f>
        <v>12Go Link</v>
      </c>
      <c r="E8461" s="2" t="s">
        <v>286</v>
      </c>
    </row>
    <row r="8462">
      <c r="A8462" s="2" t="s">
        <v>4923</v>
      </c>
      <c r="B8462" s="2" t="s">
        <v>5007</v>
      </c>
      <c r="C8462" s="2" t="s">
        <v>5210</v>
      </c>
      <c r="D8462" s="3" t="str">
        <f t="shared" si="1579"/>
        <v>12Go Link</v>
      </c>
      <c r="E8462" s="2" t="s">
        <v>4139</v>
      </c>
    </row>
    <row r="8463">
      <c r="A8463" s="2" t="s">
        <v>4923</v>
      </c>
      <c r="B8463" s="2" t="s">
        <v>5007</v>
      </c>
      <c r="C8463" s="2" t="s">
        <v>5210</v>
      </c>
      <c r="D8463" s="3" t="str">
        <f t="shared" si="1579"/>
        <v>12Go Link</v>
      </c>
      <c r="E8463" s="2" t="s">
        <v>3409</v>
      </c>
    </row>
    <row r="8464">
      <c r="A8464" s="2" t="s">
        <v>4923</v>
      </c>
      <c r="B8464" s="2" t="s">
        <v>5009</v>
      </c>
      <c r="C8464" s="2" t="s">
        <v>5211</v>
      </c>
      <c r="D8464" s="3" t="str">
        <f t="shared" ref="D8464:D8466" si="1580">HYPERLINK("https://12go.asia/en/travel/Aluthgama/Galoya", "12Go Link")</f>
        <v>12Go Link</v>
      </c>
      <c r="E8464" s="2" t="s">
        <v>286</v>
      </c>
    </row>
    <row r="8465">
      <c r="A8465" s="2" t="s">
        <v>4923</v>
      </c>
      <c r="B8465" s="2" t="s">
        <v>5009</v>
      </c>
      <c r="C8465" s="2" t="s">
        <v>5211</v>
      </c>
      <c r="D8465" s="3" t="str">
        <f t="shared" si="1580"/>
        <v>12Go Link</v>
      </c>
      <c r="E8465" s="2" t="s">
        <v>4139</v>
      </c>
    </row>
    <row r="8466">
      <c r="A8466" s="2" t="s">
        <v>4923</v>
      </c>
      <c r="B8466" s="2" t="s">
        <v>5009</v>
      </c>
      <c r="C8466" s="2" t="s">
        <v>5211</v>
      </c>
      <c r="D8466" s="3" t="str">
        <f t="shared" si="1580"/>
        <v>12Go Link</v>
      </c>
      <c r="E8466" s="2" t="s">
        <v>3409</v>
      </c>
    </row>
    <row r="8467">
      <c r="A8467" s="2" t="s">
        <v>4923</v>
      </c>
      <c r="B8467" s="2" t="s">
        <v>5011</v>
      </c>
      <c r="C8467" s="2" t="s">
        <v>5212</v>
      </c>
      <c r="D8467" s="3" t="str">
        <f t="shared" ref="D8467:D8469" si="1581">HYPERLINK("https://12go.asia/en/travel/Aluthgama/Kalpitiya", "12Go Link")</f>
        <v>12Go Link</v>
      </c>
      <c r="E8467" s="2" t="s">
        <v>286</v>
      </c>
    </row>
    <row r="8468">
      <c r="A8468" s="2" t="s">
        <v>4923</v>
      </c>
      <c r="B8468" s="2" t="s">
        <v>5011</v>
      </c>
      <c r="C8468" s="2" t="s">
        <v>5212</v>
      </c>
      <c r="D8468" s="3" t="str">
        <f t="shared" si="1581"/>
        <v>12Go Link</v>
      </c>
      <c r="E8468" s="2" t="s">
        <v>4139</v>
      </c>
    </row>
    <row r="8469">
      <c r="A8469" s="2" t="s">
        <v>4923</v>
      </c>
      <c r="B8469" s="2" t="s">
        <v>5011</v>
      </c>
      <c r="C8469" s="2" t="s">
        <v>5212</v>
      </c>
      <c r="D8469" s="3" t="str">
        <f t="shared" si="1581"/>
        <v>12Go Link</v>
      </c>
      <c r="E8469" s="2" t="s">
        <v>3409</v>
      </c>
    </row>
    <row r="8470">
      <c r="A8470" s="2" t="s">
        <v>4923</v>
      </c>
      <c r="B8470" s="2" t="s">
        <v>5011</v>
      </c>
      <c r="C8470" s="2" t="s">
        <v>5213</v>
      </c>
      <c r="D8470" s="3" t="str">
        <f t="shared" ref="D8470:D8472" si="1582">HYPERLINK("https://12go.asia/en/travel/Aluthgama/Marawila", "12Go Link")</f>
        <v>12Go Link</v>
      </c>
      <c r="E8470" s="2" t="s">
        <v>286</v>
      </c>
    </row>
    <row r="8471">
      <c r="A8471" s="2" t="s">
        <v>4923</v>
      </c>
      <c r="B8471" s="2" t="s">
        <v>5011</v>
      </c>
      <c r="C8471" s="2" t="s">
        <v>5213</v>
      </c>
      <c r="D8471" s="3" t="str">
        <f t="shared" si="1582"/>
        <v>12Go Link</v>
      </c>
      <c r="E8471" s="2" t="s">
        <v>4139</v>
      </c>
    </row>
    <row r="8472">
      <c r="A8472" s="2" t="s">
        <v>4923</v>
      </c>
      <c r="B8472" s="2" t="s">
        <v>5011</v>
      </c>
      <c r="C8472" s="2" t="s">
        <v>5213</v>
      </c>
      <c r="D8472" s="3" t="str">
        <f t="shared" si="1582"/>
        <v>12Go Link</v>
      </c>
      <c r="E8472" s="2" t="s">
        <v>3409</v>
      </c>
    </row>
    <row r="8473">
      <c r="A8473" s="2" t="s">
        <v>4923</v>
      </c>
      <c r="B8473" s="2" t="s">
        <v>5014</v>
      </c>
      <c r="C8473" s="2" t="s">
        <v>5214</v>
      </c>
      <c r="D8473" s="3" t="str">
        <f t="shared" ref="D8473:D8475" si="1583">HYPERLINK("https://12go.asia/en/travel/Aluthgama/Kiriella", "12Go Link")</f>
        <v>12Go Link</v>
      </c>
      <c r="E8473" s="2" t="s">
        <v>286</v>
      </c>
    </row>
    <row r="8474">
      <c r="A8474" s="2" t="s">
        <v>4923</v>
      </c>
      <c r="B8474" s="2" t="s">
        <v>5014</v>
      </c>
      <c r="C8474" s="2" t="s">
        <v>5214</v>
      </c>
      <c r="D8474" s="3" t="str">
        <f t="shared" si="1583"/>
        <v>12Go Link</v>
      </c>
      <c r="E8474" s="2" t="s">
        <v>4139</v>
      </c>
    </row>
    <row r="8475">
      <c r="A8475" s="2" t="s">
        <v>4923</v>
      </c>
      <c r="B8475" s="2" t="s">
        <v>5014</v>
      </c>
      <c r="C8475" s="2" t="s">
        <v>5214</v>
      </c>
      <c r="D8475" s="3" t="str">
        <f t="shared" si="1583"/>
        <v>12Go Link</v>
      </c>
      <c r="E8475" s="2" t="s">
        <v>3409</v>
      </c>
    </row>
    <row r="8476">
      <c r="A8476" s="2" t="s">
        <v>4923</v>
      </c>
      <c r="B8476" s="2" t="s">
        <v>5018</v>
      </c>
      <c r="C8476" s="2" t="s">
        <v>5215</v>
      </c>
      <c r="D8476" s="3" t="str">
        <f t="shared" ref="D8476:D8478" si="1584">HYPERLINK("https://12go.asia/en/travel/Aluthgama/Rekawa", "12Go Link")</f>
        <v>12Go Link</v>
      </c>
      <c r="E8476" s="2" t="s">
        <v>286</v>
      </c>
    </row>
    <row r="8477">
      <c r="A8477" s="2" t="s">
        <v>4923</v>
      </c>
      <c r="B8477" s="2" t="s">
        <v>5018</v>
      </c>
      <c r="C8477" s="2" t="s">
        <v>5215</v>
      </c>
      <c r="D8477" s="3" t="str">
        <f t="shared" si="1584"/>
        <v>12Go Link</v>
      </c>
      <c r="E8477" s="2" t="s">
        <v>4139</v>
      </c>
    </row>
    <row r="8478">
      <c r="A8478" s="2" t="s">
        <v>4923</v>
      </c>
      <c r="B8478" s="2" t="s">
        <v>5018</v>
      </c>
      <c r="C8478" s="2" t="s">
        <v>5215</v>
      </c>
      <c r="D8478" s="3" t="str">
        <f t="shared" si="1584"/>
        <v>12Go Link</v>
      </c>
      <c r="E8478" s="2" t="s">
        <v>3409</v>
      </c>
    </row>
    <row r="8479">
      <c r="A8479" s="2" t="s">
        <v>4923</v>
      </c>
      <c r="B8479" s="2" t="s">
        <v>5020</v>
      </c>
      <c r="C8479" s="2" t="s">
        <v>5216</v>
      </c>
      <c r="D8479" s="3" t="str">
        <f t="shared" ref="D8479:D8481" si="1585">HYPERLINK("https://12go.asia/en/travel/Aluthgama/Tissamaharama", "12Go Link")</f>
        <v>12Go Link</v>
      </c>
      <c r="E8479" s="2" t="s">
        <v>286</v>
      </c>
    </row>
    <row r="8480">
      <c r="A8480" s="2" t="s">
        <v>4923</v>
      </c>
      <c r="B8480" s="2" t="s">
        <v>5020</v>
      </c>
      <c r="C8480" s="2" t="s">
        <v>5216</v>
      </c>
      <c r="D8480" s="3" t="str">
        <f t="shared" si="1585"/>
        <v>12Go Link</v>
      </c>
      <c r="E8480" s="2" t="s">
        <v>4139</v>
      </c>
    </row>
    <row r="8481">
      <c r="A8481" s="2" t="s">
        <v>4923</v>
      </c>
      <c r="B8481" s="2" t="s">
        <v>5020</v>
      </c>
      <c r="C8481" s="2" t="s">
        <v>5216</v>
      </c>
      <c r="D8481" s="3" t="str">
        <f t="shared" si="1585"/>
        <v>12Go Link</v>
      </c>
      <c r="E8481" s="2" t="s">
        <v>3409</v>
      </c>
    </row>
    <row r="8482">
      <c r="A8482" s="2" t="s">
        <v>4923</v>
      </c>
      <c r="B8482" s="2" t="s">
        <v>5020</v>
      </c>
      <c r="C8482" s="2" t="s">
        <v>5217</v>
      </c>
      <c r="D8482" s="3" t="str">
        <f t="shared" ref="D8482:D8484" si="1586">HYPERLINK("https://12go.asia/en/travel/Aluthgama/Yala-Park", "12Go Link")</f>
        <v>12Go Link</v>
      </c>
      <c r="E8482" s="2" t="s">
        <v>286</v>
      </c>
    </row>
    <row r="8483">
      <c r="A8483" s="2" t="s">
        <v>4923</v>
      </c>
      <c r="B8483" s="2" t="s">
        <v>5020</v>
      </c>
      <c r="C8483" s="2" t="s">
        <v>5217</v>
      </c>
      <c r="D8483" s="3" t="str">
        <f t="shared" si="1586"/>
        <v>12Go Link</v>
      </c>
      <c r="E8483" s="2" t="s">
        <v>4139</v>
      </c>
    </row>
    <row r="8484">
      <c r="A8484" s="2" t="s">
        <v>4923</v>
      </c>
      <c r="B8484" s="2" t="s">
        <v>5020</v>
      </c>
      <c r="C8484" s="2" t="s">
        <v>5217</v>
      </c>
      <c r="D8484" s="3" t="str">
        <f t="shared" si="1586"/>
        <v>12Go Link</v>
      </c>
      <c r="E8484" s="2" t="s">
        <v>3409</v>
      </c>
    </row>
    <row r="8485">
      <c r="A8485" s="2" t="s">
        <v>4923</v>
      </c>
      <c r="B8485" s="2" t="s">
        <v>5023</v>
      </c>
      <c r="C8485" s="2" t="s">
        <v>5218</v>
      </c>
      <c r="D8485" s="3" t="str">
        <f t="shared" ref="D8485:D8487" si="1587">HYPERLINK("https://12go.asia/en/travel/Aluthgama/Nilaweli", "12Go Link")</f>
        <v>12Go Link</v>
      </c>
      <c r="E8485" s="2" t="s">
        <v>286</v>
      </c>
    </row>
    <row r="8486">
      <c r="A8486" s="2" t="s">
        <v>4923</v>
      </c>
      <c r="B8486" s="2" t="s">
        <v>5023</v>
      </c>
      <c r="C8486" s="2" t="s">
        <v>5218</v>
      </c>
      <c r="D8486" s="3" t="str">
        <f t="shared" si="1587"/>
        <v>12Go Link</v>
      </c>
      <c r="E8486" s="2" t="s">
        <v>4139</v>
      </c>
    </row>
    <row r="8487">
      <c r="A8487" s="2" t="s">
        <v>4923</v>
      </c>
      <c r="B8487" s="2" t="s">
        <v>5023</v>
      </c>
      <c r="C8487" s="2" t="s">
        <v>5218</v>
      </c>
      <c r="D8487" s="3" t="str">
        <f t="shared" si="1587"/>
        <v>12Go Link</v>
      </c>
      <c r="E8487" s="2" t="s">
        <v>3409</v>
      </c>
    </row>
    <row r="8488">
      <c r="A8488" s="2" t="s">
        <v>4923</v>
      </c>
      <c r="B8488" s="2" t="s">
        <v>5025</v>
      </c>
      <c r="C8488" s="2" t="s">
        <v>5219</v>
      </c>
      <c r="D8488" s="3" t="str">
        <f t="shared" ref="D8488:D8490" si="1588">HYPERLINK("https://12go.asia/en/travel/Aluthgama/Udawalawa", "12Go Link")</f>
        <v>12Go Link</v>
      </c>
      <c r="E8488" s="2" t="s">
        <v>286</v>
      </c>
    </row>
    <row r="8489">
      <c r="A8489" s="2" t="s">
        <v>4923</v>
      </c>
      <c r="B8489" s="2" t="s">
        <v>5025</v>
      </c>
      <c r="C8489" s="2" t="s">
        <v>5219</v>
      </c>
      <c r="D8489" s="3" t="str">
        <f t="shared" si="1588"/>
        <v>12Go Link</v>
      </c>
      <c r="E8489" s="2" t="s">
        <v>4139</v>
      </c>
    </row>
    <row r="8490">
      <c r="A8490" s="2" t="s">
        <v>4923</v>
      </c>
      <c r="B8490" s="2" t="s">
        <v>5025</v>
      </c>
      <c r="C8490" s="2" t="s">
        <v>5219</v>
      </c>
      <c r="D8490" s="3" t="str">
        <f t="shared" si="1588"/>
        <v>12Go Link</v>
      </c>
      <c r="E8490" s="2" t="s">
        <v>3409</v>
      </c>
    </row>
    <row r="8491">
      <c r="A8491" s="2" t="s">
        <v>4923</v>
      </c>
      <c r="B8491" s="2" t="s">
        <v>5027</v>
      </c>
      <c r="C8491" s="2" t="s">
        <v>5220</v>
      </c>
      <c r="D8491" s="3" t="str">
        <f t="shared" ref="D8491:D8493" si="1589">HYPERLINK("https://12go.asia/en/travel/Aluthgama/Unawatuna", "12Go Link")</f>
        <v>12Go Link</v>
      </c>
      <c r="E8491" s="2" t="s">
        <v>286</v>
      </c>
    </row>
    <row r="8492">
      <c r="A8492" s="2" t="s">
        <v>4923</v>
      </c>
      <c r="B8492" s="2" t="s">
        <v>5027</v>
      </c>
      <c r="C8492" s="2" t="s">
        <v>5220</v>
      </c>
      <c r="D8492" s="3" t="str">
        <f t="shared" si="1589"/>
        <v>12Go Link</v>
      </c>
      <c r="E8492" s="2" t="s">
        <v>4139</v>
      </c>
    </row>
    <row r="8493">
      <c r="A8493" s="2" t="s">
        <v>4923</v>
      </c>
      <c r="B8493" s="2" t="s">
        <v>5027</v>
      </c>
      <c r="C8493" s="2" t="s">
        <v>5220</v>
      </c>
      <c r="D8493" s="3" t="str">
        <f t="shared" si="1589"/>
        <v>12Go Link</v>
      </c>
      <c r="E8493" s="2" t="s">
        <v>3409</v>
      </c>
    </row>
    <row r="8494">
      <c r="A8494" s="2" t="s">
        <v>4923</v>
      </c>
      <c r="B8494" s="2" t="s">
        <v>5029</v>
      </c>
      <c r="C8494" s="2" t="s">
        <v>5221</v>
      </c>
      <c r="D8494" s="3" t="str">
        <f t="shared" ref="D8494:D8496" si="1590">HYPERLINK("https://12go.asia/en/travel/Aluthgama/Attanagalla", "12Go Link")</f>
        <v>12Go Link</v>
      </c>
      <c r="E8494" s="2" t="s">
        <v>286</v>
      </c>
    </row>
    <row r="8495">
      <c r="A8495" s="2" t="s">
        <v>4923</v>
      </c>
      <c r="B8495" s="2" t="s">
        <v>5029</v>
      </c>
      <c r="C8495" s="2" t="s">
        <v>5221</v>
      </c>
      <c r="D8495" s="3" t="str">
        <f t="shared" si="1590"/>
        <v>12Go Link</v>
      </c>
      <c r="E8495" s="2" t="s">
        <v>4139</v>
      </c>
    </row>
    <row r="8496">
      <c r="A8496" s="2" t="s">
        <v>4923</v>
      </c>
      <c r="B8496" s="2" t="s">
        <v>5029</v>
      </c>
      <c r="C8496" s="2" t="s">
        <v>5221</v>
      </c>
      <c r="D8496" s="3" t="str">
        <f t="shared" si="1590"/>
        <v>12Go Link</v>
      </c>
      <c r="E8496" s="2" t="s">
        <v>3409</v>
      </c>
    </row>
    <row r="8497">
      <c r="A8497" s="2" t="s">
        <v>4923</v>
      </c>
      <c r="B8497" s="2" t="s">
        <v>5031</v>
      </c>
      <c r="C8497" s="2" t="s">
        <v>5222</v>
      </c>
      <c r="D8497" s="3" t="str">
        <f t="shared" ref="D8497:D8499" si="1591">HYPERLINK("https://12go.asia/en/travel/Aluthgama/Moronthuduwa", "12Go Link")</f>
        <v>12Go Link</v>
      </c>
      <c r="E8497" s="2" t="s">
        <v>286</v>
      </c>
    </row>
    <row r="8498">
      <c r="A8498" s="2" t="s">
        <v>4923</v>
      </c>
      <c r="B8498" s="2" t="s">
        <v>5031</v>
      </c>
      <c r="C8498" s="2" t="s">
        <v>5222</v>
      </c>
      <c r="D8498" s="3" t="str">
        <f t="shared" si="1591"/>
        <v>12Go Link</v>
      </c>
      <c r="E8498" s="2" t="s">
        <v>4139</v>
      </c>
    </row>
    <row r="8499">
      <c r="A8499" s="2" t="s">
        <v>4923</v>
      </c>
      <c r="B8499" s="2" t="s">
        <v>5031</v>
      </c>
      <c r="C8499" s="2" t="s">
        <v>5222</v>
      </c>
      <c r="D8499" s="3" t="str">
        <f t="shared" si="1591"/>
        <v>12Go Link</v>
      </c>
      <c r="E8499" s="2" t="s">
        <v>3409</v>
      </c>
    </row>
    <row r="8500">
      <c r="A8500" s="2" t="s">
        <v>4923</v>
      </c>
      <c r="B8500" s="2" t="s">
        <v>5031</v>
      </c>
      <c r="C8500" s="2" t="s">
        <v>5223</v>
      </c>
      <c r="D8500" s="3" t="str">
        <f t="shared" ref="D8500:D8502" si="1592">HYPERLINK("https://12go.asia/en/travel/Aluthgama/Waskaduwa", "12Go Link")</f>
        <v>12Go Link</v>
      </c>
      <c r="E8500" s="2" t="s">
        <v>286</v>
      </c>
    </row>
    <row r="8501">
      <c r="A8501" s="2" t="s">
        <v>4923</v>
      </c>
      <c r="B8501" s="2" t="s">
        <v>5031</v>
      </c>
      <c r="C8501" s="2" t="s">
        <v>5223</v>
      </c>
      <c r="D8501" s="3" t="str">
        <f t="shared" si="1592"/>
        <v>12Go Link</v>
      </c>
      <c r="E8501" s="2" t="s">
        <v>4139</v>
      </c>
    </row>
    <row r="8502">
      <c r="A8502" s="2" t="s">
        <v>4923</v>
      </c>
      <c r="B8502" s="2" t="s">
        <v>5031</v>
      </c>
      <c r="C8502" s="2" t="s">
        <v>5223</v>
      </c>
      <c r="D8502" s="3" t="str">
        <f t="shared" si="1592"/>
        <v>12Go Link</v>
      </c>
      <c r="E8502" s="2" t="s">
        <v>3409</v>
      </c>
    </row>
    <row r="8503">
      <c r="A8503" s="2" t="s">
        <v>4923</v>
      </c>
      <c r="B8503" s="2" t="s">
        <v>5034</v>
      </c>
      <c r="C8503" s="2" t="s">
        <v>5224</v>
      </c>
      <c r="D8503" s="3" t="str">
        <f t="shared" ref="D8503:D8505" si="1593">HYPERLINK("https://12go.asia/en/travel/Aluthgama/Weddagala", "12Go Link")</f>
        <v>12Go Link</v>
      </c>
      <c r="E8503" s="2" t="s">
        <v>286</v>
      </c>
    </row>
    <row r="8504">
      <c r="A8504" s="2" t="s">
        <v>4923</v>
      </c>
      <c r="B8504" s="2" t="s">
        <v>5034</v>
      </c>
      <c r="C8504" s="2" t="s">
        <v>5224</v>
      </c>
      <c r="D8504" s="3" t="str">
        <f t="shared" si="1593"/>
        <v>12Go Link</v>
      </c>
      <c r="E8504" s="2" t="s">
        <v>4139</v>
      </c>
    </row>
    <row r="8505">
      <c r="A8505" s="2" t="s">
        <v>4923</v>
      </c>
      <c r="B8505" s="2" t="s">
        <v>5034</v>
      </c>
      <c r="C8505" s="2" t="s">
        <v>5224</v>
      </c>
      <c r="D8505" s="3" t="str">
        <f t="shared" si="1593"/>
        <v>12Go Link</v>
      </c>
      <c r="E8505" s="2" t="s">
        <v>3409</v>
      </c>
    </row>
    <row r="8506">
      <c r="A8506" s="2" t="s">
        <v>4923</v>
      </c>
      <c r="B8506" s="2" t="s">
        <v>5036</v>
      </c>
      <c r="C8506" s="2" t="s">
        <v>5225</v>
      </c>
      <c r="D8506" s="3" t="str">
        <f t="shared" ref="D8506:D8508" si="1594">HYPERLINK("https://12go.asia/en/travel/Aluthgama/Weligatta", "12Go Link")</f>
        <v>12Go Link</v>
      </c>
      <c r="E8506" s="2" t="s">
        <v>286</v>
      </c>
    </row>
    <row r="8507">
      <c r="A8507" s="2" t="s">
        <v>4923</v>
      </c>
      <c r="B8507" s="2" t="s">
        <v>5036</v>
      </c>
      <c r="C8507" s="2" t="s">
        <v>5225</v>
      </c>
      <c r="D8507" s="3" t="str">
        <f t="shared" si="1594"/>
        <v>12Go Link</v>
      </c>
      <c r="E8507" s="2" t="s">
        <v>4139</v>
      </c>
    </row>
    <row r="8508">
      <c r="A8508" s="2" t="s">
        <v>4923</v>
      </c>
      <c r="B8508" s="2" t="s">
        <v>5036</v>
      </c>
      <c r="C8508" s="2" t="s">
        <v>5225</v>
      </c>
      <c r="D8508" s="3" t="str">
        <f t="shared" si="1594"/>
        <v>12Go Link</v>
      </c>
      <c r="E8508" s="2" t="s">
        <v>3409</v>
      </c>
    </row>
    <row r="8509">
      <c r="A8509" s="2" t="s">
        <v>4923</v>
      </c>
      <c r="B8509" s="2" t="s">
        <v>5038</v>
      </c>
      <c r="C8509" s="2" t="s">
        <v>5226</v>
      </c>
      <c r="D8509" s="3" t="str">
        <f t="shared" ref="D8509:D8511" si="1595">HYPERLINK("https://12go.asia/en/travel/Aluthgama/Akuressa", "12Go Link")</f>
        <v>12Go Link</v>
      </c>
      <c r="E8509" s="2" t="s">
        <v>286</v>
      </c>
    </row>
    <row r="8510">
      <c r="A8510" s="2" t="s">
        <v>4923</v>
      </c>
      <c r="B8510" s="2" t="s">
        <v>5038</v>
      </c>
      <c r="C8510" s="2" t="s">
        <v>5226</v>
      </c>
      <c r="D8510" s="3" t="str">
        <f t="shared" si="1595"/>
        <v>12Go Link</v>
      </c>
      <c r="E8510" s="2" t="s">
        <v>4139</v>
      </c>
    </row>
    <row r="8511">
      <c r="A8511" s="2" t="s">
        <v>4923</v>
      </c>
      <c r="B8511" s="2" t="s">
        <v>5038</v>
      </c>
      <c r="C8511" s="2" t="s">
        <v>5226</v>
      </c>
      <c r="D8511" s="3" t="str">
        <f t="shared" si="1595"/>
        <v>12Go Link</v>
      </c>
      <c r="E8511" s="2" t="s">
        <v>3409</v>
      </c>
    </row>
    <row r="8512">
      <c r="A8512" s="2" t="s">
        <v>4923</v>
      </c>
      <c r="B8512" s="2" t="s">
        <v>5040</v>
      </c>
      <c r="C8512" s="2" t="s">
        <v>5227</v>
      </c>
      <c r="D8512" s="3" t="str">
        <f t="shared" ref="D8512:D8514" si="1596">HYPERLINK("https://12go.asia/en/travel/Aluthgama/Wilpattu", "12Go Link")</f>
        <v>12Go Link</v>
      </c>
      <c r="E8512" s="2" t="s">
        <v>286</v>
      </c>
    </row>
    <row r="8513">
      <c r="A8513" s="2" t="s">
        <v>4923</v>
      </c>
      <c r="B8513" s="2" t="s">
        <v>5040</v>
      </c>
      <c r="C8513" s="2" t="s">
        <v>5227</v>
      </c>
      <c r="D8513" s="3" t="str">
        <f t="shared" si="1596"/>
        <v>12Go Link</v>
      </c>
      <c r="E8513" s="2" t="s">
        <v>4139</v>
      </c>
    </row>
    <row r="8514">
      <c r="A8514" s="2" t="s">
        <v>4923</v>
      </c>
      <c r="B8514" s="2" t="s">
        <v>5040</v>
      </c>
      <c r="C8514" s="2" t="s">
        <v>5227</v>
      </c>
      <c r="D8514" s="3" t="str">
        <f t="shared" si="1596"/>
        <v>12Go Link</v>
      </c>
      <c r="E8514" s="2" t="s">
        <v>3409</v>
      </c>
    </row>
    <row r="8515">
      <c r="A8515" s="2" t="s">
        <v>4925</v>
      </c>
      <c r="B8515" s="2" t="s">
        <v>4918</v>
      </c>
      <c r="C8515" s="2" t="s">
        <v>5228</v>
      </c>
      <c r="D8515" s="3" t="str">
        <f t="shared" ref="D8515:D8517" si="1597">HYPERLINK("https://12go.asia/en/travel/Ambalangoda/Adams-Peak", "12Go Link")</f>
        <v>12Go Link</v>
      </c>
      <c r="E8515" s="2" t="s">
        <v>286</v>
      </c>
    </row>
    <row r="8516">
      <c r="A8516" s="2" t="s">
        <v>4925</v>
      </c>
      <c r="B8516" s="2" t="s">
        <v>4918</v>
      </c>
      <c r="C8516" s="2" t="s">
        <v>5228</v>
      </c>
      <c r="D8516" s="3" t="str">
        <f t="shared" si="1597"/>
        <v>12Go Link</v>
      </c>
      <c r="E8516" s="2" t="s">
        <v>4139</v>
      </c>
    </row>
    <row r="8517">
      <c r="A8517" s="2" t="s">
        <v>4925</v>
      </c>
      <c r="B8517" s="2" t="s">
        <v>4918</v>
      </c>
      <c r="C8517" s="2" t="s">
        <v>5228</v>
      </c>
      <c r="D8517" s="3" t="str">
        <f t="shared" si="1597"/>
        <v>12Go Link</v>
      </c>
      <c r="E8517" s="2" t="s">
        <v>3409</v>
      </c>
    </row>
    <row r="8518">
      <c r="A8518" s="2" t="s">
        <v>4925</v>
      </c>
      <c r="B8518" s="2" t="s">
        <v>4919</v>
      </c>
      <c r="C8518" s="2" t="s">
        <v>5229</v>
      </c>
      <c r="D8518" s="3" t="str">
        <f t="shared" ref="D8518:D8520" si="1598">HYPERLINK("https://12go.asia/en/travel/Ambalangoda/Ahangama", "12Go Link")</f>
        <v>12Go Link</v>
      </c>
      <c r="E8518" s="2" t="s">
        <v>286</v>
      </c>
    </row>
    <row r="8519">
      <c r="A8519" s="2" t="s">
        <v>4925</v>
      </c>
      <c r="B8519" s="2" t="s">
        <v>4919</v>
      </c>
      <c r="C8519" s="2" t="s">
        <v>5229</v>
      </c>
      <c r="D8519" s="3" t="str">
        <f t="shared" si="1598"/>
        <v>12Go Link</v>
      </c>
      <c r="E8519" s="2" t="s">
        <v>4139</v>
      </c>
    </row>
    <row r="8520">
      <c r="A8520" s="2" t="s">
        <v>4925</v>
      </c>
      <c r="B8520" s="2" t="s">
        <v>4919</v>
      </c>
      <c r="C8520" s="2" t="s">
        <v>5229</v>
      </c>
      <c r="D8520" s="3" t="str">
        <f t="shared" si="1598"/>
        <v>12Go Link</v>
      </c>
      <c r="E8520" s="2" t="s">
        <v>3409</v>
      </c>
    </row>
    <row r="8521">
      <c r="A8521" s="2" t="s">
        <v>4925</v>
      </c>
      <c r="B8521" s="2" t="s">
        <v>4921</v>
      </c>
      <c r="C8521" s="2" t="s">
        <v>5230</v>
      </c>
      <c r="D8521" s="3" t="str">
        <f t="shared" ref="D8521:D8523" si="1599">HYPERLINK("https://12go.asia/en/travel/Ambalangoda/Ahungalla", "12Go Link")</f>
        <v>12Go Link</v>
      </c>
      <c r="E8521" s="2" t="s">
        <v>286</v>
      </c>
    </row>
    <row r="8522">
      <c r="A8522" s="2" t="s">
        <v>4925</v>
      </c>
      <c r="B8522" s="2" t="s">
        <v>4921</v>
      </c>
      <c r="C8522" s="2" t="s">
        <v>5230</v>
      </c>
      <c r="D8522" s="3" t="str">
        <f t="shared" si="1599"/>
        <v>12Go Link</v>
      </c>
      <c r="E8522" s="2" t="s">
        <v>4139</v>
      </c>
    </row>
    <row r="8523">
      <c r="A8523" s="2" t="s">
        <v>4925</v>
      </c>
      <c r="B8523" s="2" t="s">
        <v>4921</v>
      </c>
      <c r="C8523" s="2" t="s">
        <v>5230</v>
      </c>
      <c r="D8523" s="3" t="str">
        <f t="shared" si="1599"/>
        <v>12Go Link</v>
      </c>
      <c r="E8523" s="2" t="s">
        <v>3409</v>
      </c>
    </row>
    <row r="8524">
      <c r="A8524" s="2" t="s">
        <v>4925</v>
      </c>
      <c r="B8524" s="2" t="s">
        <v>4923</v>
      </c>
      <c r="C8524" s="2" t="s">
        <v>5231</v>
      </c>
      <c r="D8524" s="3" t="str">
        <f t="shared" ref="D8524:D8526" si="1600">HYPERLINK("https://12go.asia/en/travel/Ambalangoda/Aluthgama", "12Go Link")</f>
        <v>12Go Link</v>
      </c>
      <c r="E8524" s="2" t="s">
        <v>286</v>
      </c>
    </row>
    <row r="8525">
      <c r="A8525" s="2" t="s">
        <v>4925</v>
      </c>
      <c r="B8525" s="2" t="s">
        <v>4923</v>
      </c>
      <c r="C8525" s="2" t="s">
        <v>5231</v>
      </c>
      <c r="D8525" s="3" t="str">
        <f t="shared" si="1600"/>
        <v>12Go Link</v>
      </c>
      <c r="E8525" s="2" t="s">
        <v>4139</v>
      </c>
    </row>
    <row r="8526">
      <c r="A8526" s="2" t="s">
        <v>4925</v>
      </c>
      <c r="B8526" s="2" t="s">
        <v>4923</v>
      </c>
      <c r="C8526" s="2" t="s">
        <v>5231</v>
      </c>
      <c r="D8526" s="3" t="str">
        <f t="shared" si="1600"/>
        <v>12Go Link</v>
      </c>
      <c r="E8526" s="2" t="s">
        <v>3409</v>
      </c>
    </row>
    <row r="8527">
      <c r="A8527" s="2" t="s">
        <v>4925</v>
      </c>
      <c r="B8527" s="2" t="s">
        <v>4927</v>
      </c>
      <c r="C8527" s="2" t="s">
        <v>5232</v>
      </c>
      <c r="D8527" s="3" t="str">
        <f t="shared" ref="D8527:D8529" si="1601">HYPERLINK("https://12go.asia/en/travel/Ambalangoda/Ambalantota", "12Go Link")</f>
        <v>12Go Link</v>
      </c>
      <c r="E8527" s="2" t="s">
        <v>286</v>
      </c>
    </row>
    <row r="8528">
      <c r="A8528" s="2" t="s">
        <v>4925</v>
      </c>
      <c r="B8528" s="2" t="s">
        <v>4927</v>
      </c>
      <c r="C8528" s="2" t="s">
        <v>5232</v>
      </c>
      <c r="D8528" s="3" t="str">
        <f t="shared" si="1601"/>
        <v>12Go Link</v>
      </c>
      <c r="E8528" s="2" t="s">
        <v>4139</v>
      </c>
    </row>
    <row r="8529">
      <c r="A8529" s="2" t="s">
        <v>4925</v>
      </c>
      <c r="B8529" s="2" t="s">
        <v>4927</v>
      </c>
      <c r="C8529" s="2" t="s">
        <v>5232</v>
      </c>
      <c r="D8529" s="3" t="str">
        <f t="shared" si="1601"/>
        <v>12Go Link</v>
      </c>
      <c r="E8529" s="2" t="s">
        <v>3409</v>
      </c>
    </row>
    <row r="8530">
      <c r="A8530" s="2" t="s">
        <v>4925</v>
      </c>
      <c r="B8530" s="2" t="s">
        <v>4929</v>
      </c>
      <c r="C8530" s="2" t="s">
        <v>5233</v>
      </c>
      <c r="D8530" s="3" t="str">
        <f t="shared" ref="D8530:D8532" si="1602">HYPERLINK("https://12go.asia/en/travel/Ambalangoda/Anuradhapura", "12Go Link")</f>
        <v>12Go Link</v>
      </c>
      <c r="E8530" s="2" t="s">
        <v>286</v>
      </c>
    </row>
    <row r="8531">
      <c r="A8531" s="2" t="s">
        <v>4925</v>
      </c>
      <c r="B8531" s="2" t="s">
        <v>4929</v>
      </c>
      <c r="C8531" s="2" t="s">
        <v>5233</v>
      </c>
      <c r="D8531" s="3" t="str">
        <f t="shared" si="1602"/>
        <v>12Go Link</v>
      </c>
      <c r="E8531" s="2" t="s">
        <v>4139</v>
      </c>
    </row>
    <row r="8532">
      <c r="A8532" s="2" t="s">
        <v>4925</v>
      </c>
      <c r="B8532" s="2" t="s">
        <v>4929</v>
      </c>
      <c r="C8532" s="2" t="s">
        <v>5233</v>
      </c>
      <c r="D8532" s="3" t="str">
        <f t="shared" si="1602"/>
        <v>12Go Link</v>
      </c>
      <c r="E8532" s="2" t="s">
        <v>3409</v>
      </c>
    </row>
    <row r="8533">
      <c r="A8533" s="2" t="s">
        <v>4925</v>
      </c>
      <c r="B8533" s="2" t="s">
        <v>4931</v>
      </c>
      <c r="C8533" s="2" t="s">
        <v>5234</v>
      </c>
      <c r="D8533" s="3" t="str">
        <f t="shared" ref="D8533:D8535" si="1603">HYPERLINK("https://12go.asia/en/travel/Ambalangoda/Arugam-bay", "12Go Link")</f>
        <v>12Go Link</v>
      </c>
      <c r="E8533" s="2" t="s">
        <v>286</v>
      </c>
    </row>
    <row r="8534">
      <c r="A8534" s="2" t="s">
        <v>4925</v>
      </c>
      <c r="B8534" s="2" t="s">
        <v>4931</v>
      </c>
      <c r="C8534" s="2" t="s">
        <v>5234</v>
      </c>
      <c r="D8534" s="3" t="str">
        <f t="shared" si="1603"/>
        <v>12Go Link</v>
      </c>
      <c r="E8534" s="2" t="s">
        <v>4139</v>
      </c>
    </row>
    <row r="8535">
      <c r="A8535" s="2" t="s">
        <v>4925</v>
      </c>
      <c r="B8535" s="2" t="s">
        <v>4931</v>
      </c>
      <c r="C8535" s="2" t="s">
        <v>5234</v>
      </c>
      <c r="D8535" s="3" t="str">
        <f t="shared" si="1603"/>
        <v>12Go Link</v>
      </c>
      <c r="E8535" s="2" t="s">
        <v>3409</v>
      </c>
    </row>
    <row r="8536">
      <c r="A8536" s="2" t="s">
        <v>4925</v>
      </c>
      <c r="B8536" s="2" t="s">
        <v>4933</v>
      </c>
      <c r="C8536" s="2" t="s">
        <v>5235</v>
      </c>
      <c r="D8536" s="3" t="str">
        <f t="shared" ref="D8536:D8538" si="1604">HYPERLINK("https://12go.asia/en/travel/Ambalangoda/balapitiya", "12Go Link")</f>
        <v>12Go Link</v>
      </c>
      <c r="E8536" s="2" t="s">
        <v>286</v>
      </c>
    </row>
    <row r="8537">
      <c r="A8537" s="2" t="s">
        <v>4925</v>
      </c>
      <c r="B8537" s="2" t="s">
        <v>4933</v>
      </c>
      <c r="C8537" s="2" t="s">
        <v>5235</v>
      </c>
      <c r="D8537" s="3" t="str">
        <f t="shared" si="1604"/>
        <v>12Go Link</v>
      </c>
      <c r="E8537" s="2" t="s">
        <v>4139</v>
      </c>
    </row>
    <row r="8538">
      <c r="A8538" s="2" t="s">
        <v>4925</v>
      </c>
      <c r="B8538" s="2" t="s">
        <v>4933</v>
      </c>
      <c r="C8538" s="2" t="s">
        <v>5235</v>
      </c>
      <c r="D8538" s="3" t="str">
        <f t="shared" si="1604"/>
        <v>12Go Link</v>
      </c>
      <c r="E8538" s="2" t="s">
        <v>3409</v>
      </c>
    </row>
    <row r="8539">
      <c r="A8539" s="2" t="s">
        <v>4925</v>
      </c>
      <c r="B8539" s="2" t="s">
        <v>4935</v>
      </c>
      <c r="C8539" s="2" t="s">
        <v>5236</v>
      </c>
      <c r="D8539" s="3" t="str">
        <f t="shared" ref="D8539:D8541" si="1605">HYPERLINK("https://12go.asia/en/travel/Ambalangoda/Batticaloa", "12Go Link")</f>
        <v>12Go Link</v>
      </c>
      <c r="E8539" s="2" t="s">
        <v>286</v>
      </c>
    </row>
    <row r="8540">
      <c r="A8540" s="2" t="s">
        <v>4925</v>
      </c>
      <c r="B8540" s="2" t="s">
        <v>4935</v>
      </c>
      <c r="C8540" s="2" t="s">
        <v>5236</v>
      </c>
      <c r="D8540" s="3" t="str">
        <f t="shared" si="1605"/>
        <v>12Go Link</v>
      </c>
      <c r="E8540" s="2" t="s">
        <v>4139</v>
      </c>
    </row>
    <row r="8541">
      <c r="A8541" s="2" t="s">
        <v>4925</v>
      </c>
      <c r="B8541" s="2" t="s">
        <v>4935</v>
      </c>
      <c r="C8541" s="2" t="s">
        <v>5236</v>
      </c>
      <c r="D8541" s="3" t="str">
        <f t="shared" si="1605"/>
        <v>12Go Link</v>
      </c>
      <c r="E8541" s="2" t="s">
        <v>3409</v>
      </c>
    </row>
    <row r="8542">
      <c r="A8542" s="2" t="s">
        <v>4925</v>
      </c>
      <c r="B8542" s="2" t="s">
        <v>4937</v>
      </c>
      <c r="C8542" s="2" t="s">
        <v>5237</v>
      </c>
      <c r="D8542" s="3" t="str">
        <f t="shared" ref="D8542:D8544" si="1606">HYPERLINK("https://12go.asia/en/travel/Ambalangoda/Bentota", "12Go Link")</f>
        <v>12Go Link</v>
      </c>
      <c r="E8542" s="2" t="s">
        <v>286</v>
      </c>
    </row>
    <row r="8543">
      <c r="A8543" s="2" t="s">
        <v>4925</v>
      </c>
      <c r="B8543" s="2" t="s">
        <v>4937</v>
      </c>
      <c r="C8543" s="2" t="s">
        <v>5237</v>
      </c>
      <c r="D8543" s="3" t="str">
        <f t="shared" si="1606"/>
        <v>12Go Link</v>
      </c>
      <c r="E8543" s="2" t="s">
        <v>4139</v>
      </c>
    </row>
    <row r="8544">
      <c r="A8544" s="2" t="s">
        <v>4925</v>
      </c>
      <c r="B8544" s="2" t="s">
        <v>4937</v>
      </c>
      <c r="C8544" s="2" t="s">
        <v>5237</v>
      </c>
      <c r="D8544" s="3" t="str">
        <f t="shared" si="1606"/>
        <v>12Go Link</v>
      </c>
      <c r="E8544" s="2" t="s">
        <v>3409</v>
      </c>
    </row>
    <row r="8545">
      <c r="A8545" s="2" t="s">
        <v>4925</v>
      </c>
      <c r="B8545" s="2" t="s">
        <v>4939</v>
      </c>
      <c r="C8545" s="2" t="s">
        <v>5238</v>
      </c>
      <c r="D8545" s="3" t="str">
        <f t="shared" ref="D8545:D8547" si="1607">HYPERLINK("https://12go.asia/en/travel/Ambalangoda/Beruwala", "12Go Link")</f>
        <v>12Go Link</v>
      </c>
      <c r="E8545" s="2" t="s">
        <v>286</v>
      </c>
    </row>
    <row r="8546">
      <c r="A8546" s="2" t="s">
        <v>4925</v>
      </c>
      <c r="B8546" s="2" t="s">
        <v>4939</v>
      </c>
      <c r="C8546" s="2" t="s">
        <v>5238</v>
      </c>
      <c r="D8546" s="3" t="str">
        <f t="shared" si="1607"/>
        <v>12Go Link</v>
      </c>
      <c r="E8546" s="2" t="s">
        <v>4139</v>
      </c>
    </row>
    <row r="8547">
      <c r="A8547" s="2" t="s">
        <v>4925</v>
      </c>
      <c r="B8547" s="2" t="s">
        <v>4939</v>
      </c>
      <c r="C8547" s="2" t="s">
        <v>5238</v>
      </c>
      <c r="D8547" s="3" t="str">
        <f t="shared" si="1607"/>
        <v>12Go Link</v>
      </c>
      <c r="E8547" s="2" t="s">
        <v>3409</v>
      </c>
    </row>
    <row r="8548">
      <c r="A8548" s="2" t="s">
        <v>4925</v>
      </c>
      <c r="B8548" s="2" t="s">
        <v>4941</v>
      </c>
      <c r="C8548" s="2" t="s">
        <v>5239</v>
      </c>
      <c r="D8548" s="3" t="str">
        <f t="shared" ref="D8548:D8550" si="1608">HYPERLINK("https://12go.asia/en/travel/Ambalangoda/Bundala", "12Go Link")</f>
        <v>12Go Link</v>
      </c>
      <c r="E8548" s="2" t="s">
        <v>286</v>
      </c>
    </row>
    <row r="8549">
      <c r="A8549" s="2" t="s">
        <v>4925</v>
      </c>
      <c r="B8549" s="2" t="s">
        <v>4941</v>
      </c>
      <c r="C8549" s="2" t="s">
        <v>5239</v>
      </c>
      <c r="D8549" s="3" t="str">
        <f t="shared" si="1608"/>
        <v>12Go Link</v>
      </c>
      <c r="E8549" s="2" t="s">
        <v>4139</v>
      </c>
    </row>
    <row r="8550">
      <c r="A8550" s="2" t="s">
        <v>4925</v>
      </c>
      <c r="B8550" s="2" t="s">
        <v>4941</v>
      </c>
      <c r="C8550" s="2" t="s">
        <v>5239</v>
      </c>
      <c r="D8550" s="3" t="str">
        <f t="shared" si="1608"/>
        <v>12Go Link</v>
      </c>
      <c r="E8550" s="2" t="s">
        <v>3409</v>
      </c>
    </row>
    <row r="8551">
      <c r="A8551" s="2" t="s">
        <v>4925</v>
      </c>
      <c r="B8551" s="2" t="s">
        <v>4945</v>
      </c>
      <c r="C8551" s="2" t="s">
        <v>5240</v>
      </c>
      <c r="D8551" s="3" t="str">
        <f t="shared" ref="D8551:D8553" si="1609">HYPERLINK("https://12go.asia/en/travel/Ambalangoda/Bandaranaike-Airport", "12Go Link")</f>
        <v>12Go Link</v>
      </c>
      <c r="E8551" s="2" t="s">
        <v>286</v>
      </c>
    </row>
    <row r="8552">
      <c r="A8552" s="2" t="s">
        <v>4925</v>
      </c>
      <c r="B8552" s="2" t="s">
        <v>4945</v>
      </c>
      <c r="C8552" s="2" t="s">
        <v>5240</v>
      </c>
      <c r="D8552" s="3" t="str">
        <f t="shared" si="1609"/>
        <v>12Go Link</v>
      </c>
      <c r="E8552" s="2" t="s">
        <v>4139</v>
      </c>
    </row>
    <row r="8553">
      <c r="A8553" s="2" t="s">
        <v>4925</v>
      </c>
      <c r="B8553" s="2" t="s">
        <v>4945</v>
      </c>
      <c r="C8553" s="2" t="s">
        <v>5240</v>
      </c>
      <c r="D8553" s="3" t="str">
        <f t="shared" si="1609"/>
        <v>12Go Link</v>
      </c>
      <c r="E8553" s="2" t="s">
        <v>3409</v>
      </c>
    </row>
    <row r="8554">
      <c r="A8554" s="2" t="s">
        <v>4925</v>
      </c>
      <c r="B8554" s="2" t="s">
        <v>4949</v>
      </c>
      <c r="C8554" s="2" t="s">
        <v>5241</v>
      </c>
      <c r="D8554" s="3" t="str">
        <f t="shared" ref="D8554:D8556" si="1610">HYPERLINK("https://12go.asia/en/travel/Ambalangoda/Deniyaya", "12Go Link")</f>
        <v>12Go Link</v>
      </c>
      <c r="E8554" s="2" t="s">
        <v>286</v>
      </c>
    </row>
    <row r="8555">
      <c r="A8555" s="2" t="s">
        <v>4925</v>
      </c>
      <c r="B8555" s="2" t="s">
        <v>4949</v>
      </c>
      <c r="C8555" s="2" t="s">
        <v>5241</v>
      </c>
      <c r="D8555" s="3" t="str">
        <f t="shared" si="1610"/>
        <v>12Go Link</v>
      </c>
      <c r="E8555" s="2" t="s">
        <v>4139</v>
      </c>
    </row>
    <row r="8556">
      <c r="A8556" s="2" t="s">
        <v>4925</v>
      </c>
      <c r="B8556" s="2" t="s">
        <v>4949</v>
      </c>
      <c r="C8556" s="2" t="s">
        <v>5241</v>
      </c>
      <c r="D8556" s="3" t="str">
        <f t="shared" si="1610"/>
        <v>12Go Link</v>
      </c>
      <c r="E8556" s="2" t="s">
        <v>3409</v>
      </c>
    </row>
    <row r="8557">
      <c r="A8557" s="2" t="s">
        <v>4925</v>
      </c>
      <c r="B8557" s="2" t="s">
        <v>4951</v>
      </c>
      <c r="C8557" s="2" t="s">
        <v>5242</v>
      </c>
      <c r="D8557" s="3" t="str">
        <f t="shared" ref="D8557:D8559" si="1611">HYPERLINK("https://12go.asia/en/travel/Ambalangoda/Dickwella", "12Go Link")</f>
        <v>12Go Link</v>
      </c>
      <c r="E8557" s="2" t="s">
        <v>286</v>
      </c>
    </row>
    <row r="8558">
      <c r="A8558" s="2" t="s">
        <v>4925</v>
      </c>
      <c r="B8558" s="2" t="s">
        <v>4951</v>
      </c>
      <c r="C8558" s="2" t="s">
        <v>5242</v>
      </c>
      <c r="D8558" s="3" t="str">
        <f t="shared" si="1611"/>
        <v>12Go Link</v>
      </c>
      <c r="E8558" s="2" t="s">
        <v>4139</v>
      </c>
    </row>
    <row r="8559">
      <c r="A8559" s="2" t="s">
        <v>4925</v>
      </c>
      <c r="B8559" s="2" t="s">
        <v>4951</v>
      </c>
      <c r="C8559" s="2" t="s">
        <v>5242</v>
      </c>
      <c r="D8559" s="3" t="str">
        <f t="shared" si="1611"/>
        <v>12Go Link</v>
      </c>
      <c r="E8559" s="2" t="s">
        <v>3409</v>
      </c>
    </row>
    <row r="8560">
      <c r="A8560" s="2" t="s">
        <v>4925</v>
      </c>
      <c r="B8560" s="2" t="s">
        <v>4951</v>
      </c>
      <c r="C8560" s="2" t="s">
        <v>5243</v>
      </c>
      <c r="D8560" s="3" t="str">
        <f t="shared" ref="D8560:D8562" si="1612">HYPERLINK("https://12go.asia/en/travel/Ambalangoda/Hiriketiya-beach", "12Go Link")</f>
        <v>12Go Link</v>
      </c>
      <c r="E8560" s="2" t="s">
        <v>286</v>
      </c>
    </row>
    <row r="8561">
      <c r="A8561" s="2" t="s">
        <v>4925</v>
      </c>
      <c r="B8561" s="2" t="s">
        <v>4951</v>
      </c>
      <c r="C8561" s="2" t="s">
        <v>5243</v>
      </c>
      <c r="D8561" s="3" t="str">
        <f t="shared" si="1612"/>
        <v>12Go Link</v>
      </c>
      <c r="E8561" s="2" t="s">
        <v>4139</v>
      </c>
    </row>
    <row r="8562">
      <c r="A8562" s="2" t="s">
        <v>4925</v>
      </c>
      <c r="B8562" s="2" t="s">
        <v>4951</v>
      </c>
      <c r="C8562" s="2" t="s">
        <v>5243</v>
      </c>
      <c r="D8562" s="3" t="str">
        <f t="shared" si="1612"/>
        <v>12Go Link</v>
      </c>
      <c r="E8562" s="2" t="s">
        <v>3409</v>
      </c>
    </row>
    <row r="8563">
      <c r="A8563" s="2" t="s">
        <v>4925</v>
      </c>
      <c r="B8563" s="2" t="s">
        <v>4954</v>
      </c>
      <c r="C8563" s="2" t="s">
        <v>5244</v>
      </c>
      <c r="D8563" s="3" t="str">
        <f t="shared" ref="D8563:D8566" si="1613">HYPERLINK("https://12go.asia/en/travel/Ambalangoda/Galle", "12Go Link")</f>
        <v>12Go Link</v>
      </c>
      <c r="E8563" s="2" t="s">
        <v>286</v>
      </c>
    </row>
    <row r="8564">
      <c r="A8564" s="2" t="s">
        <v>4925</v>
      </c>
      <c r="B8564" s="2" t="s">
        <v>4954</v>
      </c>
      <c r="C8564" s="2" t="s">
        <v>5244</v>
      </c>
      <c r="D8564" s="3" t="str">
        <f t="shared" si="1613"/>
        <v>12Go Link</v>
      </c>
      <c r="E8564" s="2" t="s">
        <v>4139</v>
      </c>
    </row>
    <row r="8565">
      <c r="A8565" s="2" t="s">
        <v>4925</v>
      </c>
      <c r="B8565" s="2" t="s">
        <v>4954</v>
      </c>
      <c r="C8565" s="2" t="s">
        <v>5244</v>
      </c>
      <c r="D8565" s="3" t="str">
        <f t="shared" si="1613"/>
        <v>12Go Link</v>
      </c>
      <c r="E8565" s="2" t="s">
        <v>3409</v>
      </c>
    </row>
    <row r="8566">
      <c r="A8566" s="2" t="s">
        <v>4925</v>
      </c>
      <c r="B8566" s="2" t="s">
        <v>4954</v>
      </c>
      <c r="C8566" s="2" t="s">
        <v>5244</v>
      </c>
      <c r="D8566" s="3" t="str">
        <f t="shared" si="1613"/>
        <v>12Go Link</v>
      </c>
      <c r="E8566" s="2" t="s">
        <v>5080</v>
      </c>
    </row>
    <row r="8567">
      <c r="A8567" s="2" t="s">
        <v>4925</v>
      </c>
      <c r="B8567" s="2" t="s">
        <v>4954</v>
      </c>
      <c r="C8567" s="2" t="s">
        <v>5245</v>
      </c>
      <c r="D8567" s="3" t="str">
        <f t="shared" ref="D8567:D8569" si="1614">HYPERLINK("https://12go.asia/en/travel/Ambalangoda/Talpe", "12Go Link")</f>
        <v>12Go Link</v>
      </c>
      <c r="E8567" s="2" t="s">
        <v>286</v>
      </c>
    </row>
    <row r="8568">
      <c r="A8568" s="2" t="s">
        <v>4925</v>
      </c>
      <c r="B8568" s="2" t="s">
        <v>4954</v>
      </c>
      <c r="C8568" s="2" t="s">
        <v>5245</v>
      </c>
      <c r="D8568" s="3" t="str">
        <f t="shared" si="1614"/>
        <v>12Go Link</v>
      </c>
      <c r="E8568" s="2" t="s">
        <v>4139</v>
      </c>
    </row>
    <row r="8569">
      <c r="A8569" s="2" t="s">
        <v>4925</v>
      </c>
      <c r="B8569" s="2" t="s">
        <v>4954</v>
      </c>
      <c r="C8569" s="2" t="s">
        <v>5245</v>
      </c>
      <c r="D8569" s="3" t="str">
        <f t="shared" si="1614"/>
        <v>12Go Link</v>
      </c>
      <c r="E8569" s="2" t="s">
        <v>3409</v>
      </c>
    </row>
    <row r="8570">
      <c r="A8570" s="2" t="s">
        <v>4925</v>
      </c>
      <c r="B8570" s="2" t="s">
        <v>4957</v>
      </c>
      <c r="C8570" s="2" t="s">
        <v>5246</v>
      </c>
      <c r="D8570" s="3" t="str">
        <f t="shared" ref="D8570:D8572" si="1615">HYPERLINK("https://12go.asia/en/travel/Ambalangoda/Habarana", "12Go Link")</f>
        <v>12Go Link</v>
      </c>
      <c r="E8570" s="2" t="s">
        <v>286</v>
      </c>
    </row>
    <row r="8571">
      <c r="A8571" s="2" t="s">
        <v>4925</v>
      </c>
      <c r="B8571" s="2" t="s">
        <v>4957</v>
      </c>
      <c r="C8571" s="2" t="s">
        <v>5246</v>
      </c>
      <c r="D8571" s="3" t="str">
        <f t="shared" si="1615"/>
        <v>12Go Link</v>
      </c>
      <c r="E8571" s="2" t="s">
        <v>4139</v>
      </c>
    </row>
    <row r="8572">
      <c r="A8572" s="2" t="s">
        <v>4925</v>
      </c>
      <c r="B8572" s="2" t="s">
        <v>4957</v>
      </c>
      <c r="C8572" s="2" t="s">
        <v>5246</v>
      </c>
      <c r="D8572" s="3" t="str">
        <f t="shared" si="1615"/>
        <v>12Go Link</v>
      </c>
      <c r="E8572" s="2" t="s">
        <v>3409</v>
      </c>
    </row>
    <row r="8573">
      <c r="A8573" s="2" t="s">
        <v>4925</v>
      </c>
      <c r="B8573" s="2" t="s">
        <v>4959</v>
      </c>
      <c r="C8573" s="2" t="s">
        <v>5247</v>
      </c>
      <c r="D8573" s="3" t="str">
        <f t="shared" ref="D8573:D8575" si="1616">HYPERLINK("https://12go.asia/en/travel/Ambalangoda/Ella", "12Go Link")</f>
        <v>12Go Link</v>
      </c>
      <c r="E8573" s="2" t="s">
        <v>286</v>
      </c>
    </row>
    <row r="8574">
      <c r="A8574" s="2" t="s">
        <v>4925</v>
      </c>
      <c r="B8574" s="2" t="s">
        <v>4959</v>
      </c>
      <c r="C8574" s="2" t="s">
        <v>5247</v>
      </c>
      <c r="D8574" s="3" t="str">
        <f t="shared" si="1616"/>
        <v>12Go Link</v>
      </c>
      <c r="E8574" s="2" t="s">
        <v>4139</v>
      </c>
    </row>
    <row r="8575">
      <c r="A8575" s="2" t="s">
        <v>4925</v>
      </c>
      <c r="B8575" s="2" t="s">
        <v>4959</v>
      </c>
      <c r="C8575" s="2" t="s">
        <v>5247</v>
      </c>
      <c r="D8575" s="3" t="str">
        <f t="shared" si="1616"/>
        <v>12Go Link</v>
      </c>
      <c r="E8575" s="2" t="s">
        <v>3409</v>
      </c>
    </row>
    <row r="8576">
      <c r="A8576" s="2" t="s">
        <v>4925</v>
      </c>
      <c r="B8576" s="2" t="s">
        <v>4961</v>
      </c>
      <c r="C8576" s="2" t="s">
        <v>5248</v>
      </c>
      <c r="D8576" s="3" t="str">
        <f t="shared" ref="D8576:D8578" si="1617">HYPERLINK("https://12go.asia/en/travel/Ambalangoda/Beragala", "12Go Link")</f>
        <v>12Go Link</v>
      </c>
      <c r="E8576" s="2" t="s">
        <v>286</v>
      </c>
    </row>
    <row r="8577">
      <c r="A8577" s="2" t="s">
        <v>4925</v>
      </c>
      <c r="B8577" s="2" t="s">
        <v>4961</v>
      </c>
      <c r="C8577" s="2" t="s">
        <v>5248</v>
      </c>
      <c r="D8577" s="3" t="str">
        <f t="shared" si="1617"/>
        <v>12Go Link</v>
      </c>
      <c r="E8577" s="2" t="s">
        <v>4139</v>
      </c>
    </row>
    <row r="8578">
      <c r="A8578" s="2" t="s">
        <v>4925</v>
      </c>
      <c r="B8578" s="2" t="s">
        <v>4961</v>
      </c>
      <c r="C8578" s="2" t="s">
        <v>5248</v>
      </c>
      <c r="D8578" s="3" t="str">
        <f t="shared" si="1617"/>
        <v>12Go Link</v>
      </c>
      <c r="E8578" s="2" t="s">
        <v>3409</v>
      </c>
    </row>
    <row r="8579">
      <c r="A8579" s="2" t="s">
        <v>4925</v>
      </c>
      <c r="B8579" s="2" t="s">
        <v>4963</v>
      </c>
      <c r="C8579" s="2" t="s">
        <v>5249</v>
      </c>
      <c r="D8579" s="3" t="str">
        <f t="shared" ref="D8579:D8581" si="1618">HYPERLINK("https://12go.asia/en/travel/Ambalangoda/Dick-oya", "12Go Link")</f>
        <v>12Go Link</v>
      </c>
      <c r="E8579" s="2" t="s">
        <v>286</v>
      </c>
    </row>
    <row r="8580">
      <c r="A8580" s="2" t="s">
        <v>4925</v>
      </c>
      <c r="B8580" s="2" t="s">
        <v>4963</v>
      </c>
      <c r="C8580" s="2" t="s">
        <v>5249</v>
      </c>
      <c r="D8580" s="3" t="str">
        <f t="shared" si="1618"/>
        <v>12Go Link</v>
      </c>
      <c r="E8580" s="2" t="s">
        <v>4139</v>
      </c>
    </row>
    <row r="8581">
      <c r="A8581" s="2" t="s">
        <v>4925</v>
      </c>
      <c r="B8581" s="2" t="s">
        <v>4963</v>
      </c>
      <c r="C8581" s="2" t="s">
        <v>5249</v>
      </c>
      <c r="D8581" s="3" t="str">
        <f t="shared" si="1618"/>
        <v>12Go Link</v>
      </c>
      <c r="E8581" s="2" t="s">
        <v>3409</v>
      </c>
    </row>
    <row r="8582">
      <c r="A8582" s="2" t="s">
        <v>4925</v>
      </c>
      <c r="B8582" s="2" t="s">
        <v>4965</v>
      </c>
      <c r="C8582" s="2" t="s">
        <v>5250</v>
      </c>
      <c r="D8582" s="3" t="str">
        <f t="shared" ref="D8582:D8584" si="1619">HYPERLINK("https://12go.asia/en/travel/Ambalangoda/Dodanduwa", "12Go Link")</f>
        <v>12Go Link</v>
      </c>
      <c r="E8582" s="2" t="s">
        <v>286</v>
      </c>
    </row>
    <row r="8583">
      <c r="A8583" s="2" t="s">
        <v>4925</v>
      </c>
      <c r="B8583" s="2" t="s">
        <v>4965</v>
      </c>
      <c r="C8583" s="2" t="s">
        <v>5250</v>
      </c>
      <c r="D8583" s="3" t="str">
        <f t="shared" si="1619"/>
        <v>12Go Link</v>
      </c>
      <c r="E8583" s="2" t="s">
        <v>4139</v>
      </c>
    </row>
    <row r="8584">
      <c r="A8584" s="2" t="s">
        <v>4925</v>
      </c>
      <c r="B8584" s="2" t="s">
        <v>4965</v>
      </c>
      <c r="C8584" s="2" t="s">
        <v>5250</v>
      </c>
      <c r="D8584" s="3" t="str">
        <f t="shared" si="1619"/>
        <v>12Go Link</v>
      </c>
      <c r="E8584" s="2" t="s">
        <v>3409</v>
      </c>
    </row>
    <row r="8585">
      <c r="A8585" s="2" t="s">
        <v>4925</v>
      </c>
      <c r="B8585" s="2" t="s">
        <v>4967</v>
      </c>
      <c r="C8585" s="2" t="s">
        <v>5251</v>
      </c>
      <c r="D8585" s="3" t="str">
        <f t="shared" ref="D8585:D8587" si="1620">HYPERLINK("https://12go.asia/en/travel/Ambalangoda/Induruwa", "12Go Link")</f>
        <v>12Go Link</v>
      </c>
      <c r="E8585" s="2" t="s">
        <v>286</v>
      </c>
    </row>
    <row r="8586">
      <c r="A8586" s="2" t="s">
        <v>4925</v>
      </c>
      <c r="B8586" s="2" t="s">
        <v>4967</v>
      </c>
      <c r="C8586" s="2" t="s">
        <v>5251</v>
      </c>
      <c r="D8586" s="3" t="str">
        <f t="shared" si="1620"/>
        <v>12Go Link</v>
      </c>
      <c r="E8586" s="2" t="s">
        <v>4139</v>
      </c>
    </row>
    <row r="8587">
      <c r="A8587" s="2" t="s">
        <v>4925</v>
      </c>
      <c r="B8587" s="2" t="s">
        <v>4967</v>
      </c>
      <c r="C8587" s="2" t="s">
        <v>5251</v>
      </c>
      <c r="D8587" s="3" t="str">
        <f t="shared" si="1620"/>
        <v>12Go Link</v>
      </c>
      <c r="E8587" s="2" t="s">
        <v>3409</v>
      </c>
    </row>
    <row r="8588">
      <c r="A8588" s="2" t="s">
        <v>4925</v>
      </c>
      <c r="B8588" s="2" t="s">
        <v>4969</v>
      </c>
      <c r="C8588" s="2" t="s">
        <v>5252</v>
      </c>
      <c r="D8588" s="3" t="str">
        <f t="shared" ref="D8588:D8590" si="1621">HYPERLINK("https://12go.asia/en/travel/Ambalangoda/Jaffna", "12Go Link")</f>
        <v>12Go Link</v>
      </c>
      <c r="E8588" s="2" t="s">
        <v>286</v>
      </c>
    </row>
    <row r="8589">
      <c r="A8589" s="2" t="s">
        <v>4925</v>
      </c>
      <c r="B8589" s="2" t="s">
        <v>4969</v>
      </c>
      <c r="C8589" s="2" t="s">
        <v>5252</v>
      </c>
      <c r="D8589" s="3" t="str">
        <f t="shared" si="1621"/>
        <v>12Go Link</v>
      </c>
      <c r="E8589" s="2" t="s">
        <v>4139</v>
      </c>
    </row>
    <row r="8590">
      <c r="A8590" s="2" t="s">
        <v>4925</v>
      </c>
      <c r="B8590" s="2" t="s">
        <v>4969</v>
      </c>
      <c r="C8590" s="2" t="s">
        <v>5252</v>
      </c>
      <c r="D8590" s="3" t="str">
        <f t="shared" si="1621"/>
        <v>12Go Link</v>
      </c>
      <c r="E8590" s="2" t="s">
        <v>3409</v>
      </c>
    </row>
    <row r="8591">
      <c r="A8591" s="2" t="s">
        <v>4925</v>
      </c>
      <c r="B8591" s="2" t="s">
        <v>4971</v>
      </c>
      <c r="C8591" s="2" t="s">
        <v>5253</v>
      </c>
      <c r="D8591" s="3" t="str">
        <f t="shared" ref="D8591:D8593" si="1622">HYPERLINK("https://12go.asia/en/travel/Ambalangoda/Kalapuwa", "12Go Link")</f>
        <v>12Go Link</v>
      </c>
      <c r="E8591" s="2" t="s">
        <v>286</v>
      </c>
    </row>
    <row r="8592">
      <c r="A8592" s="2" t="s">
        <v>4925</v>
      </c>
      <c r="B8592" s="2" t="s">
        <v>4971</v>
      </c>
      <c r="C8592" s="2" t="s">
        <v>5253</v>
      </c>
      <c r="D8592" s="3" t="str">
        <f t="shared" si="1622"/>
        <v>12Go Link</v>
      </c>
      <c r="E8592" s="2" t="s">
        <v>4139</v>
      </c>
    </row>
    <row r="8593">
      <c r="A8593" s="2" t="s">
        <v>4925</v>
      </c>
      <c r="B8593" s="2" t="s">
        <v>4971</v>
      </c>
      <c r="C8593" s="2" t="s">
        <v>5253</v>
      </c>
      <c r="D8593" s="3" t="str">
        <f t="shared" si="1622"/>
        <v>12Go Link</v>
      </c>
      <c r="E8593" s="2" t="s">
        <v>3409</v>
      </c>
    </row>
    <row r="8594">
      <c r="A8594" s="2" t="s">
        <v>4925</v>
      </c>
      <c r="B8594" s="2" t="s">
        <v>4973</v>
      </c>
      <c r="C8594" s="2" t="s">
        <v>5254</v>
      </c>
      <c r="D8594" s="3" t="str">
        <f t="shared" ref="D8594:D8596" si="1623">HYPERLINK("https://12go.asia/en/travel/Ambalangoda/Digana", "12Go Link")</f>
        <v>12Go Link</v>
      </c>
      <c r="E8594" s="2" t="s">
        <v>286</v>
      </c>
    </row>
    <row r="8595">
      <c r="A8595" s="2" t="s">
        <v>4925</v>
      </c>
      <c r="B8595" s="2" t="s">
        <v>4973</v>
      </c>
      <c r="C8595" s="2" t="s">
        <v>5254</v>
      </c>
      <c r="D8595" s="3" t="str">
        <f t="shared" si="1623"/>
        <v>12Go Link</v>
      </c>
      <c r="E8595" s="2" t="s">
        <v>4139</v>
      </c>
    </row>
    <row r="8596">
      <c r="A8596" s="2" t="s">
        <v>4925</v>
      </c>
      <c r="B8596" s="2" t="s">
        <v>4973</v>
      </c>
      <c r="C8596" s="2" t="s">
        <v>5254</v>
      </c>
      <c r="D8596" s="3" t="str">
        <f t="shared" si="1623"/>
        <v>12Go Link</v>
      </c>
      <c r="E8596" s="2" t="s">
        <v>3409</v>
      </c>
    </row>
    <row r="8597">
      <c r="A8597" s="2" t="s">
        <v>4925</v>
      </c>
      <c r="B8597" s="2" t="s">
        <v>4976</v>
      </c>
      <c r="C8597" s="2" t="s">
        <v>5255</v>
      </c>
      <c r="D8597" s="3" t="str">
        <f t="shared" ref="D8597:D8599" si="1624">HYPERLINK("https://12go.asia/en/travel/Ambalangoda/Kataragama", "12Go Link")</f>
        <v>12Go Link</v>
      </c>
      <c r="E8597" s="2" t="s">
        <v>286</v>
      </c>
    </row>
    <row r="8598">
      <c r="A8598" s="2" t="s">
        <v>4925</v>
      </c>
      <c r="B8598" s="2" t="s">
        <v>4976</v>
      </c>
      <c r="C8598" s="2" t="s">
        <v>5255</v>
      </c>
      <c r="D8598" s="3" t="str">
        <f t="shared" si="1624"/>
        <v>12Go Link</v>
      </c>
      <c r="E8598" s="2" t="s">
        <v>4139</v>
      </c>
    </row>
    <row r="8599">
      <c r="A8599" s="2" t="s">
        <v>4925</v>
      </c>
      <c r="B8599" s="2" t="s">
        <v>4976</v>
      </c>
      <c r="C8599" s="2" t="s">
        <v>5255</v>
      </c>
      <c r="D8599" s="3" t="str">
        <f t="shared" si="1624"/>
        <v>12Go Link</v>
      </c>
      <c r="E8599" s="2" t="s">
        <v>3409</v>
      </c>
    </row>
    <row r="8600">
      <c r="A8600" s="2" t="s">
        <v>4925</v>
      </c>
      <c r="B8600" s="2" t="s">
        <v>4978</v>
      </c>
      <c r="C8600" s="2" t="s">
        <v>5256</v>
      </c>
      <c r="D8600" s="3" t="str">
        <f t="shared" ref="D8600:D8602" si="1625">HYPERLINK("https://12go.asia/en/travel/Ambalangoda/Alawathupitiya", "12Go Link")</f>
        <v>12Go Link</v>
      </c>
      <c r="E8600" s="2" t="s">
        <v>286</v>
      </c>
    </row>
    <row r="8601">
      <c r="A8601" s="2" t="s">
        <v>4925</v>
      </c>
      <c r="B8601" s="2" t="s">
        <v>4978</v>
      </c>
      <c r="C8601" s="2" t="s">
        <v>5256</v>
      </c>
      <c r="D8601" s="3" t="str">
        <f t="shared" si="1625"/>
        <v>12Go Link</v>
      </c>
      <c r="E8601" s="2" t="s">
        <v>4139</v>
      </c>
    </row>
    <row r="8602">
      <c r="A8602" s="2" t="s">
        <v>4925</v>
      </c>
      <c r="B8602" s="2" t="s">
        <v>4978</v>
      </c>
      <c r="C8602" s="2" t="s">
        <v>5256</v>
      </c>
      <c r="D8602" s="3" t="str">
        <f t="shared" si="1625"/>
        <v>12Go Link</v>
      </c>
      <c r="E8602" s="2" t="s">
        <v>3409</v>
      </c>
    </row>
    <row r="8603">
      <c r="A8603" s="2" t="s">
        <v>4925</v>
      </c>
      <c r="B8603" s="2" t="s">
        <v>4980</v>
      </c>
      <c r="C8603" s="2" t="s">
        <v>5257</v>
      </c>
      <c r="D8603" s="3" t="str">
        <f t="shared" ref="D8603:D8605" si="1626">HYPERLINK("https://12go.asia/en/travel/Ambalangoda/Pinnawala", "12Go Link")</f>
        <v>12Go Link</v>
      </c>
      <c r="E8603" s="2" t="s">
        <v>286</v>
      </c>
    </row>
    <row r="8604">
      <c r="A8604" s="2" t="s">
        <v>4925</v>
      </c>
      <c r="B8604" s="2" t="s">
        <v>4980</v>
      </c>
      <c r="C8604" s="2" t="s">
        <v>5257</v>
      </c>
      <c r="D8604" s="3" t="str">
        <f t="shared" si="1626"/>
        <v>12Go Link</v>
      </c>
      <c r="E8604" s="2" t="s">
        <v>4139</v>
      </c>
    </row>
    <row r="8605">
      <c r="A8605" s="2" t="s">
        <v>4925</v>
      </c>
      <c r="B8605" s="2" t="s">
        <v>4980</v>
      </c>
      <c r="C8605" s="2" t="s">
        <v>5257</v>
      </c>
      <c r="D8605" s="3" t="str">
        <f t="shared" si="1626"/>
        <v>12Go Link</v>
      </c>
      <c r="E8605" s="2" t="s">
        <v>3409</v>
      </c>
    </row>
    <row r="8606">
      <c r="A8606" s="2" t="s">
        <v>4925</v>
      </c>
      <c r="B8606" s="2" t="s">
        <v>4982</v>
      </c>
      <c r="C8606" s="2" t="s">
        <v>5258</v>
      </c>
      <c r="D8606" s="3" t="str">
        <f t="shared" ref="D8606:D8608" si="1627">HYPERLINK("https://12go.asia/en/travel/Ambalangoda/Kitulgala", "12Go Link")</f>
        <v>12Go Link</v>
      </c>
      <c r="E8606" s="2" t="s">
        <v>286</v>
      </c>
    </row>
    <row r="8607">
      <c r="A8607" s="2" t="s">
        <v>4925</v>
      </c>
      <c r="B8607" s="2" t="s">
        <v>4982</v>
      </c>
      <c r="C8607" s="2" t="s">
        <v>5258</v>
      </c>
      <c r="D8607" s="3" t="str">
        <f t="shared" si="1627"/>
        <v>12Go Link</v>
      </c>
      <c r="E8607" s="2" t="s">
        <v>4139</v>
      </c>
    </row>
    <row r="8608">
      <c r="A8608" s="2" t="s">
        <v>4925</v>
      </c>
      <c r="B8608" s="2" t="s">
        <v>4982</v>
      </c>
      <c r="C8608" s="2" t="s">
        <v>5258</v>
      </c>
      <c r="D8608" s="3" t="str">
        <f t="shared" si="1627"/>
        <v>12Go Link</v>
      </c>
      <c r="E8608" s="2" t="s">
        <v>3409</v>
      </c>
    </row>
    <row r="8609">
      <c r="A8609" s="2" t="s">
        <v>4925</v>
      </c>
      <c r="B8609" s="2" t="s">
        <v>4984</v>
      </c>
      <c r="C8609" s="2" t="s">
        <v>5259</v>
      </c>
      <c r="D8609" s="3" t="str">
        <f t="shared" ref="D8609:D8611" si="1628">HYPERLINK("https://12go.asia/en/travel/Ambalangoda/Habaraduwa", "12Go Link")</f>
        <v>12Go Link</v>
      </c>
      <c r="E8609" s="2" t="s">
        <v>286</v>
      </c>
    </row>
    <row r="8610">
      <c r="A8610" s="2" t="s">
        <v>4925</v>
      </c>
      <c r="B8610" s="2" t="s">
        <v>4984</v>
      </c>
      <c r="C8610" s="2" t="s">
        <v>5259</v>
      </c>
      <c r="D8610" s="3" t="str">
        <f t="shared" si="1628"/>
        <v>12Go Link</v>
      </c>
      <c r="E8610" s="2" t="s">
        <v>4139</v>
      </c>
    </row>
    <row r="8611">
      <c r="A8611" s="2" t="s">
        <v>4925</v>
      </c>
      <c r="B8611" s="2" t="s">
        <v>4984</v>
      </c>
      <c r="C8611" s="2" t="s">
        <v>5259</v>
      </c>
      <c r="D8611" s="3" t="str">
        <f t="shared" si="1628"/>
        <v>12Go Link</v>
      </c>
      <c r="E8611" s="2" t="s">
        <v>3409</v>
      </c>
    </row>
    <row r="8612">
      <c r="A8612" s="2" t="s">
        <v>4925</v>
      </c>
      <c r="B8612" s="2" t="s">
        <v>4986</v>
      </c>
      <c r="C8612" s="2" t="s">
        <v>5260</v>
      </c>
      <c r="D8612" s="3" t="str">
        <f t="shared" ref="D8612:D8614" si="1629">HYPERLINK("https://12go.asia/en/travel/Ambalangoda/Kosgoda", "12Go Link")</f>
        <v>12Go Link</v>
      </c>
      <c r="E8612" s="2" t="s">
        <v>286</v>
      </c>
    </row>
    <row r="8613">
      <c r="A8613" s="2" t="s">
        <v>4925</v>
      </c>
      <c r="B8613" s="2" t="s">
        <v>4986</v>
      </c>
      <c r="C8613" s="2" t="s">
        <v>5260</v>
      </c>
      <c r="D8613" s="3" t="str">
        <f t="shared" si="1629"/>
        <v>12Go Link</v>
      </c>
      <c r="E8613" s="2" t="s">
        <v>4139</v>
      </c>
    </row>
    <row r="8614">
      <c r="A8614" s="2" t="s">
        <v>4925</v>
      </c>
      <c r="B8614" s="2" t="s">
        <v>4986</v>
      </c>
      <c r="C8614" s="2" t="s">
        <v>5260</v>
      </c>
      <c r="D8614" s="3" t="str">
        <f t="shared" si="1629"/>
        <v>12Go Link</v>
      </c>
      <c r="E8614" s="2" t="s">
        <v>3409</v>
      </c>
    </row>
    <row r="8615">
      <c r="A8615" s="2" t="s">
        <v>4925</v>
      </c>
      <c r="B8615" s="2" t="s">
        <v>4988</v>
      </c>
      <c r="C8615" s="2" t="s">
        <v>5261</v>
      </c>
      <c r="D8615" s="3" t="str">
        <f t="shared" ref="D8615:D8617" si="1630">HYPERLINK("https://12go.asia/en/travel/Ambalangoda/Kuchchaveli", "12Go Link")</f>
        <v>12Go Link</v>
      </c>
      <c r="E8615" s="2" t="s">
        <v>286</v>
      </c>
    </row>
    <row r="8616">
      <c r="A8616" s="2" t="s">
        <v>4925</v>
      </c>
      <c r="B8616" s="2" t="s">
        <v>4988</v>
      </c>
      <c r="C8616" s="2" t="s">
        <v>5261</v>
      </c>
      <c r="D8616" s="3" t="str">
        <f t="shared" si="1630"/>
        <v>12Go Link</v>
      </c>
      <c r="E8616" s="2" t="s">
        <v>4139</v>
      </c>
    </row>
    <row r="8617">
      <c r="A8617" s="2" t="s">
        <v>4925</v>
      </c>
      <c r="B8617" s="2" t="s">
        <v>4988</v>
      </c>
      <c r="C8617" s="2" t="s">
        <v>5261</v>
      </c>
      <c r="D8617" s="3" t="str">
        <f t="shared" si="1630"/>
        <v>12Go Link</v>
      </c>
      <c r="E8617" s="2" t="s">
        <v>3409</v>
      </c>
    </row>
    <row r="8618">
      <c r="A8618" s="2" t="s">
        <v>4925</v>
      </c>
      <c r="B8618" s="2" t="s">
        <v>4990</v>
      </c>
      <c r="C8618" s="2" t="s">
        <v>5262</v>
      </c>
      <c r="D8618" s="3" t="str">
        <f t="shared" ref="D8618:D8620" si="1631">HYPERLINK("https://12go.asia/en/travel/Ambalangoda/Mannar", "12Go Link")</f>
        <v>12Go Link</v>
      </c>
      <c r="E8618" s="2" t="s">
        <v>286</v>
      </c>
    </row>
    <row r="8619">
      <c r="A8619" s="2" t="s">
        <v>4925</v>
      </c>
      <c r="B8619" s="2" t="s">
        <v>4990</v>
      </c>
      <c r="C8619" s="2" t="s">
        <v>5262</v>
      </c>
      <c r="D8619" s="3" t="str">
        <f t="shared" si="1631"/>
        <v>12Go Link</v>
      </c>
      <c r="E8619" s="2" t="s">
        <v>4139</v>
      </c>
    </row>
    <row r="8620">
      <c r="A8620" s="2" t="s">
        <v>4925</v>
      </c>
      <c r="B8620" s="2" t="s">
        <v>4990</v>
      </c>
      <c r="C8620" s="2" t="s">
        <v>5262</v>
      </c>
      <c r="D8620" s="3" t="str">
        <f t="shared" si="1631"/>
        <v>12Go Link</v>
      </c>
      <c r="E8620" s="2" t="s">
        <v>3409</v>
      </c>
    </row>
    <row r="8621">
      <c r="A8621" s="2" t="s">
        <v>4925</v>
      </c>
      <c r="B8621" s="2" t="s">
        <v>4992</v>
      </c>
      <c r="C8621" s="2" t="s">
        <v>5263</v>
      </c>
      <c r="D8621" s="3" t="str">
        <f t="shared" ref="D8621:D8623" si="1632">HYPERLINK("https://12go.asia/en/travel/Ambalangoda/Kinigama", "12Go Link")</f>
        <v>12Go Link</v>
      </c>
      <c r="E8621" s="2" t="s">
        <v>286</v>
      </c>
    </row>
    <row r="8622">
      <c r="A8622" s="2" t="s">
        <v>4925</v>
      </c>
      <c r="B8622" s="2" t="s">
        <v>4992</v>
      </c>
      <c r="C8622" s="2" t="s">
        <v>5263</v>
      </c>
      <c r="D8622" s="3" t="str">
        <f t="shared" si="1632"/>
        <v>12Go Link</v>
      </c>
      <c r="E8622" s="2" t="s">
        <v>4139</v>
      </c>
    </row>
    <row r="8623">
      <c r="A8623" s="2" t="s">
        <v>4925</v>
      </c>
      <c r="B8623" s="2" t="s">
        <v>4992</v>
      </c>
      <c r="C8623" s="2" t="s">
        <v>5263</v>
      </c>
      <c r="D8623" s="3" t="str">
        <f t="shared" si="1632"/>
        <v>12Go Link</v>
      </c>
      <c r="E8623" s="2" t="s">
        <v>3409</v>
      </c>
    </row>
    <row r="8624">
      <c r="A8624" s="2" t="s">
        <v>4925</v>
      </c>
      <c r="B8624" s="2" t="s">
        <v>4994</v>
      </c>
      <c r="C8624" s="2" t="s">
        <v>5264</v>
      </c>
      <c r="D8624" s="3" t="str">
        <f t="shared" ref="D8624:D8626" si="1633">HYPERLINK("https://12go.asia/en/travel/Ambalangoda/Kalamatiya", "12Go Link")</f>
        <v>12Go Link</v>
      </c>
      <c r="E8624" s="2" t="s">
        <v>286</v>
      </c>
    </row>
    <row r="8625">
      <c r="A8625" s="2" t="s">
        <v>4925</v>
      </c>
      <c r="B8625" s="2" t="s">
        <v>4994</v>
      </c>
      <c r="C8625" s="2" t="s">
        <v>5264</v>
      </c>
      <c r="D8625" s="3" t="str">
        <f t="shared" si="1633"/>
        <v>12Go Link</v>
      </c>
      <c r="E8625" s="2" t="s">
        <v>4139</v>
      </c>
    </row>
    <row r="8626">
      <c r="A8626" s="2" t="s">
        <v>4925</v>
      </c>
      <c r="B8626" s="2" t="s">
        <v>4994</v>
      </c>
      <c r="C8626" s="2" t="s">
        <v>5264</v>
      </c>
      <c r="D8626" s="3" t="str">
        <f t="shared" si="1633"/>
        <v>12Go Link</v>
      </c>
      <c r="E8626" s="2" t="s">
        <v>3409</v>
      </c>
    </row>
    <row r="8627">
      <c r="A8627" s="2" t="s">
        <v>4925</v>
      </c>
      <c r="B8627" s="2" t="s">
        <v>4994</v>
      </c>
      <c r="C8627" s="2" t="s">
        <v>5265</v>
      </c>
      <c r="D8627" s="3" t="str">
        <f>HYPERLINK("https://12go.asia/en/travel/Ambalangoda/Matara", "12Go Link")</f>
        <v>12Go Link</v>
      </c>
      <c r="E8627" s="2" t="s">
        <v>5080</v>
      </c>
    </row>
    <row r="8628">
      <c r="A8628" s="2" t="s">
        <v>4925</v>
      </c>
      <c r="B8628" s="2" t="s">
        <v>4996</v>
      </c>
      <c r="C8628" s="2" t="s">
        <v>5266</v>
      </c>
      <c r="D8628" s="3" t="str">
        <f t="shared" ref="D8628:D8630" si="1634">HYPERLINK("https://12go.asia/en/travel/Ambalangoda/mirissa", "12Go Link")</f>
        <v>12Go Link</v>
      </c>
      <c r="E8628" s="2" t="s">
        <v>286</v>
      </c>
    </row>
    <row r="8629">
      <c r="A8629" s="2" t="s">
        <v>4925</v>
      </c>
      <c r="B8629" s="2" t="s">
        <v>4996</v>
      </c>
      <c r="C8629" s="2" t="s">
        <v>5266</v>
      </c>
      <c r="D8629" s="3" t="str">
        <f t="shared" si="1634"/>
        <v>12Go Link</v>
      </c>
      <c r="E8629" s="2" t="s">
        <v>4139</v>
      </c>
    </row>
    <row r="8630">
      <c r="A8630" s="2" t="s">
        <v>4925</v>
      </c>
      <c r="B8630" s="2" t="s">
        <v>4996</v>
      </c>
      <c r="C8630" s="2" t="s">
        <v>5266</v>
      </c>
      <c r="D8630" s="3" t="str">
        <f t="shared" si="1634"/>
        <v>12Go Link</v>
      </c>
      <c r="E8630" s="2" t="s">
        <v>3409</v>
      </c>
    </row>
    <row r="8631">
      <c r="A8631" s="2" t="s">
        <v>4925</v>
      </c>
      <c r="B8631" s="2" t="s">
        <v>5204</v>
      </c>
      <c r="C8631" s="2" t="s">
        <v>5267</v>
      </c>
      <c r="D8631" s="3" t="str">
        <f>HYPERLINK("https://12go.asia/en/travel/Ambalangoda/Moratuwa", "12Go Link")</f>
        <v>12Go Link</v>
      </c>
      <c r="E8631" s="2" t="s">
        <v>5206</v>
      </c>
    </row>
    <row r="8632">
      <c r="A8632" s="2" t="s">
        <v>4925</v>
      </c>
      <c r="B8632" s="2" t="s">
        <v>4998</v>
      </c>
      <c r="C8632" s="2" t="s">
        <v>5268</v>
      </c>
      <c r="D8632" s="3" t="str">
        <f t="shared" ref="D8632:D8634" si="1635">HYPERLINK("https://12go.asia/en/travel/Ambalangoda/Nanu-Oya", "12Go Link")</f>
        <v>12Go Link</v>
      </c>
      <c r="E8632" s="2" t="s">
        <v>286</v>
      </c>
    </row>
    <row r="8633">
      <c r="A8633" s="2" t="s">
        <v>4925</v>
      </c>
      <c r="B8633" s="2" t="s">
        <v>4998</v>
      </c>
      <c r="C8633" s="2" t="s">
        <v>5268</v>
      </c>
      <c r="D8633" s="3" t="str">
        <f t="shared" si="1635"/>
        <v>12Go Link</v>
      </c>
      <c r="E8633" s="2" t="s">
        <v>4139</v>
      </c>
    </row>
    <row r="8634">
      <c r="A8634" s="2" t="s">
        <v>4925</v>
      </c>
      <c r="B8634" s="2" t="s">
        <v>4998</v>
      </c>
      <c r="C8634" s="2" t="s">
        <v>5268</v>
      </c>
      <c r="D8634" s="3" t="str">
        <f t="shared" si="1635"/>
        <v>12Go Link</v>
      </c>
      <c r="E8634" s="2" t="s">
        <v>3409</v>
      </c>
    </row>
    <row r="8635">
      <c r="A8635" s="2" t="s">
        <v>4925</v>
      </c>
      <c r="B8635" s="2" t="s">
        <v>5000</v>
      </c>
      <c r="C8635" s="2" t="s">
        <v>5269</v>
      </c>
      <c r="D8635" s="3" t="str">
        <f t="shared" ref="D8635:D8637" si="1636">HYPERLINK("https://12go.asia/en/travel/Ambalangoda/Waikkal", "12Go Link")</f>
        <v>12Go Link</v>
      </c>
      <c r="E8635" s="2" t="s">
        <v>286</v>
      </c>
    </row>
    <row r="8636">
      <c r="A8636" s="2" t="s">
        <v>4925</v>
      </c>
      <c r="B8636" s="2" t="s">
        <v>5000</v>
      </c>
      <c r="C8636" s="2" t="s">
        <v>5269</v>
      </c>
      <c r="D8636" s="3" t="str">
        <f t="shared" si="1636"/>
        <v>12Go Link</v>
      </c>
      <c r="E8636" s="2" t="s">
        <v>4139</v>
      </c>
    </row>
    <row r="8637">
      <c r="A8637" s="2" t="s">
        <v>4925</v>
      </c>
      <c r="B8637" s="2" t="s">
        <v>5000</v>
      </c>
      <c r="C8637" s="2" t="s">
        <v>5269</v>
      </c>
      <c r="D8637" s="3" t="str">
        <f t="shared" si="1636"/>
        <v>12Go Link</v>
      </c>
      <c r="E8637" s="2" t="s">
        <v>3409</v>
      </c>
    </row>
    <row r="8638">
      <c r="A8638" s="2" t="s">
        <v>4925</v>
      </c>
      <c r="B8638" s="2" t="s">
        <v>5003</v>
      </c>
      <c r="C8638" s="2" t="s">
        <v>5270</v>
      </c>
      <c r="D8638" s="3" t="str">
        <f t="shared" ref="D8638:D8640" si="1637">HYPERLINK("https://12go.asia/en/travel/Ambalangoda/Nilaveli", "12Go Link")</f>
        <v>12Go Link</v>
      </c>
      <c r="E8638" s="2" t="s">
        <v>286</v>
      </c>
    </row>
    <row r="8639">
      <c r="A8639" s="2" t="s">
        <v>4925</v>
      </c>
      <c r="B8639" s="2" t="s">
        <v>5003</v>
      </c>
      <c r="C8639" s="2" t="s">
        <v>5270</v>
      </c>
      <c r="D8639" s="3" t="str">
        <f t="shared" si="1637"/>
        <v>12Go Link</v>
      </c>
      <c r="E8639" s="2" t="s">
        <v>4139</v>
      </c>
    </row>
    <row r="8640">
      <c r="A8640" s="2" t="s">
        <v>4925</v>
      </c>
      <c r="B8640" s="2" t="s">
        <v>5003</v>
      </c>
      <c r="C8640" s="2" t="s">
        <v>5270</v>
      </c>
      <c r="D8640" s="3" t="str">
        <f t="shared" si="1637"/>
        <v>12Go Link</v>
      </c>
      <c r="E8640" s="2" t="s">
        <v>3409</v>
      </c>
    </row>
    <row r="8641">
      <c r="A8641" s="2" t="s">
        <v>4925</v>
      </c>
      <c r="B8641" s="2" t="s">
        <v>5007</v>
      </c>
      <c r="C8641" s="2" t="s">
        <v>5271</v>
      </c>
      <c r="D8641" s="3" t="str">
        <f t="shared" ref="D8641:D8643" si="1638">HYPERLINK("https://12go.asia/en/travel/Ambalangoda/Pasikuda", "12Go Link")</f>
        <v>12Go Link</v>
      </c>
      <c r="E8641" s="2" t="s">
        <v>286</v>
      </c>
    </row>
    <row r="8642">
      <c r="A8642" s="2" t="s">
        <v>4925</v>
      </c>
      <c r="B8642" s="2" t="s">
        <v>5007</v>
      </c>
      <c r="C8642" s="2" t="s">
        <v>5271</v>
      </c>
      <c r="D8642" s="3" t="str">
        <f t="shared" si="1638"/>
        <v>12Go Link</v>
      </c>
      <c r="E8642" s="2" t="s">
        <v>4139</v>
      </c>
    </row>
    <row r="8643">
      <c r="A8643" s="2" t="s">
        <v>4925</v>
      </c>
      <c r="B8643" s="2" t="s">
        <v>5007</v>
      </c>
      <c r="C8643" s="2" t="s">
        <v>5271</v>
      </c>
      <c r="D8643" s="3" t="str">
        <f t="shared" si="1638"/>
        <v>12Go Link</v>
      </c>
      <c r="E8643" s="2" t="s">
        <v>3409</v>
      </c>
    </row>
    <row r="8644">
      <c r="A8644" s="2" t="s">
        <v>4925</v>
      </c>
      <c r="B8644" s="2" t="s">
        <v>5009</v>
      </c>
      <c r="C8644" s="2" t="s">
        <v>5272</v>
      </c>
      <c r="D8644" s="3" t="str">
        <f t="shared" ref="D8644:D8646" si="1639">HYPERLINK("https://12go.asia/en/travel/Ambalangoda/Galoya", "12Go Link")</f>
        <v>12Go Link</v>
      </c>
      <c r="E8644" s="2" t="s">
        <v>286</v>
      </c>
    </row>
    <row r="8645">
      <c r="A8645" s="2" t="s">
        <v>4925</v>
      </c>
      <c r="B8645" s="2" t="s">
        <v>5009</v>
      </c>
      <c r="C8645" s="2" t="s">
        <v>5272</v>
      </c>
      <c r="D8645" s="3" t="str">
        <f t="shared" si="1639"/>
        <v>12Go Link</v>
      </c>
      <c r="E8645" s="2" t="s">
        <v>4139</v>
      </c>
    </row>
    <row r="8646">
      <c r="A8646" s="2" t="s">
        <v>4925</v>
      </c>
      <c r="B8646" s="2" t="s">
        <v>5009</v>
      </c>
      <c r="C8646" s="2" t="s">
        <v>5272</v>
      </c>
      <c r="D8646" s="3" t="str">
        <f t="shared" si="1639"/>
        <v>12Go Link</v>
      </c>
      <c r="E8646" s="2" t="s">
        <v>3409</v>
      </c>
    </row>
    <row r="8647">
      <c r="A8647" s="2" t="s">
        <v>4925</v>
      </c>
      <c r="B8647" s="2" t="s">
        <v>5011</v>
      </c>
      <c r="C8647" s="2" t="s">
        <v>5273</v>
      </c>
      <c r="D8647" s="3" t="str">
        <f t="shared" ref="D8647:D8649" si="1640">HYPERLINK("https://12go.asia/en/travel/Ambalangoda/Kalpitiya", "12Go Link")</f>
        <v>12Go Link</v>
      </c>
      <c r="E8647" s="2" t="s">
        <v>286</v>
      </c>
    </row>
    <row r="8648">
      <c r="A8648" s="2" t="s">
        <v>4925</v>
      </c>
      <c r="B8648" s="2" t="s">
        <v>5011</v>
      </c>
      <c r="C8648" s="2" t="s">
        <v>5273</v>
      </c>
      <c r="D8648" s="3" t="str">
        <f t="shared" si="1640"/>
        <v>12Go Link</v>
      </c>
      <c r="E8648" s="2" t="s">
        <v>4139</v>
      </c>
    </row>
    <row r="8649">
      <c r="A8649" s="2" t="s">
        <v>4925</v>
      </c>
      <c r="B8649" s="2" t="s">
        <v>5011</v>
      </c>
      <c r="C8649" s="2" t="s">
        <v>5273</v>
      </c>
      <c r="D8649" s="3" t="str">
        <f t="shared" si="1640"/>
        <v>12Go Link</v>
      </c>
      <c r="E8649" s="2" t="s">
        <v>3409</v>
      </c>
    </row>
    <row r="8650">
      <c r="A8650" s="2" t="s">
        <v>4925</v>
      </c>
      <c r="B8650" s="2" t="s">
        <v>5011</v>
      </c>
      <c r="C8650" s="2" t="s">
        <v>5274</v>
      </c>
      <c r="D8650" s="3" t="str">
        <f t="shared" ref="D8650:D8652" si="1641">HYPERLINK("https://12go.asia/en/travel/Ambalangoda/Marawila", "12Go Link")</f>
        <v>12Go Link</v>
      </c>
      <c r="E8650" s="2" t="s">
        <v>286</v>
      </c>
    </row>
    <row r="8651">
      <c r="A8651" s="2" t="s">
        <v>4925</v>
      </c>
      <c r="B8651" s="2" t="s">
        <v>5011</v>
      </c>
      <c r="C8651" s="2" t="s">
        <v>5274</v>
      </c>
      <c r="D8651" s="3" t="str">
        <f t="shared" si="1641"/>
        <v>12Go Link</v>
      </c>
      <c r="E8651" s="2" t="s">
        <v>4139</v>
      </c>
    </row>
    <row r="8652">
      <c r="A8652" s="2" t="s">
        <v>4925</v>
      </c>
      <c r="B8652" s="2" t="s">
        <v>5011</v>
      </c>
      <c r="C8652" s="2" t="s">
        <v>5274</v>
      </c>
      <c r="D8652" s="3" t="str">
        <f t="shared" si="1641"/>
        <v>12Go Link</v>
      </c>
      <c r="E8652" s="2" t="s">
        <v>3409</v>
      </c>
    </row>
    <row r="8653">
      <c r="A8653" s="2" t="s">
        <v>4925</v>
      </c>
      <c r="B8653" s="2" t="s">
        <v>5014</v>
      </c>
      <c r="C8653" s="2" t="s">
        <v>5275</v>
      </c>
      <c r="D8653" s="3" t="str">
        <f t="shared" ref="D8653:D8655" si="1642">HYPERLINK("https://12go.asia/en/travel/Ambalangoda/Kiriella", "12Go Link")</f>
        <v>12Go Link</v>
      </c>
      <c r="E8653" s="2" t="s">
        <v>286</v>
      </c>
    </row>
    <row r="8654">
      <c r="A8654" s="2" t="s">
        <v>4925</v>
      </c>
      <c r="B8654" s="2" t="s">
        <v>5014</v>
      </c>
      <c r="C8654" s="2" t="s">
        <v>5275</v>
      </c>
      <c r="D8654" s="3" t="str">
        <f t="shared" si="1642"/>
        <v>12Go Link</v>
      </c>
      <c r="E8654" s="2" t="s">
        <v>4139</v>
      </c>
    </row>
    <row r="8655">
      <c r="A8655" s="2" t="s">
        <v>4925</v>
      </c>
      <c r="B8655" s="2" t="s">
        <v>5014</v>
      </c>
      <c r="C8655" s="2" t="s">
        <v>5275</v>
      </c>
      <c r="D8655" s="3" t="str">
        <f t="shared" si="1642"/>
        <v>12Go Link</v>
      </c>
      <c r="E8655" s="2" t="s">
        <v>3409</v>
      </c>
    </row>
    <row r="8656">
      <c r="A8656" s="2" t="s">
        <v>4925</v>
      </c>
      <c r="B8656" s="2" t="s">
        <v>5018</v>
      </c>
      <c r="C8656" s="2" t="s">
        <v>5276</v>
      </c>
      <c r="D8656" s="3" t="str">
        <f t="shared" ref="D8656:D8658" si="1643">HYPERLINK("https://12go.asia/en/travel/Ambalangoda/Rekawa", "12Go Link")</f>
        <v>12Go Link</v>
      </c>
      <c r="E8656" s="2" t="s">
        <v>286</v>
      </c>
    </row>
    <row r="8657">
      <c r="A8657" s="2" t="s">
        <v>4925</v>
      </c>
      <c r="B8657" s="2" t="s">
        <v>5018</v>
      </c>
      <c r="C8657" s="2" t="s">
        <v>5276</v>
      </c>
      <c r="D8657" s="3" t="str">
        <f t="shared" si="1643"/>
        <v>12Go Link</v>
      </c>
      <c r="E8657" s="2" t="s">
        <v>4139</v>
      </c>
    </row>
    <row r="8658">
      <c r="A8658" s="2" t="s">
        <v>4925</v>
      </c>
      <c r="B8658" s="2" t="s">
        <v>5018</v>
      </c>
      <c r="C8658" s="2" t="s">
        <v>5276</v>
      </c>
      <c r="D8658" s="3" t="str">
        <f t="shared" si="1643"/>
        <v>12Go Link</v>
      </c>
      <c r="E8658" s="2" t="s">
        <v>3409</v>
      </c>
    </row>
    <row r="8659">
      <c r="A8659" s="2" t="s">
        <v>4925</v>
      </c>
      <c r="B8659" s="2" t="s">
        <v>5020</v>
      </c>
      <c r="C8659" s="2" t="s">
        <v>5277</v>
      </c>
      <c r="D8659" s="3" t="str">
        <f t="shared" ref="D8659:D8661" si="1644">HYPERLINK("https://12go.asia/en/travel/Ambalangoda/Tissamaharama", "12Go Link")</f>
        <v>12Go Link</v>
      </c>
      <c r="E8659" s="2" t="s">
        <v>286</v>
      </c>
    </row>
    <row r="8660">
      <c r="A8660" s="2" t="s">
        <v>4925</v>
      </c>
      <c r="B8660" s="2" t="s">
        <v>5020</v>
      </c>
      <c r="C8660" s="2" t="s">
        <v>5277</v>
      </c>
      <c r="D8660" s="3" t="str">
        <f t="shared" si="1644"/>
        <v>12Go Link</v>
      </c>
      <c r="E8660" s="2" t="s">
        <v>4139</v>
      </c>
    </row>
    <row r="8661">
      <c r="A8661" s="2" t="s">
        <v>4925</v>
      </c>
      <c r="B8661" s="2" t="s">
        <v>5020</v>
      </c>
      <c r="C8661" s="2" t="s">
        <v>5277</v>
      </c>
      <c r="D8661" s="3" t="str">
        <f t="shared" si="1644"/>
        <v>12Go Link</v>
      </c>
      <c r="E8661" s="2" t="s">
        <v>3409</v>
      </c>
    </row>
    <row r="8662">
      <c r="A8662" s="2" t="s">
        <v>4925</v>
      </c>
      <c r="B8662" s="2" t="s">
        <v>5020</v>
      </c>
      <c r="C8662" s="2" t="s">
        <v>5278</v>
      </c>
      <c r="D8662" s="3" t="str">
        <f t="shared" ref="D8662:D8664" si="1645">HYPERLINK("https://12go.asia/en/travel/Ambalangoda/Yala-Park", "12Go Link")</f>
        <v>12Go Link</v>
      </c>
      <c r="E8662" s="2" t="s">
        <v>286</v>
      </c>
    </row>
    <row r="8663">
      <c r="A8663" s="2" t="s">
        <v>4925</v>
      </c>
      <c r="B8663" s="2" t="s">
        <v>5020</v>
      </c>
      <c r="C8663" s="2" t="s">
        <v>5278</v>
      </c>
      <c r="D8663" s="3" t="str">
        <f t="shared" si="1645"/>
        <v>12Go Link</v>
      </c>
      <c r="E8663" s="2" t="s">
        <v>4139</v>
      </c>
    </row>
    <row r="8664">
      <c r="A8664" s="2" t="s">
        <v>4925</v>
      </c>
      <c r="B8664" s="2" t="s">
        <v>5020</v>
      </c>
      <c r="C8664" s="2" t="s">
        <v>5278</v>
      </c>
      <c r="D8664" s="3" t="str">
        <f t="shared" si="1645"/>
        <v>12Go Link</v>
      </c>
      <c r="E8664" s="2" t="s">
        <v>3409</v>
      </c>
    </row>
    <row r="8665">
      <c r="A8665" s="2" t="s">
        <v>4925</v>
      </c>
      <c r="B8665" s="2" t="s">
        <v>5023</v>
      </c>
      <c r="C8665" s="2" t="s">
        <v>5279</v>
      </c>
      <c r="D8665" s="3" t="str">
        <f t="shared" ref="D8665:D8667" si="1646">HYPERLINK("https://12go.asia/en/travel/Ambalangoda/Nilaweli", "12Go Link")</f>
        <v>12Go Link</v>
      </c>
      <c r="E8665" s="2" t="s">
        <v>286</v>
      </c>
    </row>
    <row r="8666">
      <c r="A8666" s="2" t="s">
        <v>4925</v>
      </c>
      <c r="B8666" s="2" t="s">
        <v>5023</v>
      </c>
      <c r="C8666" s="2" t="s">
        <v>5279</v>
      </c>
      <c r="D8666" s="3" t="str">
        <f t="shared" si="1646"/>
        <v>12Go Link</v>
      </c>
      <c r="E8666" s="2" t="s">
        <v>4139</v>
      </c>
    </row>
    <row r="8667">
      <c r="A8667" s="2" t="s">
        <v>4925</v>
      </c>
      <c r="B8667" s="2" t="s">
        <v>5023</v>
      </c>
      <c r="C8667" s="2" t="s">
        <v>5279</v>
      </c>
      <c r="D8667" s="3" t="str">
        <f t="shared" si="1646"/>
        <v>12Go Link</v>
      </c>
      <c r="E8667" s="2" t="s">
        <v>3409</v>
      </c>
    </row>
    <row r="8668">
      <c r="A8668" s="2" t="s">
        <v>4925</v>
      </c>
      <c r="B8668" s="2" t="s">
        <v>5025</v>
      </c>
      <c r="C8668" s="2" t="s">
        <v>5280</v>
      </c>
      <c r="D8668" s="3" t="str">
        <f t="shared" ref="D8668:D8670" si="1647">HYPERLINK("https://12go.asia/en/travel/Ambalangoda/Udawalawa", "12Go Link")</f>
        <v>12Go Link</v>
      </c>
      <c r="E8668" s="2" t="s">
        <v>286</v>
      </c>
    </row>
    <row r="8669">
      <c r="A8669" s="2" t="s">
        <v>4925</v>
      </c>
      <c r="B8669" s="2" t="s">
        <v>5025</v>
      </c>
      <c r="C8669" s="2" t="s">
        <v>5280</v>
      </c>
      <c r="D8669" s="3" t="str">
        <f t="shared" si="1647"/>
        <v>12Go Link</v>
      </c>
      <c r="E8669" s="2" t="s">
        <v>4139</v>
      </c>
    </row>
    <row r="8670">
      <c r="A8670" s="2" t="s">
        <v>4925</v>
      </c>
      <c r="B8670" s="2" t="s">
        <v>5025</v>
      </c>
      <c r="C8670" s="2" t="s">
        <v>5280</v>
      </c>
      <c r="D8670" s="3" t="str">
        <f t="shared" si="1647"/>
        <v>12Go Link</v>
      </c>
      <c r="E8670" s="2" t="s">
        <v>3409</v>
      </c>
    </row>
    <row r="8671">
      <c r="A8671" s="2" t="s">
        <v>4925</v>
      </c>
      <c r="B8671" s="2" t="s">
        <v>5027</v>
      </c>
      <c r="C8671" s="2" t="s">
        <v>5281</v>
      </c>
      <c r="D8671" s="3" t="str">
        <f t="shared" ref="D8671:D8673" si="1648">HYPERLINK("https://12go.asia/en/travel/Ambalangoda/Unawatuna", "12Go Link")</f>
        <v>12Go Link</v>
      </c>
      <c r="E8671" s="2" t="s">
        <v>286</v>
      </c>
    </row>
    <row r="8672">
      <c r="A8672" s="2" t="s">
        <v>4925</v>
      </c>
      <c r="B8672" s="2" t="s">
        <v>5027</v>
      </c>
      <c r="C8672" s="2" t="s">
        <v>5281</v>
      </c>
      <c r="D8672" s="3" t="str">
        <f t="shared" si="1648"/>
        <v>12Go Link</v>
      </c>
      <c r="E8672" s="2" t="s">
        <v>4139</v>
      </c>
    </row>
    <row r="8673">
      <c r="A8673" s="2" t="s">
        <v>4925</v>
      </c>
      <c r="B8673" s="2" t="s">
        <v>5027</v>
      </c>
      <c r="C8673" s="2" t="s">
        <v>5281</v>
      </c>
      <c r="D8673" s="3" t="str">
        <f t="shared" si="1648"/>
        <v>12Go Link</v>
      </c>
      <c r="E8673" s="2" t="s">
        <v>3409</v>
      </c>
    </row>
    <row r="8674">
      <c r="A8674" s="2" t="s">
        <v>4925</v>
      </c>
      <c r="B8674" s="2" t="s">
        <v>5029</v>
      </c>
      <c r="C8674" s="2" t="s">
        <v>5282</v>
      </c>
      <c r="D8674" s="3" t="str">
        <f t="shared" ref="D8674:D8676" si="1649">HYPERLINK("https://12go.asia/en/travel/Ambalangoda/Attanagalla", "12Go Link")</f>
        <v>12Go Link</v>
      </c>
      <c r="E8674" s="2" t="s">
        <v>286</v>
      </c>
    </row>
    <row r="8675">
      <c r="A8675" s="2" t="s">
        <v>4925</v>
      </c>
      <c r="B8675" s="2" t="s">
        <v>5029</v>
      </c>
      <c r="C8675" s="2" t="s">
        <v>5282</v>
      </c>
      <c r="D8675" s="3" t="str">
        <f t="shared" si="1649"/>
        <v>12Go Link</v>
      </c>
      <c r="E8675" s="2" t="s">
        <v>4139</v>
      </c>
    </row>
    <row r="8676">
      <c r="A8676" s="2" t="s">
        <v>4925</v>
      </c>
      <c r="B8676" s="2" t="s">
        <v>5029</v>
      </c>
      <c r="C8676" s="2" t="s">
        <v>5282</v>
      </c>
      <c r="D8676" s="3" t="str">
        <f t="shared" si="1649"/>
        <v>12Go Link</v>
      </c>
      <c r="E8676" s="2" t="s">
        <v>3409</v>
      </c>
    </row>
    <row r="8677">
      <c r="A8677" s="2" t="s">
        <v>4925</v>
      </c>
      <c r="B8677" s="2" t="s">
        <v>5031</v>
      </c>
      <c r="C8677" s="2" t="s">
        <v>5283</v>
      </c>
      <c r="D8677" s="3" t="str">
        <f t="shared" ref="D8677:D8679" si="1650">HYPERLINK("https://12go.asia/en/travel/Ambalangoda/Moronthuduwa", "12Go Link")</f>
        <v>12Go Link</v>
      </c>
      <c r="E8677" s="2" t="s">
        <v>286</v>
      </c>
    </row>
    <row r="8678">
      <c r="A8678" s="2" t="s">
        <v>4925</v>
      </c>
      <c r="B8678" s="2" t="s">
        <v>5031</v>
      </c>
      <c r="C8678" s="2" t="s">
        <v>5283</v>
      </c>
      <c r="D8678" s="3" t="str">
        <f t="shared" si="1650"/>
        <v>12Go Link</v>
      </c>
      <c r="E8678" s="2" t="s">
        <v>4139</v>
      </c>
    </row>
    <row r="8679">
      <c r="A8679" s="2" t="s">
        <v>4925</v>
      </c>
      <c r="B8679" s="2" t="s">
        <v>5031</v>
      </c>
      <c r="C8679" s="2" t="s">
        <v>5283</v>
      </c>
      <c r="D8679" s="3" t="str">
        <f t="shared" si="1650"/>
        <v>12Go Link</v>
      </c>
      <c r="E8679" s="2" t="s">
        <v>3409</v>
      </c>
    </row>
    <row r="8680">
      <c r="A8680" s="2" t="s">
        <v>4925</v>
      </c>
      <c r="B8680" s="2" t="s">
        <v>5031</v>
      </c>
      <c r="C8680" s="2" t="s">
        <v>5284</v>
      </c>
      <c r="D8680" s="3" t="str">
        <f t="shared" ref="D8680:D8682" si="1651">HYPERLINK("https://12go.asia/en/travel/Ambalangoda/Waskaduwa", "12Go Link")</f>
        <v>12Go Link</v>
      </c>
      <c r="E8680" s="2" t="s">
        <v>286</v>
      </c>
    </row>
    <row r="8681">
      <c r="A8681" s="2" t="s">
        <v>4925</v>
      </c>
      <c r="B8681" s="2" t="s">
        <v>5031</v>
      </c>
      <c r="C8681" s="2" t="s">
        <v>5284</v>
      </c>
      <c r="D8681" s="3" t="str">
        <f t="shared" si="1651"/>
        <v>12Go Link</v>
      </c>
      <c r="E8681" s="2" t="s">
        <v>4139</v>
      </c>
    </row>
    <row r="8682">
      <c r="A8682" s="2" t="s">
        <v>4925</v>
      </c>
      <c r="B8682" s="2" t="s">
        <v>5031</v>
      </c>
      <c r="C8682" s="2" t="s">
        <v>5284</v>
      </c>
      <c r="D8682" s="3" t="str">
        <f t="shared" si="1651"/>
        <v>12Go Link</v>
      </c>
      <c r="E8682" s="2" t="s">
        <v>3409</v>
      </c>
    </row>
    <row r="8683">
      <c r="A8683" s="2" t="s">
        <v>4925</v>
      </c>
      <c r="B8683" s="2" t="s">
        <v>5034</v>
      </c>
      <c r="C8683" s="2" t="s">
        <v>5285</v>
      </c>
      <c r="D8683" s="3" t="str">
        <f t="shared" ref="D8683:D8685" si="1652">HYPERLINK("https://12go.asia/en/travel/Ambalangoda/Weddagala", "12Go Link")</f>
        <v>12Go Link</v>
      </c>
      <c r="E8683" s="2" t="s">
        <v>286</v>
      </c>
    </row>
    <row r="8684">
      <c r="A8684" s="2" t="s">
        <v>4925</v>
      </c>
      <c r="B8684" s="2" t="s">
        <v>5034</v>
      </c>
      <c r="C8684" s="2" t="s">
        <v>5285</v>
      </c>
      <c r="D8684" s="3" t="str">
        <f t="shared" si="1652"/>
        <v>12Go Link</v>
      </c>
      <c r="E8684" s="2" t="s">
        <v>4139</v>
      </c>
    </row>
    <row r="8685">
      <c r="A8685" s="2" t="s">
        <v>4925</v>
      </c>
      <c r="B8685" s="2" t="s">
        <v>5034</v>
      </c>
      <c r="C8685" s="2" t="s">
        <v>5285</v>
      </c>
      <c r="D8685" s="3" t="str">
        <f t="shared" si="1652"/>
        <v>12Go Link</v>
      </c>
      <c r="E8685" s="2" t="s">
        <v>3409</v>
      </c>
    </row>
    <row r="8686">
      <c r="A8686" s="2" t="s">
        <v>4925</v>
      </c>
      <c r="B8686" s="2" t="s">
        <v>5036</v>
      </c>
      <c r="C8686" s="2" t="s">
        <v>5286</v>
      </c>
      <c r="D8686" s="3" t="str">
        <f t="shared" ref="D8686:D8688" si="1653">HYPERLINK("https://12go.asia/en/travel/Ambalangoda/Weligatta", "12Go Link")</f>
        <v>12Go Link</v>
      </c>
      <c r="E8686" s="2" t="s">
        <v>286</v>
      </c>
    </row>
    <row r="8687">
      <c r="A8687" s="2" t="s">
        <v>4925</v>
      </c>
      <c r="B8687" s="2" t="s">
        <v>5036</v>
      </c>
      <c r="C8687" s="2" t="s">
        <v>5286</v>
      </c>
      <c r="D8687" s="3" t="str">
        <f t="shared" si="1653"/>
        <v>12Go Link</v>
      </c>
      <c r="E8687" s="2" t="s">
        <v>4139</v>
      </c>
    </row>
    <row r="8688">
      <c r="A8688" s="2" t="s">
        <v>4925</v>
      </c>
      <c r="B8688" s="2" t="s">
        <v>5036</v>
      </c>
      <c r="C8688" s="2" t="s">
        <v>5286</v>
      </c>
      <c r="D8688" s="3" t="str">
        <f t="shared" si="1653"/>
        <v>12Go Link</v>
      </c>
      <c r="E8688" s="2" t="s">
        <v>3409</v>
      </c>
    </row>
    <row r="8689">
      <c r="A8689" s="2" t="s">
        <v>4925</v>
      </c>
      <c r="B8689" s="2" t="s">
        <v>5038</v>
      </c>
      <c r="C8689" s="2" t="s">
        <v>5287</v>
      </c>
      <c r="D8689" s="3" t="str">
        <f t="shared" ref="D8689:D8691" si="1654">HYPERLINK("https://12go.asia/en/travel/Ambalangoda/Akuressa", "12Go Link")</f>
        <v>12Go Link</v>
      </c>
      <c r="E8689" s="2" t="s">
        <v>286</v>
      </c>
    </row>
    <row r="8690">
      <c r="A8690" s="2" t="s">
        <v>4925</v>
      </c>
      <c r="B8690" s="2" t="s">
        <v>5038</v>
      </c>
      <c r="C8690" s="2" t="s">
        <v>5287</v>
      </c>
      <c r="D8690" s="3" t="str">
        <f t="shared" si="1654"/>
        <v>12Go Link</v>
      </c>
      <c r="E8690" s="2" t="s">
        <v>4139</v>
      </c>
    </row>
    <row r="8691">
      <c r="A8691" s="2" t="s">
        <v>4925</v>
      </c>
      <c r="B8691" s="2" t="s">
        <v>5038</v>
      </c>
      <c r="C8691" s="2" t="s">
        <v>5287</v>
      </c>
      <c r="D8691" s="3" t="str">
        <f t="shared" si="1654"/>
        <v>12Go Link</v>
      </c>
      <c r="E8691" s="2" t="s">
        <v>3409</v>
      </c>
    </row>
    <row r="8692">
      <c r="A8692" s="2" t="s">
        <v>4925</v>
      </c>
      <c r="B8692" s="2" t="s">
        <v>5040</v>
      </c>
      <c r="C8692" s="2" t="s">
        <v>5288</v>
      </c>
      <c r="D8692" s="3" t="str">
        <f t="shared" ref="D8692:D8694" si="1655">HYPERLINK("https://12go.asia/en/travel/Ambalangoda/Wilpattu", "12Go Link")</f>
        <v>12Go Link</v>
      </c>
      <c r="E8692" s="2" t="s">
        <v>286</v>
      </c>
    </row>
    <row r="8693">
      <c r="A8693" s="2" t="s">
        <v>4925</v>
      </c>
      <c r="B8693" s="2" t="s">
        <v>5040</v>
      </c>
      <c r="C8693" s="2" t="s">
        <v>5288</v>
      </c>
      <c r="D8693" s="3" t="str">
        <f t="shared" si="1655"/>
        <v>12Go Link</v>
      </c>
      <c r="E8693" s="2" t="s">
        <v>4139</v>
      </c>
    </row>
    <row r="8694">
      <c r="A8694" s="2" t="s">
        <v>4925</v>
      </c>
      <c r="B8694" s="2" t="s">
        <v>5040</v>
      </c>
      <c r="C8694" s="2" t="s">
        <v>5288</v>
      </c>
      <c r="D8694" s="3" t="str">
        <f t="shared" si="1655"/>
        <v>12Go Link</v>
      </c>
      <c r="E8694" s="2" t="s">
        <v>3409</v>
      </c>
    </row>
    <row r="8695">
      <c r="A8695" s="2" t="s">
        <v>4927</v>
      </c>
      <c r="B8695" s="2" t="s">
        <v>4918</v>
      </c>
      <c r="C8695" s="2" t="s">
        <v>5289</v>
      </c>
      <c r="D8695" s="3" t="str">
        <f t="shared" ref="D8695:D8697" si="1656">HYPERLINK("https://12go.asia/en/travel/Ambalantota/Adams-Peak", "12Go Link")</f>
        <v>12Go Link</v>
      </c>
      <c r="E8695" s="2" t="s">
        <v>286</v>
      </c>
    </row>
    <row r="8696">
      <c r="A8696" s="2" t="s">
        <v>4927</v>
      </c>
      <c r="B8696" s="2" t="s">
        <v>4918</v>
      </c>
      <c r="C8696" s="2" t="s">
        <v>5289</v>
      </c>
      <c r="D8696" s="3" t="str">
        <f t="shared" si="1656"/>
        <v>12Go Link</v>
      </c>
      <c r="E8696" s="2" t="s">
        <v>4139</v>
      </c>
    </row>
    <row r="8697">
      <c r="A8697" s="2" t="s">
        <v>4927</v>
      </c>
      <c r="B8697" s="2" t="s">
        <v>4918</v>
      </c>
      <c r="C8697" s="2" t="s">
        <v>5289</v>
      </c>
      <c r="D8697" s="3" t="str">
        <f t="shared" si="1656"/>
        <v>12Go Link</v>
      </c>
      <c r="E8697" s="2" t="s">
        <v>3409</v>
      </c>
    </row>
    <row r="8698">
      <c r="A8698" s="2" t="s">
        <v>4927</v>
      </c>
      <c r="B8698" s="2" t="s">
        <v>4919</v>
      </c>
      <c r="C8698" s="2" t="s">
        <v>5290</v>
      </c>
      <c r="D8698" s="3" t="str">
        <f t="shared" ref="D8698:D8700" si="1657">HYPERLINK("https://12go.asia/en/travel/Ambalantota/Ahangama", "12Go Link")</f>
        <v>12Go Link</v>
      </c>
      <c r="E8698" s="2" t="s">
        <v>286</v>
      </c>
    </row>
    <row r="8699">
      <c r="A8699" s="2" t="s">
        <v>4927</v>
      </c>
      <c r="B8699" s="2" t="s">
        <v>4919</v>
      </c>
      <c r="C8699" s="2" t="s">
        <v>5290</v>
      </c>
      <c r="D8699" s="3" t="str">
        <f t="shared" si="1657"/>
        <v>12Go Link</v>
      </c>
      <c r="E8699" s="2" t="s">
        <v>4139</v>
      </c>
    </row>
    <row r="8700">
      <c r="A8700" s="2" t="s">
        <v>4927</v>
      </c>
      <c r="B8700" s="2" t="s">
        <v>4919</v>
      </c>
      <c r="C8700" s="2" t="s">
        <v>5290</v>
      </c>
      <c r="D8700" s="3" t="str">
        <f t="shared" si="1657"/>
        <v>12Go Link</v>
      </c>
      <c r="E8700" s="2" t="s">
        <v>3409</v>
      </c>
    </row>
    <row r="8701">
      <c r="A8701" s="2" t="s">
        <v>4927</v>
      </c>
      <c r="B8701" s="2" t="s">
        <v>4921</v>
      </c>
      <c r="C8701" s="2" t="s">
        <v>5291</v>
      </c>
      <c r="D8701" s="3" t="str">
        <f t="shared" ref="D8701:D8703" si="1658">HYPERLINK("https://12go.asia/en/travel/Ambalantota/Ahungalla", "12Go Link")</f>
        <v>12Go Link</v>
      </c>
      <c r="E8701" s="2" t="s">
        <v>286</v>
      </c>
    </row>
    <row r="8702">
      <c r="A8702" s="2" t="s">
        <v>4927</v>
      </c>
      <c r="B8702" s="2" t="s">
        <v>4921</v>
      </c>
      <c r="C8702" s="2" t="s">
        <v>5291</v>
      </c>
      <c r="D8702" s="3" t="str">
        <f t="shared" si="1658"/>
        <v>12Go Link</v>
      </c>
      <c r="E8702" s="2" t="s">
        <v>4139</v>
      </c>
    </row>
    <row r="8703">
      <c r="A8703" s="2" t="s">
        <v>4927</v>
      </c>
      <c r="B8703" s="2" t="s">
        <v>4921</v>
      </c>
      <c r="C8703" s="2" t="s">
        <v>5291</v>
      </c>
      <c r="D8703" s="3" t="str">
        <f t="shared" si="1658"/>
        <v>12Go Link</v>
      </c>
      <c r="E8703" s="2" t="s">
        <v>3409</v>
      </c>
    </row>
    <row r="8704">
      <c r="A8704" s="2" t="s">
        <v>4927</v>
      </c>
      <c r="B8704" s="2" t="s">
        <v>4923</v>
      </c>
      <c r="C8704" s="2" t="s">
        <v>5292</v>
      </c>
      <c r="D8704" s="3" t="str">
        <f t="shared" ref="D8704:D8706" si="1659">HYPERLINK("https://12go.asia/en/travel/Ambalantota/Aluthgama", "12Go Link")</f>
        <v>12Go Link</v>
      </c>
      <c r="E8704" s="2" t="s">
        <v>286</v>
      </c>
    </row>
    <row r="8705">
      <c r="A8705" s="2" t="s">
        <v>4927</v>
      </c>
      <c r="B8705" s="2" t="s">
        <v>4923</v>
      </c>
      <c r="C8705" s="2" t="s">
        <v>5292</v>
      </c>
      <c r="D8705" s="3" t="str">
        <f t="shared" si="1659"/>
        <v>12Go Link</v>
      </c>
      <c r="E8705" s="2" t="s">
        <v>4139</v>
      </c>
    </row>
    <row r="8706">
      <c r="A8706" s="2" t="s">
        <v>4927</v>
      </c>
      <c r="B8706" s="2" t="s">
        <v>4923</v>
      </c>
      <c r="C8706" s="2" t="s">
        <v>5292</v>
      </c>
      <c r="D8706" s="3" t="str">
        <f t="shared" si="1659"/>
        <v>12Go Link</v>
      </c>
      <c r="E8706" s="2" t="s">
        <v>3409</v>
      </c>
    </row>
    <row r="8707">
      <c r="A8707" s="2" t="s">
        <v>4927</v>
      </c>
      <c r="B8707" s="2" t="s">
        <v>4925</v>
      </c>
      <c r="C8707" s="2" t="s">
        <v>5293</v>
      </c>
      <c r="D8707" s="3" t="str">
        <f t="shared" ref="D8707:D8709" si="1660">HYPERLINK("https://12go.asia/en/travel/Ambalantota/Ambalangoda", "12Go Link")</f>
        <v>12Go Link</v>
      </c>
      <c r="E8707" s="2" t="s">
        <v>286</v>
      </c>
    </row>
    <row r="8708">
      <c r="A8708" s="2" t="s">
        <v>4927</v>
      </c>
      <c r="B8708" s="2" t="s">
        <v>4925</v>
      </c>
      <c r="C8708" s="2" t="s">
        <v>5293</v>
      </c>
      <c r="D8708" s="3" t="str">
        <f t="shared" si="1660"/>
        <v>12Go Link</v>
      </c>
      <c r="E8708" s="2" t="s">
        <v>4139</v>
      </c>
    </row>
    <row r="8709">
      <c r="A8709" s="2" t="s">
        <v>4927</v>
      </c>
      <c r="B8709" s="2" t="s">
        <v>4925</v>
      </c>
      <c r="C8709" s="2" t="s">
        <v>5293</v>
      </c>
      <c r="D8709" s="3" t="str">
        <f t="shared" si="1660"/>
        <v>12Go Link</v>
      </c>
      <c r="E8709" s="2" t="s">
        <v>3409</v>
      </c>
    </row>
    <row r="8710">
      <c r="A8710" s="2" t="s">
        <v>4927</v>
      </c>
      <c r="B8710" s="2" t="s">
        <v>4929</v>
      </c>
      <c r="C8710" s="2" t="s">
        <v>5294</v>
      </c>
      <c r="D8710" s="3" t="str">
        <f t="shared" ref="D8710:D8712" si="1661">HYPERLINK("https://12go.asia/en/travel/Ambalantota/Anuradhapura", "12Go Link")</f>
        <v>12Go Link</v>
      </c>
      <c r="E8710" s="2" t="s">
        <v>286</v>
      </c>
    </row>
    <row r="8711">
      <c r="A8711" s="2" t="s">
        <v>4927</v>
      </c>
      <c r="B8711" s="2" t="s">
        <v>4929</v>
      </c>
      <c r="C8711" s="2" t="s">
        <v>5294</v>
      </c>
      <c r="D8711" s="3" t="str">
        <f t="shared" si="1661"/>
        <v>12Go Link</v>
      </c>
      <c r="E8711" s="2" t="s">
        <v>4139</v>
      </c>
    </row>
    <row r="8712">
      <c r="A8712" s="2" t="s">
        <v>4927</v>
      </c>
      <c r="B8712" s="2" t="s">
        <v>4929</v>
      </c>
      <c r="C8712" s="2" t="s">
        <v>5294</v>
      </c>
      <c r="D8712" s="3" t="str">
        <f t="shared" si="1661"/>
        <v>12Go Link</v>
      </c>
      <c r="E8712" s="2" t="s">
        <v>3409</v>
      </c>
    </row>
    <row r="8713">
      <c r="A8713" s="2" t="s">
        <v>4927</v>
      </c>
      <c r="B8713" s="2" t="s">
        <v>4931</v>
      </c>
      <c r="C8713" s="2" t="s">
        <v>5295</v>
      </c>
      <c r="D8713" s="3" t="str">
        <f t="shared" ref="D8713:D8715" si="1662">HYPERLINK("https://12go.asia/en/travel/Ambalantota/Arugam-bay", "12Go Link")</f>
        <v>12Go Link</v>
      </c>
      <c r="E8713" s="2" t="s">
        <v>286</v>
      </c>
    </row>
    <row r="8714">
      <c r="A8714" s="2" t="s">
        <v>4927</v>
      </c>
      <c r="B8714" s="2" t="s">
        <v>4931</v>
      </c>
      <c r="C8714" s="2" t="s">
        <v>5295</v>
      </c>
      <c r="D8714" s="3" t="str">
        <f t="shared" si="1662"/>
        <v>12Go Link</v>
      </c>
      <c r="E8714" s="2" t="s">
        <v>4139</v>
      </c>
    </row>
    <row r="8715">
      <c r="A8715" s="2" t="s">
        <v>4927</v>
      </c>
      <c r="B8715" s="2" t="s">
        <v>4931</v>
      </c>
      <c r="C8715" s="2" t="s">
        <v>5295</v>
      </c>
      <c r="D8715" s="3" t="str">
        <f t="shared" si="1662"/>
        <v>12Go Link</v>
      </c>
      <c r="E8715" s="2" t="s">
        <v>3409</v>
      </c>
    </row>
    <row r="8716">
      <c r="A8716" s="2" t="s">
        <v>4927</v>
      </c>
      <c r="B8716" s="2" t="s">
        <v>4933</v>
      </c>
      <c r="C8716" s="2" t="s">
        <v>5296</v>
      </c>
      <c r="D8716" s="3" t="str">
        <f t="shared" ref="D8716:D8718" si="1663">HYPERLINK("https://12go.asia/en/travel/Ambalantota/balapitiya", "12Go Link")</f>
        <v>12Go Link</v>
      </c>
      <c r="E8716" s="2" t="s">
        <v>286</v>
      </c>
    </row>
    <row r="8717">
      <c r="A8717" s="2" t="s">
        <v>4927</v>
      </c>
      <c r="B8717" s="2" t="s">
        <v>4933</v>
      </c>
      <c r="C8717" s="2" t="s">
        <v>5296</v>
      </c>
      <c r="D8717" s="3" t="str">
        <f t="shared" si="1663"/>
        <v>12Go Link</v>
      </c>
      <c r="E8717" s="2" t="s">
        <v>4139</v>
      </c>
    </row>
    <row r="8718">
      <c r="A8718" s="2" t="s">
        <v>4927</v>
      </c>
      <c r="B8718" s="2" t="s">
        <v>4933</v>
      </c>
      <c r="C8718" s="2" t="s">
        <v>5296</v>
      </c>
      <c r="D8718" s="3" t="str">
        <f t="shared" si="1663"/>
        <v>12Go Link</v>
      </c>
      <c r="E8718" s="2" t="s">
        <v>3409</v>
      </c>
    </row>
    <row r="8719">
      <c r="A8719" s="2" t="s">
        <v>4927</v>
      </c>
      <c r="B8719" s="2" t="s">
        <v>4935</v>
      </c>
      <c r="C8719" s="2" t="s">
        <v>5297</v>
      </c>
      <c r="D8719" s="3" t="str">
        <f t="shared" ref="D8719:D8721" si="1664">HYPERLINK("https://12go.asia/en/travel/Ambalantota/Batticaloa", "12Go Link")</f>
        <v>12Go Link</v>
      </c>
      <c r="E8719" s="2" t="s">
        <v>286</v>
      </c>
    </row>
    <row r="8720">
      <c r="A8720" s="2" t="s">
        <v>4927</v>
      </c>
      <c r="B8720" s="2" t="s">
        <v>4935</v>
      </c>
      <c r="C8720" s="2" t="s">
        <v>5297</v>
      </c>
      <c r="D8720" s="3" t="str">
        <f t="shared" si="1664"/>
        <v>12Go Link</v>
      </c>
      <c r="E8720" s="2" t="s">
        <v>4139</v>
      </c>
    </row>
    <row r="8721">
      <c r="A8721" s="2" t="s">
        <v>4927</v>
      </c>
      <c r="B8721" s="2" t="s">
        <v>4935</v>
      </c>
      <c r="C8721" s="2" t="s">
        <v>5297</v>
      </c>
      <c r="D8721" s="3" t="str">
        <f t="shared" si="1664"/>
        <v>12Go Link</v>
      </c>
      <c r="E8721" s="2" t="s">
        <v>3409</v>
      </c>
    </row>
    <row r="8722">
      <c r="A8722" s="2" t="s">
        <v>4927</v>
      </c>
      <c r="B8722" s="2" t="s">
        <v>4937</v>
      </c>
      <c r="C8722" s="2" t="s">
        <v>5298</v>
      </c>
      <c r="D8722" s="3" t="str">
        <f t="shared" ref="D8722:D8724" si="1665">HYPERLINK("https://12go.asia/en/travel/Ambalantota/Bentota", "12Go Link")</f>
        <v>12Go Link</v>
      </c>
      <c r="E8722" s="2" t="s">
        <v>286</v>
      </c>
    </row>
    <row r="8723">
      <c r="A8723" s="2" t="s">
        <v>4927</v>
      </c>
      <c r="B8723" s="2" t="s">
        <v>4937</v>
      </c>
      <c r="C8723" s="2" t="s">
        <v>5298</v>
      </c>
      <c r="D8723" s="3" t="str">
        <f t="shared" si="1665"/>
        <v>12Go Link</v>
      </c>
      <c r="E8723" s="2" t="s">
        <v>4139</v>
      </c>
    </row>
    <row r="8724">
      <c r="A8724" s="2" t="s">
        <v>4927</v>
      </c>
      <c r="B8724" s="2" t="s">
        <v>4937</v>
      </c>
      <c r="C8724" s="2" t="s">
        <v>5298</v>
      </c>
      <c r="D8724" s="3" t="str">
        <f t="shared" si="1665"/>
        <v>12Go Link</v>
      </c>
      <c r="E8724" s="2" t="s">
        <v>3409</v>
      </c>
    </row>
    <row r="8725">
      <c r="A8725" s="2" t="s">
        <v>4927</v>
      </c>
      <c r="B8725" s="2" t="s">
        <v>4939</v>
      </c>
      <c r="C8725" s="2" t="s">
        <v>5299</v>
      </c>
      <c r="D8725" s="3" t="str">
        <f t="shared" ref="D8725:D8727" si="1666">HYPERLINK("https://12go.asia/en/travel/Ambalantota/Beruwala", "12Go Link")</f>
        <v>12Go Link</v>
      </c>
      <c r="E8725" s="2" t="s">
        <v>286</v>
      </c>
    </row>
    <row r="8726">
      <c r="A8726" s="2" t="s">
        <v>4927</v>
      </c>
      <c r="B8726" s="2" t="s">
        <v>4939</v>
      </c>
      <c r="C8726" s="2" t="s">
        <v>5299</v>
      </c>
      <c r="D8726" s="3" t="str">
        <f t="shared" si="1666"/>
        <v>12Go Link</v>
      </c>
      <c r="E8726" s="2" t="s">
        <v>4139</v>
      </c>
    </row>
    <row r="8727">
      <c r="A8727" s="2" t="s">
        <v>4927</v>
      </c>
      <c r="B8727" s="2" t="s">
        <v>4939</v>
      </c>
      <c r="C8727" s="2" t="s">
        <v>5299</v>
      </c>
      <c r="D8727" s="3" t="str">
        <f t="shared" si="1666"/>
        <v>12Go Link</v>
      </c>
      <c r="E8727" s="2" t="s">
        <v>3409</v>
      </c>
    </row>
    <row r="8728">
      <c r="A8728" s="2" t="s">
        <v>4927</v>
      </c>
      <c r="B8728" s="2" t="s">
        <v>4941</v>
      </c>
      <c r="C8728" s="2" t="s">
        <v>5300</v>
      </c>
      <c r="D8728" s="3" t="str">
        <f t="shared" ref="D8728:D8730" si="1667">HYPERLINK("https://12go.asia/en/travel/Ambalantota/Bundala", "12Go Link")</f>
        <v>12Go Link</v>
      </c>
      <c r="E8728" s="2" t="s">
        <v>286</v>
      </c>
    </row>
    <row r="8729">
      <c r="A8729" s="2" t="s">
        <v>4927</v>
      </c>
      <c r="B8729" s="2" t="s">
        <v>4941</v>
      </c>
      <c r="C8729" s="2" t="s">
        <v>5300</v>
      </c>
      <c r="D8729" s="3" t="str">
        <f t="shared" si="1667"/>
        <v>12Go Link</v>
      </c>
      <c r="E8729" s="2" t="s">
        <v>4139</v>
      </c>
    </row>
    <row r="8730">
      <c r="A8730" s="2" t="s">
        <v>4927</v>
      </c>
      <c r="B8730" s="2" t="s">
        <v>4941</v>
      </c>
      <c r="C8730" s="2" t="s">
        <v>5300</v>
      </c>
      <c r="D8730" s="3" t="str">
        <f t="shared" si="1667"/>
        <v>12Go Link</v>
      </c>
      <c r="E8730" s="2" t="s">
        <v>3409</v>
      </c>
    </row>
    <row r="8731">
      <c r="A8731" s="2" t="s">
        <v>4927</v>
      </c>
      <c r="B8731" s="2" t="s">
        <v>4945</v>
      </c>
      <c r="C8731" s="2" t="s">
        <v>5301</v>
      </c>
      <c r="D8731" s="3" t="str">
        <f t="shared" ref="D8731:D8733" si="1668">HYPERLINK("https://12go.asia/en/travel/Ambalantota/Bandaranaike-Airport", "12Go Link")</f>
        <v>12Go Link</v>
      </c>
      <c r="E8731" s="2" t="s">
        <v>286</v>
      </c>
    </row>
    <row r="8732">
      <c r="A8732" s="2" t="s">
        <v>4927</v>
      </c>
      <c r="B8732" s="2" t="s">
        <v>4945</v>
      </c>
      <c r="C8732" s="2" t="s">
        <v>5301</v>
      </c>
      <c r="D8732" s="3" t="str">
        <f t="shared" si="1668"/>
        <v>12Go Link</v>
      </c>
      <c r="E8732" s="2" t="s">
        <v>4139</v>
      </c>
    </row>
    <row r="8733">
      <c r="A8733" s="2" t="s">
        <v>4927</v>
      </c>
      <c r="B8733" s="2" t="s">
        <v>4945</v>
      </c>
      <c r="C8733" s="2" t="s">
        <v>5301</v>
      </c>
      <c r="D8733" s="3" t="str">
        <f t="shared" si="1668"/>
        <v>12Go Link</v>
      </c>
      <c r="E8733" s="2" t="s">
        <v>3409</v>
      </c>
    </row>
    <row r="8734">
      <c r="A8734" s="2" t="s">
        <v>4927</v>
      </c>
      <c r="B8734" s="2" t="s">
        <v>4949</v>
      </c>
      <c r="C8734" s="2" t="s">
        <v>5302</v>
      </c>
      <c r="D8734" s="3" t="str">
        <f t="shared" ref="D8734:D8736" si="1669">HYPERLINK("https://12go.asia/en/travel/Ambalantota/Deniyaya", "12Go Link")</f>
        <v>12Go Link</v>
      </c>
      <c r="E8734" s="2" t="s">
        <v>286</v>
      </c>
    </row>
    <row r="8735">
      <c r="A8735" s="2" t="s">
        <v>4927</v>
      </c>
      <c r="B8735" s="2" t="s">
        <v>4949</v>
      </c>
      <c r="C8735" s="2" t="s">
        <v>5302</v>
      </c>
      <c r="D8735" s="3" t="str">
        <f t="shared" si="1669"/>
        <v>12Go Link</v>
      </c>
      <c r="E8735" s="2" t="s">
        <v>4139</v>
      </c>
    </row>
    <row r="8736">
      <c r="A8736" s="2" t="s">
        <v>4927</v>
      </c>
      <c r="B8736" s="2" t="s">
        <v>4949</v>
      </c>
      <c r="C8736" s="2" t="s">
        <v>5302</v>
      </c>
      <c r="D8736" s="3" t="str">
        <f t="shared" si="1669"/>
        <v>12Go Link</v>
      </c>
      <c r="E8736" s="2" t="s">
        <v>3409</v>
      </c>
    </row>
    <row r="8737">
      <c r="A8737" s="2" t="s">
        <v>4927</v>
      </c>
      <c r="B8737" s="2" t="s">
        <v>4951</v>
      </c>
      <c r="C8737" s="2" t="s">
        <v>5303</v>
      </c>
      <c r="D8737" s="3" t="str">
        <f t="shared" ref="D8737:D8739" si="1670">HYPERLINK("https://12go.asia/en/travel/Ambalantota/Dickwella", "12Go Link")</f>
        <v>12Go Link</v>
      </c>
      <c r="E8737" s="2" t="s">
        <v>286</v>
      </c>
    </row>
    <row r="8738">
      <c r="A8738" s="2" t="s">
        <v>4927</v>
      </c>
      <c r="B8738" s="2" t="s">
        <v>4951</v>
      </c>
      <c r="C8738" s="2" t="s">
        <v>5303</v>
      </c>
      <c r="D8738" s="3" t="str">
        <f t="shared" si="1670"/>
        <v>12Go Link</v>
      </c>
      <c r="E8738" s="2" t="s">
        <v>4139</v>
      </c>
    </row>
    <row r="8739">
      <c r="A8739" s="2" t="s">
        <v>4927</v>
      </c>
      <c r="B8739" s="2" t="s">
        <v>4951</v>
      </c>
      <c r="C8739" s="2" t="s">
        <v>5303</v>
      </c>
      <c r="D8739" s="3" t="str">
        <f t="shared" si="1670"/>
        <v>12Go Link</v>
      </c>
      <c r="E8739" s="2" t="s">
        <v>3409</v>
      </c>
    </row>
    <row r="8740">
      <c r="A8740" s="2" t="s">
        <v>4927</v>
      </c>
      <c r="B8740" s="2" t="s">
        <v>4951</v>
      </c>
      <c r="C8740" s="2" t="s">
        <v>5304</v>
      </c>
      <c r="D8740" s="3" t="str">
        <f t="shared" ref="D8740:D8742" si="1671">HYPERLINK("https://12go.asia/en/travel/Ambalantota/Hiriketiya-beach", "12Go Link")</f>
        <v>12Go Link</v>
      </c>
      <c r="E8740" s="2" t="s">
        <v>286</v>
      </c>
    </row>
    <row r="8741">
      <c r="A8741" s="2" t="s">
        <v>4927</v>
      </c>
      <c r="B8741" s="2" t="s">
        <v>4951</v>
      </c>
      <c r="C8741" s="2" t="s">
        <v>5304</v>
      </c>
      <c r="D8741" s="3" t="str">
        <f t="shared" si="1671"/>
        <v>12Go Link</v>
      </c>
      <c r="E8741" s="2" t="s">
        <v>4139</v>
      </c>
    </row>
    <row r="8742">
      <c r="A8742" s="2" t="s">
        <v>4927</v>
      </c>
      <c r="B8742" s="2" t="s">
        <v>4951</v>
      </c>
      <c r="C8742" s="2" t="s">
        <v>5304</v>
      </c>
      <c r="D8742" s="3" t="str">
        <f t="shared" si="1671"/>
        <v>12Go Link</v>
      </c>
      <c r="E8742" s="2" t="s">
        <v>3409</v>
      </c>
    </row>
    <row r="8743">
      <c r="A8743" s="2" t="s">
        <v>4927</v>
      </c>
      <c r="B8743" s="2" t="s">
        <v>4954</v>
      </c>
      <c r="C8743" s="2" t="s">
        <v>5305</v>
      </c>
      <c r="D8743" s="3" t="str">
        <f t="shared" ref="D8743:D8745" si="1672">HYPERLINK("https://12go.asia/en/travel/Ambalantota/Galle", "12Go Link")</f>
        <v>12Go Link</v>
      </c>
      <c r="E8743" s="2" t="s">
        <v>286</v>
      </c>
    </row>
    <row r="8744">
      <c r="A8744" s="2" t="s">
        <v>4927</v>
      </c>
      <c r="B8744" s="2" t="s">
        <v>4954</v>
      </c>
      <c r="C8744" s="2" t="s">
        <v>5305</v>
      </c>
      <c r="D8744" s="3" t="str">
        <f t="shared" si="1672"/>
        <v>12Go Link</v>
      </c>
      <c r="E8744" s="2" t="s">
        <v>4139</v>
      </c>
    </row>
    <row r="8745">
      <c r="A8745" s="2" t="s">
        <v>4927</v>
      </c>
      <c r="B8745" s="2" t="s">
        <v>4954</v>
      </c>
      <c r="C8745" s="2" t="s">
        <v>5305</v>
      </c>
      <c r="D8745" s="3" t="str">
        <f t="shared" si="1672"/>
        <v>12Go Link</v>
      </c>
      <c r="E8745" s="2" t="s">
        <v>3409</v>
      </c>
    </row>
    <row r="8746">
      <c r="A8746" s="2" t="s">
        <v>4927</v>
      </c>
      <c r="B8746" s="2" t="s">
        <v>4954</v>
      </c>
      <c r="C8746" s="2" t="s">
        <v>5306</v>
      </c>
      <c r="D8746" s="3" t="str">
        <f t="shared" ref="D8746:D8748" si="1673">HYPERLINK("https://12go.asia/en/travel/Ambalantota/Talpe", "12Go Link")</f>
        <v>12Go Link</v>
      </c>
      <c r="E8746" s="2" t="s">
        <v>286</v>
      </c>
    </row>
    <row r="8747">
      <c r="A8747" s="2" t="s">
        <v>4927</v>
      </c>
      <c r="B8747" s="2" t="s">
        <v>4954</v>
      </c>
      <c r="C8747" s="2" t="s">
        <v>5306</v>
      </c>
      <c r="D8747" s="3" t="str">
        <f t="shared" si="1673"/>
        <v>12Go Link</v>
      </c>
      <c r="E8747" s="2" t="s">
        <v>4139</v>
      </c>
    </row>
    <row r="8748">
      <c r="A8748" s="2" t="s">
        <v>4927</v>
      </c>
      <c r="B8748" s="2" t="s">
        <v>4954</v>
      </c>
      <c r="C8748" s="2" t="s">
        <v>5306</v>
      </c>
      <c r="D8748" s="3" t="str">
        <f t="shared" si="1673"/>
        <v>12Go Link</v>
      </c>
      <c r="E8748" s="2" t="s">
        <v>3409</v>
      </c>
    </row>
    <row r="8749">
      <c r="A8749" s="2" t="s">
        <v>4927</v>
      </c>
      <c r="B8749" s="2" t="s">
        <v>4957</v>
      </c>
      <c r="C8749" s="2" t="s">
        <v>5307</v>
      </c>
      <c r="D8749" s="3" t="str">
        <f t="shared" ref="D8749:D8751" si="1674">HYPERLINK("https://12go.asia/en/travel/Ambalantota/Habarana", "12Go Link")</f>
        <v>12Go Link</v>
      </c>
      <c r="E8749" s="2" t="s">
        <v>286</v>
      </c>
    </row>
    <row r="8750">
      <c r="A8750" s="2" t="s">
        <v>4927</v>
      </c>
      <c r="B8750" s="2" t="s">
        <v>4957</v>
      </c>
      <c r="C8750" s="2" t="s">
        <v>5307</v>
      </c>
      <c r="D8750" s="3" t="str">
        <f t="shared" si="1674"/>
        <v>12Go Link</v>
      </c>
      <c r="E8750" s="2" t="s">
        <v>4139</v>
      </c>
    </row>
    <row r="8751">
      <c r="A8751" s="2" t="s">
        <v>4927</v>
      </c>
      <c r="B8751" s="2" t="s">
        <v>4957</v>
      </c>
      <c r="C8751" s="2" t="s">
        <v>5307</v>
      </c>
      <c r="D8751" s="3" t="str">
        <f t="shared" si="1674"/>
        <v>12Go Link</v>
      </c>
      <c r="E8751" s="2" t="s">
        <v>3409</v>
      </c>
    </row>
    <row r="8752">
      <c r="A8752" s="2" t="s">
        <v>4927</v>
      </c>
      <c r="B8752" s="2" t="s">
        <v>4959</v>
      </c>
      <c r="C8752" s="2" t="s">
        <v>5308</v>
      </c>
      <c r="D8752" s="3" t="str">
        <f t="shared" ref="D8752:D8754" si="1675">HYPERLINK("https://12go.asia/en/travel/Ambalantota/Ella", "12Go Link")</f>
        <v>12Go Link</v>
      </c>
      <c r="E8752" s="2" t="s">
        <v>286</v>
      </c>
    </row>
    <row r="8753">
      <c r="A8753" s="2" t="s">
        <v>4927</v>
      </c>
      <c r="B8753" s="2" t="s">
        <v>4959</v>
      </c>
      <c r="C8753" s="2" t="s">
        <v>5308</v>
      </c>
      <c r="D8753" s="3" t="str">
        <f t="shared" si="1675"/>
        <v>12Go Link</v>
      </c>
      <c r="E8753" s="2" t="s">
        <v>4139</v>
      </c>
    </row>
    <row r="8754">
      <c r="A8754" s="2" t="s">
        <v>4927</v>
      </c>
      <c r="B8754" s="2" t="s">
        <v>4959</v>
      </c>
      <c r="C8754" s="2" t="s">
        <v>5308</v>
      </c>
      <c r="D8754" s="3" t="str">
        <f t="shared" si="1675"/>
        <v>12Go Link</v>
      </c>
      <c r="E8754" s="2" t="s">
        <v>3409</v>
      </c>
    </row>
    <row r="8755">
      <c r="A8755" s="2" t="s">
        <v>4927</v>
      </c>
      <c r="B8755" s="2" t="s">
        <v>4961</v>
      </c>
      <c r="C8755" s="2" t="s">
        <v>5309</v>
      </c>
      <c r="D8755" s="3" t="str">
        <f t="shared" ref="D8755:D8757" si="1676">HYPERLINK("https://12go.asia/en/travel/Ambalantota/Beragala", "12Go Link")</f>
        <v>12Go Link</v>
      </c>
      <c r="E8755" s="2" t="s">
        <v>286</v>
      </c>
    </row>
    <row r="8756">
      <c r="A8756" s="2" t="s">
        <v>4927</v>
      </c>
      <c r="B8756" s="2" t="s">
        <v>4961</v>
      </c>
      <c r="C8756" s="2" t="s">
        <v>5309</v>
      </c>
      <c r="D8756" s="3" t="str">
        <f t="shared" si="1676"/>
        <v>12Go Link</v>
      </c>
      <c r="E8756" s="2" t="s">
        <v>4139</v>
      </c>
    </row>
    <row r="8757">
      <c r="A8757" s="2" t="s">
        <v>4927</v>
      </c>
      <c r="B8757" s="2" t="s">
        <v>4961</v>
      </c>
      <c r="C8757" s="2" t="s">
        <v>5309</v>
      </c>
      <c r="D8757" s="3" t="str">
        <f t="shared" si="1676"/>
        <v>12Go Link</v>
      </c>
      <c r="E8757" s="2" t="s">
        <v>3409</v>
      </c>
    </row>
    <row r="8758">
      <c r="A8758" s="2" t="s">
        <v>4927</v>
      </c>
      <c r="B8758" s="2" t="s">
        <v>4963</v>
      </c>
      <c r="C8758" s="2" t="s">
        <v>5310</v>
      </c>
      <c r="D8758" s="3" t="str">
        <f t="shared" ref="D8758:D8760" si="1677">HYPERLINK("https://12go.asia/en/travel/Ambalantota/Dick-oya", "12Go Link")</f>
        <v>12Go Link</v>
      </c>
      <c r="E8758" s="2" t="s">
        <v>286</v>
      </c>
    </row>
    <row r="8759">
      <c r="A8759" s="2" t="s">
        <v>4927</v>
      </c>
      <c r="B8759" s="2" t="s">
        <v>4963</v>
      </c>
      <c r="C8759" s="2" t="s">
        <v>5310</v>
      </c>
      <c r="D8759" s="3" t="str">
        <f t="shared" si="1677"/>
        <v>12Go Link</v>
      </c>
      <c r="E8759" s="2" t="s">
        <v>4139</v>
      </c>
    </row>
    <row r="8760">
      <c r="A8760" s="2" t="s">
        <v>4927</v>
      </c>
      <c r="B8760" s="2" t="s">
        <v>4963</v>
      </c>
      <c r="C8760" s="2" t="s">
        <v>5310</v>
      </c>
      <c r="D8760" s="3" t="str">
        <f t="shared" si="1677"/>
        <v>12Go Link</v>
      </c>
      <c r="E8760" s="2" t="s">
        <v>3409</v>
      </c>
    </row>
    <row r="8761">
      <c r="A8761" s="2" t="s">
        <v>4927</v>
      </c>
      <c r="B8761" s="2" t="s">
        <v>4965</v>
      </c>
      <c r="C8761" s="2" t="s">
        <v>5311</v>
      </c>
      <c r="D8761" s="3" t="str">
        <f t="shared" ref="D8761:D8763" si="1678">HYPERLINK("https://12go.asia/en/travel/Ambalantota/Dodanduwa", "12Go Link")</f>
        <v>12Go Link</v>
      </c>
      <c r="E8761" s="2" t="s">
        <v>286</v>
      </c>
    </row>
    <row r="8762">
      <c r="A8762" s="2" t="s">
        <v>4927</v>
      </c>
      <c r="B8762" s="2" t="s">
        <v>4965</v>
      </c>
      <c r="C8762" s="2" t="s">
        <v>5311</v>
      </c>
      <c r="D8762" s="3" t="str">
        <f t="shared" si="1678"/>
        <v>12Go Link</v>
      </c>
      <c r="E8762" s="2" t="s">
        <v>4139</v>
      </c>
    </row>
    <row r="8763">
      <c r="A8763" s="2" t="s">
        <v>4927</v>
      </c>
      <c r="B8763" s="2" t="s">
        <v>4965</v>
      </c>
      <c r="C8763" s="2" t="s">
        <v>5311</v>
      </c>
      <c r="D8763" s="3" t="str">
        <f t="shared" si="1678"/>
        <v>12Go Link</v>
      </c>
      <c r="E8763" s="2" t="s">
        <v>3409</v>
      </c>
    </row>
    <row r="8764">
      <c r="A8764" s="2" t="s">
        <v>4927</v>
      </c>
      <c r="B8764" s="2" t="s">
        <v>4967</v>
      </c>
      <c r="C8764" s="2" t="s">
        <v>5312</v>
      </c>
      <c r="D8764" s="3" t="str">
        <f t="shared" ref="D8764:D8766" si="1679">HYPERLINK("https://12go.asia/en/travel/Ambalantota/Induruwa", "12Go Link")</f>
        <v>12Go Link</v>
      </c>
      <c r="E8764" s="2" t="s">
        <v>286</v>
      </c>
    </row>
    <row r="8765">
      <c r="A8765" s="2" t="s">
        <v>4927</v>
      </c>
      <c r="B8765" s="2" t="s">
        <v>4967</v>
      </c>
      <c r="C8765" s="2" t="s">
        <v>5312</v>
      </c>
      <c r="D8765" s="3" t="str">
        <f t="shared" si="1679"/>
        <v>12Go Link</v>
      </c>
      <c r="E8765" s="2" t="s">
        <v>4139</v>
      </c>
    </row>
    <row r="8766">
      <c r="A8766" s="2" t="s">
        <v>4927</v>
      </c>
      <c r="B8766" s="2" t="s">
        <v>4967</v>
      </c>
      <c r="C8766" s="2" t="s">
        <v>5312</v>
      </c>
      <c r="D8766" s="3" t="str">
        <f t="shared" si="1679"/>
        <v>12Go Link</v>
      </c>
      <c r="E8766" s="2" t="s">
        <v>3409</v>
      </c>
    </row>
    <row r="8767">
      <c r="A8767" s="2" t="s">
        <v>4927</v>
      </c>
      <c r="B8767" s="2" t="s">
        <v>4969</v>
      </c>
      <c r="C8767" s="2" t="s">
        <v>5313</v>
      </c>
      <c r="D8767" s="3" t="str">
        <f t="shared" ref="D8767:D8769" si="1680">HYPERLINK("https://12go.asia/en/travel/Ambalantota/Jaffna", "12Go Link")</f>
        <v>12Go Link</v>
      </c>
      <c r="E8767" s="2" t="s">
        <v>286</v>
      </c>
    </row>
    <row r="8768">
      <c r="A8768" s="2" t="s">
        <v>4927</v>
      </c>
      <c r="B8768" s="2" t="s">
        <v>4969</v>
      </c>
      <c r="C8768" s="2" t="s">
        <v>5313</v>
      </c>
      <c r="D8768" s="3" t="str">
        <f t="shared" si="1680"/>
        <v>12Go Link</v>
      </c>
      <c r="E8768" s="2" t="s">
        <v>4139</v>
      </c>
    </row>
    <row r="8769">
      <c r="A8769" s="2" t="s">
        <v>4927</v>
      </c>
      <c r="B8769" s="2" t="s">
        <v>4969</v>
      </c>
      <c r="C8769" s="2" t="s">
        <v>5313</v>
      </c>
      <c r="D8769" s="3" t="str">
        <f t="shared" si="1680"/>
        <v>12Go Link</v>
      </c>
      <c r="E8769" s="2" t="s">
        <v>3409</v>
      </c>
    </row>
    <row r="8770">
      <c r="A8770" s="2" t="s">
        <v>4927</v>
      </c>
      <c r="B8770" s="2" t="s">
        <v>4971</v>
      </c>
      <c r="C8770" s="2" t="s">
        <v>5314</v>
      </c>
      <c r="D8770" s="3" t="str">
        <f t="shared" ref="D8770:D8772" si="1681">HYPERLINK("https://12go.asia/en/travel/Ambalantota/Kalapuwa", "12Go Link")</f>
        <v>12Go Link</v>
      </c>
      <c r="E8770" s="2" t="s">
        <v>286</v>
      </c>
    </row>
    <row r="8771">
      <c r="A8771" s="2" t="s">
        <v>4927</v>
      </c>
      <c r="B8771" s="2" t="s">
        <v>4971</v>
      </c>
      <c r="C8771" s="2" t="s">
        <v>5314</v>
      </c>
      <c r="D8771" s="3" t="str">
        <f t="shared" si="1681"/>
        <v>12Go Link</v>
      </c>
      <c r="E8771" s="2" t="s">
        <v>4139</v>
      </c>
    </row>
    <row r="8772">
      <c r="A8772" s="2" t="s">
        <v>4927</v>
      </c>
      <c r="B8772" s="2" t="s">
        <v>4971</v>
      </c>
      <c r="C8772" s="2" t="s">
        <v>5314</v>
      </c>
      <c r="D8772" s="3" t="str">
        <f t="shared" si="1681"/>
        <v>12Go Link</v>
      </c>
      <c r="E8772" s="2" t="s">
        <v>3409</v>
      </c>
    </row>
    <row r="8773">
      <c r="A8773" s="2" t="s">
        <v>4927</v>
      </c>
      <c r="B8773" s="2" t="s">
        <v>4973</v>
      </c>
      <c r="C8773" s="2" t="s">
        <v>5315</v>
      </c>
      <c r="D8773" s="3" t="str">
        <f t="shared" ref="D8773:D8775" si="1682">HYPERLINK("https://12go.asia/en/travel/Ambalantota/Digana", "12Go Link")</f>
        <v>12Go Link</v>
      </c>
      <c r="E8773" s="2" t="s">
        <v>286</v>
      </c>
    </row>
    <row r="8774">
      <c r="A8774" s="2" t="s">
        <v>4927</v>
      </c>
      <c r="B8774" s="2" t="s">
        <v>4973</v>
      </c>
      <c r="C8774" s="2" t="s">
        <v>5315</v>
      </c>
      <c r="D8774" s="3" t="str">
        <f t="shared" si="1682"/>
        <v>12Go Link</v>
      </c>
      <c r="E8774" s="2" t="s">
        <v>4139</v>
      </c>
    </row>
    <row r="8775">
      <c r="A8775" s="2" t="s">
        <v>4927</v>
      </c>
      <c r="B8775" s="2" t="s">
        <v>4973</v>
      </c>
      <c r="C8775" s="2" t="s">
        <v>5315</v>
      </c>
      <c r="D8775" s="3" t="str">
        <f t="shared" si="1682"/>
        <v>12Go Link</v>
      </c>
      <c r="E8775" s="2" t="s">
        <v>3409</v>
      </c>
    </row>
    <row r="8776">
      <c r="A8776" s="2" t="s">
        <v>4927</v>
      </c>
      <c r="B8776" s="2" t="s">
        <v>4976</v>
      </c>
      <c r="C8776" s="2" t="s">
        <v>5316</v>
      </c>
      <c r="D8776" s="3" t="str">
        <f t="shared" ref="D8776:D8778" si="1683">HYPERLINK("https://12go.asia/en/travel/Ambalantota/Kataragama", "12Go Link")</f>
        <v>12Go Link</v>
      </c>
      <c r="E8776" s="2" t="s">
        <v>286</v>
      </c>
    </row>
    <row r="8777">
      <c r="A8777" s="2" t="s">
        <v>4927</v>
      </c>
      <c r="B8777" s="2" t="s">
        <v>4976</v>
      </c>
      <c r="C8777" s="2" t="s">
        <v>5316</v>
      </c>
      <c r="D8777" s="3" t="str">
        <f t="shared" si="1683"/>
        <v>12Go Link</v>
      </c>
      <c r="E8777" s="2" t="s">
        <v>4139</v>
      </c>
    </row>
    <row r="8778">
      <c r="A8778" s="2" t="s">
        <v>4927</v>
      </c>
      <c r="B8778" s="2" t="s">
        <v>4976</v>
      </c>
      <c r="C8778" s="2" t="s">
        <v>5316</v>
      </c>
      <c r="D8778" s="3" t="str">
        <f t="shared" si="1683"/>
        <v>12Go Link</v>
      </c>
      <c r="E8778" s="2" t="s">
        <v>3409</v>
      </c>
    </row>
    <row r="8779">
      <c r="A8779" s="2" t="s">
        <v>4927</v>
      </c>
      <c r="B8779" s="2" t="s">
        <v>4978</v>
      </c>
      <c r="C8779" s="2" t="s">
        <v>5317</v>
      </c>
      <c r="D8779" s="3" t="str">
        <f t="shared" ref="D8779:D8781" si="1684">HYPERLINK("https://12go.asia/en/travel/Ambalantota/Alawathupitiya", "12Go Link")</f>
        <v>12Go Link</v>
      </c>
      <c r="E8779" s="2" t="s">
        <v>286</v>
      </c>
    </row>
    <row r="8780">
      <c r="A8780" s="2" t="s">
        <v>4927</v>
      </c>
      <c r="B8780" s="2" t="s">
        <v>4978</v>
      </c>
      <c r="C8780" s="2" t="s">
        <v>5317</v>
      </c>
      <c r="D8780" s="3" t="str">
        <f t="shared" si="1684"/>
        <v>12Go Link</v>
      </c>
      <c r="E8780" s="2" t="s">
        <v>4139</v>
      </c>
    </row>
    <row r="8781">
      <c r="A8781" s="2" t="s">
        <v>4927</v>
      </c>
      <c r="B8781" s="2" t="s">
        <v>4978</v>
      </c>
      <c r="C8781" s="2" t="s">
        <v>5317</v>
      </c>
      <c r="D8781" s="3" t="str">
        <f t="shared" si="1684"/>
        <v>12Go Link</v>
      </c>
      <c r="E8781" s="2" t="s">
        <v>3409</v>
      </c>
    </row>
    <row r="8782">
      <c r="A8782" s="2" t="s">
        <v>4927</v>
      </c>
      <c r="B8782" s="2" t="s">
        <v>4980</v>
      </c>
      <c r="C8782" s="2" t="s">
        <v>5318</v>
      </c>
      <c r="D8782" s="3" t="str">
        <f t="shared" ref="D8782:D8784" si="1685">HYPERLINK("https://12go.asia/en/travel/Ambalantota/Pinnawala", "12Go Link")</f>
        <v>12Go Link</v>
      </c>
      <c r="E8782" s="2" t="s">
        <v>286</v>
      </c>
    </row>
    <row r="8783">
      <c r="A8783" s="2" t="s">
        <v>4927</v>
      </c>
      <c r="B8783" s="2" t="s">
        <v>4980</v>
      </c>
      <c r="C8783" s="2" t="s">
        <v>5318</v>
      </c>
      <c r="D8783" s="3" t="str">
        <f t="shared" si="1685"/>
        <v>12Go Link</v>
      </c>
      <c r="E8783" s="2" t="s">
        <v>4139</v>
      </c>
    </row>
    <row r="8784">
      <c r="A8784" s="2" t="s">
        <v>4927</v>
      </c>
      <c r="B8784" s="2" t="s">
        <v>4980</v>
      </c>
      <c r="C8784" s="2" t="s">
        <v>5318</v>
      </c>
      <c r="D8784" s="3" t="str">
        <f t="shared" si="1685"/>
        <v>12Go Link</v>
      </c>
      <c r="E8784" s="2" t="s">
        <v>3409</v>
      </c>
    </row>
    <row r="8785">
      <c r="A8785" s="2" t="s">
        <v>4927</v>
      </c>
      <c r="B8785" s="2" t="s">
        <v>4982</v>
      </c>
      <c r="C8785" s="2" t="s">
        <v>5319</v>
      </c>
      <c r="D8785" s="3" t="str">
        <f t="shared" ref="D8785:D8787" si="1686">HYPERLINK("https://12go.asia/en/travel/Ambalantota/Kitulgala", "12Go Link")</f>
        <v>12Go Link</v>
      </c>
      <c r="E8785" s="2" t="s">
        <v>286</v>
      </c>
    </row>
    <row r="8786">
      <c r="A8786" s="2" t="s">
        <v>4927</v>
      </c>
      <c r="B8786" s="2" t="s">
        <v>4982</v>
      </c>
      <c r="C8786" s="2" t="s">
        <v>5319</v>
      </c>
      <c r="D8786" s="3" t="str">
        <f t="shared" si="1686"/>
        <v>12Go Link</v>
      </c>
      <c r="E8786" s="2" t="s">
        <v>4139</v>
      </c>
    </row>
    <row r="8787">
      <c r="A8787" s="2" t="s">
        <v>4927</v>
      </c>
      <c r="B8787" s="2" t="s">
        <v>4982</v>
      </c>
      <c r="C8787" s="2" t="s">
        <v>5319</v>
      </c>
      <c r="D8787" s="3" t="str">
        <f t="shared" si="1686"/>
        <v>12Go Link</v>
      </c>
      <c r="E8787" s="2" t="s">
        <v>3409</v>
      </c>
    </row>
    <row r="8788">
      <c r="A8788" s="2" t="s">
        <v>4927</v>
      </c>
      <c r="B8788" s="2" t="s">
        <v>4984</v>
      </c>
      <c r="C8788" s="2" t="s">
        <v>5320</v>
      </c>
      <c r="D8788" s="3" t="str">
        <f t="shared" ref="D8788:D8790" si="1687">HYPERLINK("https://12go.asia/en/travel/Ambalantota/Habaraduwa", "12Go Link")</f>
        <v>12Go Link</v>
      </c>
      <c r="E8788" s="2" t="s">
        <v>286</v>
      </c>
    </row>
    <row r="8789">
      <c r="A8789" s="2" t="s">
        <v>4927</v>
      </c>
      <c r="B8789" s="2" t="s">
        <v>4984</v>
      </c>
      <c r="C8789" s="2" t="s">
        <v>5320</v>
      </c>
      <c r="D8789" s="3" t="str">
        <f t="shared" si="1687"/>
        <v>12Go Link</v>
      </c>
      <c r="E8789" s="2" t="s">
        <v>4139</v>
      </c>
    </row>
    <row r="8790">
      <c r="A8790" s="2" t="s">
        <v>4927</v>
      </c>
      <c r="B8790" s="2" t="s">
        <v>4984</v>
      </c>
      <c r="C8790" s="2" t="s">
        <v>5320</v>
      </c>
      <c r="D8790" s="3" t="str">
        <f t="shared" si="1687"/>
        <v>12Go Link</v>
      </c>
      <c r="E8790" s="2" t="s">
        <v>3409</v>
      </c>
    </row>
    <row r="8791">
      <c r="A8791" s="2" t="s">
        <v>4927</v>
      </c>
      <c r="B8791" s="2" t="s">
        <v>4986</v>
      </c>
      <c r="C8791" s="2" t="s">
        <v>5321</v>
      </c>
      <c r="D8791" s="3" t="str">
        <f t="shared" ref="D8791:D8793" si="1688">HYPERLINK("https://12go.asia/en/travel/Ambalantota/Kosgoda", "12Go Link")</f>
        <v>12Go Link</v>
      </c>
      <c r="E8791" s="2" t="s">
        <v>286</v>
      </c>
    </row>
    <row r="8792">
      <c r="A8792" s="2" t="s">
        <v>4927</v>
      </c>
      <c r="B8792" s="2" t="s">
        <v>4986</v>
      </c>
      <c r="C8792" s="2" t="s">
        <v>5321</v>
      </c>
      <c r="D8792" s="3" t="str">
        <f t="shared" si="1688"/>
        <v>12Go Link</v>
      </c>
      <c r="E8792" s="2" t="s">
        <v>4139</v>
      </c>
    </row>
    <row r="8793">
      <c r="A8793" s="2" t="s">
        <v>4927</v>
      </c>
      <c r="B8793" s="2" t="s">
        <v>4986</v>
      </c>
      <c r="C8793" s="2" t="s">
        <v>5321</v>
      </c>
      <c r="D8793" s="3" t="str">
        <f t="shared" si="1688"/>
        <v>12Go Link</v>
      </c>
      <c r="E8793" s="2" t="s">
        <v>3409</v>
      </c>
    </row>
    <row r="8794">
      <c r="A8794" s="2" t="s">
        <v>4927</v>
      </c>
      <c r="B8794" s="2" t="s">
        <v>4988</v>
      </c>
      <c r="C8794" s="2" t="s">
        <v>5322</v>
      </c>
      <c r="D8794" s="3" t="str">
        <f t="shared" ref="D8794:D8796" si="1689">HYPERLINK("https://12go.asia/en/travel/Ambalantota/Kuchchaveli", "12Go Link")</f>
        <v>12Go Link</v>
      </c>
      <c r="E8794" s="2" t="s">
        <v>286</v>
      </c>
    </row>
    <row r="8795">
      <c r="A8795" s="2" t="s">
        <v>4927</v>
      </c>
      <c r="B8795" s="2" t="s">
        <v>4988</v>
      </c>
      <c r="C8795" s="2" t="s">
        <v>5322</v>
      </c>
      <c r="D8795" s="3" t="str">
        <f t="shared" si="1689"/>
        <v>12Go Link</v>
      </c>
      <c r="E8795" s="2" t="s">
        <v>4139</v>
      </c>
    </row>
    <row r="8796">
      <c r="A8796" s="2" t="s">
        <v>4927</v>
      </c>
      <c r="B8796" s="2" t="s">
        <v>4988</v>
      </c>
      <c r="C8796" s="2" t="s">
        <v>5322</v>
      </c>
      <c r="D8796" s="3" t="str">
        <f t="shared" si="1689"/>
        <v>12Go Link</v>
      </c>
      <c r="E8796" s="2" t="s">
        <v>3409</v>
      </c>
    </row>
    <row r="8797">
      <c r="A8797" s="2" t="s">
        <v>4927</v>
      </c>
      <c r="B8797" s="2" t="s">
        <v>4990</v>
      </c>
      <c r="C8797" s="2" t="s">
        <v>5323</v>
      </c>
      <c r="D8797" s="3" t="str">
        <f t="shared" ref="D8797:D8799" si="1690">HYPERLINK("https://12go.asia/en/travel/Ambalantota/Mannar", "12Go Link")</f>
        <v>12Go Link</v>
      </c>
      <c r="E8797" s="2" t="s">
        <v>286</v>
      </c>
    </row>
    <row r="8798">
      <c r="A8798" s="2" t="s">
        <v>4927</v>
      </c>
      <c r="B8798" s="2" t="s">
        <v>4990</v>
      </c>
      <c r="C8798" s="2" t="s">
        <v>5323</v>
      </c>
      <c r="D8798" s="3" t="str">
        <f t="shared" si="1690"/>
        <v>12Go Link</v>
      </c>
      <c r="E8798" s="2" t="s">
        <v>4139</v>
      </c>
    </row>
    <row r="8799">
      <c r="A8799" s="2" t="s">
        <v>4927</v>
      </c>
      <c r="B8799" s="2" t="s">
        <v>4990</v>
      </c>
      <c r="C8799" s="2" t="s">
        <v>5323</v>
      </c>
      <c r="D8799" s="3" t="str">
        <f t="shared" si="1690"/>
        <v>12Go Link</v>
      </c>
      <c r="E8799" s="2" t="s">
        <v>3409</v>
      </c>
    </row>
    <row r="8800">
      <c r="A8800" s="2" t="s">
        <v>4927</v>
      </c>
      <c r="B8800" s="2" t="s">
        <v>4992</v>
      </c>
      <c r="C8800" s="2" t="s">
        <v>5324</v>
      </c>
      <c r="D8800" s="3" t="str">
        <f t="shared" ref="D8800:D8802" si="1691">HYPERLINK("https://12go.asia/en/travel/Ambalantota/Kinigama", "12Go Link")</f>
        <v>12Go Link</v>
      </c>
      <c r="E8800" s="2" t="s">
        <v>286</v>
      </c>
    </row>
    <row r="8801">
      <c r="A8801" s="2" t="s">
        <v>4927</v>
      </c>
      <c r="B8801" s="2" t="s">
        <v>4992</v>
      </c>
      <c r="C8801" s="2" t="s">
        <v>5324</v>
      </c>
      <c r="D8801" s="3" t="str">
        <f t="shared" si="1691"/>
        <v>12Go Link</v>
      </c>
      <c r="E8801" s="2" t="s">
        <v>4139</v>
      </c>
    </row>
    <row r="8802">
      <c r="A8802" s="2" t="s">
        <v>4927</v>
      </c>
      <c r="B8802" s="2" t="s">
        <v>4992</v>
      </c>
      <c r="C8802" s="2" t="s">
        <v>5324</v>
      </c>
      <c r="D8802" s="3" t="str">
        <f t="shared" si="1691"/>
        <v>12Go Link</v>
      </c>
      <c r="E8802" s="2" t="s">
        <v>3409</v>
      </c>
    </row>
    <row r="8803">
      <c r="A8803" s="2" t="s">
        <v>4927</v>
      </c>
      <c r="B8803" s="2" t="s">
        <v>4994</v>
      </c>
      <c r="C8803" s="2" t="s">
        <v>5325</v>
      </c>
      <c r="D8803" s="3" t="str">
        <f t="shared" ref="D8803:D8805" si="1692">HYPERLINK("https://12go.asia/en/travel/Ambalantota/Kalamatiya", "12Go Link")</f>
        <v>12Go Link</v>
      </c>
      <c r="E8803" s="2" t="s">
        <v>286</v>
      </c>
    </row>
    <row r="8804">
      <c r="A8804" s="2" t="s">
        <v>4927</v>
      </c>
      <c r="B8804" s="2" t="s">
        <v>4994</v>
      </c>
      <c r="C8804" s="2" t="s">
        <v>5325</v>
      </c>
      <c r="D8804" s="3" t="str">
        <f t="shared" si="1692"/>
        <v>12Go Link</v>
      </c>
      <c r="E8804" s="2" t="s">
        <v>4139</v>
      </c>
    </row>
    <row r="8805">
      <c r="A8805" s="2" t="s">
        <v>4927</v>
      </c>
      <c r="B8805" s="2" t="s">
        <v>4994</v>
      </c>
      <c r="C8805" s="2" t="s">
        <v>5325</v>
      </c>
      <c r="D8805" s="3" t="str">
        <f t="shared" si="1692"/>
        <v>12Go Link</v>
      </c>
      <c r="E8805" s="2" t="s">
        <v>3409</v>
      </c>
    </row>
    <row r="8806">
      <c r="A8806" s="2" t="s">
        <v>4927</v>
      </c>
      <c r="B8806" s="2" t="s">
        <v>4996</v>
      </c>
      <c r="C8806" s="2" t="s">
        <v>5326</v>
      </c>
      <c r="D8806" s="3" t="str">
        <f t="shared" ref="D8806:D8808" si="1693">HYPERLINK("https://12go.asia/en/travel/Ambalantota/mirissa", "12Go Link")</f>
        <v>12Go Link</v>
      </c>
      <c r="E8806" s="2" t="s">
        <v>286</v>
      </c>
    </row>
    <row r="8807">
      <c r="A8807" s="2" t="s">
        <v>4927</v>
      </c>
      <c r="B8807" s="2" t="s">
        <v>4996</v>
      </c>
      <c r="C8807" s="2" t="s">
        <v>5326</v>
      </c>
      <c r="D8807" s="3" t="str">
        <f t="shared" si="1693"/>
        <v>12Go Link</v>
      </c>
      <c r="E8807" s="2" t="s">
        <v>4139</v>
      </c>
    </row>
    <row r="8808">
      <c r="A8808" s="2" t="s">
        <v>4927</v>
      </c>
      <c r="B8808" s="2" t="s">
        <v>4996</v>
      </c>
      <c r="C8808" s="2" t="s">
        <v>5326</v>
      </c>
      <c r="D8808" s="3" t="str">
        <f t="shared" si="1693"/>
        <v>12Go Link</v>
      </c>
      <c r="E8808" s="2" t="s">
        <v>3409</v>
      </c>
    </row>
    <row r="8809">
      <c r="A8809" s="2" t="s">
        <v>4927</v>
      </c>
      <c r="B8809" s="2" t="s">
        <v>4998</v>
      </c>
      <c r="C8809" s="2" t="s">
        <v>5327</v>
      </c>
      <c r="D8809" s="3" t="str">
        <f t="shared" ref="D8809:D8811" si="1694">HYPERLINK("https://12go.asia/en/travel/Ambalantota/Nanu-Oya", "12Go Link")</f>
        <v>12Go Link</v>
      </c>
      <c r="E8809" s="2" t="s">
        <v>286</v>
      </c>
    </row>
    <row r="8810">
      <c r="A8810" s="2" t="s">
        <v>4927</v>
      </c>
      <c r="B8810" s="2" t="s">
        <v>4998</v>
      </c>
      <c r="C8810" s="2" t="s">
        <v>5327</v>
      </c>
      <c r="D8810" s="3" t="str">
        <f t="shared" si="1694"/>
        <v>12Go Link</v>
      </c>
      <c r="E8810" s="2" t="s">
        <v>4139</v>
      </c>
    </row>
    <row r="8811">
      <c r="A8811" s="2" t="s">
        <v>4927</v>
      </c>
      <c r="B8811" s="2" t="s">
        <v>4998</v>
      </c>
      <c r="C8811" s="2" t="s">
        <v>5327</v>
      </c>
      <c r="D8811" s="3" t="str">
        <f t="shared" si="1694"/>
        <v>12Go Link</v>
      </c>
      <c r="E8811" s="2" t="s">
        <v>3409</v>
      </c>
    </row>
    <row r="8812">
      <c r="A8812" s="2" t="s">
        <v>4927</v>
      </c>
      <c r="B8812" s="2" t="s">
        <v>5000</v>
      </c>
      <c r="C8812" s="2" t="s">
        <v>5328</v>
      </c>
      <c r="D8812" s="3" t="str">
        <f t="shared" ref="D8812:D8814" si="1695">HYPERLINK("https://12go.asia/en/travel/Ambalantota/Waikkal", "12Go Link")</f>
        <v>12Go Link</v>
      </c>
      <c r="E8812" s="2" t="s">
        <v>286</v>
      </c>
    </row>
    <row r="8813">
      <c r="A8813" s="2" t="s">
        <v>4927</v>
      </c>
      <c r="B8813" s="2" t="s">
        <v>5000</v>
      </c>
      <c r="C8813" s="2" t="s">
        <v>5328</v>
      </c>
      <c r="D8813" s="3" t="str">
        <f t="shared" si="1695"/>
        <v>12Go Link</v>
      </c>
      <c r="E8813" s="2" t="s">
        <v>4139</v>
      </c>
    </row>
    <row r="8814">
      <c r="A8814" s="2" t="s">
        <v>4927</v>
      </c>
      <c r="B8814" s="2" t="s">
        <v>5000</v>
      </c>
      <c r="C8814" s="2" t="s">
        <v>5328</v>
      </c>
      <c r="D8814" s="3" t="str">
        <f t="shared" si="1695"/>
        <v>12Go Link</v>
      </c>
      <c r="E8814" s="2" t="s">
        <v>3409</v>
      </c>
    </row>
    <row r="8815">
      <c r="A8815" s="2" t="s">
        <v>4927</v>
      </c>
      <c r="B8815" s="2" t="s">
        <v>5003</v>
      </c>
      <c r="C8815" s="2" t="s">
        <v>5329</v>
      </c>
      <c r="D8815" s="3" t="str">
        <f t="shared" ref="D8815:D8817" si="1696">HYPERLINK("https://12go.asia/en/travel/Ambalantota/Nilaveli", "12Go Link")</f>
        <v>12Go Link</v>
      </c>
      <c r="E8815" s="2" t="s">
        <v>286</v>
      </c>
    </row>
    <row r="8816">
      <c r="A8816" s="2" t="s">
        <v>4927</v>
      </c>
      <c r="B8816" s="2" t="s">
        <v>5003</v>
      </c>
      <c r="C8816" s="2" t="s">
        <v>5329</v>
      </c>
      <c r="D8816" s="3" t="str">
        <f t="shared" si="1696"/>
        <v>12Go Link</v>
      </c>
      <c r="E8816" s="2" t="s">
        <v>4139</v>
      </c>
    </row>
    <row r="8817">
      <c r="A8817" s="2" t="s">
        <v>4927</v>
      </c>
      <c r="B8817" s="2" t="s">
        <v>5003</v>
      </c>
      <c r="C8817" s="2" t="s">
        <v>5329</v>
      </c>
      <c r="D8817" s="3" t="str">
        <f t="shared" si="1696"/>
        <v>12Go Link</v>
      </c>
      <c r="E8817" s="2" t="s">
        <v>3409</v>
      </c>
    </row>
    <row r="8818">
      <c r="A8818" s="2" t="s">
        <v>4927</v>
      </c>
      <c r="B8818" s="2" t="s">
        <v>5007</v>
      </c>
      <c r="C8818" s="2" t="s">
        <v>5330</v>
      </c>
      <c r="D8818" s="3" t="str">
        <f t="shared" ref="D8818:D8820" si="1697">HYPERLINK("https://12go.asia/en/travel/Ambalantota/Pasikuda", "12Go Link")</f>
        <v>12Go Link</v>
      </c>
      <c r="E8818" s="2" t="s">
        <v>286</v>
      </c>
    </row>
    <row r="8819">
      <c r="A8819" s="2" t="s">
        <v>4927</v>
      </c>
      <c r="B8819" s="2" t="s">
        <v>5007</v>
      </c>
      <c r="C8819" s="2" t="s">
        <v>5330</v>
      </c>
      <c r="D8819" s="3" t="str">
        <f t="shared" si="1697"/>
        <v>12Go Link</v>
      </c>
      <c r="E8819" s="2" t="s">
        <v>4139</v>
      </c>
    </row>
    <row r="8820">
      <c r="A8820" s="2" t="s">
        <v>4927</v>
      </c>
      <c r="B8820" s="2" t="s">
        <v>5007</v>
      </c>
      <c r="C8820" s="2" t="s">
        <v>5330</v>
      </c>
      <c r="D8820" s="3" t="str">
        <f t="shared" si="1697"/>
        <v>12Go Link</v>
      </c>
      <c r="E8820" s="2" t="s">
        <v>3409</v>
      </c>
    </row>
    <row r="8821">
      <c r="A8821" s="2" t="s">
        <v>4927</v>
      </c>
      <c r="B8821" s="2" t="s">
        <v>5009</v>
      </c>
      <c r="C8821" s="2" t="s">
        <v>5331</v>
      </c>
      <c r="D8821" s="3" t="str">
        <f t="shared" ref="D8821:D8823" si="1698">HYPERLINK("https://12go.asia/en/travel/Ambalantota/Galoya", "12Go Link")</f>
        <v>12Go Link</v>
      </c>
      <c r="E8821" s="2" t="s">
        <v>286</v>
      </c>
    </row>
    <row r="8822">
      <c r="A8822" s="2" t="s">
        <v>4927</v>
      </c>
      <c r="B8822" s="2" t="s">
        <v>5009</v>
      </c>
      <c r="C8822" s="2" t="s">
        <v>5331</v>
      </c>
      <c r="D8822" s="3" t="str">
        <f t="shared" si="1698"/>
        <v>12Go Link</v>
      </c>
      <c r="E8822" s="2" t="s">
        <v>4139</v>
      </c>
    </row>
    <row r="8823">
      <c r="A8823" s="2" t="s">
        <v>4927</v>
      </c>
      <c r="B8823" s="2" t="s">
        <v>5009</v>
      </c>
      <c r="C8823" s="2" t="s">
        <v>5331</v>
      </c>
      <c r="D8823" s="3" t="str">
        <f t="shared" si="1698"/>
        <v>12Go Link</v>
      </c>
      <c r="E8823" s="2" t="s">
        <v>3409</v>
      </c>
    </row>
    <row r="8824">
      <c r="A8824" s="2" t="s">
        <v>4927</v>
      </c>
      <c r="B8824" s="2" t="s">
        <v>5011</v>
      </c>
      <c r="C8824" s="2" t="s">
        <v>5332</v>
      </c>
      <c r="D8824" s="3" t="str">
        <f t="shared" ref="D8824:D8826" si="1699">HYPERLINK("https://12go.asia/en/travel/Ambalantota/Kalpitiya", "12Go Link")</f>
        <v>12Go Link</v>
      </c>
      <c r="E8824" s="2" t="s">
        <v>286</v>
      </c>
    </row>
    <row r="8825">
      <c r="A8825" s="2" t="s">
        <v>4927</v>
      </c>
      <c r="B8825" s="2" t="s">
        <v>5011</v>
      </c>
      <c r="C8825" s="2" t="s">
        <v>5332</v>
      </c>
      <c r="D8825" s="3" t="str">
        <f t="shared" si="1699"/>
        <v>12Go Link</v>
      </c>
      <c r="E8825" s="2" t="s">
        <v>4139</v>
      </c>
    </row>
    <row r="8826">
      <c r="A8826" s="2" t="s">
        <v>4927</v>
      </c>
      <c r="B8826" s="2" t="s">
        <v>5011</v>
      </c>
      <c r="C8826" s="2" t="s">
        <v>5332</v>
      </c>
      <c r="D8826" s="3" t="str">
        <f t="shared" si="1699"/>
        <v>12Go Link</v>
      </c>
      <c r="E8826" s="2" t="s">
        <v>3409</v>
      </c>
    </row>
    <row r="8827">
      <c r="A8827" s="2" t="s">
        <v>4927</v>
      </c>
      <c r="B8827" s="2" t="s">
        <v>5011</v>
      </c>
      <c r="C8827" s="2" t="s">
        <v>5333</v>
      </c>
      <c r="D8827" s="3" t="str">
        <f t="shared" ref="D8827:D8829" si="1700">HYPERLINK("https://12go.asia/en/travel/Ambalantota/Marawila", "12Go Link")</f>
        <v>12Go Link</v>
      </c>
      <c r="E8827" s="2" t="s">
        <v>286</v>
      </c>
    </row>
    <row r="8828">
      <c r="A8828" s="2" t="s">
        <v>4927</v>
      </c>
      <c r="B8828" s="2" t="s">
        <v>5011</v>
      </c>
      <c r="C8828" s="2" t="s">
        <v>5333</v>
      </c>
      <c r="D8828" s="3" t="str">
        <f t="shared" si="1700"/>
        <v>12Go Link</v>
      </c>
      <c r="E8828" s="2" t="s">
        <v>4139</v>
      </c>
    </row>
    <row r="8829">
      <c r="A8829" s="2" t="s">
        <v>4927</v>
      </c>
      <c r="B8829" s="2" t="s">
        <v>5011</v>
      </c>
      <c r="C8829" s="2" t="s">
        <v>5333</v>
      </c>
      <c r="D8829" s="3" t="str">
        <f t="shared" si="1700"/>
        <v>12Go Link</v>
      </c>
      <c r="E8829" s="2" t="s">
        <v>3409</v>
      </c>
    </row>
    <row r="8830">
      <c r="A8830" s="2" t="s">
        <v>4927</v>
      </c>
      <c r="B8830" s="2" t="s">
        <v>5014</v>
      </c>
      <c r="C8830" s="2" t="s">
        <v>5334</v>
      </c>
      <c r="D8830" s="3" t="str">
        <f t="shared" ref="D8830:D8832" si="1701">HYPERLINK("https://12go.asia/en/travel/Ambalantota/Kiriella", "12Go Link")</f>
        <v>12Go Link</v>
      </c>
      <c r="E8830" s="2" t="s">
        <v>286</v>
      </c>
    </row>
    <row r="8831">
      <c r="A8831" s="2" t="s">
        <v>4927</v>
      </c>
      <c r="B8831" s="2" t="s">
        <v>5014</v>
      </c>
      <c r="C8831" s="2" t="s">
        <v>5334</v>
      </c>
      <c r="D8831" s="3" t="str">
        <f t="shared" si="1701"/>
        <v>12Go Link</v>
      </c>
      <c r="E8831" s="2" t="s">
        <v>4139</v>
      </c>
    </row>
    <row r="8832">
      <c r="A8832" s="2" t="s">
        <v>4927</v>
      </c>
      <c r="B8832" s="2" t="s">
        <v>5014</v>
      </c>
      <c r="C8832" s="2" t="s">
        <v>5334</v>
      </c>
      <c r="D8832" s="3" t="str">
        <f t="shared" si="1701"/>
        <v>12Go Link</v>
      </c>
      <c r="E8832" s="2" t="s">
        <v>3409</v>
      </c>
    </row>
    <row r="8833">
      <c r="A8833" s="2" t="s">
        <v>4927</v>
      </c>
      <c r="B8833" s="2" t="s">
        <v>5018</v>
      </c>
      <c r="C8833" s="2" t="s">
        <v>5335</v>
      </c>
      <c r="D8833" s="3" t="str">
        <f t="shared" ref="D8833:D8835" si="1702">HYPERLINK("https://12go.asia/en/travel/Ambalantota/Rekawa", "12Go Link")</f>
        <v>12Go Link</v>
      </c>
      <c r="E8833" s="2" t="s">
        <v>286</v>
      </c>
    </row>
    <row r="8834">
      <c r="A8834" s="2" t="s">
        <v>4927</v>
      </c>
      <c r="B8834" s="2" t="s">
        <v>5018</v>
      </c>
      <c r="C8834" s="2" t="s">
        <v>5335</v>
      </c>
      <c r="D8834" s="3" t="str">
        <f t="shared" si="1702"/>
        <v>12Go Link</v>
      </c>
      <c r="E8834" s="2" t="s">
        <v>4139</v>
      </c>
    </row>
    <row r="8835">
      <c r="A8835" s="2" t="s">
        <v>4927</v>
      </c>
      <c r="B8835" s="2" t="s">
        <v>5018</v>
      </c>
      <c r="C8835" s="2" t="s">
        <v>5335</v>
      </c>
      <c r="D8835" s="3" t="str">
        <f t="shared" si="1702"/>
        <v>12Go Link</v>
      </c>
      <c r="E8835" s="2" t="s">
        <v>3409</v>
      </c>
    </row>
    <row r="8836">
      <c r="A8836" s="2" t="s">
        <v>4927</v>
      </c>
      <c r="B8836" s="2" t="s">
        <v>5020</v>
      </c>
      <c r="C8836" s="2" t="s">
        <v>5336</v>
      </c>
      <c r="D8836" s="3" t="str">
        <f t="shared" ref="D8836:D8838" si="1703">HYPERLINK("https://12go.asia/en/travel/Ambalantota/Tissamaharama", "12Go Link")</f>
        <v>12Go Link</v>
      </c>
      <c r="E8836" s="2" t="s">
        <v>286</v>
      </c>
    </row>
    <row r="8837">
      <c r="A8837" s="2" t="s">
        <v>4927</v>
      </c>
      <c r="B8837" s="2" t="s">
        <v>5020</v>
      </c>
      <c r="C8837" s="2" t="s">
        <v>5336</v>
      </c>
      <c r="D8837" s="3" t="str">
        <f t="shared" si="1703"/>
        <v>12Go Link</v>
      </c>
      <c r="E8837" s="2" t="s">
        <v>4139</v>
      </c>
    </row>
    <row r="8838">
      <c r="A8838" s="2" t="s">
        <v>4927</v>
      </c>
      <c r="B8838" s="2" t="s">
        <v>5020</v>
      </c>
      <c r="C8838" s="2" t="s">
        <v>5336</v>
      </c>
      <c r="D8838" s="3" t="str">
        <f t="shared" si="1703"/>
        <v>12Go Link</v>
      </c>
      <c r="E8838" s="2" t="s">
        <v>3409</v>
      </c>
    </row>
    <row r="8839">
      <c r="A8839" s="2" t="s">
        <v>4927</v>
      </c>
      <c r="B8839" s="2" t="s">
        <v>5020</v>
      </c>
      <c r="C8839" s="2" t="s">
        <v>5337</v>
      </c>
      <c r="D8839" s="3" t="str">
        <f t="shared" ref="D8839:D8841" si="1704">HYPERLINK("https://12go.asia/en/travel/Ambalantota/Yala-Park", "12Go Link")</f>
        <v>12Go Link</v>
      </c>
      <c r="E8839" s="2" t="s">
        <v>286</v>
      </c>
    </row>
    <row r="8840">
      <c r="A8840" s="2" t="s">
        <v>4927</v>
      </c>
      <c r="B8840" s="2" t="s">
        <v>5020</v>
      </c>
      <c r="C8840" s="2" t="s">
        <v>5337</v>
      </c>
      <c r="D8840" s="3" t="str">
        <f t="shared" si="1704"/>
        <v>12Go Link</v>
      </c>
      <c r="E8840" s="2" t="s">
        <v>4139</v>
      </c>
    </row>
    <row r="8841">
      <c r="A8841" s="2" t="s">
        <v>4927</v>
      </c>
      <c r="B8841" s="2" t="s">
        <v>5020</v>
      </c>
      <c r="C8841" s="2" t="s">
        <v>5337</v>
      </c>
      <c r="D8841" s="3" t="str">
        <f t="shared" si="1704"/>
        <v>12Go Link</v>
      </c>
      <c r="E8841" s="2" t="s">
        <v>3409</v>
      </c>
    </row>
    <row r="8842">
      <c r="A8842" s="2" t="s">
        <v>4927</v>
      </c>
      <c r="B8842" s="2" t="s">
        <v>5023</v>
      </c>
      <c r="C8842" s="2" t="s">
        <v>5338</v>
      </c>
      <c r="D8842" s="3" t="str">
        <f t="shared" ref="D8842:D8844" si="1705">HYPERLINK("https://12go.asia/en/travel/Ambalantota/Nilaweli", "12Go Link")</f>
        <v>12Go Link</v>
      </c>
      <c r="E8842" s="2" t="s">
        <v>286</v>
      </c>
    </row>
    <row r="8843">
      <c r="A8843" s="2" t="s">
        <v>4927</v>
      </c>
      <c r="B8843" s="2" t="s">
        <v>5023</v>
      </c>
      <c r="C8843" s="2" t="s">
        <v>5338</v>
      </c>
      <c r="D8843" s="3" t="str">
        <f t="shared" si="1705"/>
        <v>12Go Link</v>
      </c>
      <c r="E8843" s="2" t="s">
        <v>4139</v>
      </c>
    </row>
    <row r="8844">
      <c r="A8844" s="2" t="s">
        <v>4927</v>
      </c>
      <c r="B8844" s="2" t="s">
        <v>5023</v>
      </c>
      <c r="C8844" s="2" t="s">
        <v>5338</v>
      </c>
      <c r="D8844" s="3" t="str">
        <f t="shared" si="1705"/>
        <v>12Go Link</v>
      </c>
      <c r="E8844" s="2" t="s">
        <v>3409</v>
      </c>
    </row>
    <row r="8845">
      <c r="A8845" s="2" t="s">
        <v>4927</v>
      </c>
      <c r="B8845" s="2" t="s">
        <v>5025</v>
      </c>
      <c r="C8845" s="2" t="s">
        <v>5339</v>
      </c>
      <c r="D8845" s="3" t="str">
        <f t="shared" ref="D8845:D8847" si="1706">HYPERLINK("https://12go.asia/en/travel/Ambalantota/Udawalawa", "12Go Link")</f>
        <v>12Go Link</v>
      </c>
      <c r="E8845" s="2" t="s">
        <v>286</v>
      </c>
    </row>
    <row r="8846">
      <c r="A8846" s="2" t="s">
        <v>4927</v>
      </c>
      <c r="B8846" s="2" t="s">
        <v>5025</v>
      </c>
      <c r="C8846" s="2" t="s">
        <v>5339</v>
      </c>
      <c r="D8846" s="3" t="str">
        <f t="shared" si="1706"/>
        <v>12Go Link</v>
      </c>
      <c r="E8846" s="2" t="s">
        <v>4139</v>
      </c>
    </row>
    <row r="8847">
      <c r="A8847" s="2" t="s">
        <v>4927</v>
      </c>
      <c r="B8847" s="2" t="s">
        <v>5025</v>
      </c>
      <c r="C8847" s="2" t="s">
        <v>5339</v>
      </c>
      <c r="D8847" s="3" t="str">
        <f t="shared" si="1706"/>
        <v>12Go Link</v>
      </c>
      <c r="E8847" s="2" t="s">
        <v>3409</v>
      </c>
    </row>
    <row r="8848">
      <c r="A8848" s="2" t="s">
        <v>4927</v>
      </c>
      <c r="B8848" s="2" t="s">
        <v>5027</v>
      </c>
      <c r="C8848" s="2" t="s">
        <v>5340</v>
      </c>
      <c r="D8848" s="3" t="str">
        <f t="shared" ref="D8848:D8850" si="1707">HYPERLINK("https://12go.asia/en/travel/Ambalantota/Unawatuna", "12Go Link")</f>
        <v>12Go Link</v>
      </c>
      <c r="E8848" s="2" t="s">
        <v>286</v>
      </c>
    </row>
    <row r="8849">
      <c r="A8849" s="2" t="s">
        <v>4927</v>
      </c>
      <c r="B8849" s="2" t="s">
        <v>5027</v>
      </c>
      <c r="C8849" s="2" t="s">
        <v>5340</v>
      </c>
      <c r="D8849" s="3" t="str">
        <f t="shared" si="1707"/>
        <v>12Go Link</v>
      </c>
      <c r="E8849" s="2" t="s">
        <v>4139</v>
      </c>
    </row>
    <row r="8850">
      <c r="A8850" s="2" t="s">
        <v>4927</v>
      </c>
      <c r="B8850" s="2" t="s">
        <v>5027</v>
      </c>
      <c r="C8850" s="2" t="s">
        <v>5340</v>
      </c>
      <c r="D8850" s="3" t="str">
        <f t="shared" si="1707"/>
        <v>12Go Link</v>
      </c>
      <c r="E8850" s="2" t="s">
        <v>3409</v>
      </c>
    </row>
    <row r="8851">
      <c r="A8851" s="2" t="s">
        <v>4927</v>
      </c>
      <c r="B8851" s="2" t="s">
        <v>5029</v>
      </c>
      <c r="C8851" s="2" t="s">
        <v>5341</v>
      </c>
      <c r="D8851" s="3" t="str">
        <f t="shared" ref="D8851:D8853" si="1708">HYPERLINK("https://12go.asia/en/travel/Ambalantota/Attanagalla", "12Go Link")</f>
        <v>12Go Link</v>
      </c>
      <c r="E8851" s="2" t="s">
        <v>286</v>
      </c>
    </row>
    <row r="8852">
      <c r="A8852" s="2" t="s">
        <v>4927</v>
      </c>
      <c r="B8852" s="2" t="s">
        <v>5029</v>
      </c>
      <c r="C8852" s="2" t="s">
        <v>5341</v>
      </c>
      <c r="D8852" s="3" t="str">
        <f t="shared" si="1708"/>
        <v>12Go Link</v>
      </c>
      <c r="E8852" s="2" t="s">
        <v>4139</v>
      </c>
    </row>
    <row r="8853">
      <c r="A8853" s="2" t="s">
        <v>4927</v>
      </c>
      <c r="B8853" s="2" t="s">
        <v>5029</v>
      </c>
      <c r="C8853" s="2" t="s">
        <v>5341</v>
      </c>
      <c r="D8853" s="3" t="str">
        <f t="shared" si="1708"/>
        <v>12Go Link</v>
      </c>
      <c r="E8853" s="2" t="s">
        <v>3409</v>
      </c>
    </row>
    <row r="8854">
      <c r="A8854" s="2" t="s">
        <v>4927</v>
      </c>
      <c r="B8854" s="2" t="s">
        <v>5031</v>
      </c>
      <c r="C8854" s="2" t="s">
        <v>5342</v>
      </c>
      <c r="D8854" s="3" t="str">
        <f t="shared" ref="D8854:D8856" si="1709">HYPERLINK("https://12go.asia/en/travel/Ambalantota/Moronthuduwa", "12Go Link")</f>
        <v>12Go Link</v>
      </c>
      <c r="E8854" s="2" t="s">
        <v>286</v>
      </c>
    </row>
    <row r="8855">
      <c r="A8855" s="2" t="s">
        <v>4927</v>
      </c>
      <c r="B8855" s="2" t="s">
        <v>5031</v>
      </c>
      <c r="C8855" s="2" t="s">
        <v>5342</v>
      </c>
      <c r="D8855" s="3" t="str">
        <f t="shared" si="1709"/>
        <v>12Go Link</v>
      </c>
      <c r="E8855" s="2" t="s">
        <v>4139</v>
      </c>
    </row>
    <row r="8856">
      <c r="A8856" s="2" t="s">
        <v>4927</v>
      </c>
      <c r="B8856" s="2" t="s">
        <v>5031</v>
      </c>
      <c r="C8856" s="2" t="s">
        <v>5342</v>
      </c>
      <c r="D8856" s="3" t="str">
        <f t="shared" si="1709"/>
        <v>12Go Link</v>
      </c>
      <c r="E8856" s="2" t="s">
        <v>3409</v>
      </c>
    </row>
    <row r="8857">
      <c r="A8857" s="2" t="s">
        <v>4927</v>
      </c>
      <c r="B8857" s="2" t="s">
        <v>5031</v>
      </c>
      <c r="C8857" s="2" t="s">
        <v>5343</v>
      </c>
      <c r="D8857" s="3" t="str">
        <f t="shared" ref="D8857:D8859" si="1710">HYPERLINK("https://12go.asia/en/travel/Ambalantota/Waskaduwa", "12Go Link")</f>
        <v>12Go Link</v>
      </c>
      <c r="E8857" s="2" t="s">
        <v>286</v>
      </c>
    </row>
    <row r="8858">
      <c r="A8858" s="2" t="s">
        <v>4927</v>
      </c>
      <c r="B8858" s="2" t="s">
        <v>5031</v>
      </c>
      <c r="C8858" s="2" t="s">
        <v>5343</v>
      </c>
      <c r="D8858" s="3" t="str">
        <f t="shared" si="1710"/>
        <v>12Go Link</v>
      </c>
      <c r="E8858" s="2" t="s">
        <v>4139</v>
      </c>
    </row>
    <row r="8859">
      <c r="A8859" s="2" t="s">
        <v>4927</v>
      </c>
      <c r="B8859" s="2" t="s">
        <v>5031</v>
      </c>
      <c r="C8859" s="2" t="s">
        <v>5343</v>
      </c>
      <c r="D8859" s="3" t="str">
        <f t="shared" si="1710"/>
        <v>12Go Link</v>
      </c>
      <c r="E8859" s="2" t="s">
        <v>3409</v>
      </c>
    </row>
    <row r="8860">
      <c r="A8860" s="2" t="s">
        <v>4927</v>
      </c>
      <c r="B8860" s="2" t="s">
        <v>5034</v>
      </c>
      <c r="C8860" s="2" t="s">
        <v>5344</v>
      </c>
      <c r="D8860" s="3" t="str">
        <f t="shared" ref="D8860:D8862" si="1711">HYPERLINK("https://12go.asia/en/travel/Ambalantota/Weddagala", "12Go Link")</f>
        <v>12Go Link</v>
      </c>
      <c r="E8860" s="2" t="s">
        <v>286</v>
      </c>
    </row>
    <row r="8861">
      <c r="A8861" s="2" t="s">
        <v>4927</v>
      </c>
      <c r="B8861" s="2" t="s">
        <v>5034</v>
      </c>
      <c r="C8861" s="2" t="s">
        <v>5344</v>
      </c>
      <c r="D8861" s="3" t="str">
        <f t="shared" si="1711"/>
        <v>12Go Link</v>
      </c>
      <c r="E8861" s="2" t="s">
        <v>4139</v>
      </c>
    </row>
    <row r="8862">
      <c r="A8862" s="2" t="s">
        <v>4927</v>
      </c>
      <c r="B8862" s="2" t="s">
        <v>5034</v>
      </c>
      <c r="C8862" s="2" t="s">
        <v>5344</v>
      </c>
      <c r="D8862" s="3" t="str">
        <f t="shared" si="1711"/>
        <v>12Go Link</v>
      </c>
      <c r="E8862" s="2" t="s">
        <v>3409</v>
      </c>
    </row>
    <row r="8863">
      <c r="A8863" s="2" t="s">
        <v>4927</v>
      </c>
      <c r="B8863" s="2" t="s">
        <v>5036</v>
      </c>
      <c r="C8863" s="2" t="s">
        <v>5345</v>
      </c>
      <c r="D8863" s="3" t="str">
        <f t="shared" ref="D8863:D8865" si="1712">HYPERLINK("https://12go.asia/en/travel/Ambalantota/Weligatta", "12Go Link")</f>
        <v>12Go Link</v>
      </c>
      <c r="E8863" s="2" t="s">
        <v>286</v>
      </c>
    </row>
    <row r="8864">
      <c r="A8864" s="2" t="s">
        <v>4927</v>
      </c>
      <c r="B8864" s="2" t="s">
        <v>5036</v>
      </c>
      <c r="C8864" s="2" t="s">
        <v>5345</v>
      </c>
      <c r="D8864" s="3" t="str">
        <f t="shared" si="1712"/>
        <v>12Go Link</v>
      </c>
      <c r="E8864" s="2" t="s">
        <v>4139</v>
      </c>
    </row>
    <row r="8865">
      <c r="A8865" s="2" t="s">
        <v>4927</v>
      </c>
      <c r="B8865" s="2" t="s">
        <v>5036</v>
      </c>
      <c r="C8865" s="2" t="s">
        <v>5345</v>
      </c>
      <c r="D8865" s="3" t="str">
        <f t="shared" si="1712"/>
        <v>12Go Link</v>
      </c>
      <c r="E8865" s="2" t="s">
        <v>3409</v>
      </c>
    </row>
    <row r="8866">
      <c r="A8866" s="2" t="s">
        <v>4927</v>
      </c>
      <c r="B8866" s="2" t="s">
        <v>5038</v>
      </c>
      <c r="C8866" s="2" t="s">
        <v>5346</v>
      </c>
      <c r="D8866" s="3" t="str">
        <f t="shared" ref="D8866:D8868" si="1713">HYPERLINK("https://12go.asia/en/travel/Ambalantota/Akuressa", "12Go Link")</f>
        <v>12Go Link</v>
      </c>
      <c r="E8866" s="2" t="s">
        <v>286</v>
      </c>
    </row>
    <row r="8867">
      <c r="A8867" s="2" t="s">
        <v>4927</v>
      </c>
      <c r="B8867" s="2" t="s">
        <v>5038</v>
      </c>
      <c r="C8867" s="2" t="s">
        <v>5346</v>
      </c>
      <c r="D8867" s="3" t="str">
        <f t="shared" si="1713"/>
        <v>12Go Link</v>
      </c>
      <c r="E8867" s="2" t="s">
        <v>4139</v>
      </c>
    </row>
    <row r="8868">
      <c r="A8868" s="2" t="s">
        <v>4927</v>
      </c>
      <c r="B8868" s="2" t="s">
        <v>5038</v>
      </c>
      <c r="C8868" s="2" t="s">
        <v>5346</v>
      </c>
      <c r="D8868" s="3" t="str">
        <f t="shared" si="1713"/>
        <v>12Go Link</v>
      </c>
      <c r="E8868" s="2" t="s">
        <v>3409</v>
      </c>
    </row>
    <row r="8869">
      <c r="A8869" s="2" t="s">
        <v>4927</v>
      </c>
      <c r="B8869" s="2" t="s">
        <v>5040</v>
      </c>
      <c r="C8869" s="2" t="s">
        <v>5347</v>
      </c>
      <c r="D8869" s="3" t="str">
        <f t="shared" ref="D8869:D8871" si="1714">HYPERLINK("https://12go.asia/en/travel/Ambalantota/Wilpattu", "12Go Link")</f>
        <v>12Go Link</v>
      </c>
      <c r="E8869" s="2" t="s">
        <v>286</v>
      </c>
    </row>
    <row r="8870">
      <c r="A8870" s="2" t="s">
        <v>4927</v>
      </c>
      <c r="B8870" s="2" t="s">
        <v>5040</v>
      </c>
      <c r="C8870" s="2" t="s">
        <v>5347</v>
      </c>
      <c r="D8870" s="3" t="str">
        <f t="shared" si="1714"/>
        <v>12Go Link</v>
      </c>
      <c r="E8870" s="2" t="s">
        <v>4139</v>
      </c>
    </row>
    <row r="8871">
      <c r="A8871" s="2" t="s">
        <v>4927</v>
      </c>
      <c r="B8871" s="2" t="s">
        <v>5040</v>
      </c>
      <c r="C8871" s="2" t="s">
        <v>5347</v>
      </c>
      <c r="D8871" s="3" t="str">
        <f t="shared" si="1714"/>
        <v>12Go Link</v>
      </c>
      <c r="E8871" s="2" t="s">
        <v>3409</v>
      </c>
    </row>
    <row r="8872">
      <c r="A8872" s="2" t="s">
        <v>4929</v>
      </c>
      <c r="B8872" s="2" t="s">
        <v>4918</v>
      </c>
      <c r="C8872" s="2" t="s">
        <v>5348</v>
      </c>
      <c r="D8872" s="3" t="str">
        <f t="shared" ref="D8872:D8874" si="1715">HYPERLINK("https://12go.asia/en/travel/Anuradhapura/Adams-Peak", "12Go Link")</f>
        <v>12Go Link</v>
      </c>
      <c r="E8872" s="2" t="s">
        <v>286</v>
      </c>
    </row>
    <row r="8873">
      <c r="A8873" s="2" t="s">
        <v>4929</v>
      </c>
      <c r="B8873" s="2" t="s">
        <v>4918</v>
      </c>
      <c r="C8873" s="2" t="s">
        <v>5348</v>
      </c>
      <c r="D8873" s="3" t="str">
        <f t="shared" si="1715"/>
        <v>12Go Link</v>
      </c>
      <c r="E8873" s="2" t="s">
        <v>4139</v>
      </c>
    </row>
    <row r="8874">
      <c r="A8874" s="2" t="s">
        <v>4929</v>
      </c>
      <c r="B8874" s="2" t="s">
        <v>4918</v>
      </c>
      <c r="C8874" s="2" t="s">
        <v>5348</v>
      </c>
      <c r="D8874" s="3" t="str">
        <f t="shared" si="1715"/>
        <v>12Go Link</v>
      </c>
      <c r="E8874" s="2" t="s">
        <v>3409</v>
      </c>
    </row>
    <row r="8875">
      <c r="A8875" s="2" t="s">
        <v>4929</v>
      </c>
      <c r="B8875" s="2" t="s">
        <v>4919</v>
      </c>
      <c r="C8875" s="2" t="s">
        <v>5349</v>
      </c>
      <c r="D8875" s="3" t="str">
        <f t="shared" ref="D8875:D8877" si="1716">HYPERLINK("https://12go.asia/en/travel/Anuradhapura/Ahangama", "12Go Link")</f>
        <v>12Go Link</v>
      </c>
      <c r="E8875" s="2" t="s">
        <v>286</v>
      </c>
    </row>
    <row r="8876">
      <c r="A8876" s="2" t="s">
        <v>4929</v>
      </c>
      <c r="B8876" s="2" t="s">
        <v>4919</v>
      </c>
      <c r="C8876" s="2" t="s">
        <v>5349</v>
      </c>
      <c r="D8876" s="3" t="str">
        <f t="shared" si="1716"/>
        <v>12Go Link</v>
      </c>
      <c r="E8876" s="2" t="s">
        <v>4139</v>
      </c>
    </row>
    <row r="8877">
      <c r="A8877" s="2" t="s">
        <v>4929</v>
      </c>
      <c r="B8877" s="2" t="s">
        <v>4919</v>
      </c>
      <c r="C8877" s="2" t="s">
        <v>5349</v>
      </c>
      <c r="D8877" s="3" t="str">
        <f t="shared" si="1716"/>
        <v>12Go Link</v>
      </c>
      <c r="E8877" s="2" t="s">
        <v>3409</v>
      </c>
    </row>
    <row r="8878">
      <c r="A8878" s="2" t="s">
        <v>4929</v>
      </c>
      <c r="B8878" s="2" t="s">
        <v>4921</v>
      </c>
      <c r="C8878" s="2" t="s">
        <v>5350</v>
      </c>
      <c r="D8878" s="3" t="str">
        <f t="shared" ref="D8878:D8880" si="1717">HYPERLINK("https://12go.asia/en/travel/Anuradhapura/Ahungalla", "12Go Link")</f>
        <v>12Go Link</v>
      </c>
      <c r="E8878" s="2" t="s">
        <v>286</v>
      </c>
    </row>
    <row r="8879">
      <c r="A8879" s="2" t="s">
        <v>4929</v>
      </c>
      <c r="B8879" s="2" t="s">
        <v>4921</v>
      </c>
      <c r="C8879" s="2" t="s">
        <v>5350</v>
      </c>
      <c r="D8879" s="3" t="str">
        <f t="shared" si="1717"/>
        <v>12Go Link</v>
      </c>
      <c r="E8879" s="2" t="s">
        <v>4139</v>
      </c>
    </row>
    <row r="8880">
      <c r="A8880" s="2" t="s">
        <v>4929</v>
      </c>
      <c r="B8880" s="2" t="s">
        <v>4921</v>
      </c>
      <c r="C8880" s="2" t="s">
        <v>5350</v>
      </c>
      <c r="D8880" s="3" t="str">
        <f t="shared" si="1717"/>
        <v>12Go Link</v>
      </c>
      <c r="E8880" s="2" t="s">
        <v>3409</v>
      </c>
    </row>
    <row r="8881">
      <c r="A8881" s="2" t="s">
        <v>4929</v>
      </c>
      <c r="B8881" s="2" t="s">
        <v>4923</v>
      </c>
      <c r="C8881" s="2" t="s">
        <v>5351</v>
      </c>
      <c r="D8881" s="3" t="str">
        <f t="shared" ref="D8881:D8883" si="1718">HYPERLINK("https://12go.asia/en/travel/Anuradhapura/Aluthgama", "12Go Link")</f>
        <v>12Go Link</v>
      </c>
      <c r="E8881" s="2" t="s">
        <v>286</v>
      </c>
    </row>
    <row r="8882">
      <c r="A8882" s="2" t="s">
        <v>4929</v>
      </c>
      <c r="B8882" s="2" t="s">
        <v>4923</v>
      </c>
      <c r="C8882" s="2" t="s">
        <v>5351</v>
      </c>
      <c r="D8882" s="3" t="str">
        <f t="shared" si="1718"/>
        <v>12Go Link</v>
      </c>
      <c r="E8882" s="2" t="s">
        <v>4139</v>
      </c>
    </row>
    <row r="8883">
      <c r="A8883" s="2" t="s">
        <v>4929</v>
      </c>
      <c r="B8883" s="2" t="s">
        <v>4923</v>
      </c>
      <c r="C8883" s="2" t="s">
        <v>5351</v>
      </c>
      <c r="D8883" s="3" t="str">
        <f t="shared" si="1718"/>
        <v>12Go Link</v>
      </c>
      <c r="E8883" s="2" t="s">
        <v>3409</v>
      </c>
    </row>
    <row r="8884">
      <c r="A8884" s="2" t="s">
        <v>4929</v>
      </c>
      <c r="B8884" s="2" t="s">
        <v>4925</v>
      </c>
      <c r="C8884" s="2" t="s">
        <v>5352</v>
      </c>
      <c r="D8884" s="3" t="str">
        <f t="shared" ref="D8884:D8886" si="1719">HYPERLINK("https://12go.asia/en/travel/Anuradhapura/Ambalangoda", "12Go Link")</f>
        <v>12Go Link</v>
      </c>
      <c r="E8884" s="2" t="s">
        <v>286</v>
      </c>
    </row>
    <row r="8885">
      <c r="A8885" s="2" t="s">
        <v>4929</v>
      </c>
      <c r="B8885" s="2" t="s">
        <v>4925</v>
      </c>
      <c r="C8885" s="2" t="s">
        <v>5352</v>
      </c>
      <c r="D8885" s="3" t="str">
        <f t="shared" si="1719"/>
        <v>12Go Link</v>
      </c>
      <c r="E8885" s="2" t="s">
        <v>4139</v>
      </c>
    </row>
    <row r="8886">
      <c r="A8886" s="2" t="s">
        <v>4929</v>
      </c>
      <c r="B8886" s="2" t="s">
        <v>4925</v>
      </c>
      <c r="C8886" s="2" t="s">
        <v>5352</v>
      </c>
      <c r="D8886" s="3" t="str">
        <f t="shared" si="1719"/>
        <v>12Go Link</v>
      </c>
      <c r="E8886" s="2" t="s">
        <v>3409</v>
      </c>
    </row>
    <row r="8887">
      <c r="A8887" s="2" t="s">
        <v>4929</v>
      </c>
      <c r="B8887" s="2" t="s">
        <v>4927</v>
      </c>
      <c r="C8887" s="2" t="s">
        <v>5353</v>
      </c>
      <c r="D8887" s="3" t="str">
        <f t="shared" ref="D8887:D8889" si="1720">HYPERLINK("https://12go.asia/en/travel/Anuradhapura/Ambalantota", "12Go Link")</f>
        <v>12Go Link</v>
      </c>
      <c r="E8887" s="2" t="s">
        <v>286</v>
      </c>
    </row>
    <row r="8888">
      <c r="A8888" s="2" t="s">
        <v>4929</v>
      </c>
      <c r="B8888" s="2" t="s">
        <v>4927</v>
      </c>
      <c r="C8888" s="2" t="s">
        <v>5353</v>
      </c>
      <c r="D8888" s="3" t="str">
        <f t="shared" si="1720"/>
        <v>12Go Link</v>
      </c>
      <c r="E8888" s="2" t="s">
        <v>4139</v>
      </c>
    </row>
    <row r="8889">
      <c r="A8889" s="2" t="s">
        <v>4929</v>
      </c>
      <c r="B8889" s="2" t="s">
        <v>4927</v>
      </c>
      <c r="C8889" s="2" t="s">
        <v>5353</v>
      </c>
      <c r="D8889" s="3" t="str">
        <f t="shared" si="1720"/>
        <v>12Go Link</v>
      </c>
      <c r="E8889" s="2" t="s">
        <v>3409</v>
      </c>
    </row>
    <row r="8890">
      <c r="A8890" s="2" t="s">
        <v>4929</v>
      </c>
      <c r="B8890" s="2" t="s">
        <v>4931</v>
      </c>
      <c r="C8890" s="2" t="s">
        <v>5354</v>
      </c>
      <c r="D8890" s="3" t="str">
        <f t="shared" ref="D8890:D8892" si="1721">HYPERLINK("https://12go.asia/en/travel/Anuradhapura/Arugam-bay", "12Go Link")</f>
        <v>12Go Link</v>
      </c>
      <c r="E8890" s="2" t="s">
        <v>286</v>
      </c>
    </row>
    <row r="8891">
      <c r="A8891" s="2" t="s">
        <v>4929</v>
      </c>
      <c r="B8891" s="2" t="s">
        <v>4931</v>
      </c>
      <c r="C8891" s="2" t="s">
        <v>5354</v>
      </c>
      <c r="D8891" s="3" t="str">
        <f t="shared" si="1721"/>
        <v>12Go Link</v>
      </c>
      <c r="E8891" s="2" t="s">
        <v>4139</v>
      </c>
    </row>
    <row r="8892">
      <c r="A8892" s="2" t="s">
        <v>4929</v>
      </c>
      <c r="B8892" s="2" t="s">
        <v>4931</v>
      </c>
      <c r="C8892" s="2" t="s">
        <v>5354</v>
      </c>
      <c r="D8892" s="3" t="str">
        <f t="shared" si="1721"/>
        <v>12Go Link</v>
      </c>
      <c r="E8892" s="2" t="s">
        <v>3409</v>
      </c>
    </row>
    <row r="8893">
      <c r="A8893" s="2" t="s">
        <v>4929</v>
      </c>
      <c r="B8893" s="2" t="s">
        <v>4933</v>
      </c>
      <c r="C8893" s="2" t="s">
        <v>5355</v>
      </c>
      <c r="D8893" s="3" t="str">
        <f t="shared" ref="D8893:D8895" si="1722">HYPERLINK("https://12go.asia/en/travel/Anuradhapura/balapitiya", "12Go Link")</f>
        <v>12Go Link</v>
      </c>
      <c r="E8893" s="2" t="s">
        <v>286</v>
      </c>
    </row>
    <row r="8894">
      <c r="A8894" s="2" t="s">
        <v>4929</v>
      </c>
      <c r="B8894" s="2" t="s">
        <v>4933</v>
      </c>
      <c r="C8894" s="2" t="s">
        <v>5355</v>
      </c>
      <c r="D8894" s="3" t="str">
        <f t="shared" si="1722"/>
        <v>12Go Link</v>
      </c>
      <c r="E8894" s="2" t="s">
        <v>4139</v>
      </c>
    </row>
    <row r="8895">
      <c r="A8895" s="2" t="s">
        <v>4929</v>
      </c>
      <c r="B8895" s="2" t="s">
        <v>4933</v>
      </c>
      <c r="C8895" s="2" t="s">
        <v>5355</v>
      </c>
      <c r="D8895" s="3" t="str">
        <f t="shared" si="1722"/>
        <v>12Go Link</v>
      </c>
      <c r="E8895" s="2" t="s">
        <v>3409</v>
      </c>
    </row>
    <row r="8896">
      <c r="A8896" s="2" t="s">
        <v>4929</v>
      </c>
      <c r="B8896" s="2" t="s">
        <v>4935</v>
      </c>
      <c r="C8896" s="2" t="s">
        <v>5356</v>
      </c>
      <c r="D8896" s="3" t="str">
        <f t="shared" ref="D8896:D8898" si="1723">HYPERLINK("https://12go.asia/en/travel/Anuradhapura/Batticaloa", "12Go Link")</f>
        <v>12Go Link</v>
      </c>
      <c r="E8896" s="2" t="s">
        <v>286</v>
      </c>
    </row>
    <row r="8897">
      <c r="A8897" s="2" t="s">
        <v>4929</v>
      </c>
      <c r="B8897" s="2" t="s">
        <v>4935</v>
      </c>
      <c r="C8897" s="2" t="s">
        <v>5356</v>
      </c>
      <c r="D8897" s="3" t="str">
        <f t="shared" si="1723"/>
        <v>12Go Link</v>
      </c>
      <c r="E8897" s="2" t="s">
        <v>4139</v>
      </c>
    </row>
    <row r="8898">
      <c r="A8898" s="2" t="s">
        <v>4929</v>
      </c>
      <c r="B8898" s="2" t="s">
        <v>4935</v>
      </c>
      <c r="C8898" s="2" t="s">
        <v>5356</v>
      </c>
      <c r="D8898" s="3" t="str">
        <f t="shared" si="1723"/>
        <v>12Go Link</v>
      </c>
      <c r="E8898" s="2" t="s">
        <v>3409</v>
      </c>
    </row>
    <row r="8899">
      <c r="A8899" s="2" t="s">
        <v>4929</v>
      </c>
      <c r="B8899" s="2" t="s">
        <v>4937</v>
      </c>
      <c r="C8899" s="2" t="s">
        <v>5357</v>
      </c>
      <c r="D8899" s="3" t="str">
        <f t="shared" ref="D8899:D8901" si="1724">HYPERLINK("https://12go.asia/en/travel/Anuradhapura/Bentota", "12Go Link")</f>
        <v>12Go Link</v>
      </c>
      <c r="E8899" s="2" t="s">
        <v>286</v>
      </c>
    </row>
    <row r="8900">
      <c r="A8900" s="2" t="s">
        <v>4929</v>
      </c>
      <c r="B8900" s="2" t="s">
        <v>4937</v>
      </c>
      <c r="C8900" s="2" t="s">
        <v>5357</v>
      </c>
      <c r="D8900" s="3" t="str">
        <f t="shared" si="1724"/>
        <v>12Go Link</v>
      </c>
      <c r="E8900" s="2" t="s">
        <v>4139</v>
      </c>
    </row>
    <row r="8901">
      <c r="A8901" s="2" t="s">
        <v>4929</v>
      </c>
      <c r="B8901" s="2" t="s">
        <v>4937</v>
      </c>
      <c r="C8901" s="2" t="s">
        <v>5357</v>
      </c>
      <c r="D8901" s="3" t="str">
        <f t="shared" si="1724"/>
        <v>12Go Link</v>
      </c>
      <c r="E8901" s="2" t="s">
        <v>3409</v>
      </c>
    </row>
    <row r="8902">
      <c r="A8902" s="2" t="s">
        <v>4929</v>
      </c>
      <c r="B8902" s="2" t="s">
        <v>4939</v>
      </c>
      <c r="C8902" s="2" t="s">
        <v>5358</v>
      </c>
      <c r="D8902" s="3" t="str">
        <f t="shared" ref="D8902:D8904" si="1725">HYPERLINK("https://12go.asia/en/travel/Anuradhapura/Beruwala", "12Go Link")</f>
        <v>12Go Link</v>
      </c>
      <c r="E8902" s="2" t="s">
        <v>286</v>
      </c>
    </row>
    <row r="8903">
      <c r="A8903" s="2" t="s">
        <v>4929</v>
      </c>
      <c r="B8903" s="2" t="s">
        <v>4939</v>
      </c>
      <c r="C8903" s="2" t="s">
        <v>5358</v>
      </c>
      <c r="D8903" s="3" t="str">
        <f t="shared" si="1725"/>
        <v>12Go Link</v>
      </c>
      <c r="E8903" s="2" t="s">
        <v>4139</v>
      </c>
    </row>
    <row r="8904">
      <c r="A8904" s="2" t="s">
        <v>4929</v>
      </c>
      <c r="B8904" s="2" t="s">
        <v>4939</v>
      </c>
      <c r="C8904" s="2" t="s">
        <v>5358</v>
      </c>
      <c r="D8904" s="3" t="str">
        <f t="shared" si="1725"/>
        <v>12Go Link</v>
      </c>
      <c r="E8904" s="2" t="s">
        <v>3409</v>
      </c>
    </row>
    <row r="8905">
      <c r="A8905" s="2" t="s">
        <v>4929</v>
      </c>
      <c r="B8905" s="2" t="s">
        <v>4941</v>
      </c>
      <c r="C8905" s="2" t="s">
        <v>5359</v>
      </c>
      <c r="D8905" s="3" t="str">
        <f t="shared" ref="D8905:D8907" si="1726">HYPERLINK("https://12go.asia/en/travel/Anuradhapura/Bundala", "12Go Link")</f>
        <v>12Go Link</v>
      </c>
      <c r="E8905" s="2" t="s">
        <v>286</v>
      </c>
    </row>
    <row r="8906">
      <c r="A8906" s="2" t="s">
        <v>4929</v>
      </c>
      <c r="B8906" s="2" t="s">
        <v>4941</v>
      </c>
      <c r="C8906" s="2" t="s">
        <v>5359</v>
      </c>
      <c r="D8906" s="3" t="str">
        <f t="shared" si="1726"/>
        <v>12Go Link</v>
      </c>
      <c r="E8906" s="2" t="s">
        <v>4139</v>
      </c>
    </row>
    <row r="8907">
      <c r="A8907" s="2" t="s">
        <v>4929</v>
      </c>
      <c r="B8907" s="2" t="s">
        <v>4941</v>
      </c>
      <c r="C8907" s="2" t="s">
        <v>5359</v>
      </c>
      <c r="D8907" s="3" t="str">
        <f t="shared" si="1726"/>
        <v>12Go Link</v>
      </c>
      <c r="E8907" s="2" t="s">
        <v>3409</v>
      </c>
    </row>
    <row r="8908">
      <c r="A8908" s="2" t="s">
        <v>4929</v>
      </c>
      <c r="B8908" s="2" t="s">
        <v>4945</v>
      </c>
      <c r="C8908" s="2" t="s">
        <v>5360</v>
      </c>
      <c r="D8908" s="3" t="str">
        <f t="shared" ref="D8908:D8910" si="1727">HYPERLINK("https://12go.asia/en/travel/Anuradhapura/Bandaranaike-Airport", "12Go Link")</f>
        <v>12Go Link</v>
      </c>
      <c r="E8908" s="2" t="s">
        <v>286</v>
      </c>
    </row>
    <row r="8909">
      <c r="A8909" s="2" t="s">
        <v>4929</v>
      </c>
      <c r="B8909" s="2" t="s">
        <v>4945</v>
      </c>
      <c r="C8909" s="2" t="s">
        <v>5360</v>
      </c>
      <c r="D8909" s="3" t="str">
        <f t="shared" si="1727"/>
        <v>12Go Link</v>
      </c>
      <c r="E8909" s="2" t="s">
        <v>4139</v>
      </c>
    </row>
    <row r="8910">
      <c r="A8910" s="2" t="s">
        <v>4929</v>
      </c>
      <c r="B8910" s="2" t="s">
        <v>4945</v>
      </c>
      <c r="C8910" s="2" t="s">
        <v>5360</v>
      </c>
      <c r="D8910" s="3" t="str">
        <f t="shared" si="1727"/>
        <v>12Go Link</v>
      </c>
      <c r="E8910" s="2" t="s">
        <v>3409</v>
      </c>
    </row>
    <row r="8911">
      <c r="A8911" s="2" t="s">
        <v>4929</v>
      </c>
      <c r="B8911" s="2" t="s">
        <v>4949</v>
      </c>
      <c r="C8911" s="2" t="s">
        <v>5361</v>
      </c>
      <c r="D8911" s="3" t="str">
        <f t="shared" ref="D8911:D8913" si="1728">HYPERLINK("https://12go.asia/en/travel/Anuradhapura/Deniyaya", "12Go Link")</f>
        <v>12Go Link</v>
      </c>
      <c r="E8911" s="2" t="s">
        <v>286</v>
      </c>
    </row>
    <row r="8912">
      <c r="A8912" s="2" t="s">
        <v>4929</v>
      </c>
      <c r="B8912" s="2" t="s">
        <v>4949</v>
      </c>
      <c r="C8912" s="2" t="s">
        <v>5361</v>
      </c>
      <c r="D8912" s="3" t="str">
        <f t="shared" si="1728"/>
        <v>12Go Link</v>
      </c>
      <c r="E8912" s="2" t="s">
        <v>4139</v>
      </c>
    </row>
    <row r="8913">
      <c r="A8913" s="2" t="s">
        <v>4929</v>
      </c>
      <c r="B8913" s="2" t="s">
        <v>4949</v>
      </c>
      <c r="C8913" s="2" t="s">
        <v>5361</v>
      </c>
      <c r="D8913" s="3" t="str">
        <f t="shared" si="1728"/>
        <v>12Go Link</v>
      </c>
      <c r="E8913" s="2" t="s">
        <v>3409</v>
      </c>
    </row>
    <row r="8914">
      <c r="A8914" s="2" t="s">
        <v>4929</v>
      </c>
      <c r="B8914" s="2" t="s">
        <v>4951</v>
      </c>
      <c r="C8914" s="2" t="s">
        <v>5362</v>
      </c>
      <c r="D8914" s="3" t="str">
        <f t="shared" ref="D8914:D8916" si="1729">HYPERLINK("https://12go.asia/en/travel/Anuradhapura/Dickwella", "12Go Link")</f>
        <v>12Go Link</v>
      </c>
      <c r="E8914" s="2" t="s">
        <v>286</v>
      </c>
    </row>
    <row r="8915">
      <c r="A8915" s="2" t="s">
        <v>4929</v>
      </c>
      <c r="B8915" s="2" t="s">
        <v>4951</v>
      </c>
      <c r="C8915" s="2" t="s">
        <v>5362</v>
      </c>
      <c r="D8915" s="3" t="str">
        <f t="shared" si="1729"/>
        <v>12Go Link</v>
      </c>
      <c r="E8915" s="2" t="s">
        <v>4139</v>
      </c>
    </row>
    <row r="8916">
      <c r="A8916" s="2" t="s">
        <v>4929</v>
      </c>
      <c r="B8916" s="2" t="s">
        <v>4951</v>
      </c>
      <c r="C8916" s="2" t="s">
        <v>5362</v>
      </c>
      <c r="D8916" s="3" t="str">
        <f t="shared" si="1729"/>
        <v>12Go Link</v>
      </c>
      <c r="E8916" s="2" t="s">
        <v>3409</v>
      </c>
    </row>
    <row r="8917">
      <c r="A8917" s="2" t="s">
        <v>4929</v>
      </c>
      <c r="B8917" s="2" t="s">
        <v>4951</v>
      </c>
      <c r="C8917" s="2" t="s">
        <v>5363</v>
      </c>
      <c r="D8917" s="3" t="str">
        <f t="shared" ref="D8917:D8919" si="1730">HYPERLINK("https://12go.asia/en/travel/Anuradhapura/Hiriketiya-beach", "12Go Link")</f>
        <v>12Go Link</v>
      </c>
      <c r="E8917" s="2" t="s">
        <v>286</v>
      </c>
    </row>
    <row r="8918">
      <c r="A8918" s="2" t="s">
        <v>4929</v>
      </c>
      <c r="B8918" s="2" t="s">
        <v>4951</v>
      </c>
      <c r="C8918" s="2" t="s">
        <v>5363</v>
      </c>
      <c r="D8918" s="3" t="str">
        <f t="shared" si="1730"/>
        <v>12Go Link</v>
      </c>
      <c r="E8918" s="2" t="s">
        <v>4139</v>
      </c>
    </row>
    <row r="8919">
      <c r="A8919" s="2" t="s">
        <v>4929</v>
      </c>
      <c r="B8919" s="2" t="s">
        <v>4951</v>
      </c>
      <c r="C8919" s="2" t="s">
        <v>5363</v>
      </c>
      <c r="D8919" s="3" t="str">
        <f t="shared" si="1730"/>
        <v>12Go Link</v>
      </c>
      <c r="E8919" s="2" t="s">
        <v>3409</v>
      </c>
    </row>
    <row r="8920">
      <c r="A8920" s="2" t="s">
        <v>4929</v>
      </c>
      <c r="B8920" s="2" t="s">
        <v>4954</v>
      </c>
      <c r="C8920" s="2" t="s">
        <v>5364</v>
      </c>
      <c r="D8920" s="3" t="str">
        <f t="shared" ref="D8920:D8922" si="1731">HYPERLINK("https://12go.asia/en/travel/Anuradhapura/Galle", "12Go Link")</f>
        <v>12Go Link</v>
      </c>
      <c r="E8920" s="2" t="s">
        <v>286</v>
      </c>
    </row>
    <row r="8921">
      <c r="A8921" s="2" t="s">
        <v>4929</v>
      </c>
      <c r="B8921" s="2" t="s">
        <v>4954</v>
      </c>
      <c r="C8921" s="2" t="s">
        <v>5364</v>
      </c>
      <c r="D8921" s="3" t="str">
        <f t="shared" si="1731"/>
        <v>12Go Link</v>
      </c>
      <c r="E8921" s="2" t="s">
        <v>4139</v>
      </c>
    </row>
    <row r="8922">
      <c r="A8922" s="2" t="s">
        <v>4929</v>
      </c>
      <c r="B8922" s="2" t="s">
        <v>4954</v>
      </c>
      <c r="C8922" s="2" t="s">
        <v>5364</v>
      </c>
      <c r="D8922" s="3" t="str">
        <f t="shared" si="1731"/>
        <v>12Go Link</v>
      </c>
      <c r="E8922" s="2" t="s">
        <v>3409</v>
      </c>
    </row>
    <row r="8923">
      <c r="A8923" s="2" t="s">
        <v>4929</v>
      </c>
      <c r="B8923" s="2" t="s">
        <v>4954</v>
      </c>
      <c r="C8923" s="2" t="s">
        <v>5365</v>
      </c>
      <c r="D8923" s="3" t="str">
        <f t="shared" ref="D8923:D8925" si="1732">HYPERLINK("https://12go.asia/en/travel/Anuradhapura/Talpe", "12Go Link")</f>
        <v>12Go Link</v>
      </c>
      <c r="E8923" s="2" t="s">
        <v>286</v>
      </c>
    </row>
    <row r="8924">
      <c r="A8924" s="2" t="s">
        <v>4929</v>
      </c>
      <c r="B8924" s="2" t="s">
        <v>4954</v>
      </c>
      <c r="C8924" s="2" t="s">
        <v>5365</v>
      </c>
      <c r="D8924" s="3" t="str">
        <f t="shared" si="1732"/>
        <v>12Go Link</v>
      </c>
      <c r="E8924" s="2" t="s">
        <v>4139</v>
      </c>
    </row>
    <row r="8925">
      <c r="A8925" s="2" t="s">
        <v>4929</v>
      </c>
      <c r="B8925" s="2" t="s">
        <v>4954</v>
      </c>
      <c r="C8925" s="2" t="s">
        <v>5365</v>
      </c>
      <c r="D8925" s="3" t="str">
        <f t="shared" si="1732"/>
        <v>12Go Link</v>
      </c>
      <c r="E8925" s="2" t="s">
        <v>3409</v>
      </c>
    </row>
    <row r="8926">
      <c r="A8926" s="2" t="s">
        <v>4929</v>
      </c>
      <c r="B8926" s="2" t="s">
        <v>4959</v>
      </c>
      <c r="C8926" s="2" t="s">
        <v>5366</v>
      </c>
      <c r="D8926" s="3" t="str">
        <f t="shared" ref="D8926:D8928" si="1733">HYPERLINK("https://12go.asia/en/travel/Anuradhapura/Ella", "12Go Link")</f>
        <v>12Go Link</v>
      </c>
      <c r="E8926" s="2" t="s">
        <v>286</v>
      </c>
    </row>
    <row r="8927">
      <c r="A8927" s="2" t="s">
        <v>4929</v>
      </c>
      <c r="B8927" s="2" t="s">
        <v>4959</v>
      </c>
      <c r="C8927" s="2" t="s">
        <v>5366</v>
      </c>
      <c r="D8927" s="3" t="str">
        <f t="shared" si="1733"/>
        <v>12Go Link</v>
      </c>
      <c r="E8927" s="2" t="s">
        <v>4139</v>
      </c>
    </row>
    <row r="8928">
      <c r="A8928" s="2" t="s">
        <v>4929</v>
      </c>
      <c r="B8928" s="2" t="s">
        <v>4959</v>
      </c>
      <c r="C8928" s="2" t="s">
        <v>5366</v>
      </c>
      <c r="D8928" s="3" t="str">
        <f t="shared" si="1733"/>
        <v>12Go Link</v>
      </c>
      <c r="E8928" s="2" t="s">
        <v>3409</v>
      </c>
    </row>
    <row r="8929">
      <c r="A8929" s="2" t="s">
        <v>4929</v>
      </c>
      <c r="B8929" s="2" t="s">
        <v>4961</v>
      </c>
      <c r="C8929" s="2" t="s">
        <v>5367</v>
      </c>
      <c r="D8929" s="3" t="str">
        <f t="shared" ref="D8929:D8931" si="1734">HYPERLINK("https://12go.asia/en/travel/Anuradhapura/Beragala", "12Go Link")</f>
        <v>12Go Link</v>
      </c>
      <c r="E8929" s="2" t="s">
        <v>286</v>
      </c>
    </row>
    <row r="8930">
      <c r="A8930" s="2" t="s">
        <v>4929</v>
      </c>
      <c r="B8930" s="2" t="s">
        <v>4961</v>
      </c>
      <c r="C8930" s="2" t="s">
        <v>5367</v>
      </c>
      <c r="D8930" s="3" t="str">
        <f t="shared" si="1734"/>
        <v>12Go Link</v>
      </c>
      <c r="E8930" s="2" t="s">
        <v>4139</v>
      </c>
    </row>
    <row r="8931">
      <c r="A8931" s="2" t="s">
        <v>4929</v>
      </c>
      <c r="B8931" s="2" t="s">
        <v>4961</v>
      </c>
      <c r="C8931" s="2" t="s">
        <v>5367</v>
      </c>
      <c r="D8931" s="3" t="str">
        <f t="shared" si="1734"/>
        <v>12Go Link</v>
      </c>
      <c r="E8931" s="2" t="s">
        <v>3409</v>
      </c>
    </row>
    <row r="8932">
      <c r="A8932" s="2" t="s">
        <v>4929</v>
      </c>
      <c r="B8932" s="2" t="s">
        <v>4963</v>
      </c>
      <c r="C8932" s="2" t="s">
        <v>5368</v>
      </c>
      <c r="D8932" s="3" t="str">
        <f t="shared" ref="D8932:D8934" si="1735">HYPERLINK("https://12go.asia/en/travel/Anuradhapura/Dick-oya", "12Go Link")</f>
        <v>12Go Link</v>
      </c>
      <c r="E8932" s="2" t="s">
        <v>286</v>
      </c>
    </row>
    <row r="8933">
      <c r="A8933" s="2" t="s">
        <v>4929</v>
      </c>
      <c r="B8933" s="2" t="s">
        <v>4963</v>
      </c>
      <c r="C8933" s="2" t="s">
        <v>5368</v>
      </c>
      <c r="D8933" s="3" t="str">
        <f t="shared" si="1735"/>
        <v>12Go Link</v>
      </c>
      <c r="E8933" s="2" t="s">
        <v>4139</v>
      </c>
    </row>
    <row r="8934">
      <c r="A8934" s="2" t="s">
        <v>4929</v>
      </c>
      <c r="B8934" s="2" t="s">
        <v>4963</v>
      </c>
      <c r="C8934" s="2" t="s">
        <v>5368</v>
      </c>
      <c r="D8934" s="3" t="str">
        <f t="shared" si="1735"/>
        <v>12Go Link</v>
      </c>
      <c r="E8934" s="2" t="s">
        <v>3409</v>
      </c>
    </row>
    <row r="8935">
      <c r="A8935" s="2" t="s">
        <v>4929</v>
      </c>
      <c r="B8935" s="2" t="s">
        <v>4965</v>
      </c>
      <c r="C8935" s="2" t="s">
        <v>5369</v>
      </c>
      <c r="D8935" s="3" t="str">
        <f t="shared" ref="D8935:D8937" si="1736">HYPERLINK("https://12go.asia/en/travel/Anuradhapura/Dodanduwa", "12Go Link")</f>
        <v>12Go Link</v>
      </c>
      <c r="E8935" s="2" t="s">
        <v>286</v>
      </c>
    </row>
    <row r="8936">
      <c r="A8936" s="2" t="s">
        <v>4929</v>
      </c>
      <c r="B8936" s="2" t="s">
        <v>4965</v>
      </c>
      <c r="C8936" s="2" t="s">
        <v>5369</v>
      </c>
      <c r="D8936" s="3" t="str">
        <f t="shared" si="1736"/>
        <v>12Go Link</v>
      </c>
      <c r="E8936" s="2" t="s">
        <v>4139</v>
      </c>
    </row>
    <row r="8937">
      <c r="A8937" s="2" t="s">
        <v>4929</v>
      </c>
      <c r="B8937" s="2" t="s">
        <v>4965</v>
      </c>
      <c r="C8937" s="2" t="s">
        <v>5369</v>
      </c>
      <c r="D8937" s="3" t="str">
        <f t="shared" si="1736"/>
        <v>12Go Link</v>
      </c>
      <c r="E8937" s="2" t="s">
        <v>3409</v>
      </c>
    </row>
    <row r="8938">
      <c r="A8938" s="2" t="s">
        <v>4929</v>
      </c>
      <c r="B8938" s="2" t="s">
        <v>4967</v>
      </c>
      <c r="C8938" s="2" t="s">
        <v>5370</v>
      </c>
      <c r="D8938" s="3" t="str">
        <f t="shared" ref="D8938:D8940" si="1737">HYPERLINK("https://12go.asia/en/travel/Anuradhapura/Induruwa", "12Go Link")</f>
        <v>12Go Link</v>
      </c>
      <c r="E8938" s="2" t="s">
        <v>286</v>
      </c>
    </row>
    <row r="8939">
      <c r="A8939" s="2" t="s">
        <v>4929</v>
      </c>
      <c r="B8939" s="2" t="s">
        <v>4967</v>
      </c>
      <c r="C8939" s="2" t="s">
        <v>5370</v>
      </c>
      <c r="D8939" s="3" t="str">
        <f t="shared" si="1737"/>
        <v>12Go Link</v>
      </c>
      <c r="E8939" s="2" t="s">
        <v>4139</v>
      </c>
    </row>
    <row r="8940">
      <c r="A8940" s="2" t="s">
        <v>4929</v>
      </c>
      <c r="B8940" s="2" t="s">
        <v>4967</v>
      </c>
      <c r="C8940" s="2" t="s">
        <v>5370</v>
      </c>
      <c r="D8940" s="3" t="str">
        <f t="shared" si="1737"/>
        <v>12Go Link</v>
      </c>
      <c r="E8940" s="2" t="s">
        <v>3409</v>
      </c>
    </row>
    <row r="8941">
      <c r="A8941" s="2" t="s">
        <v>4929</v>
      </c>
      <c r="B8941" s="2" t="s">
        <v>4971</v>
      </c>
      <c r="C8941" s="2" t="s">
        <v>5371</v>
      </c>
      <c r="D8941" s="3" t="str">
        <f t="shared" ref="D8941:D8943" si="1738">HYPERLINK("https://12go.asia/en/travel/Anuradhapura/Kalapuwa", "12Go Link")</f>
        <v>12Go Link</v>
      </c>
      <c r="E8941" s="2" t="s">
        <v>286</v>
      </c>
    </row>
    <row r="8942">
      <c r="A8942" s="2" t="s">
        <v>4929</v>
      </c>
      <c r="B8942" s="2" t="s">
        <v>4971</v>
      </c>
      <c r="C8942" s="2" t="s">
        <v>5371</v>
      </c>
      <c r="D8942" s="3" t="str">
        <f t="shared" si="1738"/>
        <v>12Go Link</v>
      </c>
      <c r="E8942" s="2" t="s">
        <v>4139</v>
      </c>
    </row>
    <row r="8943">
      <c r="A8943" s="2" t="s">
        <v>4929</v>
      </c>
      <c r="B8943" s="2" t="s">
        <v>4971</v>
      </c>
      <c r="C8943" s="2" t="s">
        <v>5371</v>
      </c>
      <c r="D8943" s="3" t="str">
        <f t="shared" si="1738"/>
        <v>12Go Link</v>
      </c>
      <c r="E8943" s="2" t="s">
        <v>3409</v>
      </c>
    </row>
    <row r="8944">
      <c r="A8944" s="2" t="s">
        <v>4929</v>
      </c>
      <c r="B8944" s="2" t="s">
        <v>4973</v>
      </c>
      <c r="C8944" s="2" t="s">
        <v>5372</v>
      </c>
      <c r="D8944" s="3" t="str">
        <f t="shared" ref="D8944:D8946" si="1739">HYPERLINK("https://12go.asia/en/travel/Anuradhapura/Digana", "12Go Link")</f>
        <v>12Go Link</v>
      </c>
      <c r="E8944" s="2" t="s">
        <v>286</v>
      </c>
    </row>
    <row r="8945">
      <c r="A8945" s="2" t="s">
        <v>4929</v>
      </c>
      <c r="B8945" s="2" t="s">
        <v>4973</v>
      </c>
      <c r="C8945" s="2" t="s">
        <v>5372</v>
      </c>
      <c r="D8945" s="3" t="str">
        <f t="shared" si="1739"/>
        <v>12Go Link</v>
      </c>
      <c r="E8945" s="2" t="s">
        <v>4139</v>
      </c>
    </row>
    <row r="8946">
      <c r="A8946" s="2" t="s">
        <v>4929</v>
      </c>
      <c r="B8946" s="2" t="s">
        <v>4973</v>
      </c>
      <c r="C8946" s="2" t="s">
        <v>5372</v>
      </c>
      <c r="D8946" s="3" t="str">
        <f t="shared" si="1739"/>
        <v>12Go Link</v>
      </c>
      <c r="E8946" s="2" t="s">
        <v>3409</v>
      </c>
    </row>
    <row r="8947">
      <c r="A8947" s="2" t="s">
        <v>4929</v>
      </c>
      <c r="B8947" s="2" t="s">
        <v>4976</v>
      </c>
      <c r="C8947" s="2" t="s">
        <v>5373</v>
      </c>
      <c r="D8947" s="3" t="str">
        <f t="shared" ref="D8947:D8949" si="1740">HYPERLINK("https://12go.asia/en/travel/Anuradhapura/Kataragama", "12Go Link")</f>
        <v>12Go Link</v>
      </c>
      <c r="E8947" s="2" t="s">
        <v>286</v>
      </c>
    </row>
    <row r="8948">
      <c r="A8948" s="2" t="s">
        <v>4929</v>
      </c>
      <c r="B8948" s="2" t="s">
        <v>4976</v>
      </c>
      <c r="C8948" s="2" t="s">
        <v>5373</v>
      </c>
      <c r="D8948" s="3" t="str">
        <f t="shared" si="1740"/>
        <v>12Go Link</v>
      </c>
      <c r="E8948" s="2" t="s">
        <v>4139</v>
      </c>
    </row>
    <row r="8949">
      <c r="A8949" s="2" t="s">
        <v>4929</v>
      </c>
      <c r="B8949" s="2" t="s">
        <v>4976</v>
      </c>
      <c r="C8949" s="2" t="s">
        <v>5373</v>
      </c>
      <c r="D8949" s="3" t="str">
        <f t="shared" si="1740"/>
        <v>12Go Link</v>
      </c>
      <c r="E8949" s="2" t="s">
        <v>3409</v>
      </c>
    </row>
    <row r="8950">
      <c r="A8950" s="2" t="s">
        <v>4929</v>
      </c>
      <c r="B8950" s="2" t="s">
        <v>4978</v>
      </c>
      <c r="C8950" s="2" t="s">
        <v>5374</v>
      </c>
      <c r="D8950" s="3" t="str">
        <f t="shared" ref="D8950:D8952" si="1741">HYPERLINK("https://12go.asia/en/travel/Anuradhapura/Alawathupitiya", "12Go Link")</f>
        <v>12Go Link</v>
      </c>
      <c r="E8950" s="2" t="s">
        <v>286</v>
      </c>
    </row>
    <row r="8951">
      <c r="A8951" s="2" t="s">
        <v>4929</v>
      </c>
      <c r="B8951" s="2" t="s">
        <v>4978</v>
      </c>
      <c r="C8951" s="2" t="s">
        <v>5374</v>
      </c>
      <c r="D8951" s="3" t="str">
        <f t="shared" si="1741"/>
        <v>12Go Link</v>
      </c>
      <c r="E8951" s="2" t="s">
        <v>4139</v>
      </c>
    </row>
    <row r="8952">
      <c r="A8952" s="2" t="s">
        <v>4929</v>
      </c>
      <c r="B8952" s="2" t="s">
        <v>4978</v>
      </c>
      <c r="C8952" s="2" t="s">
        <v>5374</v>
      </c>
      <c r="D8952" s="3" t="str">
        <f t="shared" si="1741"/>
        <v>12Go Link</v>
      </c>
      <c r="E8952" s="2" t="s">
        <v>3409</v>
      </c>
    </row>
    <row r="8953">
      <c r="A8953" s="2" t="s">
        <v>4929</v>
      </c>
      <c r="B8953" s="2" t="s">
        <v>4980</v>
      </c>
      <c r="C8953" s="2" t="s">
        <v>5375</v>
      </c>
      <c r="D8953" s="3" t="str">
        <f t="shared" ref="D8953:D8955" si="1742">HYPERLINK("https://12go.asia/en/travel/Anuradhapura/Pinnawala", "12Go Link")</f>
        <v>12Go Link</v>
      </c>
      <c r="E8953" s="2" t="s">
        <v>286</v>
      </c>
    </row>
    <row r="8954">
      <c r="A8954" s="2" t="s">
        <v>4929</v>
      </c>
      <c r="B8954" s="2" t="s">
        <v>4980</v>
      </c>
      <c r="C8954" s="2" t="s">
        <v>5375</v>
      </c>
      <c r="D8954" s="3" t="str">
        <f t="shared" si="1742"/>
        <v>12Go Link</v>
      </c>
      <c r="E8954" s="2" t="s">
        <v>4139</v>
      </c>
    </row>
    <row r="8955">
      <c r="A8955" s="2" t="s">
        <v>4929</v>
      </c>
      <c r="B8955" s="2" t="s">
        <v>4980</v>
      </c>
      <c r="C8955" s="2" t="s">
        <v>5375</v>
      </c>
      <c r="D8955" s="3" t="str">
        <f t="shared" si="1742"/>
        <v>12Go Link</v>
      </c>
      <c r="E8955" s="2" t="s">
        <v>3409</v>
      </c>
    </row>
    <row r="8956">
      <c r="A8956" s="2" t="s">
        <v>4929</v>
      </c>
      <c r="B8956" s="2" t="s">
        <v>4982</v>
      </c>
      <c r="C8956" s="2" t="s">
        <v>5376</v>
      </c>
      <c r="D8956" s="3" t="str">
        <f t="shared" ref="D8956:D8958" si="1743">HYPERLINK("https://12go.asia/en/travel/Anuradhapura/Kitulgala", "12Go Link")</f>
        <v>12Go Link</v>
      </c>
      <c r="E8956" s="2" t="s">
        <v>286</v>
      </c>
    </row>
    <row r="8957">
      <c r="A8957" s="2" t="s">
        <v>4929</v>
      </c>
      <c r="B8957" s="2" t="s">
        <v>4982</v>
      </c>
      <c r="C8957" s="2" t="s">
        <v>5376</v>
      </c>
      <c r="D8957" s="3" t="str">
        <f t="shared" si="1743"/>
        <v>12Go Link</v>
      </c>
      <c r="E8957" s="2" t="s">
        <v>4139</v>
      </c>
    </row>
    <row r="8958">
      <c r="A8958" s="2" t="s">
        <v>4929</v>
      </c>
      <c r="B8958" s="2" t="s">
        <v>4982</v>
      </c>
      <c r="C8958" s="2" t="s">
        <v>5376</v>
      </c>
      <c r="D8958" s="3" t="str">
        <f t="shared" si="1743"/>
        <v>12Go Link</v>
      </c>
      <c r="E8958" s="2" t="s">
        <v>3409</v>
      </c>
    </row>
    <row r="8959">
      <c r="A8959" s="2" t="s">
        <v>4929</v>
      </c>
      <c r="B8959" s="2" t="s">
        <v>4984</v>
      </c>
      <c r="C8959" s="2" t="s">
        <v>5377</v>
      </c>
      <c r="D8959" s="3" t="str">
        <f t="shared" ref="D8959:D8961" si="1744">HYPERLINK("https://12go.asia/en/travel/Anuradhapura/Habaraduwa", "12Go Link")</f>
        <v>12Go Link</v>
      </c>
      <c r="E8959" s="2" t="s">
        <v>286</v>
      </c>
    </row>
    <row r="8960">
      <c r="A8960" s="2" t="s">
        <v>4929</v>
      </c>
      <c r="B8960" s="2" t="s">
        <v>4984</v>
      </c>
      <c r="C8960" s="2" t="s">
        <v>5377</v>
      </c>
      <c r="D8960" s="3" t="str">
        <f t="shared" si="1744"/>
        <v>12Go Link</v>
      </c>
      <c r="E8960" s="2" t="s">
        <v>4139</v>
      </c>
    </row>
    <row r="8961">
      <c r="A8961" s="2" t="s">
        <v>4929</v>
      </c>
      <c r="B8961" s="2" t="s">
        <v>4984</v>
      </c>
      <c r="C8961" s="2" t="s">
        <v>5377</v>
      </c>
      <c r="D8961" s="3" t="str">
        <f t="shared" si="1744"/>
        <v>12Go Link</v>
      </c>
      <c r="E8961" s="2" t="s">
        <v>3409</v>
      </c>
    </row>
    <row r="8962">
      <c r="A8962" s="2" t="s">
        <v>4929</v>
      </c>
      <c r="B8962" s="2" t="s">
        <v>4986</v>
      </c>
      <c r="C8962" s="2" t="s">
        <v>5378</v>
      </c>
      <c r="D8962" s="3" t="str">
        <f t="shared" ref="D8962:D8964" si="1745">HYPERLINK("https://12go.asia/en/travel/Anuradhapura/Kosgoda", "12Go Link")</f>
        <v>12Go Link</v>
      </c>
      <c r="E8962" s="2" t="s">
        <v>286</v>
      </c>
    </row>
    <row r="8963">
      <c r="A8963" s="2" t="s">
        <v>4929</v>
      </c>
      <c r="B8963" s="2" t="s">
        <v>4986</v>
      </c>
      <c r="C8963" s="2" t="s">
        <v>5378</v>
      </c>
      <c r="D8963" s="3" t="str">
        <f t="shared" si="1745"/>
        <v>12Go Link</v>
      </c>
      <c r="E8963" s="2" t="s">
        <v>4139</v>
      </c>
    </row>
    <row r="8964">
      <c r="A8964" s="2" t="s">
        <v>4929</v>
      </c>
      <c r="B8964" s="2" t="s">
        <v>4986</v>
      </c>
      <c r="C8964" s="2" t="s">
        <v>5378</v>
      </c>
      <c r="D8964" s="3" t="str">
        <f t="shared" si="1745"/>
        <v>12Go Link</v>
      </c>
      <c r="E8964" s="2" t="s">
        <v>3409</v>
      </c>
    </row>
    <row r="8965">
      <c r="A8965" s="2" t="s">
        <v>4929</v>
      </c>
      <c r="B8965" s="2" t="s">
        <v>4988</v>
      </c>
      <c r="C8965" s="2" t="s">
        <v>5379</v>
      </c>
      <c r="D8965" s="3" t="str">
        <f t="shared" ref="D8965:D8967" si="1746">HYPERLINK("https://12go.asia/en/travel/Anuradhapura/Kuchchaveli", "12Go Link")</f>
        <v>12Go Link</v>
      </c>
      <c r="E8965" s="2" t="s">
        <v>286</v>
      </c>
    </row>
    <row r="8966">
      <c r="A8966" s="2" t="s">
        <v>4929</v>
      </c>
      <c r="B8966" s="2" t="s">
        <v>4988</v>
      </c>
      <c r="C8966" s="2" t="s">
        <v>5379</v>
      </c>
      <c r="D8966" s="3" t="str">
        <f t="shared" si="1746"/>
        <v>12Go Link</v>
      </c>
      <c r="E8966" s="2" t="s">
        <v>4139</v>
      </c>
    </row>
    <row r="8967">
      <c r="A8967" s="2" t="s">
        <v>4929</v>
      </c>
      <c r="B8967" s="2" t="s">
        <v>4988</v>
      </c>
      <c r="C8967" s="2" t="s">
        <v>5379</v>
      </c>
      <c r="D8967" s="3" t="str">
        <f t="shared" si="1746"/>
        <v>12Go Link</v>
      </c>
      <c r="E8967" s="2" t="s">
        <v>3409</v>
      </c>
    </row>
    <row r="8968">
      <c r="A8968" s="2" t="s">
        <v>4929</v>
      </c>
      <c r="B8968" s="2" t="s">
        <v>4990</v>
      </c>
      <c r="C8968" s="2" t="s">
        <v>5380</v>
      </c>
      <c r="D8968" s="3" t="str">
        <f t="shared" ref="D8968:D8970" si="1747">HYPERLINK("https://12go.asia/en/travel/Anuradhapura/Mannar", "12Go Link")</f>
        <v>12Go Link</v>
      </c>
      <c r="E8968" s="2" t="s">
        <v>286</v>
      </c>
    </row>
    <row r="8969">
      <c r="A8969" s="2" t="s">
        <v>4929</v>
      </c>
      <c r="B8969" s="2" t="s">
        <v>4990</v>
      </c>
      <c r="C8969" s="2" t="s">
        <v>5380</v>
      </c>
      <c r="D8969" s="3" t="str">
        <f t="shared" si="1747"/>
        <v>12Go Link</v>
      </c>
      <c r="E8969" s="2" t="s">
        <v>4139</v>
      </c>
    </row>
    <row r="8970">
      <c r="A8970" s="2" t="s">
        <v>4929</v>
      </c>
      <c r="B8970" s="2" t="s">
        <v>4990</v>
      </c>
      <c r="C8970" s="2" t="s">
        <v>5380</v>
      </c>
      <c r="D8970" s="3" t="str">
        <f t="shared" si="1747"/>
        <v>12Go Link</v>
      </c>
      <c r="E8970" s="2" t="s">
        <v>3409</v>
      </c>
    </row>
    <row r="8971">
      <c r="A8971" s="2" t="s">
        <v>4929</v>
      </c>
      <c r="B8971" s="2" t="s">
        <v>4992</v>
      </c>
      <c r="C8971" s="2" t="s">
        <v>5381</v>
      </c>
      <c r="D8971" s="3" t="str">
        <f t="shared" ref="D8971:D8973" si="1748">HYPERLINK("https://12go.asia/en/travel/Anuradhapura/Kinigama", "12Go Link")</f>
        <v>12Go Link</v>
      </c>
      <c r="E8971" s="2" t="s">
        <v>286</v>
      </c>
    </row>
    <row r="8972">
      <c r="A8972" s="2" t="s">
        <v>4929</v>
      </c>
      <c r="B8972" s="2" t="s">
        <v>4992</v>
      </c>
      <c r="C8972" s="2" t="s">
        <v>5381</v>
      </c>
      <c r="D8972" s="3" t="str">
        <f t="shared" si="1748"/>
        <v>12Go Link</v>
      </c>
      <c r="E8972" s="2" t="s">
        <v>4139</v>
      </c>
    </row>
    <row r="8973">
      <c r="A8973" s="2" t="s">
        <v>4929</v>
      </c>
      <c r="B8973" s="2" t="s">
        <v>4992</v>
      </c>
      <c r="C8973" s="2" t="s">
        <v>5381</v>
      </c>
      <c r="D8973" s="3" t="str">
        <f t="shared" si="1748"/>
        <v>12Go Link</v>
      </c>
      <c r="E8973" s="2" t="s">
        <v>3409</v>
      </c>
    </row>
    <row r="8974">
      <c r="A8974" s="2" t="s">
        <v>4929</v>
      </c>
      <c r="B8974" s="2" t="s">
        <v>4994</v>
      </c>
      <c r="C8974" s="2" t="s">
        <v>5382</v>
      </c>
      <c r="D8974" s="3" t="str">
        <f t="shared" ref="D8974:D8976" si="1749">HYPERLINK("https://12go.asia/en/travel/Anuradhapura/Kalamatiya", "12Go Link")</f>
        <v>12Go Link</v>
      </c>
      <c r="E8974" s="2" t="s">
        <v>286</v>
      </c>
    </row>
    <row r="8975">
      <c r="A8975" s="2" t="s">
        <v>4929</v>
      </c>
      <c r="B8975" s="2" t="s">
        <v>4994</v>
      </c>
      <c r="C8975" s="2" t="s">
        <v>5382</v>
      </c>
      <c r="D8975" s="3" t="str">
        <f t="shared" si="1749"/>
        <v>12Go Link</v>
      </c>
      <c r="E8975" s="2" t="s">
        <v>4139</v>
      </c>
    </row>
    <row r="8976">
      <c r="A8976" s="2" t="s">
        <v>4929</v>
      </c>
      <c r="B8976" s="2" t="s">
        <v>4994</v>
      </c>
      <c r="C8976" s="2" t="s">
        <v>5382</v>
      </c>
      <c r="D8976" s="3" t="str">
        <f t="shared" si="1749"/>
        <v>12Go Link</v>
      </c>
      <c r="E8976" s="2" t="s">
        <v>3409</v>
      </c>
    </row>
    <row r="8977">
      <c r="A8977" s="2" t="s">
        <v>4929</v>
      </c>
      <c r="B8977" s="2" t="s">
        <v>4996</v>
      </c>
      <c r="C8977" s="2" t="s">
        <v>5383</v>
      </c>
      <c r="D8977" s="3" t="str">
        <f t="shared" ref="D8977:D8979" si="1750">HYPERLINK("https://12go.asia/en/travel/Anuradhapura/mirissa", "12Go Link")</f>
        <v>12Go Link</v>
      </c>
      <c r="E8977" s="2" t="s">
        <v>286</v>
      </c>
    </row>
    <row r="8978">
      <c r="A8978" s="2" t="s">
        <v>4929</v>
      </c>
      <c r="B8978" s="2" t="s">
        <v>4996</v>
      </c>
      <c r="C8978" s="2" t="s">
        <v>5383</v>
      </c>
      <c r="D8978" s="3" t="str">
        <f t="shared" si="1750"/>
        <v>12Go Link</v>
      </c>
      <c r="E8978" s="2" t="s">
        <v>4139</v>
      </c>
    </row>
    <row r="8979">
      <c r="A8979" s="2" t="s">
        <v>4929</v>
      </c>
      <c r="B8979" s="2" t="s">
        <v>4996</v>
      </c>
      <c r="C8979" s="2" t="s">
        <v>5383</v>
      </c>
      <c r="D8979" s="3" t="str">
        <f t="shared" si="1750"/>
        <v>12Go Link</v>
      </c>
      <c r="E8979" s="2" t="s">
        <v>3409</v>
      </c>
    </row>
    <row r="8980">
      <c r="A8980" s="2" t="s">
        <v>4929</v>
      </c>
      <c r="B8980" s="2" t="s">
        <v>4998</v>
      </c>
      <c r="C8980" s="2" t="s">
        <v>5384</v>
      </c>
      <c r="D8980" s="3" t="str">
        <f t="shared" ref="D8980:D8982" si="1751">HYPERLINK("https://12go.asia/en/travel/Anuradhapura/Nanu-Oya", "12Go Link")</f>
        <v>12Go Link</v>
      </c>
      <c r="E8980" s="2" t="s">
        <v>286</v>
      </c>
    </row>
    <row r="8981">
      <c r="A8981" s="2" t="s">
        <v>4929</v>
      </c>
      <c r="B8981" s="2" t="s">
        <v>4998</v>
      </c>
      <c r="C8981" s="2" t="s">
        <v>5384</v>
      </c>
      <c r="D8981" s="3" t="str">
        <f t="shared" si="1751"/>
        <v>12Go Link</v>
      </c>
      <c r="E8981" s="2" t="s">
        <v>4139</v>
      </c>
    </row>
    <row r="8982">
      <c r="A8982" s="2" t="s">
        <v>4929</v>
      </c>
      <c r="B8982" s="2" t="s">
        <v>4998</v>
      </c>
      <c r="C8982" s="2" t="s">
        <v>5384</v>
      </c>
      <c r="D8982" s="3" t="str">
        <f t="shared" si="1751"/>
        <v>12Go Link</v>
      </c>
      <c r="E8982" s="2" t="s">
        <v>3409</v>
      </c>
    </row>
    <row r="8983">
      <c r="A8983" s="2" t="s">
        <v>4929</v>
      </c>
      <c r="B8983" s="2" t="s">
        <v>5000</v>
      </c>
      <c r="C8983" s="2" t="s">
        <v>5385</v>
      </c>
      <c r="D8983" s="3" t="str">
        <f t="shared" ref="D8983:D8985" si="1752">HYPERLINK("https://12go.asia/en/travel/Anuradhapura/Waikkal", "12Go Link")</f>
        <v>12Go Link</v>
      </c>
      <c r="E8983" s="2" t="s">
        <v>286</v>
      </c>
    </row>
    <row r="8984">
      <c r="A8984" s="2" t="s">
        <v>4929</v>
      </c>
      <c r="B8984" s="2" t="s">
        <v>5000</v>
      </c>
      <c r="C8984" s="2" t="s">
        <v>5385</v>
      </c>
      <c r="D8984" s="3" t="str">
        <f t="shared" si="1752"/>
        <v>12Go Link</v>
      </c>
      <c r="E8984" s="2" t="s">
        <v>4139</v>
      </c>
    </row>
    <row r="8985">
      <c r="A8985" s="2" t="s">
        <v>4929</v>
      </c>
      <c r="B8985" s="2" t="s">
        <v>5000</v>
      </c>
      <c r="C8985" s="2" t="s">
        <v>5385</v>
      </c>
      <c r="D8985" s="3" t="str">
        <f t="shared" si="1752"/>
        <v>12Go Link</v>
      </c>
      <c r="E8985" s="2" t="s">
        <v>3409</v>
      </c>
    </row>
    <row r="8986">
      <c r="A8986" s="2" t="s">
        <v>4929</v>
      </c>
      <c r="B8986" s="2" t="s">
        <v>5003</v>
      </c>
      <c r="C8986" s="2" t="s">
        <v>5386</v>
      </c>
      <c r="D8986" s="3" t="str">
        <f t="shared" ref="D8986:D8987" si="1753">HYPERLINK("https://12go.asia/en/travel/Anuradhapura/Nilaveli", "12Go Link")</f>
        <v>12Go Link</v>
      </c>
      <c r="E8986" s="2" t="s">
        <v>4139</v>
      </c>
    </row>
    <row r="8987">
      <c r="A8987" s="2" t="s">
        <v>4929</v>
      </c>
      <c r="B8987" s="2" t="s">
        <v>5003</v>
      </c>
      <c r="C8987" s="2" t="s">
        <v>5386</v>
      </c>
      <c r="D8987" s="3" t="str">
        <f t="shared" si="1753"/>
        <v>12Go Link</v>
      </c>
      <c r="E8987" s="2" t="s">
        <v>3409</v>
      </c>
    </row>
    <row r="8988">
      <c r="A8988" s="2" t="s">
        <v>4929</v>
      </c>
      <c r="B8988" s="2" t="s">
        <v>5007</v>
      </c>
      <c r="C8988" s="2" t="s">
        <v>5387</v>
      </c>
      <c r="D8988" s="3" t="str">
        <f t="shared" ref="D8988:D8990" si="1754">HYPERLINK("https://12go.asia/en/travel/Anuradhapura/Pasikuda", "12Go Link")</f>
        <v>12Go Link</v>
      </c>
      <c r="E8988" s="2" t="s">
        <v>286</v>
      </c>
    </row>
    <row r="8989">
      <c r="A8989" s="2" t="s">
        <v>4929</v>
      </c>
      <c r="B8989" s="2" t="s">
        <v>5007</v>
      </c>
      <c r="C8989" s="2" t="s">
        <v>5387</v>
      </c>
      <c r="D8989" s="3" t="str">
        <f t="shared" si="1754"/>
        <v>12Go Link</v>
      </c>
      <c r="E8989" s="2" t="s">
        <v>4139</v>
      </c>
    </row>
    <row r="8990">
      <c r="A8990" s="2" t="s">
        <v>4929</v>
      </c>
      <c r="B8990" s="2" t="s">
        <v>5007</v>
      </c>
      <c r="C8990" s="2" t="s">
        <v>5387</v>
      </c>
      <c r="D8990" s="3" t="str">
        <f t="shared" si="1754"/>
        <v>12Go Link</v>
      </c>
      <c r="E8990" s="2" t="s">
        <v>3409</v>
      </c>
    </row>
    <row r="8991">
      <c r="A8991" s="2" t="s">
        <v>4929</v>
      </c>
      <c r="B8991" s="2" t="s">
        <v>5011</v>
      </c>
      <c r="C8991" s="2" t="s">
        <v>5388</v>
      </c>
      <c r="D8991" s="3" t="str">
        <f t="shared" ref="D8991:D8993" si="1755">HYPERLINK("https://12go.asia/en/travel/Anuradhapura/Kalpitiya", "12Go Link")</f>
        <v>12Go Link</v>
      </c>
      <c r="E8991" s="2" t="s">
        <v>286</v>
      </c>
    </row>
    <row r="8992">
      <c r="A8992" s="2" t="s">
        <v>4929</v>
      </c>
      <c r="B8992" s="2" t="s">
        <v>5011</v>
      </c>
      <c r="C8992" s="2" t="s">
        <v>5388</v>
      </c>
      <c r="D8992" s="3" t="str">
        <f t="shared" si="1755"/>
        <v>12Go Link</v>
      </c>
      <c r="E8992" s="2" t="s">
        <v>4139</v>
      </c>
    </row>
    <row r="8993">
      <c r="A8993" s="2" t="s">
        <v>4929</v>
      </c>
      <c r="B8993" s="2" t="s">
        <v>5011</v>
      </c>
      <c r="C8993" s="2" t="s">
        <v>5388</v>
      </c>
      <c r="D8993" s="3" t="str">
        <f t="shared" si="1755"/>
        <v>12Go Link</v>
      </c>
      <c r="E8993" s="2" t="s">
        <v>3409</v>
      </c>
    </row>
    <row r="8994">
      <c r="A8994" s="2" t="s">
        <v>4929</v>
      </c>
      <c r="B8994" s="2" t="s">
        <v>5011</v>
      </c>
      <c r="C8994" s="2" t="s">
        <v>5389</v>
      </c>
      <c r="D8994" s="3" t="str">
        <f t="shared" ref="D8994:D8996" si="1756">HYPERLINK("https://12go.asia/en/travel/Anuradhapura/Marawila", "12Go Link")</f>
        <v>12Go Link</v>
      </c>
      <c r="E8994" s="2" t="s">
        <v>286</v>
      </c>
    </row>
    <row r="8995">
      <c r="A8995" s="2" t="s">
        <v>4929</v>
      </c>
      <c r="B8995" s="2" t="s">
        <v>5011</v>
      </c>
      <c r="C8995" s="2" t="s">
        <v>5389</v>
      </c>
      <c r="D8995" s="3" t="str">
        <f t="shared" si="1756"/>
        <v>12Go Link</v>
      </c>
      <c r="E8995" s="2" t="s">
        <v>4139</v>
      </c>
    </row>
    <row r="8996">
      <c r="A8996" s="2" t="s">
        <v>4929</v>
      </c>
      <c r="B8996" s="2" t="s">
        <v>5011</v>
      </c>
      <c r="C8996" s="2" t="s">
        <v>5389</v>
      </c>
      <c r="D8996" s="3" t="str">
        <f t="shared" si="1756"/>
        <v>12Go Link</v>
      </c>
      <c r="E8996" s="2" t="s">
        <v>3409</v>
      </c>
    </row>
    <row r="8997">
      <c r="A8997" s="2" t="s">
        <v>4929</v>
      </c>
      <c r="B8997" s="2" t="s">
        <v>5014</v>
      </c>
      <c r="C8997" s="2" t="s">
        <v>5390</v>
      </c>
      <c r="D8997" s="3" t="str">
        <f t="shared" ref="D8997:D8999" si="1757">HYPERLINK("https://12go.asia/en/travel/Anuradhapura/Kiriella", "12Go Link")</f>
        <v>12Go Link</v>
      </c>
      <c r="E8997" s="2" t="s">
        <v>286</v>
      </c>
    </row>
    <row r="8998">
      <c r="A8998" s="2" t="s">
        <v>4929</v>
      </c>
      <c r="B8998" s="2" t="s">
        <v>5014</v>
      </c>
      <c r="C8998" s="2" t="s">
        <v>5390</v>
      </c>
      <c r="D8998" s="3" t="str">
        <f t="shared" si="1757"/>
        <v>12Go Link</v>
      </c>
      <c r="E8998" s="2" t="s">
        <v>4139</v>
      </c>
    </row>
    <row r="8999">
      <c r="A8999" s="2" t="s">
        <v>4929</v>
      </c>
      <c r="B8999" s="2" t="s">
        <v>5014</v>
      </c>
      <c r="C8999" s="2" t="s">
        <v>5390</v>
      </c>
      <c r="D8999" s="3" t="str">
        <f t="shared" si="1757"/>
        <v>12Go Link</v>
      </c>
      <c r="E8999" s="2" t="s">
        <v>3409</v>
      </c>
    </row>
    <row r="9000">
      <c r="A9000" s="2" t="s">
        <v>4929</v>
      </c>
      <c r="B9000" s="2" t="s">
        <v>5018</v>
      </c>
      <c r="C9000" s="2" t="s">
        <v>5391</v>
      </c>
      <c r="D9000" s="3" t="str">
        <f t="shared" ref="D9000:D9002" si="1758">HYPERLINK("https://12go.asia/en/travel/Anuradhapura/Rekawa", "12Go Link")</f>
        <v>12Go Link</v>
      </c>
      <c r="E9000" s="2" t="s">
        <v>286</v>
      </c>
    </row>
    <row r="9001">
      <c r="A9001" s="2" t="s">
        <v>4929</v>
      </c>
      <c r="B9001" s="2" t="s">
        <v>5018</v>
      </c>
      <c r="C9001" s="2" t="s">
        <v>5391</v>
      </c>
      <c r="D9001" s="3" t="str">
        <f t="shared" si="1758"/>
        <v>12Go Link</v>
      </c>
      <c r="E9001" s="2" t="s">
        <v>4139</v>
      </c>
    </row>
    <row r="9002">
      <c r="A9002" s="2" t="s">
        <v>4929</v>
      </c>
      <c r="B9002" s="2" t="s">
        <v>5018</v>
      </c>
      <c r="C9002" s="2" t="s">
        <v>5391</v>
      </c>
      <c r="D9002" s="3" t="str">
        <f t="shared" si="1758"/>
        <v>12Go Link</v>
      </c>
      <c r="E9002" s="2" t="s">
        <v>3409</v>
      </c>
    </row>
    <row r="9003">
      <c r="A9003" s="2" t="s">
        <v>4929</v>
      </c>
      <c r="B9003" s="2" t="s">
        <v>5020</v>
      </c>
      <c r="C9003" s="2" t="s">
        <v>5392</v>
      </c>
      <c r="D9003" s="3" t="str">
        <f t="shared" ref="D9003:D9005" si="1759">HYPERLINK("https://12go.asia/en/travel/Anuradhapura/Tissamaharama", "12Go Link")</f>
        <v>12Go Link</v>
      </c>
      <c r="E9003" s="2" t="s">
        <v>286</v>
      </c>
    </row>
    <row r="9004">
      <c r="A9004" s="2" t="s">
        <v>4929</v>
      </c>
      <c r="B9004" s="2" t="s">
        <v>5020</v>
      </c>
      <c r="C9004" s="2" t="s">
        <v>5392</v>
      </c>
      <c r="D9004" s="3" t="str">
        <f t="shared" si="1759"/>
        <v>12Go Link</v>
      </c>
      <c r="E9004" s="2" t="s">
        <v>4139</v>
      </c>
    </row>
    <row r="9005">
      <c r="A9005" s="2" t="s">
        <v>4929</v>
      </c>
      <c r="B9005" s="2" t="s">
        <v>5020</v>
      </c>
      <c r="C9005" s="2" t="s">
        <v>5392</v>
      </c>
      <c r="D9005" s="3" t="str">
        <f t="shared" si="1759"/>
        <v>12Go Link</v>
      </c>
      <c r="E9005" s="2" t="s">
        <v>3409</v>
      </c>
    </row>
    <row r="9006">
      <c r="A9006" s="2" t="s">
        <v>4929</v>
      </c>
      <c r="B9006" s="2" t="s">
        <v>5020</v>
      </c>
      <c r="C9006" s="2" t="s">
        <v>5393</v>
      </c>
      <c r="D9006" s="3" t="str">
        <f t="shared" ref="D9006:D9008" si="1760">HYPERLINK("https://12go.asia/en/travel/Anuradhapura/Yala-Park", "12Go Link")</f>
        <v>12Go Link</v>
      </c>
      <c r="E9006" s="2" t="s">
        <v>286</v>
      </c>
    </row>
    <row r="9007">
      <c r="A9007" s="2" t="s">
        <v>4929</v>
      </c>
      <c r="B9007" s="2" t="s">
        <v>5020</v>
      </c>
      <c r="C9007" s="2" t="s">
        <v>5393</v>
      </c>
      <c r="D9007" s="3" t="str">
        <f t="shared" si="1760"/>
        <v>12Go Link</v>
      </c>
      <c r="E9007" s="2" t="s">
        <v>4139</v>
      </c>
    </row>
    <row r="9008">
      <c r="A9008" s="2" t="s">
        <v>4929</v>
      </c>
      <c r="B9008" s="2" t="s">
        <v>5020</v>
      </c>
      <c r="C9008" s="2" t="s">
        <v>5393</v>
      </c>
      <c r="D9008" s="3" t="str">
        <f t="shared" si="1760"/>
        <v>12Go Link</v>
      </c>
      <c r="E9008" s="2" t="s">
        <v>3409</v>
      </c>
    </row>
    <row r="9009">
      <c r="A9009" s="2" t="s">
        <v>4929</v>
      </c>
      <c r="B9009" s="2" t="s">
        <v>5025</v>
      </c>
      <c r="C9009" s="2" t="s">
        <v>5394</v>
      </c>
      <c r="D9009" s="3" t="str">
        <f t="shared" ref="D9009:D9011" si="1761">HYPERLINK("https://12go.asia/en/travel/Anuradhapura/Udawalawa", "12Go Link")</f>
        <v>12Go Link</v>
      </c>
      <c r="E9009" s="2" t="s">
        <v>286</v>
      </c>
    </row>
    <row r="9010">
      <c r="A9010" s="2" t="s">
        <v>4929</v>
      </c>
      <c r="B9010" s="2" t="s">
        <v>5025</v>
      </c>
      <c r="C9010" s="2" t="s">
        <v>5394</v>
      </c>
      <c r="D9010" s="3" t="str">
        <f t="shared" si="1761"/>
        <v>12Go Link</v>
      </c>
      <c r="E9010" s="2" t="s">
        <v>4139</v>
      </c>
    </row>
    <row r="9011">
      <c r="A9011" s="2" t="s">
        <v>4929</v>
      </c>
      <c r="B9011" s="2" t="s">
        <v>5025</v>
      </c>
      <c r="C9011" s="2" t="s">
        <v>5394</v>
      </c>
      <c r="D9011" s="3" t="str">
        <f t="shared" si="1761"/>
        <v>12Go Link</v>
      </c>
      <c r="E9011" s="2" t="s">
        <v>3409</v>
      </c>
    </row>
    <row r="9012">
      <c r="A9012" s="2" t="s">
        <v>4929</v>
      </c>
      <c r="B9012" s="2" t="s">
        <v>5027</v>
      </c>
      <c r="C9012" s="2" t="s">
        <v>5395</v>
      </c>
      <c r="D9012" s="3" t="str">
        <f t="shared" ref="D9012:D9014" si="1762">HYPERLINK("https://12go.asia/en/travel/Anuradhapura/Unawatuna", "12Go Link")</f>
        <v>12Go Link</v>
      </c>
      <c r="E9012" s="2" t="s">
        <v>286</v>
      </c>
    </row>
    <row r="9013">
      <c r="A9013" s="2" t="s">
        <v>4929</v>
      </c>
      <c r="B9013" s="2" t="s">
        <v>5027</v>
      </c>
      <c r="C9013" s="2" t="s">
        <v>5395</v>
      </c>
      <c r="D9013" s="3" t="str">
        <f t="shared" si="1762"/>
        <v>12Go Link</v>
      </c>
      <c r="E9013" s="2" t="s">
        <v>4139</v>
      </c>
    </row>
    <row r="9014">
      <c r="A9014" s="2" t="s">
        <v>4929</v>
      </c>
      <c r="B9014" s="2" t="s">
        <v>5027</v>
      </c>
      <c r="C9014" s="2" t="s">
        <v>5395</v>
      </c>
      <c r="D9014" s="3" t="str">
        <f t="shared" si="1762"/>
        <v>12Go Link</v>
      </c>
      <c r="E9014" s="2" t="s">
        <v>3409</v>
      </c>
    </row>
    <row r="9015">
      <c r="A9015" s="2" t="s">
        <v>4929</v>
      </c>
      <c r="B9015" s="2" t="s">
        <v>5029</v>
      </c>
      <c r="C9015" s="2" t="s">
        <v>5396</v>
      </c>
      <c r="D9015" s="3" t="str">
        <f t="shared" ref="D9015:D9017" si="1763">HYPERLINK("https://12go.asia/en/travel/Anuradhapura/Attanagalla", "12Go Link")</f>
        <v>12Go Link</v>
      </c>
      <c r="E9015" s="2" t="s">
        <v>286</v>
      </c>
    </row>
    <row r="9016">
      <c r="A9016" s="2" t="s">
        <v>4929</v>
      </c>
      <c r="B9016" s="2" t="s">
        <v>5029</v>
      </c>
      <c r="C9016" s="2" t="s">
        <v>5396</v>
      </c>
      <c r="D9016" s="3" t="str">
        <f t="shared" si="1763"/>
        <v>12Go Link</v>
      </c>
      <c r="E9016" s="2" t="s">
        <v>4139</v>
      </c>
    </row>
    <row r="9017">
      <c r="A9017" s="2" t="s">
        <v>4929</v>
      </c>
      <c r="B9017" s="2" t="s">
        <v>5029</v>
      </c>
      <c r="C9017" s="2" t="s">
        <v>5396</v>
      </c>
      <c r="D9017" s="3" t="str">
        <f t="shared" si="1763"/>
        <v>12Go Link</v>
      </c>
      <c r="E9017" s="2" t="s">
        <v>3409</v>
      </c>
    </row>
    <row r="9018">
      <c r="A9018" s="2" t="s">
        <v>4929</v>
      </c>
      <c r="B9018" s="2" t="s">
        <v>5031</v>
      </c>
      <c r="C9018" s="2" t="s">
        <v>5397</v>
      </c>
      <c r="D9018" s="3" t="str">
        <f t="shared" ref="D9018:D9020" si="1764">HYPERLINK("https://12go.asia/en/travel/Anuradhapura/Moronthuduwa", "12Go Link")</f>
        <v>12Go Link</v>
      </c>
      <c r="E9018" s="2" t="s">
        <v>286</v>
      </c>
    </row>
    <row r="9019">
      <c r="A9019" s="2" t="s">
        <v>4929</v>
      </c>
      <c r="B9019" s="2" t="s">
        <v>5031</v>
      </c>
      <c r="C9019" s="2" t="s">
        <v>5397</v>
      </c>
      <c r="D9019" s="3" t="str">
        <f t="shared" si="1764"/>
        <v>12Go Link</v>
      </c>
      <c r="E9019" s="2" t="s">
        <v>4139</v>
      </c>
    </row>
    <row r="9020">
      <c r="A9020" s="2" t="s">
        <v>4929</v>
      </c>
      <c r="B9020" s="2" t="s">
        <v>5031</v>
      </c>
      <c r="C9020" s="2" t="s">
        <v>5397</v>
      </c>
      <c r="D9020" s="3" t="str">
        <f t="shared" si="1764"/>
        <v>12Go Link</v>
      </c>
      <c r="E9020" s="2" t="s">
        <v>3409</v>
      </c>
    </row>
    <row r="9021">
      <c r="A9021" s="2" t="s">
        <v>4929</v>
      </c>
      <c r="B9021" s="2" t="s">
        <v>5031</v>
      </c>
      <c r="C9021" s="2" t="s">
        <v>5398</v>
      </c>
      <c r="D9021" s="3" t="str">
        <f t="shared" ref="D9021:D9023" si="1765">HYPERLINK("https://12go.asia/en/travel/Anuradhapura/Waskaduwa", "12Go Link")</f>
        <v>12Go Link</v>
      </c>
      <c r="E9021" s="2" t="s">
        <v>286</v>
      </c>
    </row>
    <row r="9022">
      <c r="A9022" s="2" t="s">
        <v>4929</v>
      </c>
      <c r="B9022" s="2" t="s">
        <v>5031</v>
      </c>
      <c r="C9022" s="2" t="s">
        <v>5398</v>
      </c>
      <c r="D9022" s="3" t="str">
        <f t="shared" si="1765"/>
        <v>12Go Link</v>
      </c>
      <c r="E9022" s="2" t="s">
        <v>4139</v>
      </c>
    </row>
    <row r="9023">
      <c r="A9023" s="2" t="s">
        <v>4929</v>
      </c>
      <c r="B9023" s="2" t="s">
        <v>5031</v>
      </c>
      <c r="C9023" s="2" t="s">
        <v>5398</v>
      </c>
      <c r="D9023" s="3" t="str">
        <f t="shared" si="1765"/>
        <v>12Go Link</v>
      </c>
      <c r="E9023" s="2" t="s">
        <v>3409</v>
      </c>
    </row>
    <row r="9024">
      <c r="A9024" s="2" t="s">
        <v>4929</v>
      </c>
      <c r="B9024" s="2" t="s">
        <v>5034</v>
      </c>
      <c r="C9024" s="2" t="s">
        <v>5399</v>
      </c>
      <c r="D9024" s="3" t="str">
        <f t="shared" ref="D9024:D9026" si="1766">HYPERLINK("https://12go.asia/en/travel/Anuradhapura/Weddagala", "12Go Link")</f>
        <v>12Go Link</v>
      </c>
      <c r="E9024" s="2" t="s">
        <v>286</v>
      </c>
    </row>
    <row r="9025">
      <c r="A9025" s="2" t="s">
        <v>4929</v>
      </c>
      <c r="B9025" s="2" t="s">
        <v>5034</v>
      </c>
      <c r="C9025" s="2" t="s">
        <v>5399</v>
      </c>
      <c r="D9025" s="3" t="str">
        <f t="shared" si="1766"/>
        <v>12Go Link</v>
      </c>
      <c r="E9025" s="2" t="s">
        <v>4139</v>
      </c>
    </row>
    <row r="9026">
      <c r="A9026" s="2" t="s">
        <v>4929</v>
      </c>
      <c r="B9026" s="2" t="s">
        <v>5034</v>
      </c>
      <c r="C9026" s="2" t="s">
        <v>5399</v>
      </c>
      <c r="D9026" s="3" t="str">
        <f t="shared" si="1766"/>
        <v>12Go Link</v>
      </c>
      <c r="E9026" s="2" t="s">
        <v>3409</v>
      </c>
    </row>
    <row r="9027">
      <c r="A9027" s="2" t="s">
        <v>4929</v>
      </c>
      <c r="B9027" s="2" t="s">
        <v>5036</v>
      </c>
      <c r="C9027" s="2" t="s">
        <v>5400</v>
      </c>
      <c r="D9027" s="3" t="str">
        <f t="shared" ref="D9027:D9029" si="1767">HYPERLINK("https://12go.asia/en/travel/Anuradhapura/Weligatta", "12Go Link")</f>
        <v>12Go Link</v>
      </c>
      <c r="E9027" s="2" t="s">
        <v>286</v>
      </c>
    </row>
    <row r="9028">
      <c r="A9028" s="2" t="s">
        <v>4929</v>
      </c>
      <c r="B9028" s="2" t="s">
        <v>5036</v>
      </c>
      <c r="C9028" s="2" t="s">
        <v>5400</v>
      </c>
      <c r="D9028" s="3" t="str">
        <f t="shared" si="1767"/>
        <v>12Go Link</v>
      </c>
      <c r="E9028" s="2" t="s">
        <v>4139</v>
      </c>
    </row>
    <row r="9029">
      <c r="A9029" s="2" t="s">
        <v>4929</v>
      </c>
      <c r="B9029" s="2" t="s">
        <v>5036</v>
      </c>
      <c r="C9029" s="2" t="s">
        <v>5400</v>
      </c>
      <c r="D9029" s="3" t="str">
        <f t="shared" si="1767"/>
        <v>12Go Link</v>
      </c>
      <c r="E9029" s="2" t="s">
        <v>3409</v>
      </c>
    </row>
    <row r="9030">
      <c r="A9030" s="2" t="s">
        <v>4929</v>
      </c>
      <c r="B9030" s="2" t="s">
        <v>5038</v>
      </c>
      <c r="C9030" s="2" t="s">
        <v>5401</v>
      </c>
      <c r="D9030" s="3" t="str">
        <f t="shared" ref="D9030:D9032" si="1768">HYPERLINK("https://12go.asia/en/travel/Anuradhapura/Akuressa", "12Go Link")</f>
        <v>12Go Link</v>
      </c>
      <c r="E9030" s="2" t="s">
        <v>286</v>
      </c>
    </row>
    <row r="9031">
      <c r="A9031" s="2" t="s">
        <v>4929</v>
      </c>
      <c r="B9031" s="2" t="s">
        <v>5038</v>
      </c>
      <c r="C9031" s="2" t="s">
        <v>5401</v>
      </c>
      <c r="D9031" s="3" t="str">
        <f t="shared" si="1768"/>
        <v>12Go Link</v>
      </c>
      <c r="E9031" s="2" t="s">
        <v>4139</v>
      </c>
    </row>
    <row r="9032">
      <c r="A9032" s="2" t="s">
        <v>4929</v>
      </c>
      <c r="B9032" s="2" t="s">
        <v>5038</v>
      </c>
      <c r="C9032" s="2" t="s">
        <v>5401</v>
      </c>
      <c r="D9032" s="3" t="str">
        <f t="shared" si="1768"/>
        <v>12Go Link</v>
      </c>
      <c r="E9032" s="2" t="s">
        <v>3409</v>
      </c>
    </row>
    <row r="9033">
      <c r="A9033" s="2" t="s">
        <v>4929</v>
      </c>
      <c r="B9033" s="2" t="s">
        <v>5040</v>
      </c>
      <c r="C9033" s="2" t="s">
        <v>5402</v>
      </c>
      <c r="D9033" s="3" t="str">
        <f t="shared" ref="D9033:D9035" si="1769">HYPERLINK("https://12go.asia/en/travel/Anuradhapura/Wilpattu", "12Go Link")</f>
        <v>12Go Link</v>
      </c>
      <c r="E9033" s="2" t="s">
        <v>286</v>
      </c>
    </row>
    <row r="9034">
      <c r="A9034" s="2" t="s">
        <v>4929</v>
      </c>
      <c r="B9034" s="2" t="s">
        <v>5040</v>
      </c>
      <c r="C9034" s="2" t="s">
        <v>5402</v>
      </c>
      <c r="D9034" s="3" t="str">
        <f t="shared" si="1769"/>
        <v>12Go Link</v>
      </c>
      <c r="E9034" s="2" t="s">
        <v>4139</v>
      </c>
    </row>
    <row r="9035">
      <c r="A9035" s="2" t="s">
        <v>4929</v>
      </c>
      <c r="B9035" s="2" t="s">
        <v>5040</v>
      </c>
      <c r="C9035" s="2" t="s">
        <v>5402</v>
      </c>
      <c r="D9035" s="3" t="str">
        <f t="shared" si="1769"/>
        <v>12Go Link</v>
      </c>
      <c r="E9035" s="2" t="s">
        <v>3409</v>
      </c>
    </row>
    <row r="9036">
      <c r="A9036" s="2" t="s">
        <v>4931</v>
      </c>
      <c r="B9036" s="2" t="s">
        <v>4918</v>
      </c>
      <c r="C9036" s="2" t="s">
        <v>5403</v>
      </c>
      <c r="D9036" s="3" t="str">
        <f t="shared" ref="D9036:D9038" si="1770">HYPERLINK("https://12go.asia/en/travel/Arugam-bay/Adams-Peak", "12Go Link")</f>
        <v>12Go Link</v>
      </c>
      <c r="E9036" s="2" t="s">
        <v>286</v>
      </c>
    </row>
    <row r="9037">
      <c r="A9037" s="2" t="s">
        <v>4931</v>
      </c>
      <c r="B9037" s="2" t="s">
        <v>4918</v>
      </c>
      <c r="C9037" s="2" t="s">
        <v>5403</v>
      </c>
      <c r="D9037" s="3" t="str">
        <f t="shared" si="1770"/>
        <v>12Go Link</v>
      </c>
      <c r="E9037" s="2" t="s">
        <v>4139</v>
      </c>
    </row>
    <row r="9038">
      <c r="A9038" s="2" t="s">
        <v>4931</v>
      </c>
      <c r="B9038" s="2" t="s">
        <v>4918</v>
      </c>
      <c r="C9038" s="2" t="s">
        <v>5403</v>
      </c>
      <c r="D9038" s="3" t="str">
        <f t="shared" si="1770"/>
        <v>12Go Link</v>
      </c>
      <c r="E9038" s="2" t="s">
        <v>3409</v>
      </c>
    </row>
    <row r="9039">
      <c r="A9039" s="2" t="s">
        <v>4931</v>
      </c>
      <c r="B9039" s="2" t="s">
        <v>4919</v>
      </c>
      <c r="C9039" s="2" t="s">
        <v>5404</v>
      </c>
      <c r="D9039" s="3" t="str">
        <f t="shared" ref="D9039:D9041" si="1771">HYPERLINK("https://12go.asia/en/travel/Arugam-bay/Ahangama", "12Go Link")</f>
        <v>12Go Link</v>
      </c>
      <c r="E9039" s="2" t="s">
        <v>286</v>
      </c>
    </row>
    <row r="9040">
      <c r="A9040" s="2" t="s">
        <v>4931</v>
      </c>
      <c r="B9040" s="2" t="s">
        <v>4919</v>
      </c>
      <c r="C9040" s="2" t="s">
        <v>5404</v>
      </c>
      <c r="D9040" s="3" t="str">
        <f t="shared" si="1771"/>
        <v>12Go Link</v>
      </c>
      <c r="E9040" s="2" t="s">
        <v>4139</v>
      </c>
    </row>
    <row r="9041">
      <c r="A9041" s="2" t="s">
        <v>4931</v>
      </c>
      <c r="B9041" s="2" t="s">
        <v>4919</v>
      </c>
      <c r="C9041" s="2" t="s">
        <v>5404</v>
      </c>
      <c r="D9041" s="3" t="str">
        <f t="shared" si="1771"/>
        <v>12Go Link</v>
      </c>
      <c r="E9041" s="2" t="s">
        <v>3409</v>
      </c>
    </row>
    <row r="9042">
      <c r="A9042" s="2" t="s">
        <v>4931</v>
      </c>
      <c r="B9042" s="2" t="s">
        <v>4921</v>
      </c>
      <c r="C9042" s="2" t="s">
        <v>5405</v>
      </c>
      <c r="D9042" s="3" t="str">
        <f t="shared" ref="D9042:D9044" si="1772">HYPERLINK("https://12go.asia/en/travel/Arugam-bay/Ahungalla", "12Go Link")</f>
        <v>12Go Link</v>
      </c>
      <c r="E9042" s="2" t="s">
        <v>286</v>
      </c>
    </row>
    <row r="9043">
      <c r="A9043" s="2" t="s">
        <v>4931</v>
      </c>
      <c r="B9043" s="2" t="s">
        <v>4921</v>
      </c>
      <c r="C9043" s="2" t="s">
        <v>5405</v>
      </c>
      <c r="D9043" s="3" t="str">
        <f t="shared" si="1772"/>
        <v>12Go Link</v>
      </c>
      <c r="E9043" s="2" t="s">
        <v>4139</v>
      </c>
    </row>
    <row r="9044">
      <c r="A9044" s="2" t="s">
        <v>4931</v>
      </c>
      <c r="B9044" s="2" t="s">
        <v>4921</v>
      </c>
      <c r="C9044" s="2" t="s">
        <v>5405</v>
      </c>
      <c r="D9044" s="3" t="str">
        <f t="shared" si="1772"/>
        <v>12Go Link</v>
      </c>
      <c r="E9044" s="2" t="s">
        <v>3409</v>
      </c>
    </row>
    <row r="9045">
      <c r="A9045" s="2" t="s">
        <v>4931</v>
      </c>
      <c r="B9045" s="2" t="s">
        <v>4923</v>
      </c>
      <c r="C9045" s="2" t="s">
        <v>5406</v>
      </c>
      <c r="D9045" s="3" t="str">
        <f t="shared" ref="D9045:D9047" si="1773">HYPERLINK("https://12go.asia/en/travel/Arugam-bay/Aluthgama", "12Go Link")</f>
        <v>12Go Link</v>
      </c>
      <c r="E9045" s="2" t="s">
        <v>286</v>
      </c>
    </row>
    <row r="9046">
      <c r="A9046" s="2" t="s">
        <v>4931</v>
      </c>
      <c r="B9046" s="2" t="s">
        <v>4923</v>
      </c>
      <c r="C9046" s="2" t="s">
        <v>5406</v>
      </c>
      <c r="D9046" s="3" t="str">
        <f t="shared" si="1773"/>
        <v>12Go Link</v>
      </c>
      <c r="E9046" s="2" t="s">
        <v>4139</v>
      </c>
    </row>
    <row r="9047">
      <c r="A9047" s="2" t="s">
        <v>4931</v>
      </c>
      <c r="B9047" s="2" t="s">
        <v>4923</v>
      </c>
      <c r="C9047" s="2" t="s">
        <v>5406</v>
      </c>
      <c r="D9047" s="3" t="str">
        <f t="shared" si="1773"/>
        <v>12Go Link</v>
      </c>
      <c r="E9047" s="2" t="s">
        <v>3409</v>
      </c>
    </row>
    <row r="9048">
      <c r="A9048" s="2" t="s">
        <v>4931</v>
      </c>
      <c r="B9048" s="2" t="s">
        <v>4925</v>
      </c>
      <c r="C9048" s="2" t="s">
        <v>5407</v>
      </c>
      <c r="D9048" s="3" t="str">
        <f t="shared" ref="D9048:D9050" si="1774">HYPERLINK("https://12go.asia/en/travel/Arugam-bay/Ambalangoda", "12Go Link")</f>
        <v>12Go Link</v>
      </c>
      <c r="E9048" s="2" t="s">
        <v>286</v>
      </c>
    </row>
    <row r="9049">
      <c r="A9049" s="2" t="s">
        <v>4931</v>
      </c>
      <c r="B9049" s="2" t="s">
        <v>4925</v>
      </c>
      <c r="C9049" s="2" t="s">
        <v>5407</v>
      </c>
      <c r="D9049" s="3" t="str">
        <f t="shared" si="1774"/>
        <v>12Go Link</v>
      </c>
      <c r="E9049" s="2" t="s">
        <v>4139</v>
      </c>
    </row>
    <row r="9050">
      <c r="A9050" s="2" t="s">
        <v>4931</v>
      </c>
      <c r="B9050" s="2" t="s">
        <v>4925</v>
      </c>
      <c r="C9050" s="2" t="s">
        <v>5407</v>
      </c>
      <c r="D9050" s="3" t="str">
        <f t="shared" si="1774"/>
        <v>12Go Link</v>
      </c>
      <c r="E9050" s="2" t="s">
        <v>3409</v>
      </c>
    </row>
    <row r="9051">
      <c r="A9051" s="2" t="s">
        <v>4931</v>
      </c>
      <c r="B9051" s="2" t="s">
        <v>4927</v>
      </c>
      <c r="C9051" s="2" t="s">
        <v>5408</v>
      </c>
      <c r="D9051" s="3" t="str">
        <f t="shared" ref="D9051:D9053" si="1775">HYPERLINK("https://12go.asia/en/travel/Arugam-bay/Ambalantota", "12Go Link")</f>
        <v>12Go Link</v>
      </c>
      <c r="E9051" s="2" t="s">
        <v>286</v>
      </c>
    </row>
    <row r="9052">
      <c r="A9052" s="2" t="s">
        <v>4931</v>
      </c>
      <c r="B9052" s="2" t="s">
        <v>4927</v>
      </c>
      <c r="C9052" s="2" t="s">
        <v>5408</v>
      </c>
      <c r="D9052" s="3" t="str">
        <f t="shared" si="1775"/>
        <v>12Go Link</v>
      </c>
      <c r="E9052" s="2" t="s">
        <v>4139</v>
      </c>
    </row>
    <row r="9053">
      <c r="A9053" s="2" t="s">
        <v>4931</v>
      </c>
      <c r="B9053" s="2" t="s">
        <v>4927</v>
      </c>
      <c r="C9053" s="2" t="s">
        <v>5408</v>
      </c>
      <c r="D9053" s="3" t="str">
        <f t="shared" si="1775"/>
        <v>12Go Link</v>
      </c>
      <c r="E9053" s="2" t="s">
        <v>3409</v>
      </c>
    </row>
    <row r="9054">
      <c r="A9054" s="2" t="s">
        <v>4931</v>
      </c>
      <c r="B9054" s="2" t="s">
        <v>4929</v>
      </c>
      <c r="C9054" s="2" t="s">
        <v>5409</v>
      </c>
      <c r="D9054" s="3" t="str">
        <f t="shared" ref="D9054:D9056" si="1776">HYPERLINK("https://12go.asia/en/travel/Arugam-bay/Anuradhapura", "12Go Link")</f>
        <v>12Go Link</v>
      </c>
      <c r="E9054" s="2" t="s">
        <v>286</v>
      </c>
    </row>
    <row r="9055">
      <c r="A9055" s="2" t="s">
        <v>4931</v>
      </c>
      <c r="B9055" s="2" t="s">
        <v>4929</v>
      </c>
      <c r="C9055" s="2" t="s">
        <v>5409</v>
      </c>
      <c r="D9055" s="3" t="str">
        <f t="shared" si="1776"/>
        <v>12Go Link</v>
      </c>
      <c r="E9055" s="2" t="s">
        <v>4139</v>
      </c>
    </row>
    <row r="9056">
      <c r="A9056" s="2" t="s">
        <v>4931</v>
      </c>
      <c r="B9056" s="2" t="s">
        <v>4929</v>
      </c>
      <c r="C9056" s="2" t="s">
        <v>5409</v>
      </c>
      <c r="D9056" s="3" t="str">
        <f t="shared" si="1776"/>
        <v>12Go Link</v>
      </c>
      <c r="E9056" s="2" t="s">
        <v>3409</v>
      </c>
    </row>
    <row r="9057">
      <c r="A9057" s="2" t="s">
        <v>4931</v>
      </c>
      <c r="B9057" s="2" t="s">
        <v>4933</v>
      </c>
      <c r="C9057" s="2" t="s">
        <v>5410</v>
      </c>
      <c r="D9057" s="3" t="str">
        <f t="shared" ref="D9057:D9059" si="1777">HYPERLINK("https://12go.asia/en/travel/Arugam-bay/balapitiya", "12Go Link")</f>
        <v>12Go Link</v>
      </c>
      <c r="E9057" s="2" t="s">
        <v>286</v>
      </c>
    </row>
    <row r="9058">
      <c r="A9058" s="2" t="s">
        <v>4931</v>
      </c>
      <c r="B9058" s="2" t="s">
        <v>4933</v>
      </c>
      <c r="C9058" s="2" t="s">
        <v>5410</v>
      </c>
      <c r="D9058" s="3" t="str">
        <f t="shared" si="1777"/>
        <v>12Go Link</v>
      </c>
      <c r="E9058" s="2" t="s">
        <v>4139</v>
      </c>
    </row>
    <row r="9059">
      <c r="A9059" s="2" t="s">
        <v>4931</v>
      </c>
      <c r="B9059" s="2" t="s">
        <v>4933</v>
      </c>
      <c r="C9059" s="2" t="s">
        <v>5410</v>
      </c>
      <c r="D9059" s="3" t="str">
        <f t="shared" si="1777"/>
        <v>12Go Link</v>
      </c>
      <c r="E9059" s="2" t="s">
        <v>3409</v>
      </c>
    </row>
    <row r="9060">
      <c r="A9060" s="2" t="s">
        <v>4931</v>
      </c>
      <c r="B9060" s="2" t="s">
        <v>4935</v>
      </c>
      <c r="C9060" s="2" t="s">
        <v>5411</v>
      </c>
      <c r="D9060" s="3" t="str">
        <f t="shared" ref="D9060:D9062" si="1778">HYPERLINK("https://12go.asia/en/travel/Arugam-bay/Batticaloa", "12Go Link")</f>
        <v>12Go Link</v>
      </c>
      <c r="E9060" s="2" t="s">
        <v>286</v>
      </c>
    </row>
    <row r="9061">
      <c r="A9061" s="2" t="s">
        <v>4931</v>
      </c>
      <c r="B9061" s="2" t="s">
        <v>4935</v>
      </c>
      <c r="C9061" s="2" t="s">
        <v>5411</v>
      </c>
      <c r="D9061" s="3" t="str">
        <f t="shared" si="1778"/>
        <v>12Go Link</v>
      </c>
      <c r="E9061" s="2" t="s">
        <v>4139</v>
      </c>
    </row>
    <row r="9062">
      <c r="A9062" s="2" t="s">
        <v>4931</v>
      </c>
      <c r="B9062" s="2" t="s">
        <v>4935</v>
      </c>
      <c r="C9062" s="2" t="s">
        <v>5411</v>
      </c>
      <c r="D9062" s="3" t="str">
        <f t="shared" si="1778"/>
        <v>12Go Link</v>
      </c>
      <c r="E9062" s="2" t="s">
        <v>3409</v>
      </c>
    </row>
    <row r="9063">
      <c r="A9063" s="2" t="s">
        <v>4931</v>
      </c>
      <c r="B9063" s="2" t="s">
        <v>4937</v>
      </c>
      <c r="C9063" s="2" t="s">
        <v>5412</v>
      </c>
      <c r="D9063" s="3" t="str">
        <f t="shared" ref="D9063:D9065" si="1779">HYPERLINK("https://12go.asia/en/travel/Arugam-bay/Bentota", "12Go Link")</f>
        <v>12Go Link</v>
      </c>
      <c r="E9063" s="2" t="s">
        <v>286</v>
      </c>
    </row>
    <row r="9064">
      <c r="A9064" s="2" t="s">
        <v>4931</v>
      </c>
      <c r="B9064" s="2" t="s">
        <v>4937</v>
      </c>
      <c r="C9064" s="2" t="s">
        <v>5412</v>
      </c>
      <c r="D9064" s="3" t="str">
        <f t="shared" si="1779"/>
        <v>12Go Link</v>
      </c>
      <c r="E9064" s="2" t="s">
        <v>4139</v>
      </c>
    </row>
    <row r="9065">
      <c r="A9065" s="2" t="s">
        <v>4931</v>
      </c>
      <c r="B9065" s="2" t="s">
        <v>4937</v>
      </c>
      <c r="C9065" s="2" t="s">
        <v>5412</v>
      </c>
      <c r="D9065" s="3" t="str">
        <f t="shared" si="1779"/>
        <v>12Go Link</v>
      </c>
      <c r="E9065" s="2" t="s">
        <v>3409</v>
      </c>
    </row>
    <row r="9066">
      <c r="A9066" s="2" t="s">
        <v>4931</v>
      </c>
      <c r="B9066" s="2" t="s">
        <v>4939</v>
      </c>
      <c r="C9066" s="2" t="s">
        <v>5413</v>
      </c>
      <c r="D9066" s="3" t="str">
        <f t="shared" ref="D9066:D9068" si="1780">HYPERLINK("https://12go.asia/en/travel/Arugam-bay/Beruwala", "12Go Link")</f>
        <v>12Go Link</v>
      </c>
      <c r="E9066" s="2" t="s">
        <v>286</v>
      </c>
    </row>
    <row r="9067">
      <c r="A9067" s="2" t="s">
        <v>4931</v>
      </c>
      <c r="B9067" s="2" t="s">
        <v>4939</v>
      </c>
      <c r="C9067" s="2" t="s">
        <v>5413</v>
      </c>
      <c r="D9067" s="3" t="str">
        <f t="shared" si="1780"/>
        <v>12Go Link</v>
      </c>
      <c r="E9067" s="2" t="s">
        <v>4139</v>
      </c>
    </row>
    <row r="9068">
      <c r="A9068" s="2" t="s">
        <v>4931</v>
      </c>
      <c r="B9068" s="2" t="s">
        <v>4939</v>
      </c>
      <c r="C9068" s="2" t="s">
        <v>5413</v>
      </c>
      <c r="D9068" s="3" t="str">
        <f t="shared" si="1780"/>
        <v>12Go Link</v>
      </c>
      <c r="E9068" s="2" t="s">
        <v>3409</v>
      </c>
    </row>
    <row r="9069">
      <c r="A9069" s="2" t="s">
        <v>4931</v>
      </c>
      <c r="B9069" s="2" t="s">
        <v>4941</v>
      </c>
      <c r="C9069" s="2" t="s">
        <v>5414</v>
      </c>
      <c r="D9069" s="3" t="str">
        <f t="shared" ref="D9069:D9071" si="1781">HYPERLINK("https://12go.asia/en/travel/Arugam-bay/Bundala", "12Go Link")</f>
        <v>12Go Link</v>
      </c>
      <c r="E9069" s="2" t="s">
        <v>286</v>
      </c>
    </row>
    <row r="9070">
      <c r="A9070" s="2" t="s">
        <v>4931</v>
      </c>
      <c r="B9070" s="2" t="s">
        <v>4941</v>
      </c>
      <c r="C9070" s="2" t="s">
        <v>5414</v>
      </c>
      <c r="D9070" s="3" t="str">
        <f t="shared" si="1781"/>
        <v>12Go Link</v>
      </c>
      <c r="E9070" s="2" t="s">
        <v>4139</v>
      </c>
    </row>
    <row r="9071">
      <c r="A9071" s="2" t="s">
        <v>4931</v>
      </c>
      <c r="B9071" s="2" t="s">
        <v>4941</v>
      </c>
      <c r="C9071" s="2" t="s">
        <v>5414</v>
      </c>
      <c r="D9071" s="3" t="str">
        <f t="shared" si="1781"/>
        <v>12Go Link</v>
      </c>
      <c r="E9071" s="2" t="s">
        <v>3409</v>
      </c>
    </row>
    <row r="9072">
      <c r="A9072" s="2" t="s">
        <v>4931</v>
      </c>
      <c r="B9072" s="2" t="s">
        <v>4943</v>
      </c>
      <c r="C9072" s="2" t="s">
        <v>5415</v>
      </c>
      <c r="D9072" s="3" t="str">
        <f t="shared" ref="D9072:D9074" si="1782">HYPERLINK("https://12go.asia/en/travel/Arugam-bay/Bambalapitiya", "12Go Link")</f>
        <v>12Go Link</v>
      </c>
      <c r="E9072" s="2" t="s">
        <v>286</v>
      </c>
    </row>
    <row r="9073">
      <c r="A9073" s="2" t="s">
        <v>4931</v>
      </c>
      <c r="B9073" s="2" t="s">
        <v>4943</v>
      </c>
      <c r="C9073" s="2" t="s">
        <v>5415</v>
      </c>
      <c r="D9073" s="3" t="str">
        <f t="shared" si="1782"/>
        <v>12Go Link</v>
      </c>
      <c r="E9073" s="2" t="s">
        <v>4139</v>
      </c>
    </row>
    <row r="9074">
      <c r="A9074" s="2" t="s">
        <v>4931</v>
      </c>
      <c r="B9074" s="2" t="s">
        <v>4943</v>
      </c>
      <c r="C9074" s="2" t="s">
        <v>5415</v>
      </c>
      <c r="D9074" s="3" t="str">
        <f t="shared" si="1782"/>
        <v>12Go Link</v>
      </c>
      <c r="E9074" s="2" t="s">
        <v>3409</v>
      </c>
    </row>
    <row r="9075">
      <c r="A9075" s="2" t="s">
        <v>4931</v>
      </c>
      <c r="B9075" s="2" t="s">
        <v>4945</v>
      </c>
      <c r="C9075" s="2" t="s">
        <v>5416</v>
      </c>
      <c r="D9075" s="3" t="str">
        <f t="shared" ref="D9075:D9077" si="1783">HYPERLINK("https://12go.asia/en/travel/Arugam-bay/Bandaranaike-Airport", "12Go Link")</f>
        <v>12Go Link</v>
      </c>
      <c r="E9075" s="2" t="s">
        <v>286</v>
      </c>
    </row>
    <row r="9076">
      <c r="A9076" s="2" t="s">
        <v>4931</v>
      </c>
      <c r="B9076" s="2" t="s">
        <v>4945</v>
      </c>
      <c r="C9076" s="2" t="s">
        <v>5416</v>
      </c>
      <c r="D9076" s="3" t="str">
        <f t="shared" si="1783"/>
        <v>12Go Link</v>
      </c>
      <c r="E9076" s="2" t="s">
        <v>4139</v>
      </c>
    </row>
    <row r="9077">
      <c r="A9077" s="2" t="s">
        <v>4931</v>
      </c>
      <c r="B9077" s="2" t="s">
        <v>4945</v>
      </c>
      <c r="C9077" s="2" t="s">
        <v>5416</v>
      </c>
      <c r="D9077" s="3" t="str">
        <f t="shared" si="1783"/>
        <v>12Go Link</v>
      </c>
      <c r="E9077" s="2" t="s">
        <v>3409</v>
      </c>
    </row>
    <row r="9078">
      <c r="A9078" s="2" t="s">
        <v>4931</v>
      </c>
      <c r="B9078" s="2" t="s">
        <v>4947</v>
      </c>
      <c r="C9078" s="2" t="s">
        <v>5417</v>
      </c>
      <c r="D9078" s="3" t="str">
        <f t="shared" ref="D9078:D9080" si="1784">HYPERLINK("https://12go.asia/en/travel/Arugam-bay/Dambulla", "12Go Link")</f>
        <v>12Go Link</v>
      </c>
      <c r="E9078" s="2" t="s">
        <v>286</v>
      </c>
    </row>
    <row r="9079">
      <c r="A9079" s="2" t="s">
        <v>4931</v>
      </c>
      <c r="B9079" s="2" t="s">
        <v>4947</v>
      </c>
      <c r="C9079" s="2" t="s">
        <v>5417</v>
      </c>
      <c r="D9079" s="3" t="str">
        <f t="shared" si="1784"/>
        <v>12Go Link</v>
      </c>
      <c r="E9079" s="2" t="s">
        <v>4139</v>
      </c>
    </row>
    <row r="9080">
      <c r="A9080" s="2" t="s">
        <v>4931</v>
      </c>
      <c r="B9080" s="2" t="s">
        <v>4947</v>
      </c>
      <c r="C9080" s="2" t="s">
        <v>5417</v>
      </c>
      <c r="D9080" s="3" t="str">
        <f t="shared" si="1784"/>
        <v>12Go Link</v>
      </c>
      <c r="E9080" s="2" t="s">
        <v>3409</v>
      </c>
    </row>
    <row r="9081">
      <c r="A9081" s="2" t="s">
        <v>4931</v>
      </c>
      <c r="B9081" s="2" t="s">
        <v>4949</v>
      </c>
      <c r="C9081" s="2" t="s">
        <v>5418</v>
      </c>
      <c r="D9081" s="3" t="str">
        <f t="shared" ref="D9081:D9083" si="1785">HYPERLINK("https://12go.asia/en/travel/Arugam-bay/Deniyaya", "12Go Link")</f>
        <v>12Go Link</v>
      </c>
      <c r="E9081" s="2" t="s">
        <v>286</v>
      </c>
    </row>
    <row r="9082">
      <c r="A9082" s="2" t="s">
        <v>4931</v>
      </c>
      <c r="B9082" s="2" t="s">
        <v>4949</v>
      </c>
      <c r="C9082" s="2" t="s">
        <v>5418</v>
      </c>
      <c r="D9082" s="3" t="str">
        <f t="shared" si="1785"/>
        <v>12Go Link</v>
      </c>
      <c r="E9082" s="2" t="s">
        <v>4139</v>
      </c>
    </row>
    <row r="9083">
      <c r="A9083" s="2" t="s">
        <v>4931</v>
      </c>
      <c r="B9083" s="2" t="s">
        <v>4949</v>
      </c>
      <c r="C9083" s="2" t="s">
        <v>5418</v>
      </c>
      <c r="D9083" s="3" t="str">
        <f t="shared" si="1785"/>
        <v>12Go Link</v>
      </c>
      <c r="E9083" s="2" t="s">
        <v>3409</v>
      </c>
    </row>
    <row r="9084">
      <c r="A9084" s="2" t="s">
        <v>4931</v>
      </c>
      <c r="B9084" s="2" t="s">
        <v>4951</v>
      </c>
      <c r="C9084" s="2" t="s">
        <v>5419</v>
      </c>
      <c r="D9084" s="3" t="str">
        <f t="shared" ref="D9084:D9086" si="1786">HYPERLINK("https://12go.asia/en/travel/Arugam-bay/Dickwella", "12Go Link")</f>
        <v>12Go Link</v>
      </c>
      <c r="E9084" s="2" t="s">
        <v>286</v>
      </c>
    </row>
    <row r="9085">
      <c r="A9085" s="2" t="s">
        <v>4931</v>
      </c>
      <c r="B9085" s="2" t="s">
        <v>4951</v>
      </c>
      <c r="C9085" s="2" t="s">
        <v>5419</v>
      </c>
      <c r="D9085" s="3" t="str">
        <f t="shared" si="1786"/>
        <v>12Go Link</v>
      </c>
      <c r="E9085" s="2" t="s">
        <v>4139</v>
      </c>
    </row>
    <row r="9086">
      <c r="A9086" s="2" t="s">
        <v>4931</v>
      </c>
      <c r="B9086" s="2" t="s">
        <v>4951</v>
      </c>
      <c r="C9086" s="2" t="s">
        <v>5419</v>
      </c>
      <c r="D9086" s="3" t="str">
        <f t="shared" si="1786"/>
        <v>12Go Link</v>
      </c>
      <c r="E9086" s="2" t="s">
        <v>3409</v>
      </c>
    </row>
    <row r="9087">
      <c r="A9087" s="2" t="s">
        <v>4931</v>
      </c>
      <c r="B9087" s="2" t="s">
        <v>4951</v>
      </c>
      <c r="C9087" s="2" t="s">
        <v>5420</v>
      </c>
      <c r="D9087" s="3" t="str">
        <f t="shared" ref="D9087:D9089" si="1787">HYPERLINK("https://12go.asia/en/travel/Arugam-bay/Hiriketiya-beach", "12Go Link")</f>
        <v>12Go Link</v>
      </c>
      <c r="E9087" s="2" t="s">
        <v>286</v>
      </c>
    </row>
    <row r="9088">
      <c r="A9088" s="2" t="s">
        <v>4931</v>
      </c>
      <c r="B9088" s="2" t="s">
        <v>4951</v>
      </c>
      <c r="C9088" s="2" t="s">
        <v>5420</v>
      </c>
      <c r="D9088" s="3" t="str">
        <f t="shared" si="1787"/>
        <v>12Go Link</v>
      </c>
      <c r="E9088" s="2" t="s">
        <v>4139</v>
      </c>
    </row>
    <row r="9089">
      <c r="A9089" s="2" t="s">
        <v>4931</v>
      </c>
      <c r="B9089" s="2" t="s">
        <v>4951</v>
      </c>
      <c r="C9089" s="2" t="s">
        <v>5420</v>
      </c>
      <c r="D9089" s="3" t="str">
        <f t="shared" si="1787"/>
        <v>12Go Link</v>
      </c>
      <c r="E9089" s="2" t="s">
        <v>3409</v>
      </c>
    </row>
    <row r="9090">
      <c r="A9090" s="2" t="s">
        <v>4931</v>
      </c>
      <c r="B9090" s="2" t="s">
        <v>4954</v>
      </c>
      <c r="C9090" s="2" t="s">
        <v>5421</v>
      </c>
      <c r="D9090" s="3" t="str">
        <f t="shared" ref="D9090:D9092" si="1788">HYPERLINK("https://12go.asia/en/travel/Arugam-bay/Galle", "12Go Link")</f>
        <v>12Go Link</v>
      </c>
      <c r="E9090" s="2" t="s">
        <v>286</v>
      </c>
    </row>
    <row r="9091">
      <c r="A9091" s="2" t="s">
        <v>4931</v>
      </c>
      <c r="B9091" s="2" t="s">
        <v>4954</v>
      </c>
      <c r="C9091" s="2" t="s">
        <v>5421</v>
      </c>
      <c r="D9091" s="3" t="str">
        <f t="shared" si="1788"/>
        <v>12Go Link</v>
      </c>
      <c r="E9091" s="2" t="s">
        <v>4139</v>
      </c>
    </row>
    <row r="9092">
      <c r="A9092" s="2" t="s">
        <v>4931</v>
      </c>
      <c r="B9092" s="2" t="s">
        <v>4954</v>
      </c>
      <c r="C9092" s="2" t="s">
        <v>5421</v>
      </c>
      <c r="D9092" s="3" t="str">
        <f t="shared" si="1788"/>
        <v>12Go Link</v>
      </c>
      <c r="E9092" s="2" t="s">
        <v>3409</v>
      </c>
    </row>
    <row r="9093">
      <c r="A9093" s="2" t="s">
        <v>4931</v>
      </c>
      <c r="B9093" s="2" t="s">
        <v>4954</v>
      </c>
      <c r="C9093" s="2" t="s">
        <v>5422</v>
      </c>
      <c r="D9093" s="3" t="str">
        <f t="shared" ref="D9093:D9095" si="1789">HYPERLINK("https://12go.asia/en/travel/Arugam-bay/Talpe", "12Go Link")</f>
        <v>12Go Link</v>
      </c>
      <c r="E9093" s="2" t="s">
        <v>286</v>
      </c>
    </row>
    <row r="9094">
      <c r="A9094" s="2" t="s">
        <v>4931</v>
      </c>
      <c r="B9094" s="2" t="s">
        <v>4954</v>
      </c>
      <c r="C9094" s="2" t="s">
        <v>5422</v>
      </c>
      <c r="D9094" s="3" t="str">
        <f t="shared" si="1789"/>
        <v>12Go Link</v>
      </c>
      <c r="E9094" s="2" t="s">
        <v>4139</v>
      </c>
    </row>
    <row r="9095">
      <c r="A9095" s="2" t="s">
        <v>4931</v>
      </c>
      <c r="B9095" s="2" t="s">
        <v>4954</v>
      </c>
      <c r="C9095" s="2" t="s">
        <v>5422</v>
      </c>
      <c r="D9095" s="3" t="str">
        <f t="shared" si="1789"/>
        <v>12Go Link</v>
      </c>
      <c r="E9095" s="2" t="s">
        <v>3409</v>
      </c>
    </row>
    <row r="9096">
      <c r="A9096" s="2" t="s">
        <v>4931</v>
      </c>
      <c r="B9096" s="2" t="s">
        <v>4957</v>
      </c>
      <c r="C9096" s="2" t="s">
        <v>5423</v>
      </c>
      <c r="D9096" s="3" t="str">
        <f t="shared" ref="D9096:D9098" si="1790">HYPERLINK("https://12go.asia/en/travel/Arugam-bay/Habarana", "12Go Link")</f>
        <v>12Go Link</v>
      </c>
      <c r="E9096" s="2" t="s">
        <v>286</v>
      </c>
    </row>
    <row r="9097">
      <c r="A9097" s="2" t="s">
        <v>4931</v>
      </c>
      <c r="B9097" s="2" t="s">
        <v>4957</v>
      </c>
      <c r="C9097" s="2" t="s">
        <v>5423</v>
      </c>
      <c r="D9097" s="3" t="str">
        <f t="shared" si="1790"/>
        <v>12Go Link</v>
      </c>
      <c r="E9097" s="2" t="s">
        <v>4139</v>
      </c>
    </row>
    <row r="9098">
      <c r="A9098" s="2" t="s">
        <v>4931</v>
      </c>
      <c r="B9098" s="2" t="s">
        <v>4957</v>
      </c>
      <c r="C9098" s="2" t="s">
        <v>5423</v>
      </c>
      <c r="D9098" s="3" t="str">
        <f t="shared" si="1790"/>
        <v>12Go Link</v>
      </c>
      <c r="E9098" s="2" t="s">
        <v>3409</v>
      </c>
    </row>
    <row r="9099">
      <c r="A9099" s="2" t="s">
        <v>4931</v>
      </c>
      <c r="B9099" s="2" t="s">
        <v>4959</v>
      </c>
      <c r="C9099" s="2" t="s">
        <v>5424</v>
      </c>
      <c r="D9099" s="3" t="str">
        <f t="shared" ref="D9099:D9101" si="1791">HYPERLINK("https://12go.asia/en/travel/Arugam-bay/Ella", "12Go Link")</f>
        <v>12Go Link</v>
      </c>
      <c r="E9099" s="2" t="s">
        <v>286</v>
      </c>
    </row>
    <row r="9100">
      <c r="A9100" s="2" t="s">
        <v>4931</v>
      </c>
      <c r="B9100" s="2" t="s">
        <v>4959</v>
      </c>
      <c r="C9100" s="2" t="s">
        <v>5424</v>
      </c>
      <c r="D9100" s="3" t="str">
        <f t="shared" si="1791"/>
        <v>12Go Link</v>
      </c>
      <c r="E9100" s="2" t="s">
        <v>4139</v>
      </c>
    </row>
    <row r="9101">
      <c r="A9101" s="2" t="s">
        <v>4931</v>
      </c>
      <c r="B9101" s="2" t="s">
        <v>4959</v>
      </c>
      <c r="C9101" s="2" t="s">
        <v>5424</v>
      </c>
      <c r="D9101" s="3" t="str">
        <f t="shared" si="1791"/>
        <v>12Go Link</v>
      </c>
      <c r="E9101" s="2" t="s">
        <v>3409</v>
      </c>
    </row>
    <row r="9102">
      <c r="A9102" s="2" t="s">
        <v>4931</v>
      </c>
      <c r="B9102" s="2" t="s">
        <v>4961</v>
      </c>
      <c r="C9102" s="2" t="s">
        <v>5425</v>
      </c>
      <c r="D9102" s="3" t="str">
        <f t="shared" ref="D9102:D9104" si="1792">HYPERLINK("https://12go.asia/en/travel/Arugam-bay/Beragala", "12Go Link")</f>
        <v>12Go Link</v>
      </c>
      <c r="E9102" s="2" t="s">
        <v>286</v>
      </c>
    </row>
    <row r="9103">
      <c r="A9103" s="2" t="s">
        <v>4931</v>
      </c>
      <c r="B9103" s="2" t="s">
        <v>4961</v>
      </c>
      <c r="C9103" s="2" t="s">
        <v>5425</v>
      </c>
      <c r="D9103" s="3" t="str">
        <f t="shared" si="1792"/>
        <v>12Go Link</v>
      </c>
      <c r="E9103" s="2" t="s">
        <v>4139</v>
      </c>
    </row>
    <row r="9104">
      <c r="A9104" s="2" t="s">
        <v>4931</v>
      </c>
      <c r="B9104" s="2" t="s">
        <v>4961</v>
      </c>
      <c r="C9104" s="2" t="s">
        <v>5425</v>
      </c>
      <c r="D9104" s="3" t="str">
        <f t="shared" si="1792"/>
        <v>12Go Link</v>
      </c>
      <c r="E9104" s="2" t="s">
        <v>3409</v>
      </c>
    </row>
    <row r="9105">
      <c r="A9105" s="2" t="s">
        <v>4931</v>
      </c>
      <c r="B9105" s="2" t="s">
        <v>4963</v>
      </c>
      <c r="C9105" s="2" t="s">
        <v>5426</v>
      </c>
      <c r="D9105" s="3" t="str">
        <f t="shared" ref="D9105:D9107" si="1793">HYPERLINK("https://12go.asia/en/travel/Arugam-bay/Dick-oya", "12Go Link")</f>
        <v>12Go Link</v>
      </c>
      <c r="E9105" s="2" t="s">
        <v>286</v>
      </c>
    </row>
    <row r="9106">
      <c r="A9106" s="2" t="s">
        <v>4931</v>
      </c>
      <c r="B9106" s="2" t="s">
        <v>4963</v>
      </c>
      <c r="C9106" s="2" t="s">
        <v>5426</v>
      </c>
      <c r="D9106" s="3" t="str">
        <f t="shared" si="1793"/>
        <v>12Go Link</v>
      </c>
      <c r="E9106" s="2" t="s">
        <v>4139</v>
      </c>
    </row>
    <row r="9107">
      <c r="A9107" s="2" t="s">
        <v>4931</v>
      </c>
      <c r="B9107" s="2" t="s">
        <v>4963</v>
      </c>
      <c r="C9107" s="2" t="s">
        <v>5426</v>
      </c>
      <c r="D9107" s="3" t="str">
        <f t="shared" si="1793"/>
        <v>12Go Link</v>
      </c>
      <c r="E9107" s="2" t="s">
        <v>3409</v>
      </c>
    </row>
    <row r="9108">
      <c r="A9108" s="2" t="s">
        <v>4931</v>
      </c>
      <c r="B9108" s="2" t="s">
        <v>4965</v>
      </c>
      <c r="C9108" s="2" t="s">
        <v>5427</v>
      </c>
      <c r="D9108" s="3" t="str">
        <f t="shared" ref="D9108:D9110" si="1794">HYPERLINK("https://12go.asia/en/travel/Arugam-bay/Dodanduwa", "12Go Link")</f>
        <v>12Go Link</v>
      </c>
      <c r="E9108" s="2" t="s">
        <v>286</v>
      </c>
    </row>
    <row r="9109">
      <c r="A9109" s="2" t="s">
        <v>4931</v>
      </c>
      <c r="B9109" s="2" t="s">
        <v>4965</v>
      </c>
      <c r="C9109" s="2" t="s">
        <v>5427</v>
      </c>
      <c r="D9109" s="3" t="str">
        <f t="shared" si="1794"/>
        <v>12Go Link</v>
      </c>
      <c r="E9109" s="2" t="s">
        <v>4139</v>
      </c>
    </row>
    <row r="9110">
      <c r="A9110" s="2" t="s">
        <v>4931</v>
      </c>
      <c r="B9110" s="2" t="s">
        <v>4965</v>
      </c>
      <c r="C9110" s="2" t="s">
        <v>5427</v>
      </c>
      <c r="D9110" s="3" t="str">
        <f t="shared" si="1794"/>
        <v>12Go Link</v>
      </c>
      <c r="E9110" s="2" t="s">
        <v>3409</v>
      </c>
    </row>
    <row r="9111">
      <c r="A9111" s="2" t="s">
        <v>4931</v>
      </c>
      <c r="B9111" s="2" t="s">
        <v>4967</v>
      </c>
      <c r="C9111" s="2" t="s">
        <v>5428</v>
      </c>
      <c r="D9111" s="3" t="str">
        <f t="shared" ref="D9111:D9113" si="1795">HYPERLINK("https://12go.asia/en/travel/Arugam-bay/Induruwa", "12Go Link")</f>
        <v>12Go Link</v>
      </c>
      <c r="E9111" s="2" t="s">
        <v>286</v>
      </c>
    </row>
    <row r="9112">
      <c r="A9112" s="2" t="s">
        <v>4931</v>
      </c>
      <c r="B9112" s="2" t="s">
        <v>4967</v>
      </c>
      <c r="C9112" s="2" t="s">
        <v>5428</v>
      </c>
      <c r="D9112" s="3" t="str">
        <f t="shared" si="1795"/>
        <v>12Go Link</v>
      </c>
      <c r="E9112" s="2" t="s">
        <v>4139</v>
      </c>
    </row>
    <row r="9113">
      <c r="A9113" s="2" t="s">
        <v>4931</v>
      </c>
      <c r="B9113" s="2" t="s">
        <v>4967</v>
      </c>
      <c r="C9113" s="2" t="s">
        <v>5428</v>
      </c>
      <c r="D9113" s="3" t="str">
        <f t="shared" si="1795"/>
        <v>12Go Link</v>
      </c>
      <c r="E9113" s="2" t="s">
        <v>3409</v>
      </c>
    </row>
    <row r="9114">
      <c r="A9114" s="2" t="s">
        <v>4931</v>
      </c>
      <c r="B9114" s="2" t="s">
        <v>4969</v>
      </c>
      <c r="C9114" s="2" t="s">
        <v>5429</v>
      </c>
      <c r="D9114" s="3" t="str">
        <f t="shared" ref="D9114:D9116" si="1796">HYPERLINK("https://12go.asia/en/travel/Arugam-bay/Jaffna", "12Go Link")</f>
        <v>12Go Link</v>
      </c>
      <c r="E9114" s="2" t="s">
        <v>286</v>
      </c>
    </row>
    <row r="9115">
      <c r="A9115" s="2" t="s">
        <v>4931</v>
      </c>
      <c r="B9115" s="2" t="s">
        <v>4969</v>
      </c>
      <c r="C9115" s="2" t="s">
        <v>5429</v>
      </c>
      <c r="D9115" s="3" t="str">
        <f t="shared" si="1796"/>
        <v>12Go Link</v>
      </c>
      <c r="E9115" s="2" t="s">
        <v>4139</v>
      </c>
    </row>
    <row r="9116">
      <c r="A9116" s="2" t="s">
        <v>4931</v>
      </c>
      <c r="B9116" s="2" t="s">
        <v>4969</v>
      </c>
      <c r="C9116" s="2" t="s">
        <v>5429</v>
      </c>
      <c r="D9116" s="3" t="str">
        <f t="shared" si="1796"/>
        <v>12Go Link</v>
      </c>
      <c r="E9116" s="2" t="s">
        <v>3409</v>
      </c>
    </row>
    <row r="9117">
      <c r="A9117" s="2" t="s">
        <v>4931</v>
      </c>
      <c r="B9117" s="2" t="s">
        <v>4971</v>
      </c>
      <c r="C9117" s="2" t="s">
        <v>5430</v>
      </c>
      <c r="D9117" s="3" t="str">
        <f t="shared" ref="D9117:D9119" si="1797">HYPERLINK("https://12go.asia/en/travel/Arugam-bay/Kalapuwa", "12Go Link")</f>
        <v>12Go Link</v>
      </c>
      <c r="E9117" s="2" t="s">
        <v>286</v>
      </c>
    </row>
    <row r="9118">
      <c r="A9118" s="2" t="s">
        <v>4931</v>
      </c>
      <c r="B9118" s="2" t="s">
        <v>4971</v>
      </c>
      <c r="C9118" s="2" t="s">
        <v>5430</v>
      </c>
      <c r="D9118" s="3" t="str">
        <f t="shared" si="1797"/>
        <v>12Go Link</v>
      </c>
      <c r="E9118" s="2" t="s">
        <v>4139</v>
      </c>
    </row>
    <row r="9119">
      <c r="A9119" s="2" t="s">
        <v>4931</v>
      </c>
      <c r="B9119" s="2" t="s">
        <v>4971</v>
      </c>
      <c r="C9119" s="2" t="s">
        <v>5430</v>
      </c>
      <c r="D9119" s="3" t="str">
        <f t="shared" si="1797"/>
        <v>12Go Link</v>
      </c>
      <c r="E9119" s="2" t="s">
        <v>3409</v>
      </c>
    </row>
    <row r="9120">
      <c r="A9120" s="2" t="s">
        <v>4931</v>
      </c>
      <c r="B9120" s="2" t="s">
        <v>4973</v>
      </c>
      <c r="C9120" s="2" t="s">
        <v>5431</v>
      </c>
      <c r="D9120" s="3" t="str">
        <f t="shared" ref="D9120:D9122" si="1798">HYPERLINK("https://12go.asia/en/travel/Arugam-bay/Ampitiya", "12Go Link")</f>
        <v>12Go Link</v>
      </c>
      <c r="E9120" s="2" t="s">
        <v>286</v>
      </c>
    </row>
    <row r="9121">
      <c r="A9121" s="2" t="s">
        <v>4931</v>
      </c>
      <c r="B9121" s="2" t="s">
        <v>4973</v>
      </c>
      <c r="C9121" s="2" t="s">
        <v>5431</v>
      </c>
      <c r="D9121" s="3" t="str">
        <f t="shared" si="1798"/>
        <v>12Go Link</v>
      </c>
      <c r="E9121" s="2" t="s">
        <v>4139</v>
      </c>
    </row>
    <row r="9122">
      <c r="A9122" s="2" t="s">
        <v>4931</v>
      </c>
      <c r="B9122" s="2" t="s">
        <v>4973</v>
      </c>
      <c r="C9122" s="2" t="s">
        <v>5431</v>
      </c>
      <c r="D9122" s="3" t="str">
        <f t="shared" si="1798"/>
        <v>12Go Link</v>
      </c>
      <c r="E9122" s="2" t="s">
        <v>3409</v>
      </c>
    </row>
    <row r="9123">
      <c r="A9123" s="2" t="s">
        <v>4931</v>
      </c>
      <c r="B9123" s="2" t="s">
        <v>4973</v>
      </c>
      <c r="C9123" s="2" t="s">
        <v>5432</v>
      </c>
      <c r="D9123" s="3" t="str">
        <f t="shared" ref="D9123:D9125" si="1799">HYPERLINK("https://12go.asia/en/travel/Arugam-bay/Digana", "12Go Link")</f>
        <v>12Go Link</v>
      </c>
      <c r="E9123" s="2" t="s">
        <v>286</v>
      </c>
    </row>
    <row r="9124">
      <c r="A9124" s="2" t="s">
        <v>4931</v>
      </c>
      <c r="B9124" s="2" t="s">
        <v>4973</v>
      </c>
      <c r="C9124" s="2" t="s">
        <v>5432</v>
      </c>
      <c r="D9124" s="3" t="str">
        <f t="shared" si="1799"/>
        <v>12Go Link</v>
      </c>
      <c r="E9124" s="2" t="s">
        <v>4139</v>
      </c>
    </row>
    <row r="9125">
      <c r="A9125" s="2" t="s">
        <v>4931</v>
      </c>
      <c r="B9125" s="2" t="s">
        <v>4973</v>
      </c>
      <c r="C9125" s="2" t="s">
        <v>5432</v>
      </c>
      <c r="D9125" s="3" t="str">
        <f t="shared" si="1799"/>
        <v>12Go Link</v>
      </c>
      <c r="E9125" s="2" t="s">
        <v>3409</v>
      </c>
    </row>
    <row r="9126">
      <c r="A9126" s="2" t="s">
        <v>4931</v>
      </c>
      <c r="B9126" s="2" t="s">
        <v>4976</v>
      </c>
      <c r="C9126" s="2" t="s">
        <v>5433</v>
      </c>
      <c r="D9126" s="3" t="str">
        <f t="shared" ref="D9126:D9128" si="1800">HYPERLINK("https://12go.asia/en/travel/Arugam-bay/Kataragama", "12Go Link")</f>
        <v>12Go Link</v>
      </c>
      <c r="E9126" s="2" t="s">
        <v>286</v>
      </c>
    </row>
    <row r="9127">
      <c r="A9127" s="2" t="s">
        <v>4931</v>
      </c>
      <c r="B9127" s="2" t="s">
        <v>4976</v>
      </c>
      <c r="C9127" s="2" t="s">
        <v>5433</v>
      </c>
      <c r="D9127" s="3" t="str">
        <f t="shared" si="1800"/>
        <v>12Go Link</v>
      </c>
      <c r="E9127" s="2" t="s">
        <v>4139</v>
      </c>
    </row>
    <row r="9128">
      <c r="A9128" s="2" t="s">
        <v>4931</v>
      </c>
      <c r="B9128" s="2" t="s">
        <v>4976</v>
      </c>
      <c r="C9128" s="2" t="s">
        <v>5433</v>
      </c>
      <c r="D9128" s="3" t="str">
        <f t="shared" si="1800"/>
        <v>12Go Link</v>
      </c>
      <c r="E9128" s="2" t="s">
        <v>3409</v>
      </c>
    </row>
    <row r="9129">
      <c r="A9129" s="2" t="s">
        <v>4931</v>
      </c>
      <c r="B9129" s="2" t="s">
        <v>4978</v>
      </c>
      <c r="C9129" s="2" t="s">
        <v>5434</v>
      </c>
      <c r="D9129" s="3" t="str">
        <f t="shared" ref="D9129:D9131" si="1801">HYPERLINK("https://12go.asia/en/travel/Arugam-bay/Alawathupitiya", "12Go Link")</f>
        <v>12Go Link</v>
      </c>
      <c r="E9129" s="2" t="s">
        <v>286</v>
      </c>
    </row>
    <row r="9130">
      <c r="A9130" s="2" t="s">
        <v>4931</v>
      </c>
      <c r="B9130" s="2" t="s">
        <v>4978</v>
      </c>
      <c r="C9130" s="2" t="s">
        <v>5434</v>
      </c>
      <c r="D9130" s="3" t="str">
        <f t="shared" si="1801"/>
        <v>12Go Link</v>
      </c>
      <c r="E9130" s="2" t="s">
        <v>4139</v>
      </c>
    </row>
    <row r="9131">
      <c r="A9131" s="2" t="s">
        <v>4931</v>
      </c>
      <c r="B9131" s="2" t="s">
        <v>4978</v>
      </c>
      <c r="C9131" s="2" t="s">
        <v>5434</v>
      </c>
      <c r="D9131" s="3" t="str">
        <f t="shared" si="1801"/>
        <v>12Go Link</v>
      </c>
      <c r="E9131" s="2" t="s">
        <v>3409</v>
      </c>
    </row>
    <row r="9132">
      <c r="A9132" s="2" t="s">
        <v>4931</v>
      </c>
      <c r="B9132" s="2" t="s">
        <v>4980</v>
      </c>
      <c r="C9132" s="2" t="s">
        <v>5435</v>
      </c>
      <c r="D9132" s="3" t="str">
        <f t="shared" ref="D9132:D9134" si="1802">HYPERLINK("https://12go.asia/en/travel/Arugam-bay/Pinnawala", "12Go Link")</f>
        <v>12Go Link</v>
      </c>
      <c r="E9132" s="2" t="s">
        <v>286</v>
      </c>
    </row>
    <row r="9133">
      <c r="A9133" s="2" t="s">
        <v>4931</v>
      </c>
      <c r="B9133" s="2" t="s">
        <v>4980</v>
      </c>
      <c r="C9133" s="2" t="s">
        <v>5435</v>
      </c>
      <c r="D9133" s="3" t="str">
        <f t="shared" si="1802"/>
        <v>12Go Link</v>
      </c>
      <c r="E9133" s="2" t="s">
        <v>4139</v>
      </c>
    </row>
    <row r="9134">
      <c r="A9134" s="2" t="s">
        <v>4931</v>
      </c>
      <c r="B9134" s="2" t="s">
        <v>4980</v>
      </c>
      <c r="C9134" s="2" t="s">
        <v>5435</v>
      </c>
      <c r="D9134" s="3" t="str">
        <f t="shared" si="1802"/>
        <v>12Go Link</v>
      </c>
      <c r="E9134" s="2" t="s">
        <v>3409</v>
      </c>
    </row>
    <row r="9135">
      <c r="A9135" s="2" t="s">
        <v>4931</v>
      </c>
      <c r="B9135" s="2" t="s">
        <v>4982</v>
      </c>
      <c r="C9135" s="2" t="s">
        <v>5436</v>
      </c>
      <c r="D9135" s="3" t="str">
        <f t="shared" ref="D9135:D9137" si="1803">HYPERLINK("https://12go.asia/en/travel/Arugam-bay/Kitulgala", "12Go Link")</f>
        <v>12Go Link</v>
      </c>
      <c r="E9135" s="2" t="s">
        <v>286</v>
      </c>
    </row>
    <row r="9136">
      <c r="A9136" s="2" t="s">
        <v>4931</v>
      </c>
      <c r="B9136" s="2" t="s">
        <v>4982</v>
      </c>
      <c r="C9136" s="2" t="s">
        <v>5436</v>
      </c>
      <c r="D9136" s="3" t="str">
        <f t="shared" si="1803"/>
        <v>12Go Link</v>
      </c>
      <c r="E9136" s="2" t="s">
        <v>4139</v>
      </c>
    </row>
    <row r="9137">
      <c r="A9137" s="2" t="s">
        <v>4931</v>
      </c>
      <c r="B9137" s="2" t="s">
        <v>4982</v>
      </c>
      <c r="C9137" s="2" t="s">
        <v>5436</v>
      </c>
      <c r="D9137" s="3" t="str">
        <f t="shared" si="1803"/>
        <v>12Go Link</v>
      </c>
      <c r="E9137" s="2" t="s">
        <v>3409</v>
      </c>
    </row>
    <row r="9138">
      <c r="A9138" s="2" t="s">
        <v>4931</v>
      </c>
      <c r="B9138" s="2" t="s">
        <v>4984</v>
      </c>
      <c r="C9138" s="2" t="s">
        <v>5437</v>
      </c>
      <c r="D9138" s="3" t="str">
        <f t="shared" ref="D9138:D9140" si="1804">HYPERLINK("https://12go.asia/en/travel/Arugam-bay/Habaraduwa", "12Go Link")</f>
        <v>12Go Link</v>
      </c>
      <c r="E9138" s="2" t="s">
        <v>286</v>
      </c>
    </row>
    <row r="9139">
      <c r="A9139" s="2" t="s">
        <v>4931</v>
      </c>
      <c r="B9139" s="2" t="s">
        <v>4984</v>
      </c>
      <c r="C9139" s="2" t="s">
        <v>5437</v>
      </c>
      <c r="D9139" s="3" t="str">
        <f t="shared" si="1804"/>
        <v>12Go Link</v>
      </c>
      <c r="E9139" s="2" t="s">
        <v>4139</v>
      </c>
    </row>
    <row r="9140">
      <c r="A9140" s="2" t="s">
        <v>4931</v>
      </c>
      <c r="B9140" s="2" t="s">
        <v>4984</v>
      </c>
      <c r="C9140" s="2" t="s">
        <v>5437</v>
      </c>
      <c r="D9140" s="3" t="str">
        <f t="shared" si="1804"/>
        <v>12Go Link</v>
      </c>
      <c r="E9140" s="2" t="s">
        <v>3409</v>
      </c>
    </row>
    <row r="9141">
      <c r="A9141" s="2" t="s">
        <v>4931</v>
      </c>
      <c r="B9141" s="2" t="s">
        <v>4986</v>
      </c>
      <c r="C9141" s="2" t="s">
        <v>5438</v>
      </c>
      <c r="D9141" s="3" t="str">
        <f t="shared" ref="D9141:D9143" si="1805">HYPERLINK("https://12go.asia/en/travel/Arugam-bay/Kosgoda", "12Go Link")</f>
        <v>12Go Link</v>
      </c>
      <c r="E9141" s="2" t="s">
        <v>286</v>
      </c>
    </row>
    <row r="9142">
      <c r="A9142" s="2" t="s">
        <v>4931</v>
      </c>
      <c r="B9142" s="2" t="s">
        <v>4986</v>
      </c>
      <c r="C9142" s="2" t="s">
        <v>5438</v>
      </c>
      <c r="D9142" s="3" t="str">
        <f t="shared" si="1805"/>
        <v>12Go Link</v>
      </c>
      <c r="E9142" s="2" t="s">
        <v>4139</v>
      </c>
    </row>
    <row r="9143">
      <c r="A9143" s="2" t="s">
        <v>4931</v>
      </c>
      <c r="B9143" s="2" t="s">
        <v>4986</v>
      </c>
      <c r="C9143" s="2" t="s">
        <v>5438</v>
      </c>
      <c r="D9143" s="3" t="str">
        <f t="shared" si="1805"/>
        <v>12Go Link</v>
      </c>
      <c r="E9143" s="2" t="s">
        <v>3409</v>
      </c>
    </row>
    <row r="9144">
      <c r="A9144" s="2" t="s">
        <v>4931</v>
      </c>
      <c r="B9144" s="2" t="s">
        <v>4988</v>
      </c>
      <c r="C9144" s="2" t="s">
        <v>5439</v>
      </c>
      <c r="D9144" s="3" t="str">
        <f t="shared" ref="D9144:D9146" si="1806">HYPERLINK("https://12go.asia/en/travel/Arugam-bay/Kuchchaveli", "12Go Link")</f>
        <v>12Go Link</v>
      </c>
      <c r="E9144" s="2" t="s">
        <v>286</v>
      </c>
    </row>
    <row r="9145">
      <c r="A9145" s="2" t="s">
        <v>4931</v>
      </c>
      <c r="B9145" s="2" t="s">
        <v>4988</v>
      </c>
      <c r="C9145" s="2" t="s">
        <v>5439</v>
      </c>
      <c r="D9145" s="3" t="str">
        <f t="shared" si="1806"/>
        <v>12Go Link</v>
      </c>
      <c r="E9145" s="2" t="s">
        <v>4139</v>
      </c>
    </row>
    <row r="9146">
      <c r="A9146" s="2" t="s">
        <v>4931</v>
      </c>
      <c r="B9146" s="2" t="s">
        <v>4988</v>
      </c>
      <c r="C9146" s="2" t="s">
        <v>5439</v>
      </c>
      <c r="D9146" s="3" t="str">
        <f t="shared" si="1806"/>
        <v>12Go Link</v>
      </c>
      <c r="E9146" s="2" t="s">
        <v>3409</v>
      </c>
    </row>
    <row r="9147">
      <c r="A9147" s="2" t="s">
        <v>4931</v>
      </c>
      <c r="B9147" s="2" t="s">
        <v>4990</v>
      </c>
      <c r="C9147" s="2" t="s">
        <v>5440</v>
      </c>
      <c r="D9147" s="3" t="str">
        <f t="shared" ref="D9147:D9149" si="1807">HYPERLINK("https://12go.asia/en/travel/Arugam-bay/Mannar", "12Go Link")</f>
        <v>12Go Link</v>
      </c>
      <c r="E9147" s="2" t="s">
        <v>286</v>
      </c>
    </row>
    <row r="9148">
      <c r="A9148" s="2" t="s">
        <v>4931</v>
      </c>
      <c r="B9148" s="2" t="s">
        <v>4990</v>
      </c>
      <c r="C9148" s="2" t="s">
        <v>5440</v>
      </c>
      <c r="D9148" s="3" t="str">
        <f t="shared" si="1807"/>
        <v>12Go Link</v>
      </c>
      <c r="E9148" s="2" t="s">
        <v>4139</v>
      </c>
    </row>
    <row r="9149">
      <c r="A9149" s="2" t="s">
        <v>4931</v>
      </c>
      <c r="B9149" s="2" t="s">
        <v>4990</v>
      </c>
      <c r="C9149" s="2" t="s">
        <v>5440</v>
      </c>
      <c r="D9149" s="3" t="str">
        <f t="shared" si="1807"/>
        <v>12Go Link</v>
      </c>
      <c r="E9149" s="2" t="s">
        <v>3409</v>
      </c>
    </row>
    <row r="9150">
      <c r="A9150" s="2" t="s">
        <v>4931</v>
      </c>
      <c r="B9150" s="2" t="s">
        <v>4992</v>
      </c>
      <c r="C9150" s="2" t="s">
        <v>5441</v>
      </c>
      <c r="D9150" s="3" t="str">
        <f t="shared" ref="D9150:D9152" si="1808">HYPERLINK("https://12go.asia/en/travel/Arugam-bay/Kinigama", "12Go Link")</f>
        <v>12Go Link</v>
      </c>
      <c r="E9150" s="2" t="s">
        <v>286</v>
      </c>
    </row>
    <row r="9151">
      <c r="A9151" s="2" t="s">
        <v>4931</v>
      </c>
      <c r="B9151" s="2" t="s">
        <v>4992</v>
      </c>
      <c r="C9151" s="2" t="s">
        <v>5441</v>
      </c>
      <c r="D9151" s="3" t="str">
        <f t="shared" si="1808"/>
        <v>12Go Link</v>
      </c>
      <c r="E9151" s="2" t="s">
        <v>4139</v>
      </c>
    </row>
    <row r="9152">
      <c r="A9152" s="2" t="s">
        <v>4931</v>
      </c>
      <c r="B9152" s="2" t="s">
        <v>4992</v>
      </c>
      <c r="C9152" s="2" t="s">
        <v>5441</v>
      </c>
      <c r="D9152" s="3" t="str">
        <f t="shared" si="1808"/>
        <v>12Go Link</v>
      </c>
      <c r="E9152" s="2" t="s">
        <v>3409</v>
      </c>
    </row>
    <row r="9153">
      <c r="A9153" s="2" t="s">
        <v>4931</v>
      </c>
      <c r="B9153" s="2" t="s">
        <v>4994</v>
      </c>
      <c r="C9153" s="2" t="s">
        <v>5442</v>
      </c>
      <c r="D9153" s="3" t="str">
        <f t="shared" ref="D9153:D9155" si="1809">HYPERLINK("https://12go.asia/en/travel/Arugam-bay/Kalamatiya", "12Go Link")</f>
        <v>12Go Link</v>
      </c>
      <c r="E9153" s="2" t="s">
        <v>286</v>
      </c>
    </row>
    <row r="9154">
      <c r="A9154" s="2" t="s">
        <v>4931</v>
      </c>
      <c r="B9154" s="2" t="s">
        <v>4994</v>
      </c>
      <c r="C9154" s="2" t="s">
        <v>5442</v>
      </c>
      <c r="D9154" s="3" t="str">
        <f t="shared" si="1809"/>
        <v>12Go Link</v>
      </c>
      <c r="E9154" s="2" t="s">
        <v>4139</v>
      </c>
    </row>
    <row r="9155">
      <c r="A9155" s="2" t="s">
        <v>4931</v>
      </c>
      <c r="B9155" s="2" t="s">
        <v>4994</v>
      </c>
      <c r="C9155" s="2" t="s">
        <v>5442</v>
      </c>
      <c r="D9155" s="3" t="str">
        <f t="shared" si="1809"/>
        <v>12Go Link</v>
      </c>
      <c r="E9155" s="2" t="s">
        <v>3409</v>
      </c>
    </row>
    <row r="9156">
      <c r="A9156" s="2" t="s">
        <v>4931</v>
      </c>
      <c r="B9156" s="2" t="s">
        <v>4996</v>
      </c>
      <c r="C9156" s="2" t="s">
        <v>5443</v>
      </c>
      <c r="D9156" s="3" t="str">
        <f t="shared" ref="D9156:D9158" si="1810">HYPERLINK("https://12go.asia/en/travel/Arugam-bay/mirissa", "12Go Link")</f>
        <v>12Go Link</v>
      </c>
      <c r="E9156" s="2" t="s">
        <v>286</v>
      </c>
    </row>
    <row r="9157">
      <c r="A9157" s="2" t="s">
        <v>4931</v>
      </c>
      <c r="B9157" s="2" t="s">
        <v>4996</v>
      </c>
      <c r="C9157" s="2" t="s">
        <v>5443</v>
      </c>
      <c r="D9157" s="3" t="str">
        <f t="shared" si="1810"/>
        <v>12Go Link</v>
      </c>
      <c r="E9157" s="2" t="s">
        <v>4139</v>
      </c>
    </row>
    <row r="9158">
      <c r="A9158" s="2" t="s">
        <v>4931</v>
      </c>
      <c r="B9158" s="2" t="s">
        <v>4996</v>
      </c>
      <c r="C9158" s="2" t="s">
        <v>5443</v>
      </c>
      <c r="D9158" s="3" t="str">
        <f t="shared" si="1810"/>
        <v>12Go Link</v>
      </c>
      <c r="E9158" s="2" t="s">
        <v>3409</v>
      </c>
    </row>
    <row r="9159">
      <c r="A9159" s="2" t="s">
        <v>4931</v>
      </c>
      <c r="B9159" s="2" t="s">
        <v>4998</v>
      </c>
      <c r="C9159" s="2" t="s">
        <v>5444</v>
      </c>
      <c r="D9159" s="3" t="str">
        <f t="shared" ref="D9159:D9161" si="1811">HYPERLINK("https://12go.asia/en/travel/Arugam-bay/Nanu-Oya", "12Go Link")</f>
        <v>12Go Link</v>
      </c>
      <c r="E9159" s="2" t="s">
        <v>286</v>
      </c>
    </row>
    <row r="9160">
      <c r="A9160" s="2" t="s">
        <v>4931</v>
      </c>
      <c r="B9160" s="2" t="s">
        <v>4998</v>
      </c>
      <c r="C9160" s="2" t="s">
        <v>5444</v>
      </c>
      <c r="D9160" s="3" t="str">
        <f t="shared" si="1811"/>
        <v>12Go Link</v>
      </c>
      <c r="E9160" s="2" t="s">
        <v>4139</v>
      </c>
    </row>
    <row r="9161">
      <c r="A9161" s="2" t="s">
        <v>4931</v>
      </c>
      <c r="B9161" s="2" t="s">
        <v>4998</v>
      </c>
      <c r="C9161" s="2" t="s">
        <v>5444</v>
      </c>
      <c r="D9161" s="3" t="str">
        <f t="shared" si="1811"/>
        <v>12Go Link</v>
      </c>
      <c r="E9161" s="2" t="s">
        <v>3409</v>
      </c>
    </row>
    <row r="9162">
      <c r="A9162" s="2" t="s">
        <v>4931</v>
      </c>
      <c r="B9162" s="2" t="s">
        <v>5000</v>
      </c>
      <c r="C9162" s="2" t="s">
        <v>5445</v>
      </c>
      <c r="D9162" s="3" t="str">
        <f t="shared" ref="D9162:D9164" si="1812">HYPERLINK("https://12go.asia/en/travel/Arugam-bay/Dalupotha", "12Go Link")</f>
        <v>12Go Link</v>
      </c>
      <c r="E9162" s="2" t="s">
        <v>286</v>
      </c>
    </row>
    <row r="9163">
      <c r="A9163" s="2" t="s">
        <v>4931</v>
      </c>
      <c r="B9163" s="2" t="s">
        <v>5000</v>
      </c>
      <c r="C9163" s="2" t="s">
        <v>5445</v>
      </c>
      <c r="D9163" s="3" t="str">
        <f t="shared" si="1812"/>
        <v>12Go Link</v>
      </c>
      <c r="E9163" s="2" t="s">
        <v>4139</v>
      </c>
    </row>
    <row r="9164">
      <c r="A9164" s="2" t="s">
        <v>4931</v>
      </c>
      <c r="B9164" s="2" t="s">
        <v>5000</v>
      </c>
      <c r="C9164" s="2" t="s">
        <v>5445</v>
      </c>
      <c r="D9164" s="3" t="str">
        <f t="shared" si="1812"/>
        <v>12Go Link</v>
      </c>
      <c r="E9164" s="2" t="s">
        <v>3409</v>
      </c>
    </row>
    <row r="9165">
      <c r="A9165" s="2" t="s">
        <v>4931</v>
      </c>
      <c r="B9165" s="2" t="s">
        <v>5000</v>
      </c>
      <c r="C9165" s="2" t="s">
        <v>5446</v>
      </c>
      <c r="D9165" s="3" t="str">
        <f t="shared" ref="D9165:D9167" si="1813">HYPERLINK("https://12go.asia/en/travel/Arugam-bay/Waikkal", "12Go Link")</f>
        <v>12Go Link</v>
      </c>
      <c r="E9165" s="2" t="s">
        <v>286</v>
      </c>
    </row>
    <row r="9166">
      <c r="A9166" s="2" t="s">
        <v>4931</v>
      </c>
      <c r="B9166" s="2" t="s">
        <v>5000</v>
      </c>
      <c r="C9166" s="2" t="s">
        <v>5446</v>
      </c>
      <c r="D9166" s="3" t="str">
        <f t="shared" si="1813"/>
        <v>12Go Link</v>
      </c>
      <c r="E9166" s="2" t="s">
        <v>4139</v>
      </c>
    </row>
    <row r="9167">
      <c r="A9167" s="2" t="s">
        <v>4931</v>
      </c>
      <c r="B9167" s="2" t="s">
        <v>5000</v>
      </c>
      <c r="C9167" s="2" t="s">
        <v>5446</v>
      </c>
      <c r="D9167" s="3" t="str">
        <f t="shared" si="1813"/>
        <v>12Go Link</v>
      </c>
      <c r="E9167" s="2" t="s">
        <v>3409</v>
      </c>
    </row>
    <row r="9168">
      <c r="A9168" s="2" t="s">
        <v>4931</v>
      </c>
      <c r="B9168" s="2" t="s">
        <v>5003</v>
      </c>
      <c r="C9168" s="2" t="s">
        <v>5447</v>
      </c>
      <c r="D9168" s="3" t="str">
        <f t="shared" ref="D9168:D9170" si="1814">HYPERLINK("https://12go.asia/en/travel/Arugam-bay/Nilaveli", "12Go Link")</f>
        <v>12Go Link</v>
      </c>
      <c r="E9168" s="2" t="s">
        <v>286</v>
      </c>
    </row>
    <row r="9169">
      <c r="A9169" s="2" t="s">
        <v>4931</v>
      </c>
      <c r="B9169" s="2" t="s">
        <v>5003</v>
      </c>
      <c r="C9169" s="2" t="s">
        <v>5447</v>
      </c>
      <c r="D9169" s="3" t="str">
        <f t="shared" si="1814"/>
        <v>12Go Link</v>
      </c>
      <c r="E9169" s="2" t="s">
        <v>4139</v>
      </c>
    </row>
    <row r="9170">
      <c r="A9170" s="2" t="s">
        <v>4931</v>
      </c>
      <c r="B9170" s="2" t="s">
        <v>5003</v>
      </c>
      <c r="C9170" s="2" t="s">
        <v>5447</v>
      </c>
      <c r="D9170" s="3" t="str">
        <f t="shared" si="1814"/>
        <v>12Go Link</v>
      </c>
      <c r="E9170" s="2" t="s">
        <v>3409</v>
      </c>
    </row>
    <row r="9171">
      <c r="A9171" s="2" t="s">
        <v>4931</v>
      </c>
      <c r="B9171" s="2" t="s">
        <v>5005</v>
      </c>
      <c r="C9171" s="2" t="s">
        <v>5448</v>
      </c>
      <c r="D9171" s="3" t="str">
        <f t="shared" ref="D9171:D9173" si="1815">HYPERLINK("https://12go.asia/en/travel/Arugam-bay/Kotmale", "12Go Link")</f>
        <v>12Go Link</v>
      </c>
      <c r="E9171" s="2" t="s">
        <v>286</v>
      </c>
    </row>
    <row r="9172">
      <c r="A9172" s="2" t="s">
        <v>4931</v>
      </c>
      <c r="B9172" s="2" t="s">
        <v>5005</v>
      </c>
      <c r="C9172" s="2" t="s">
        <v>5448</v>
      </c>
      <c r="D9172" s="3" t="str">
        <f t="shared" si="1815"/>
        <v>12Go Link</v>
      </c>
      <c r="E9172" s="2" t="s">
        <v>4139</v>
      </c>
    </row>
    <row r="9173">
      <c r="A9173" s="2" t="s">
        <v>4931</v>
      </c>
      <c r="B9173" s="2" t="s">
        <v>5005</v>
      </c>
      <c r="C9173" s="2" t="s">
        <v>5448</v>
      </c>
      <c r="D9173" s="3" t="str">
        <f t="shared" si="1815"/>
        <v>12Go Link</v>
      </c>
      <c r="E9173" s="2" t="s">
        <v>3409</v>
      </c>
    </row>
    <row r="9174">
      <c r="A9174" s="2" t="s">
        <v>4931</v>
      </c>
      <c r="B9174" s="2" t="s">
        <v>5007</v>
      </c>
      <c r="C9174" s="2" t="s">
        <v>5449</v>
      </c>
      <c r="D9174" s="3" t="str">
        <f t="shared" ref="D9174:D9176" si="1816">HYPERLINK("https://12go.asia/en/travel/Arugam-bay/Pasikuda", "12Go Link")</f>
        <v>12Go Link</v>
      </c>
      <c r="E9174" s="2" t="s">
        <v>286</v>
      </c>
    </row>
    <row r="9175">
      <c r="A9175" s="2" t="s">
        <v>4931</v>
      </c>
      <c r="B9175" s="2" t="s">
        <v>5007</v>
      </c>
      <c r="C9175" s="2" t="s">
        <v>5449</v>
      </c>
      <c r="D9175" s="3" t="str">
        <f t="shared" si="1816"/>
        <v>12Go Link</v>
      </c>
      <c r="E9175" s="2" t="s">
        <v>4139</v>
      </c>
    </row>
    <row r="9176">
      <c r="A9176" s="2" t="s">
        <v>4931</v>
      </c>
      <c r="B9176" s="2" t="s">
        <v>5007</v>
      </c>
      <c r="C9176" s="2" t="s">
        <v>5449</v>
      </c>
      <c r="D9176" s="3" t="str">
        <f t="shared" si="1816"/>
        <v>12Go Link</v>
      </c>
      <c r="E9176" s="2" t="s">
        <v>3409</v>
      </c>
    </row>
    <row r="9177">
      <c r="A9177" s="2" t="s">
        <v>4931</v>
      </c>
      <c r="B9177" s="2" t="s">
        <v>5009</v>
      </c>
      <c r="C9177" s="2" t="s">
        <v>5450</v>
      </c>
      <c r="D9177" s="3" t="str">
        <f t="shared" ref="D9177:D9179" si="1817">HYPERLINK("https://12go.asia/en/travel/Arugam-bay/Galoya", "12Go Link")</f>
        <v>12Go Link</v>
      </c>
      <c r="E9177" s="2" t="s">
        <v>286</v>
      </c>
    </row>
    <row r="9178">
      <c r="A9178" s="2" t="s">
        <v>4931</v>
      </c>
      <c r="B9178" s="2" t="s">
        <v>5009</v>
      </c>
      <c r="C9178" s="2" t="s">
        <v>5450</v>
      </c>
      <c r="D9178" s="3" t="str">
        <f t="shared" si="1817"/>
        <v>12Go Link</v>
      </c>
      <c r="E9178" s="2" t="s">
        <v>4139</v>
      </c>
    </row>
    <row r="9179">
      <c r="A9179" s="2" t="s">
        <v>4931</v>
      </c>
      <c r="B9179" s="2" t="s">
        <v>5009</v>
      </c>
      <c r="C9179" s="2" t="s">
        <v>5450</v>
      </c>
      <c r="D9179" s="3" t="str">
        <f t="shared" si="1817"/>
        <v>12Go Link</v>
      </c>
      <c r="E9179" s="2" t="s">
        <v>3409</v>
      </c>
    </row>
    <row r="9180">
      <c r="A9180" s="2" t="s">
        <v>4931</v>
      </c>
      <c r="B9180" s="2" t="s">
        <v>5011</v>
      </c>
      <c r="C9180" s="2" t="s">
        <v>5451</v>
      </c>
      <c r="D9180" s="3" t="str">
        <f t="shared" ref="D9180:D9182" si="1818">HYPERLINK("https://12go.asia/en/travel/Arugam-bay/Kalpitiya", "12Go Link")</f>
        <v>12Go Link</v>
      </c>
      <c r="E9180" s="2" t="s">
        <v>286</v>
      </c>
    </row>
    <row r="9181">
      <c r="A9181" s="2" t="s">
        <v>4931</v>
      </c>
      <c r="B9181" s="2" t="s">
        <v>5011</v>
      </c>
      <c r="C9181" s="2" t="s">
        <v>5451</v>
      </c>
      <c r="D9181" s="3" t="str">
        <f t="shared" si="1818"/>
        <v>12Go Link</v>
      </c>
      <c r="E9181" s="2" t="s">
        <v>4139</v>
      </c>
    </row>
    <row r="9182">
      <c r="A9182" s="2" t="s">
        <v>4931</v>
      </c>
      <c r="B9182" s="2" t="s">
        <v>5011</v>
      </c>
      <c r="C9182" s="2" t="s">
        <v>5451</v>
      </c>
      <c r="D9182" s="3" t="str">
        <f t="shared" si="1818"/>
        <v>12Go Link</v>
      </c>
      <c r="E9182" s="2" t="s">
        <v>3409</v>
      </c>
    </row>
    <row r="9183">
      <c r="A9183" s="2" t="s">
        <v>4931</v>
      </c>
      <c r="B9183" s="2" t="s">
        <v>5011</v>
      </c>
      <c r="C9183" s="2" t="s">
        <v>5452</v>
      </c>
      <c r="D9183" s="3" t="str">
        <f t="shared" ref="D9183:D9185" si="1819">HYPERLINK("https://12go.asia/en/travel/Arugam-bay/Marawila", "12Go Link")</f>
        <v>12Go Link</v>
      </c>
      <c r="E9183" s="2" t="s">
        <v>286</v>
      </c>
    </row>
    <row r="9184">
      <c r="A9184" s="2" t="s">
        <v>4931</v>
      </c>
      <c r="B9184" s="2" t="s">
        <v>5011</v>
      </c>
      <c r="C9184" s="2" t="s">
        <v>5452</v>
      </c>
      <c r="D9184" s="3" t="str">
        <f t="shared" si="1819"/>
        <v>12Go Link</v>
      </c>
      <c r="E9184" s="2" t="s">
        <v>4139</v>
      </c>
    </row>
    <row r="9185">
      <c r="A9185" s="2" t="s">
        <v>4931</v>
      </c>
      <c r="B9185" s="2" t="s">
        <v>5011</v>
      </c>
      <c r="C9185" s="2" t="s">
        <v>5452</v>
      </c>
      <c r="D9185" s="3" t="str">
        <f t="shared" si="1819"/>
        <v>12Go Link</v>
      </c>
      <c r="E9185" s="2" t="s">
        <v>3409</v>
      </c>
    </row>
    <row r="9186">
      <c r="A9186" s="2" t="s">
        <v>4931</v>
      </c>
      <c r="B9186" s="2" t="s">
        <v>5014</v>
      </c>
      <c r="C9186" s="2" t="s">
        <v>5453</v>
      </c>
      <c r="D9186" s="3" t="str">
        <f t="shared" ref="D9186:D9188" si="1820">HYPERLINK("https://12go.asia/en/travel/Arugam-bay/Kiriella", "12Go Link")</f>
        <v>12Go Link</v>
      </c>
      <c r="E9186" s="2" t="s">
        <v>286</v>
      </c>
    </row>
    <row r="9187">
      <c r="A9187" s="2" t="s">
        <v>4931</v>
      </c>
      <c r="B9187" s="2" t="s">
        <v>5014</v>
      </c>
      <c r="C9187" s="2" t="s">
        <v>5453</v>
      </c>
      <c r="D9187" s="3" t="str">
        <f t="shared" si="1820"/>
        <v>12Go Link</v>
      </c>
      <c r="E9187" s="2" t="s">
        <v>4139</v>
      </c>
    </row>
    <row r="9188">
      <c r="A9188" s="2" t="s">
        <v>4931</v>
      </c>
      <c r="B9188" s="2" t="s">
        <v>5014</v>
      </c>
      <c r="C9188" s="2" t="s">
        <v>5453</v>
      </c>
      <c r="D9188" s="3" t="str">
        <f t="shared" si="1820"/>
        <v>12Go Link</v>
      </c>
      <c r="E9188" s="2" t="s">
        <v>3409</v>
      </c>
    </row>
    <row r="9189">
      <c r="A9189" s="2" t="s">
        <v>4931</v>
      </c>
      <c r="B9189" s="2" t="s">
        <v>5016</v>
      </c>
      <c r="C9189" s="2" t="s">
        <v>5454</v>
      </c>
      <c r="D9189" s="3" t="str">
        <f t="shared" ref="D9189:D9191" si="1821">HYPERLINK("https://12go.asia/en/travel/Arugam-bay/Pidurangala", "12Go Link")</f>
        <v>12Go Link</v>
      </c>
      <c r="E9189" s="2" t="s">
        <v>286</v>
      </c>
    </row>
    <row r="9190">
      <c r="A9190" s="2" t="s">
        <v>4931</v>
      </c>
      <c r="B9190" s="2" t="s">
        <v>5016</v>
      </c>
      <c r="C9190" s="2" t="s">
        <v>5454</v>
      </c>
      <c r="D9190" s="3" t="str">
        <f t="shared" si="1821"/>
        <v>12Go Link</v>
      </c>
      <c r="E9190" s="2" t="s">
        <v>4139</v>
      </c>
    </row>
    <row r="9191">
      <c r="A9191" s="2" t="s">
        <v>4931</v>
      </c>
      <c r="B9191" s="2" t="s">
        <v>5016</v>
      </c>
      <c r="C9191" s="2" t="s">
        <v>5454</v>
      </c>
      <c r="D9191" s="3" t="str">
        <f t="shared" si="1821"/>
        <v>12Go Link</v>
      </c>
      <c r="E9191" s="2" t="s">
        <v>3409</v>
      </c>
    </row>
    <row r="9192">
      <c r="A9192" s="2" t="s">
        <v>4931</v>
      </c>
      <c r="B9192" s="2" t="s">
        <v>5018</v>
      </c>
      <c r="C9192" s="2" t="s">
        <v>5455</v>
      </c>
      <c r="D9192" s="3" t="str">
        <f t="shared" ref="D9192:D9194" si="1822">HYPERLINK("https://12go.asia/en/travel/Arugam-bay/Rekawa", "12Go Link")</f>
        <v>12Go Link</v>
      </c>
      <c r="E9192" s="2" t="s">
        <v>286</v>
      </c>
    </row>
    <row r="9193">
      <c r="A9193" s="2" t="s">
        <v>4931</v>
      </c>
      <c r="B9193" s="2" t="s">
        <v>5018</v>
      </c>
      <c r="C9193" s="2" t="s">
        <v>5455</v>
      </c>
      <c r="D9193" s="3" t="str">
        <f t="shared" si="1822"/>
        <v>12Go Link</v>
      </c>
      <c r="E9193" s="2" t="s">
        <v>4139</v>
      </c>
    </row>
    <row r="9194">
      <c r="A9194" s="2" t="s">
        <v>4931</v>
      </c>
      <c r="B9194" s="2" t="s">
        <v>5018</v>
      </c>
      <c r="C9194" s="2" t="s">
        <v>5455</v>
      </c>
      <c r="D9194" s="3" t="str">
        <f t="shared" si="1822"/>
        <v>12Go Link</v>
      </c>
      <c r="E9194" s="2" t="s">
        <v>3409</v>
      </c>
    </row>
    <row r="9195">
      <c r="A9195" s="2" t="s">
        <v>4931</v>
      </c>
      <c r="B9195" s="2" t="s">
        <v>5020</v>
      </c>
      <c r="C9195" s="2" t="s">
        <v>5456</v>
      </c>
      <c r="D9195" s="3" t="str">
        <f t="shared" ref="D9195:D9197" si="1823">HYPERLINK("https://12go.asia/en/travel/Arugam-bay/Tissamaharama", "12Go Link")</f>
        <v>12Go Link</v>
      </c>
      <c r="E9195" s="2" t="s">
        <v>286</v>
      </c>
    </row>
    <row r="9196">
      <c r="A9196" s="2" t="s">
        <v>4931</v>
      </c>
      <c r="B9196" s="2" t="s">
        <v>5020</v>
      </c>
      <c r="C9196" s="2" t="s">
        <v>5456</v>
      </c>
      <c r="D9196" s="3" t="str">
        <f t="shared" si="1823"/>
        <v>12Go Link</v>
      </c>
      <c r="E9196" s="2" t="s">
        <v>4139</v>
      </c>
    </row>
    <row r="9197">
      <c r="A9197" s="2" t="s">
        <v>4931</v>
      </c>
      <c r="B9197" s="2" t="s">
        <v>5020</v>
      </c>
      <c r="C9197" s="2" t="s">
        <v>5456</v>
      </c>
      <c r="D9197" s="3" t="str">
        <f t="shared" si="1823"/>
        <v>12Go Link</v>
      </c>
      <c r="E9197" s="2" t="s">
        <v>3409</v>
      </c>
    </row>
    <row r="9198">
      <c r="A9198" s="2" t="s">
        <v>4931</v>
      </c>
      <c r="B9198" s="2" t="s">
        <v>5020</v>
      </c>
      <c r="C9198" s="2" t="s">
        <v>5457</v>
      </c>
      <c r="D9198" s="3" t="str">
        <f t="shared" ref="D9198:D9200" si="1824">HYPERLINK("https://12go.asia/en/travel/Arugam-bay/Yala-Park", "12Go Link")</f>
        <v>12Go Link</v>
      </c>
      <c r="E9198" s="2" t="s">
        <v>286</v>
      </c>
    </row>
    <row r="9199">
      <c r="A9199" s="2" t="s">
        <v>4931</v>
      </c>
      <c r="B9199" s="2" t="s">
        <v>5020</v>
      </c>
      <c r="C9199" s="2" t="s">
        <v>5457</v>
      </c>
      <c r="D9199" s="3" t="str">
        <f t="shared" si="1824"/>
        <v>12Go Link</v>
      </c>
      <c r="E9199" s="2" t="s">
        <v>4139</v>
      </c>
    </row>
    <row r="9200">
      <c r="A9200" s="2" t="s">
        <v>4931</v>
      </c>
      <c r="B9200" s="2" t="s">
        <v>5020</v>
      </c>
      <c r="C9200" s="2" t="s">
        <v>5457</v>
      </c>
      <c r="D9200" s="3" t="str">
        <f t="shared" si="1824"/>
        <v>12Go Link</v>
      </c>
      <c r="E9200" s="2" t="s">
        <v>3409</v>
      </c>
    </row>
    <row r="9201">
      <c r="A9201" s="2" t="s">
        <v>4931</v>
      </c>
      <c r="B9201" s="2" t="s">
        <v>5023</v>
      </c>
      <c r="C9201" s="2" t="s">
        <v>5458</v>
      </c>
      <c r="D9201" s="3" t="str">
        <f t="shared" ref="D9201:D9203" si="1825">HYPERLINK("https://12go.asia/en/travel/Arugam-bay/Nilaweli", "12Go Link")</f>
        <v>12Go Link</v>
      </c>
      <c r="E9201" s="2" t="s">
        <v>286</v>
      </c>
    </row>
    <row r="9202">
      <c r="A9202" s="2" t="s">
        <v>4931</v>
      </c>
      <c r="B9202" s="2" t="s">
        <v>5023</v>
      </c>
      <c r="C9202" s="2" t="s">
        <v>5458</v>
      </c>
      <c r="D9202" s="3" t="str">
        <f t="shared" si="1825"/>
        <v>12Go Link</v>
      </c>
      <c r="E9202" s="2" t="s">
        <v>4139</v>
      </c>
    </row>
    <row r="9203">
      <c r="A9203" s="2" t="s">
        <v>4931</v>
      </c>
      <c r="B9203" s="2" t="s">
        <v>5023</v>
      </c>
      <c r="C9203" s="2" t="s">
        <v>5458</v>
      </c>
      <c r="D9203" s="3" t="str">
        <f t="shared" si="1825"/>
        <v>12Go Link</v>
      </c>
      <c r="E9203" s="2" t="s">
        <v>3409</v>
      </c>
    </row>
    <row r="9204">
      <c r="A9204" s="2" t="s">
        <v>4931</v>
      </c>
      <c r="B9204" s="2" t="s">
        <v>5025</v>
      </c>
      <c r="C9204" s="2" t="s">
        <v>5459</v>
      </c>
      <c r="D9204" s="3" t="str">
        <f t="shared" ref="D9204:D9206" si="1826">HYPERLINK("https://12go.asia/en/travel/Arugam-bay/Udawalawa", "12Go Link")</f>
        <v>12Go Link</v>
      </c>
      <c r="E9204" s="2" t="s">
        <v>286</v>
      </c>
    </row>
    <row r="9205">
      <c r="A9205" s="2" t="s">
        <v>4931</v>
      </c>
      <c r="B9205" s="2" t="s">
        <v>5025</v>
      </c>
      <c r="C9205" s="2" t="s">
        <v>5459</v>
      </c>
      <c r="D9205" s="3" t="str">
        <f t="shared" si="1826"/>
        <v>12Go Link</v>
      </c>
      <c r="E9205" s="2" t="s">
        <v>4139</v>
      </c>
    </row>
    <row r="9206">
      <c r="A9206" s="2" t="s">
        <v>4931</v>
      </c>
      <c r="B9206" s="2" t="s">
        <v>5025</v>
      </c>
      <c r="C9206" s="2" t="s">
        <v>5459</v>
      </c>
      <c r="D9206" s="3" t="str">
        <f t="shared" si="1826"/>
        <v>12Go Link</v>
      </c>
      <c r="E9206" s="2" t="s">
        <v>3409</v>
      </c>
    </row>
    <row r="9207">
      <c r="A9207" s="2" t="s">
        <v>4931</v>
      </c>
      <c r="B9207" s="2" t="s">
        <v>5027</v>
      </c>
      <c r="C9207" s="2" t="s">
        <v>5460</v>
      </c>
      <c r="D9207" s="3" t="str">
        <f t="shared" ref="D9207:D9209" si="1827">HYPERLINK("https://12go.asia/en/travel/Arugam-bay/Unawatuna", "12Go Link")</f>
        <v>12Go Link</v>
      </c>
      <c r="E9207" s="2" t="s">
        <v>286</v>
      </c>
    </row>
    <row r="9208">
      <c r="A9208" s="2" t="s">
        <v>4931</v>
      </c>
      <c r="B9208" s="2" t="s">
        <v>5027</v>
      </c>
      <c r="C9208" s="2" t="s">
        <v>5460</v>
      </c>
      <c r="D9208" s="3" t="str">
        <f t="shared" si="1827"/>
        <v>12Go Link</v>
      </c>
      <c r="E9208" s="2" t="s">
        <v>4139</v>
      </c>
    </row>
    <row r="9209">
      <c r="A9209" s="2" t="s">
        <v>4931</v>
      </c>
      <c r="B9209" s="2" t="s">
        <v>5027</v>
      </c>
      <c r="C9209" s="2" t="s">
        <v>5460</v>
      </c>
      <c r="D9209" s="3" t="str">
        <f t="shared" si="1827"/>
        <v>12Go Link</v>
      </c>
      <c r="E9209" s="2" t="s">
        <v>3409</v>
      </c>
    </row>
    <row r="9210">
      <c r="A9210" s="2" t="s">
        <v>4931</v>
      </c>
      <c r="B9210" s="2" t="s">
        <v>5029</v>
      </c>
      <c r="C9210" s="2" t="s">
        <v>5461</v>
      </c>
      <c r="D9210" s="3" t="str">
        <f t="shared" ref="D9210:D9212" si="1828">HYPERLINK("https://12go.asia/en/travel/Arugam-bay/Attanagalla", "12Go Link")</f>
        <v>12Go Link</v>
      </c>
      <c r="E9210" s="2" t="s">
        <v>286</v>
      </c>
    </row>
    <row r="9211">
      <c r="A9211" s="2" t="s">
        <v>4931</v>
      </c>
      <c r="B9211" s="2" t="s">
        <v>5029</v>
      </c>
      <c r="C9211" s="2" t="s">
        <v>5461</v>
      </c>
      <c r="D9211" s="3" t="str">
        <f t="shared" si="1828"/>
        <v>12Go Link</v>
      </c>
      <c r="E9211" s="2" t="s">
        <v>4139</v>
      </c>
    </row>
    <row r="9212">
      <c r="A9212" s="2" t="s">
        <v>4931</v>
      </c>
      <c r="B9212" s="2" t="s">
        <v>5029</v>
      </c>
      <c r="C9212" s="2" t="s">
        <v>5461</v>
      </c>
      <c r="D9212" s="3" t="str">
        <f t="shared" si="1828"/>
        <v>12Go Link</v>
      </c>
      <c r="E9212" s="2" t="s">
        <v>3409</v>
      </c>
    </row>
    <row r="9213">
      <c r="A9213" s="2" t="s">
        <v>4931</v>
      </c>
      <c r="B9213" s="2" t="s">
        <v>5031</v>
      </c>
      <c r="C9213" s="2" t="s">
        <v>5462</v>
      </c>
      <c r="D9213" s="3" t="str">
        <f t="shared" ref="D9213:D9215" si="1829">HYPERLINK("https://12go.asia/en/travel/Arugam-bay/Moronthuduwa", "12Go Link")</f>
        <v>12Go Link</v>
      </c>
      <c r="E9213" s="2" t="s">
        <v>286</v>
      </c>
    </row>
    <row r="9214">
      <c r="A9214" s="2" t="s">
        <v>4931</v>
      </c>
      <c r="B9214" s="2" t="s">
        <v>5031</v>
      </c>
      <c r="C9214" s="2" t="s">
        <v>5462</v>
      </c>
      <c r="D9214" s="3" t="str">
        <f t="shared" si="1829"/>
        <v>12Go Link</v>
      </c>
      <c r="E9214" s="2" t="s">
        <v>4139</v>
      </c>
    </row>
    <row r="9215">
      <c r="A9215" s="2" t="s">
        <v>4931</v>
      </c>
      <c r="B9215" s="2" t="s">
        <v>5031</v>
      </c>
      <c r="C9215" s="2" t="s">
        <v>5462</v>
      </c>
      <c r="D9215" s="3" t="str">
        <f t="shared" si="1829"/>
        <v>12Go Link</v>
      </c>
      <c r="E9215" s="2" t="s">
        <v>3409</v>
      </c>
    </row>
    <row r="9216">
      <c r="A9216" s="2" t="s">
        <v>4931</v>
      </c>
      <c r="B9216" s="2" t="s">
        <v>5031</v>
      </c>
      <c r="C9216" s="2" t="s">
        <v>5463</v>
      </c>
      <c r="D9216" s="3" t="str">
        <f t="shared" ref="D9216:D9218" si="1830">HYPERLINK("https://12go.asia/en/travel/Arugam-bay/Waskaduwa", "12Go Link")</f>
        <v>12Go Link</v>
      </c>
      <c r="E9216" s="2" t="s">
        <v>286</v>
      </c>
    </row>
    <row r="9217">
      <c r="A9217" s="2" t="s">
        <v>4931</v>
      </c>
      <c r="B9217" s="2" t="s">
        <v>5031</v>
      </c>
      <c r="C9217" s="2" t="s">
        <v>5463</v>
      </c>
      <c r="D9217" s="3" t="str">
        <f t="shared" si="1830"/>
        <v>12Go Link</v>
      </c>
      <c r="E9217" s="2" t="s">
        <v>4139</v>
      </c>
    </row>
    <row r="9218">
      <c r="A9218" s="2" t="s">
        <v>4931</v>
      </c>
      <c r="B9218" s="2" t="s">
        <v>5031</v>
      </c>
      <c r="C9218" s="2" t="s">
        <v>5463</v>
      </c>
      <c r="D9218" s="3" t="str">
        <f t="shared" si="1830"/>
        <v>12Go Link</v>
      </c>
      <c r="E9218" s="2" t="s">
        <v>3409</v>
      </c>
    </row>
    <row r="9219">
      <c r="A9219" s="2" t="s">
        <v>4931</v>
      </c>
      <c r="B9219" s="2" t="s">
        <v>5034</v>
      </c>
      <c r="C9219" s="2" t="s">
        <v>5464</v>
      </c>
      <c r="D9219" s="3" t="str">
        <f t="shared" ref="D9219:D9221" si="1831">HYPERLINK("https://12go.asia/en/travel/Arugam-bay/Weddagala", "12Go Link")</f>
        <v>12Go Link</v>
      </c>
      <c r="E9219" s="2" t="s">
        <v>286</v>
      </c>
    </row>
    <row r="9220">
      <c r="A9220" s="2" t="s">
        <v>4931</v>
      </c>
      <c r="B9220" s="2" t="s">
        <v>5034</v>
      </c>
      <c r="C9220" s="2" t="s">
        <v>5464</v>
      </c>
      <c r="D9220" s="3" t="str">
        <f t="shared" si="1831"/>
        <v>12Go Link</v>
      </c>
      <c r="E9220" s="2" t="s">
        <v>4139</v>
      </c>
    </row>
    <row r="9221">
      <c r="A9221" s="2" t="s">
        <v>4931</v>
      </c>
      <c r="B9221" s="2" t="s">
        <v>5034</v>
      </c>
      <c r="C9221" s="2" t="s">
        <v>5464</v>
      </c>
      <c r="D9221" s="3" t="str">
        <f t="shared" si="1831"/>
        <v>12Go Link</v>
      </c>
      <c r="E9221" s="2" t="s">
        <v>3409</v>
      </c>
    </row>
    <row r="9222">
      <c r="A9222" s="2" t="s">
        <v>4931</v>
      </c>
      <c r="B9222" s="2" t="s">
        <v>5036</v>
      </c>
      <c r="C9222" s="2" t="s">
        <v>5465</v>
      </c>
      <c r="D9222" s="3" t="str">
        <f t="shared" ref="D9222:D9224" si="1832">HYPERLINK("https://12go.asia/en/travel/Arugam-bay/Weligatta", "12Go Link")</f>
        <v>12Go Link</v>
      </c>
      <c r="E9222" s="2" t="s">
        <v>286</v>
      </c>
    </row>
    <row r="9223">
      <c r="A9223" s="2" t="s">
        <v>4931</v>
      </c>
      <c r="B9223" s="2" t="s">
        <v>5036</v>
      </c>
      <c r="C9223" s="2" t="s">
        <v>5465</v>
      </c>
      <c r="D9223" s="3" t="str">
        <f t="shared" si="1832"/>
        <v>12Go Link</v>
      </c>
      <c r="E9223" s="2" t="s">
        <v>4139</v>
      </c>
    </row>
    <row r="9224">
      <c r="A9224" s="2" t="s">
        <v>4931</v>
      </c>
      <c r="B9224" s="2" t="s">
        <v>5036</v>
      </c>
      <c r="C9224" s="2" t="s">
        <v>5465</v>
      </c>
      <c r="D9224" s="3" t="str">
        <f t="shared" si="1832"/>
        <v>12Go Link</v>
      </c>
      <c r="E9224" s="2" t="s">
        <v>3409</v>
      </c>
    </row>
    <row r="9225">
      <c r="A9225" s="2" t="s">
        <v>4931</v>
      </c>
      <c r="B9225" s="2" t="s">
        <v>5038</v>
      </c>
      <c r="C9225" s="2" t="s">
        <v>5466</v>
      </c>
      <c r="D9225" s="3" t="str">
        <f t="shared" ref="D9225:D9227" si="1833">HYPERLINK("https://12go.asia/en/travel/Arugam-bay/Akuressa", "12Go Link")</f>
        <v>12Go Link</v>
      </c>
      <c r="E9225" s="2" t="s">
        <v>286</v>
      </c>
    </row>
    <row r="9226">
      <c r="A9226" s="2" t="s">
        <v>4931</v>
      </c>
      <c r="B9226" s="2" t="s">
        <v>5038</v>
      </c>
      <c r="C9226" s="2" t="s">
        <v>5466</v>
      </c>
      <c r="D9226" s="3" t="str">
        <f t="shared" si="1833"/>
        <v>12Go Link</v>
      </c>
      <c r="E9226" s="2" t="s">
        <v>4139</v>
      </c>
    </row>
    <row r="9227">
      <c r="A9227" s="2" t="s">
        <v>4931</v>
      </c>
      <c r="B9227" s="2" t="s">
        <v>5038</v>
      </c>
      <c r="C9227" s="2" t="s">
        <v>5466</v>
      </c>
      <c r="D9227" s="3" t="str">
        <f t="shared" si="1833"/>
        <v>12Go Link</v>
      </c>
      <c r="E9227" s="2" t="s">
        <v>3409</v>
      </c>
    </row>
    <row r="9228">
      <c r="A9228" s="2" t="s">
        <v>4931</v>
      </c>
      <c r="B9228" s="2" t="s">
        <v>5040</v>
      </c>
      <c r="C9228" s="2" t="s">
        <v>5467</v>
      </c>
      <c r="D9228" s="3" t="str">
        <f t="shared" ref="D9228:D9230" si="1834">HYPERLINK("https://12go.asia/en/travel/Arugam-bay/Wilpattu", "12Go Link")</f>
        <v>12Go Link</v>
      </c>
      <c r="E9228" s="2" t="s">
        <v>286</v>
      </c>
    </row>
    <row r="9229">
      <c r="A9229" s="2" t="s">
        <v>4931</v>
      </c>
      <c r="B9229" s="2" t="s">
        <v>5040</v>
      </c>
      <c r="C9229" s="2" t="s">
        <v>5467</v>
      </c>
      <c r="D9229" s="3" t="str">
        <f t="shared" si="1834"/>
        <v>12Go Link</v>
      </c>
      <c r="E9229" s="2" t="s">
        <v>4139</v>
      </c>
    </row>
    <row r="9230">
      <c r="A9230" s="2" t="s">
        <v>4931</v>
      </c>
      <c r="B9230" s="2" t="s">
        <v>5040</v>
      </c>
      <c r="C9230" s="2" t="s">
        <v>5467</v>
      </c>
      <c r="D9230" s="3" t="str">
        <f t="shared" si="1834"/>
        <v>12Go Link</v>
      </c>
      <c r="E9230" s="2" t="s">
        <v>3409</v>
      </c>
    </row>
    <row r="9231">
      <c r="A9231" s="2" t="s">
        <v>4933</v>
      </c>
      <c r="B9231" s="2" t="s">
        <v>4918</v>
      </c>
      <c r="C9231" s="2" t="s">
        <v>5468</v>
      </c>
      <c r="D9231" s="3" t="str">
        <f t="shared" ref="D9231:D9233" si="1835">HYPERLINK("https://12go.asia/en/travel/balapitiya/Adams-Peak", "12Go Link")</f>
        <v>12Go Link</v>
      </c>
      <c r="E9231" s="2" t="s">
        <v>286</v>
      </c>
    </row>
    <row r="9232">
      <c r="A9232" s="2" t="s">
        <v>4933</v>
      </c>
      <c r="B9232" s="2" t="s">
        <v>4918</v>
      </c>
      <c r="C9232" s="2" t="s">
        <v>5468</v>
      </c>
      <c r="D9232" s="3" t="str">
        <f t="shared" si="1835"/>
        <v>12Go Link</v>
      </c>
      <c r="E9232" s="2" t="s">
        <v>4139</v>
      </c>
    </row>
    <row r="9233">
      <c r="A9233" s="2" t="s">
        <v>4933</v>
      </c>
      <c r="B9233" s="2" t="s">
        <v>4918</v>
      </c>
      <c r="C9233" s="2" t="s">
        <v>5468</v>
      </c>
      <c r="D9233" s="3" t="str">
        <f t="shared" si="1835"/>
        <v>12Go Link</v>
      </c>
      <c r="E9233" s="2" t="s">
        <v>3409</v>
      </c>
    </row>
    <row r="9234">
      <c r="A9234" s="2" t="s">
        <v>4933</v>
      </c>
      <c r="B9234" s="2" t="s">
        <v>4919</v>
      </c>
      <c r="C9234" s="2" t="s">
        <v>5469</v>
      </c>
      <c r="D9234" s="3" t="str">
        <f t="shared" ref="D9234:D9236" si="1836">HYPERLINK("https://12go.asia/en/travel/balapitiya/Ahangama", "12Go Link")</f>
        <v>12Go Link</v>
      </c>
      <c r="E9234" s="2" t="s">
        <v>286</v>
      </c>
    </row>
    <row r="9235">
      <c r="A9235" s="2" t="s">
        <v>4933</v>
      </c>
      <c r="B9235" s="2" t="s">
        <v>4919</v>
      </c>
      <c r="C9235" s="2" t="s">
        <v>5469</v>
      </c>
      <c r="D9235" s="3" t="str">
        <f t="shared" si="1836"/>
        <v>12Go Link</v>
      </c>
      <c r="E9235" s="2" t="s">
        <v>4139</v>
      </c>
    </row>
    <row r="9236">
      <c r="A9236" s="2" t="s">
        <v>4933</v>
      </c>
      <c r="B9236" s="2" t="s">
        <v>4919</v>
      </c>
      <c r="C9236" s="2" t="s">
        <v>5469</v>
      </c>
      <c r="D9236" s="3" t="str">
        <f t="shared" si="1836"/>
        <v>12Go Link</v>
      </c>
      <c r="E9236" s="2" t="s">
        <v>3409</v>
      </c>
    </row>
    <row r="9237">
      <c r="A9237" s="2" t="s">
        <v>4933</v>
      </c>
      <c r="B9237" s="2" t="s">
        <v>4921</v>
      </c>
      <c r="C9237" s="2" t="s">
        <v>5470</v>
      </c>
      <c r="D9237" s="3" t="str">
        <f t="shared" ref="D9237:D9239" si="1837">HYPERLINK("https://12go.asia/en/travel/balapitiya/Ahungalla", "12Go Link")</f>
        <v>12Go Link</v>
      </c>
      <c r="E9237" s="2" t="s">
        <v>286</v>
      </c>
    </row>
    <row r="9238">
      <c r="A9238" s="2" t="s">
        <v>4933</v>
      </c>
      <c r="B9238" s="2" t="s">
        <v>4921</v>
      </c>
      <c r="C9238" s="2" t="s">
        <v>5470</v>
      </c>
      <c r="D9238" s="3" t="str">
        <f t="shared" si="1837"/>
        <v>12Go Link</v>
      </c>
      <c r="E9238" s="2" t="s">
        <v>4139</v>
      </c>
    </row>
    <row r="9239">
      <c r="A9239" s="2" t="s">
        <v>4933</v>
      </c>
      <c r="B9239" s="2" t="s">
        <v>4921</v>
      </c>
      <c r="C9239" s="2" t="s">
        <v>5470</v>
      </c>
      <c r="D9239" s="3" t="str">
        <f t="shared" si="1837"/>
        <v>12Go Link</v>
      </c>
      <c r="E9239" s="2" t="s">
        <v>3409</v>
      </c>
    </row>
    <row r="9240">
      <c r="A9240" s="2" t="s">
        <v>4933</v>
      </c>
      <c r="B9240" s="2" t="s">
        <v>4923</v>
      </c>
      <c r="C9240" s="2" t="s">
        <v>5471</v>
      </c>
      <c r="D9240" s="3" t="str">
        <f t="shared" ref="D9240:D9242" si="1838">HYPERLINK("https://12go.asia/en/travel/balapitiya/Aluthgama", "12Go Link")</f>
        <v>12Go Link</v>
      </c>
      <c r="E9240" s="2" t="s">
        <v>286</v>
      </c>
    </row>
    <row r="9241">
      <c r="A9241" s="2" t="s">
        <v>4933</v>
      </c>
      <c r="B9241" s="2" t="s">
        <v>4923</v>
      </c>
      <c r="C9241" s="2" t="s">
        <v>5471</v>
      </c>
      <c r="D9241" s="3" t="str">
        <f t="shared" si="1838"/>
        <v>12Go Link</v>
      </c>
      <c r="E9241" s="2" t="s">
        <v>4139</v>
      </c>
    </row>
    <row r="9242">
      <c r="A9242" s="2" t="s">
        <v>4933</v>
      </c>
      <c r="B9242" s="2" t="s">
        <v>4923</v>
      </c>
      <c r="C9242" s="2" t="s">
        <v>5471</v>
      </c>
      <c r="D9242" s="3" t="str">
        <f t="shared" si="1838"/>
        <v>12Go Link</v>
      </c>
      <c r="E9242" s="2" t="s">
        <v>3409</v>
      </c>
    </row>
    <row r="9243">
      <c r="A9243" s="2" t="s">
        <v>4933</v>
      </c>
      <c r="B9243" s="2" t="s">
        <v>4925</v>
      </c>
      <c r="C9243" s="2" t="s">
        <v>5472</v>
      </c>
      <c r="D9243" s="3" t="str">
        <f t="shared" ref="D9243:D9245" si="1839">HYPERLINK("https://12go.asia/en/travel/balapitiya/Ambalangoda", "12Go Link")</f>
        <v>12Go Link</v>
      </c>
      <c r="E9243" s="2" t="s">
        <v>286</v>
      </c>
    </row>
    <row r="9244">
      <c r="A9244" s="2" t="s">
        <v>4933</v>
      </c>
      <c r="B9244" s="2" t="s">
        <v>4925</v>
      </c>
      <c r="C9244" s="2" t="s">
        <v>5472</v>
      </c>
      <c r="D9244" s="3" t="str">
        <f t="shared" si="1839"/>
        <v>12Go Link</v>
      </c>
      <c r="E9244" s="2" t="s">
        <v>4139</v>
      </c>
    </row>
    <row r="9245">
      <c r="A9245" s="2" t="s">
        <v>4933</v>
      </c>
      <c r="B9245" s="2" t="s">
        <v>4925</v>
      </c>
      <c r="C9245" s="2" t="s">
        <v>5472</v>
      </c>
      <c r="D9245" s="3" t="str">
        <f t="shared" si="1839"/>
        <v>12Go Link</v>
      </c>
      <c r="E9245" s="2" t="s">
        <v>3409</v>
      </c>
    </row>
    <row r="9246">
      <c r="A9246" s="2" t="s">
        <v>4933</v>
      </c>
      <c r="B9246" s="2" t="s">
        <v>4927</v>
      </c>
      <c r="C9246" s="2" t="s">
        <v>5473</v>
      </c>
      <c r="D9246" s="3" t="str">
        <f t="shared" ref="D9246:D9248" si="1840">HYPERLINK("https://12go.asia/en/travel/balapitiya/Ambalantota", "12Go Link")</f>
        <v>12Go Link</v>
      </c>
      <c r="E9246" s="2" t="s">
        <v>286</v>
      </c>
    </row>
    <row r="9247">
      <c r="A9247" s="2" t="s">
        <v>4933</v>
      </c>
      <c r="B9247" s="2" t="s">
        <v>4927</v>
      </c>
      <c r="C9247" s="2" t="s">
        <v>5473</v>
      </c>
      <c r="D9247" s="3" t="str">
        <f t="shared" si="1840"/>
        <v>12Go Link</v>
      </c>
      <c r="E9247" s="2" t="s">
        <v>4139</v>
      </c>
    </row>
    <row r="9248">
      <c r="A9248" s="2" t="s">
        <v>4933</v>
      </c>
      <c r="B9248" s="2" t="s">
        <v>4927</v>
      </c>
      <c r="C9248" s="2" t="s">
        <v>5473</v>
      </c>
      <c r="D9248" s="3" t="str">
        <f t="shared" si="1840"/>
        <v>12Go Link</v>
      </c>
      <c r="E9248" s="2" t="s">
        <v>3409</v>
      </c>
    </row>
    <row r="9249">
      <c r="A9249" s="2" t="s">
        <v>4933</v>
      </c>
      <c r="B9249" s="2" t="s">
        <v>4929</v>
      </c>
      <c r="C9249" s="2" t="s">
        <v>5474</v>
      </c>
      <c r="D9249" s="3" t="str">
        <f t="shared" ref="D9249:D9251" si="1841">HYPERLINK("https://12go.asia/en/travel/balapitiya/Anuradhapura", "12Go Link")</f>
        <v>12Go Link</v>
      </c>
      <c r="E9249" s="2" t="s">
        <v>286</v>
      </c>
    </row>
    <row r="9250">
      <c r="A9250" s="2" t="s">
        <v>4933</v>
      </c>
      <c r="B9250" s="2" t="s">
        <v>4929</v>
      </c>
      <c r="C9250" s="2" t="s">
        <v>5474</v>
      </c>
      <c r="D9250" s="3" t="str">
        <f t="shared" si="1841"/>
        <v>12Go Link</v>
      </c>
      <c r="E9250" s="2" t="s">
        <v>4139</v>
      </c>
    </row>
    <row r="9251">
      <c r="A9251" s="2" t="s">
        <v>4933</v>
      </c>
      <c r="B9251" s="2" t="s">
        <v>4929</v>
      </c>
      <c r="C9251" s="2" t="s">
        <v>5474</v>
      </c>
      <c r="D9251" s="3" t="str">
        <f t="shared" si="1841"/>
        <v>12Go Link</v>
      </c>
      <c r="E9251" s="2" t="s">
        <v>3409</v>
      </c>
    </row>
    <row r="9252">
      <c r="A9252" s="2" t="s">
        <v>4933</v>
      </c>
      <c r="B9252" s="2" t="s">
        <v>4931</v>
      </c>
      <c r="C9252" s="2" t="s">
        <v>5475</v>
      </c>
      <c r="D9252" s="3" t="str">
        <f t="shared" ref="D9252:D9254" si="1842">HYPERLINK("https://12go.asia/en/travel/balapitiya/Arugam-bay", "12Go Link")</f>
        <v>12Go Link</v>
      </c>
      <c r="E9252" s="2" t="s">
        <v>286</v>
      </c>
    </row>
    <row r="9253">
      <c r="A9253" s="2" t="s">
        <v>4933</v>
      </c>
      <c r="B9253" s="2" t="s">
        <v>4931</v>
      </c>
      <c r="C9253" s="2" t="s">
        <v>5475</v>
      </c>
      <c r="D9253" s="3" t="str">
        <f t="shared" si="1842"/>
        <v>12Go Link</v>
      </c>
      <c r="E9253" s="2" t="s">
        <v>4139</v>
      </c>
    </row>
    <row r="9254">
      <c r="A9254" s="2" t="s">
        <v>4933</v>
      </c>
      <c r="B9254" s="2" t="s">
        <v>4931</v>
      </c>
      <c r="C9254" s="2" t="s">
        <v>5475</v>
      </c>
      <c r="D9254" s="3" t="str">
        <f t="shared" si="1842"/>
        <v>12Go Link</v>
      </c>
      <c r="E9254" s="2" t="s">
        <v>3409</v>
      </c>
    </row>
    <row r="9255">
      <c r="A9255" s="2" t="s">
        <v>4933</v>
      </c>
      <c r="B9255" s="2" t="s">
        <v>4935</v>
      </c>
      <c r="C9255" s="2" t="s">
        <v>5476</v>
      </c>
      <c r="D9255" s="3" t="str">
        <f t="shared" ref="D9255:D9257" si="1843">HYPERLINK("https://12go.asia/en/travel/balapitiya/Batticaloa", "12Go Link")</f>
        <v>12Go Link</v>
      </c>
      <c r="E9255" s="2" t="s">
        <v>286</v>
      </c>
    </row>
    <row r="9256">
      <c r="A9256" s="2" t="s">
        <v>4933</v>
      </c>
      <c r="B9256" s="2" t="s">
        <v>4935</v>
      </c>
      <c r="C9256" s="2" t="s">
        <v>5476</v>
      </c>
      <c r="D9256" s="3" t="str">
        <f t="shared" si="1843"/>
        <v>12Go Link</v>
      </c>
      <c r="E9256" s="2" t="s">
        <v>4139</v>
      </c>
    </row>
    <row r="9257">
      <c r="A9257" s="2" t="s">
        <v>4933</v>
      </c>
      <c r="B9257" s="2" t="s">
        <v>4935</v>
      </c>
      <c r="C9257" s="2" t="s">
        <v>5476</v>
      </c>
      <c r="D9257" s="3" t="str">
        <f t="shared" si="1843"/>
        <v>12Go Link</v>
      </c>
      <c r="E9257" s="2" t="s">
        <v>3409</v>
      </c>
    </row>
    <row r="9258">
      <c r="A9258" s="2" t="s">
        <v>4933</v>
      </c>
      <c r="B9258" s="2" t="s">
        <v>4937</v>
      </c>
      <c r="C9258" s="2" t="s">
        <v>5477</v>
      </c>
      <c r="D9258" s="3" t="str">
        <f t="shared" ref="D9258:D9260" si="1844">HYPERLINK("https://12go.asia/en/travel/balapitiya/Bentota", "12Go Link")</f>
        <v>12Go Link</v>
      </c>
      <c r="E9258" s="2" t="s">
        <v>286</v>
      </c>
    </row>
    <row r="9259">
      <c r="A9259" s="2" t="s">
        <v>4933</v>
      </c>
      <c r="B9259" s="2" t="s">
        <v>4937</v>
      </c>
      <c r="C9259" s="2" t="s">
        <v>5477</v>
      </c>
      <c r="D9259" s="3" t="str">
        <f t="shared" si="1844"/>
        <v>12Go Link</v>
      </c>
      <c r="E9259" s="2" t="s">
        <v>4139</v>
      </c>
    </row>
    <row r="9260">
      <c r="A9260" s="2" t="s">
        <v>4933</v>
      </c>
      <c r="B9260" s="2" t="s">
        <v>4937</v>
      </c>
      <c r="C9260" s="2" t="s">
        <v>5477</v>
      </c>
      <c r="D9260" s="3" t="str">
        <f t="shared" si="1844"/>
        <v>12Go Link</v>
      </c>
      <c r="E9260" s="2" t="s">
        <v>3409</v>
      </c>
    </row>
    <row r="9261">
      <c r="A9261" s="2" t="s">
        <v>4933</v>
      </c>
      <c r="B9261" s="2" t="s">
        <v>4939</v>
      </c>
      <c r="C9261" s="2" t="s">
        <v>5478</v>
      </c>
      <c r="D9261" s="3" t="str">
        <f t="shared" ref="D9261:D9263" si="1845">HYPERLINK("https://12go.asia/en/travel/balapitiya/Beruwala", "12Go Link")</f>
        <v>12Go Link</v>
      </c>
      <c r="E9261" s="2" t="s">
        <v>286</v>
      </c>
    </row>
    <row r="9262">
      <c r="A9262" s="2" t="s">
        <v>4933</v>
      </c>
      <c r="B9262" s="2" t="s">
        <v>4939</v>
      </c>
      <c r="C9262" s="2" t="s">
        <v>5478</v>
      </c>
      <c r="D9262" s="3" t="str">
        <f t="shared" si="1845"/>
        <v>12Go Link</v>
      </c>
      <c r="E9262" s="2" t="s">
        <v>4139</v>
      </c>
    </row>
    <row r="9263">
      <c r="A9263" s="2" t="s">
        <v>4933</v>
      </c>
      <c r="B9263" s="2" t="s">
        <v>4939</v>
      </c>
      <c r="C9263" s="2" t="s">
        <v>5478</v>
      </c>
      <c r="D9263" s="3" t="str">
        <f t="shared" si="1845"/>
        <v>12Go Link</v>
      </c>
      <c r="E9263" s="2" t="s">
        <v>3409</v>
      </c>
    </row>
    <row r="9264">
      <c r="A9264" s="2" t="s">
        <v>4933</v>
      </c>
      <c r="B9264" s="2" t="s">
        <v>4941</v>
      </c>
      <c r="C9264" s="2" t="s">
        <v>5479</v>
      </c>
      <c r="D9264" s="3" t="str">
        <f t="shared" ref="D9264:D9266" si="1846">HYPERLINK("https://12go.asia/en/travel/balapitiya/Bundala", "12Go Link")</f>
        <v>12Go Link</v>
      </c>
      <c r="E9264" s="2" t="s">
        <v>286</v>
      </c>
    </row>
    <row r="9265">
      <c r="A9265" s="2" t="s">
        <v>4933</v>
      </c>
      <c r="B9265" s="2" t="s">
        <v>4941</v>
      </c>
      <c r="C9265" s="2" t="s">
        <v>5479</v>
      </c>
      <c r="D9265" s="3" t="str">
        <f t="shared" si="1846"/>
        <v>12Go Link</v>
      </c>
      <c r="E9265" s="2" t="s">
        <v>4139</v>
      </c>
    </row>
    <row r="9266">
      <c r="A9266" s="2" t="s">
        <v>4933</v>
      </c>
      <c r="B9266" s="2" t="s">
        <v>4941</v>
      </c>
      <c r="C9266" s="2" t="s">
        <v>5479</v>
      </c>
      <c r="D9266" s="3" t="str">
        <f t="shared" si="1846"/>
        <v>12Go Link</v>
      </c>
      <c r="E9266" s="2" t="s">
        <v>3409</v>
      </c>
    </row>
    <row r="9267">
      <c r="A9267" s="2" t="s">
        <v>4933</v>
      </c>
      <c r="B9267" s="2" t="s">
        <v>4945</v>
      </c>
      <c r="C9267" s="2" t="s">
        <v>5480</v>
      </c>
      <c r="D9267" s="3" t="str">
        <f t="shared" ref="D9267:D9269" si="1847">HYPERLINK("https://12go.asia/en/travel/balapitiya/Bandaranaike-Airport", "12Go Link")</f>
        <v>12Go Link</v>
      </c>
      <c r="E9267" s="2" t="s">
        <v>286</v>
      </c>
    </row>
    <row r="9268">
      <c r="A9268" s="2" t="s">
        <v>4933</v>
      </c>
      <c r="B9268" s="2" t="s">
        <v>4945</v>
      </c>
      <c r="C9268" s="2" t="s">
        <v>5480</v>
      </c>
      <c r="D9268" s="3" t="str">
        <f t="shared" si="1847"/>
        <v>12Go Link</v>
      </c>
      <c r="E9268" s="2" t="s">
        <v>4139</v>
      </c>
    </row>
    <row r="9269">
      <c r="A9269" s="2" t="s">
        <v>4933</v>
      </c>
      <c r="B9269" s="2" t="s">
        <v>4945</v>
      </c>
      <c r="C9269" s="2" t="s">
        <v>5480</v>
      </c>
      <c r="D9269" s="3" t="str">
        <f t="shared" si="1847"/>
        <v>12Go Link</v>
      </c>
      <c r="E9269" s="2" t="s">
        <v>3409</v>
      </c>
    </row>
    <row r="9270">
      <c r="A9270" s="2" t="s">
        <v>4933</v>
      </c>
      <c r="B9270" s="2" t="s">
        <v>4949</v>
      </c>
      <c r="C9270" s="2" t="s">
        <v>5481</v>
      </c>
      <c r="D9270" s="3" t="str">
        <f t="shared" ref="D9270:D9272" si="1848">HYPERLINK("https://12go.asia/en/travel/balapitiya/Deniyaya", "12Go Link")</f>
        <v>12Go Link</v>
      </c>
      <c r="E9270" s="2" t="s">
        <v>286</v>
      </c>
    </row>
    <row r="9271">
      <c r="A9271" s="2" t="s">
        <v>4933</v>
      </c>
      <c r="B9271" s="2" t="s">
        <v>4949</v>
      </c>
      <c r="C9271" s="2" t="s">
        <v>5481</v>
      </c>
      <c r="D9271" s="3" t="str">
        <f t="shared" si="1848"/>
        <v>12Go Link</v>
      </c>
      <c r="E9271" s="2" t="s">
        <v>4139</v>
      </c>
    </row>
    <row r="9272">
      <c r="A9272" s="2" t="s">
        <v>4933</v>
      </c>
      <c r="B9272" s="2" t="s">
        <v>4949</v>
      </c>
      <c r="C9272" s="2" t="s">
        <v>5481</v>
      </c>
      <c r="D9272" s="3" t="str">
        <f t="shared" si="1848"/>
        <v>12Go Link</v>
      </c>
      <c r="E9272" s="2" t="s">
        <v>3409</v>
      </c>
    </row>
    <row r="9273">
      <c r="A9273" s="2" t="s">
        <v>4933</v>
      </c>
      <c r="B9273" s="2" t="s">
        <v>4951</v>
      </c>
      <c r="C9273" s="2" t="s">
        <v>5482</v>
      </c>
      <c r="D9273" s="3" t="str">
        <f t="shared" ref="D9273:D9275" si="1849">HYPERLINK("https://12go.asia/en/travel/balapitiya/Dickwella", "12Go Link")</f>
        <v>12Go Link</v>
      </c>
      <c r="E9273" s="2" t="s">
        <v>286</v>
      </c>
    </row>
    <row r="9274">
      <c r="A9274" s="2" t="s">
        <v>4933</v>
      </c>
      <c r="B9274" s="2" t="s">
        <v>4951</v>
      </c>
      <c r="C9274" s="2" t="s">
        <v>5482</v>
      </c>
      <c r="D9274" s="3" t="str">
        <f t="shared" si="1849"/>
        <v>12Go Link</v>
      </c>
      <c r="E9274" s="2" t="s">
        <v>4139</v>
      </c>
    </row>
    <row r="9275">
      <c r="A9275" s="2" t="s">
        <v>4933</v>
      </c>
      <c r="B9275" s="2" t="s">
        <v>4951</v>
      </c>
      <c r="C9275" s="2" t="s">
        <v>5482</v>
      </c>
      <c r="D9275" s="3" t="str">
        <f t="shared" si="1849"/>
        <v>12Go Link</v>
      </c>
      <c r="E9275" s="2" t="s">
        <v>3409</v>
      </c>
    </row>
    <row r="9276">
      <c r="A9276" s="2" t="s">
        <v>4933</v>
      </c>
      <c r="B9276" s="2" t="s">
        <v>4951</v>
      </c>
      <c r="C9276" s="2" t="s">
        <v>5483</v>
      </c>
      <c r="D9276" s="3" t="str">
        <f t="shared" ref="D9276:D9278" si="1850">HYPERLINK("https://12go.asia/en/travel/balapitiya/Hiriketiya-beach", "12Go Link")</f>
        <v>12Go Link</v>
      </c>
      <c r="E9276" s="2" t="s">
        <v>286</v>
      </c>
    </row>
    <row r="9277">
      <c r="A9277" s="2" t="s">
        <v>4933</v>
      </c>
      <c r="B9277" s="2" t="s">
        <v>4951</v>
      </c>
      <c r="C9277" s="2" t="s">
        <v>5483</v>
      </c>
      <c r="D9277" s="3" t="str">
        <f t="shared" si="1850"/>
        <v>12Go Link</v>
      </c>
      <c r="E9277" s="2" t="s">
        <v>4139</v>
      </c>
    </row>
    <row r="9278">
      <c r="A9278" s="2" t="s">
        <v>4933</v>
      </c>
      <c r="B9278" s="2" t="s">
        <v>4951</v>
      </c>
      <c r="C9278" s="2" t="s">
        <v>5483</v>
      </c>
      <c r="D9278" s="3" t="str">
        <f t="shared" si="1850"/>
        <v>12Go Link</v>
      </c>
      <c r="E9278" s="2" t="s">
        <v>3409</v>
      </c>
    </row>
    <row r="9279">
      <c r="A9279" s="2" t="s">
        <v>4933</v>
      </c>
      <c r="B9279" s="2" t="s">
        <v>4954</v>
      </c>
      <c r="C9279" s="2" t="s">
        <v>5484</v>
      </c>
      <c r="D9279" s="3" t="str">
        <f t="shared" ref="D9279:D9281" si="1851">HYPERLINK("https://12go.asia/en/travel/balapitiya/Galle", "12Go Link")</f>
        <v>12Go Link</v>
      </c>
      <c r="E9279" s="2" t="s">
        <v>286</v>
      </c>
    </row>
    <row r="9280">
      <c r="A9280" s="2" t="s">
        <v>4933</v>
      </c>
      <c r="B9280" s="2" t="s">
        <v>4954</v>
      </c>
      <c r="C9280" s="2" t="s">
        <v>5484</v>
      </c>
      <c r="D9280" s="3" t="str">
        <f t="shared" si="1851"/>
        <v>12Go Link</v>
      </c>
      <c r="E9280" s="2" t="s">
        <v>4139</v>
      </c>
    </row>
    <row r="9281">
      <c r="A9281" s="2" t="s">
        <v>4933</v>
      </c>
      <c r="B9281" s="2" t="s">
        <v>4954</v>
      </c>
      <c r="C9281" s="2" t="s">
        <v>5484</v>
      </c>
      <c r="D9281" s="3" t="str">
        <f t="shared" si="1851"/>
        <v>12Go Link</v>
      </c>
      <c r="E9281" s="2" t="s">
        <v>3409</v>
      </c>
    </row>
    <row r="9282">
      <c r="A9282" s="2" t="s">
        <v>4933</v>
      </c>
      <c r="B9282" s="2" t="s">
        <v>4954</v>
      </c>
      <c r="C9282" s="2" t="s">
        <v>5485</v>
      </c>
      <c r="D9282" s="3" t="str">
        <f t="shared" ref="D9282:D9284" si="1852">HYPERLINK("https://12go.asia/en/travel/balapitiya/Talpe", "12Go Link")</f>
        <v>12Go Link</v>
      </c>
      <c r="E9282" s="2" t="s">
        <v>286</v>
      </c>
    </row>
    <row r="9283">
      <c r="A9283" s="2" t="s">
        <v>4933</v>
      </c>
      <c r="B9283" s="2" t="s">
        <v>4954</v>
      </c>
      <c r="C9283" s="2" t="s">
        <v>5485</v>
      </c>
      <c r="D9283" s="3" t="str">
        <f t="shared" si="1852"/>
        <v>12Go Link</v>
      </c>
      <c r="E9283" s="2" t="s">
        <v>4139</v>
      </c>
    </row>
    <row r="9284">
      <c r="A9284" s="2" t="s">
        <v>4933</v>
      </c>
      <c r="B9284" s="2" t="s">
        <v>4954</v>
      </c>
      <c r="C9284" s="2" t="s">
        <v>5485</v>
      </c>
      <c r="D9284" s="3" t="str">
        <f t="shared" si="1852"/>
        <v>12Go Link</v>
      </c>
      <c r="E9284" s="2" t="s">
        <v>3409</v>
      </c>
    </row>
    <row r="9285">
      <c r="A9285" s="2" t="s">
        <v>4933</v>
      </c>
      <c r="B9285" s="2" t="s">
        <v>4957</v>
      </c>
      <c r="C9285" s="2" t="s">
        <v>5486</v>
      </c>
      <c r="D9285" s="3" t="str">
        <f t="shared" ref="D9285:D9287" si="1853">HYPERLINK("https://12go.asia/en/travel/balapitiya/Habarana", "12Go Link")</f>
        <v>12Go Link</v>
      </c>
      <c r="E9285" s="2" t="s">
        <v>286</v>
      </c>
    </row>
    <row r="9286">
      <c r="A9286" s="2" t="s">
        <v>4933</v>
      </c>
      <c r="B9286" s="2" t="s">
        <v>4957</v>
      </c>
      <c r="C9286" s="2" t="s">
        <v>5486</v>
      </c>
      <c r="D9286" s="3" t="str">
        <f t="shared" si="1853"/>
        <v>12Go Link</v>
      </c>
      <c r="E9286" s="2" t="s">
        <v>4139</v>
      </c>
    </row>
    <row r="9287">
      <c r="A9287" s="2" t="s">
        <v>4933</v>
      </c>
      <c r="B9287" s="2" t="s">
        <v>4957</v>
      </c>
      <c r="C9287" s="2" t="s">
        <v>5486</v>
      </c>
      <c r="D9287" s="3" t="str">
        <f t="shared" si="1853"/>
        <v>12Go Link</v>
      </c>
      <c r="E9287" s="2" t="s">
        <v>3409</v>
      </c>
    </row>
    <row r="9288">
      <c r="A9288" s="2" t="s">
        <v>4933</v>
      </c>
      <c r="B9288" s="2" t="s">
        <v>4959</v>
      </c>
      <c r="C9288" s="2" t="s">
        <v>5487</v>
      </c>
      <c r="D9288" s="3" t="str">
        <f t="shared" ref="D9288:D9290" si="1854">HYPERLINK("https://12go.asia/en/travel/balapitiya/Ella", "12Go Link")</f>
        <v>12Go Link</v>
      </c>
      <c r="E9288" s="2" t="s">
        <v>286</v>
      </c>
    </row>
    <row r="9289">
      <c r="A9289" s="2" t="s">
        <v>4933</v>
      </c>
      <c r="B9289" s="2" t="s">
        <v>4959</v>
      </c>
      <c r="C9289" s="2" t="s">
        <v>5487</v>
      </c>
      <c r="D9289" s="3" t="str">
        <f t="shared" si="1854"/>
        <v>12Go Link</v>
      </c>
      <c r="E9289" s="2" t="s">
        <v>4139</v>
      </c>
    </row>
    <row r="9290">
      <c r="A9290" s="2" t="s">
        <v>4933</v>
      </c>
      <c r="B9290" s="2" t="s">
        <v>4959</v>
      </c>
      <c r="C9290" s="2" t="s">
        <v>5487</v>
      </c>
      <c r="D9290" s="3" t="str">
        <f t="shared" si="1854"/>
        <v>12Go Link</v>
      </c>
      <c r="E9290" s="2" t="s">
        <v>3409</v>
      </c>
    </row>
    <row r="9291">
      <c r="A9291" s="2" t="s">
        <v>4933</v>
      </c>
      <c r="B9291" s="2" t="s">
        <v>4961</v>
      </c>
      <c r="C9291" s="2" t="s">
        <v>5488</v>
      </c>
      <c r="D9291" s="3" t="str">
        <f t="shared" ref="D9291:D9293" si="1855">HYPERLINK("https://12go.asia/en/travel/balapitiya/Beragala", "12Go Link")</f>
        <v>12Go Link</v>
      </c>
      <c r="E9291" s="2" t="s">
        <v>286</v>
      </c>
    </row>
    <row r="9292">
      <c r="A9292" s="2" t="s">
        <v>4933</v>
      </c>
      <c r="B9292" s="2" t="s">
        <v>4961</v>
      </c>
      <c r="C9292" s="2" t="s">
        <v>5488</v>
      </c>
      <c r="D9292" s="3" t="str">
        <f t="shared" si="1855"/>
        <v>12Go Link</v>
      </c>
      <c r="E9292" s="2" t="s">
        <v>4139</v>
      </c>
    </row>
    <row r="9293">
      <c r="A9293" s="2" t="s">
        <v>4933</v>
      </c>
      <c r="B9293" s="2" t="s">
        <v>4961</v>
      </c>
      <c r="C9293" s="2" t="s">
        <v>5488</v>
      </c>
      <c r="D9293" s="3" t="str">
        <f t="shared" si="1855"/>
        <v>12Go Link</v>
      </c>
      <c r="E9293" s="2" t="s">
        <v>3409</v>
      </c>
    </row>
    <row r="9294">
      <c r="A9294" s="2" t="s">
        <v>4933</v>
      </c>
      <c r="B9294" s="2" t="s">
        <v>4963</v>
      </c>
      <c r="C9294" s="2" t="s">
        <v>5489</v>
      </c>
      <c r="D9294" s="3" t="str">
        <f t="shared" ref="D9294:D9296" si="1856">HYPERLINK("https://12go.asia/en/travel/balapitiya/Dick-oya", "12Go Link")</f>
        <v>12Go Link</v>
      </c>
      <c r="E9294" s="2" t="s">
        <v>286</v>
      </c>
    </row>
    <row r="9295">
      <c r="A9295" s="2" t="s">
        <v>4933</v>
      </c>
      <c r="B9295" s="2" t="s">
        <v>4963</v>
      </c>
      <c r="C9295" s="2" t="s">
        <v>5489</v>
      </c>
      <c r="D9295" s="3" t="str">
        <f t="shared" si="1856"/>
        <v>12Go Link</v>
      </c>
      <c r="E9295" s="2" t="s">
        <v>4139</v>
      </c>
    </row>
    <row r="9296">
      <c r="A9296" s="2" t="s">
        <v>4933</v>
      </c>
      <c r="B9296" s="2" t="s">
        <v>4963</v>
      </c>
      <c r="C9296" s="2" t="s">
        <v>5489</v>
      </c>
      <c r="D9296" s="3" t="str">
        <f t="shared" si="1856"/>
        <v>12Go Link</v>
      </c>
      <c r="E9296" s="2" t="s">
        <v>3409</v>
      </c>
    </row>
    <row r="9297">
      <c r="A9297" s="2" t="s">
        <v>4933</v>
      </c>
      <c r="B9297" s="2" t="s">
        <v>4965</v>
      </c>
      <c r="C9297" s="2" t="s">
        <v>5490</v>
      </c>
      <c r="D9297" s="3" t="str">
        <f t="shared" ref="D9297:D9299" si="1857">HYPERLINK("https://12go.asia/en/travel/balapitiya/Dodanduwa", "12Go Link")</f>
        <v>12Go Link</v>
      </c>
      <c r="E9297" s="2" t="s">
        <v>286</v>
      </c>
    </row>
    <row r="9298">
      <c r="A9298" s="2" t="s">
        <v>4933</v>
      </c>
      <c r="B9298" s="2" t="s">
        <v>4965</v>
      </c>
      <c r="C9298" s="2" t="s">
        <v>5490</v>
      </c>
      <c r="D9298" s="3" t="str">
        <f t="shared" si="1857"/>
        <v>12Go Link</v>
      </c>
      <c r="E9298" s="2" t="s">
        <v>4139</v>
      </c>
    </row>
    <row r="9299">
      <c r="A9299" s="2" t="s">
        <v>4933</v>
      </c>
      <c r="B9299" s="2" t="s">
        <v>4965</v>
      </c>
      <c r="C9299" s="2" t="s">
        <v>5490</v>
      </c>
      <c r="D9299" s="3" t="str">
        <f t="shared" si="1857"/>
        <v>12Go Link</v>
      </c>
      <c r="E9299" s="2" t="s">
        <v>3409</v>
      </c>
    </row>
    <row r="9300">
      <c r="A9300" s="2" t="s">
        <v>4933</v>
      </c>
      <c r="B9300" s="2" t="s">
        <v>4967</v>
      </c>
      <c r="C9300" s="2" t="s">
        <v>5491</v>
      </c>
      <c r="D9300" s="3" t="str">
        <f t="shared" ref="D9300:D9302" si="1858">HYPERLINK("https://12go.asia/en/travel/balapitiya/Induruwa", "12Go Link")</f>
        <v>12Go Link</v>
      </c>
      <c r="E9300" s="2" t="s">
        <v>286</v>
      </c>
    </row>
    <row r="9301">
      <c r="A9301" s="2" t="s">
        <v>4933</v>
      </c>
      <c r="B9301" s="2" t="s">
        <v>4967</v>
      </c>
      <c r="C9301" s="2" t="s">
        <v>5491</v>
      </c>
      <c r="D9301" s="3" t="str">
        <f t="shared" si="1858"/>
        <v>12Go Link</v>
      </c>
      <c r="E9301" s="2" t="s">
        <v>4139</v>
      </c>
    </row>
    <row r="9302">
      <c r="A9302" s="2" t="s">
        <v>4933</v>
      </c>
      <c r="B9302" s="2" t="s">
        <v>4967</v>
      </c>
      <c r="C9302" s="2" t="s">
        <v>5491</v>
      </c>
      <c r="D9302" s="3" t="str">
        <f t="shared" si="1858"/>
        <v>12Go Link</v>
      </c>
      <c r="E9302" s="2" t="s">
        <v>3409</v>
      </c>
    </row>
    <row r="9303">
      <c r="A9303" s="2" t="s">
        <v>4933</v>
      </c>
      <c r="B9303" s="2" t="s">
        <v>4969</v>
      </c>
      <c r="C9303" s="2" t="s">
        <v>5492</v>
      </c>
      <c r="D9303" s="3" t="str">
        <f t="shared" ref="D9303:D9305" si="1859">HYPERLINK("https://12go.asia/en/travel/balapitiya/Jaffna", "12Go Link")</f>
        <v>12Go Link</v>
      </c>
      <c r="E9303" s="2" t="s">
        <v>286</v>
      </c>
    </row>
    <row r="9304">
      <c r="A9304" s="2" t="s">
        <v>4933</v>
      </c>
      <c r="B9304" s="2" t="s">
        <v>4969</v>
      </c>
      <c r="C9304" s="2" t="s">
        <v>5492</v>
      </c>
      <c r="D9304" s="3" t="str">
        <f t="shared" si="1859"/>
        <v>12Go Link</v>
      </c>
      <c r="E9304" s="2" t="s">
        <v>4139</v>
      </c>
    </row>
    <row r="9305">
      <c r="A9305" s="2" t="s">
        <v>4933</v>
      </c>
      <c r="B9305" s="2" t="s">
        <v>4969</v>
      </c>
      <c r="C9305" s="2" t="s">
        <v>5492</v>
      </c>
      <c r="D9305" s="3" t="str">
        <f t="shared" si="1859"/>
        <v>12Go Link</v>
      </c>
      <c r="E9305" s="2" t="s">
        <v>3409</v>
      </c>
    </row>
    <row r="9306">
      <c r="A9306" s="2" t="s">
        <v>4933</v>
      </c>
      <c r="B9306" s="2" t="s">
        <v>4971</v>
      </c>
      <c r="C9306" s="2" t="s">
        <v>5493</v>
      </c>
      <c r="D9306" s="3" t="str">
        <f t="shared" ref="D9306:D9308" si="1860">HYPERLINK("https://12go.asia/en/travel/balapitiya/Kalapuwa", "12Go Link")</f>
        <v>12Go Link</v>
      </c>
      <c r="E9306" s="2" t="s">
        <v>286</v>
      </c>
    </row>
    <row r="9307">
      <c r="A9307" s="2" t="s">
        <v>4933</v>
      </c>
      <c r="B9307" s="2" t="s">
        <v>4971</v>
      </c>
      <c r="C9307" s="2" t="s">
        <v>5493</v>
      </c>
      <c r="D9307" s="3" t="str">
        <f t="shared" si="1860"/>
        <v>12Go Link</v>
      </c>
      <c r="E9307" s="2" t="s">
        <v>4139</v>
      </c>
    </row>
    <row r="9308">
      <c r="A9308" s="2" t="s">
        <v>4933</v>
      </c>
      <c r="B9308" s="2" t="s">
        <v>4971</v>
      </c>
      <c r="C9308" s="2" t="s">
        <v>5493</v>
      </c>
      <c r="D9308" s="3" t="str">
        <f t="shared" si="1860"/>
        <v>12Go Link</v>
      </c>
      <c r="E9308" s="2" t="s">
        <v>3409</v>
      </c>
    </row>
    <row r="9309">
      <c r="A9309" s="2" t="s">
        <v>4933</v>
      </c>
      <c r="B9309" s="2" t="s">
        <v>4973</v>
      </c>
      <c r="C9309" s="2" t="s">
        <v>5494</v>
      </c>
      <c r="D9309" s="3" t="str">
        <f t="shared" ref="D9309:D9311" si="1861">HYPERLINK("https://12go.asia/en/travel/balapitiya/Digana", "12Go Link")</f>
        <v>12Go Link</v>
      </c>
      <c r="E9309" s="2" t="s">
        <v>286</v>
      </c>
    </row>
    <row r="9310">
      <c r="A9310" s="2" t="s">
        <v>4933</v>
      </c>
      <c r="B9310" s="2" t="s">
        <v>4973</v>
      </c>
      <c r="C9310" s="2" t="s">
        <v>5494</v>
      </c>
      <c r="D9310" s="3" t="str">
        <f t="shared" si="1861"/>
        <v>12Go Link</v>
      </c>
      <c r="E9310" s="2" t="s">
        <v>4139</v>
      </c>
    </row>
    <row r="9311">
      <c r="A9311" s="2" t="s">
        <v>4933</v>
      </c>
      <c r="B9311" s="2" t="s">
        <v>4973</v>
      </c>
      <c r="C9311" s="2" t="s">
        <v>5494</v>
      </c>
      <c r="D9311" s="3" t="str">
        <f t="shared" si="1861"/>
        <v>12Go Link</v>
      </c>
      <c r="E9311" s="2" t="s">
        <v>3409</v>
      </c>
    </row>
    <row r="9312">
      <c r="A9312" s="2" t="s">
        <v>4933</v>
      </c>
      <c r="B9312" s="2" t="s">
        <v>4976</v>
      </c>
      <c r="C9312" s="2" t="s">
        <v>5495</v>
      </c>
      <c r="D9312" s="3" t="str">
        <f t="shared" ref="D9312:D9314" si="1862">HYPERLINK("https://12go.asia/en/travel/balapitiya/Kataragama", "12Go Link")</f>
        <v>12Go Link</v>
      </c>
      <c r="E9312" s="2" t="s">
        <v>286</v>
      </c>
    </row>
    <row r="9313">
      <c r="A9313" s="2" t="s">
        <v>4933</v>
      </c>
      <c r="B9313" s="2" t="s">
        <v>4976</v>
      </c>
      <c r="C9313" s="2" t="s">
        <v>5495</v>
      </c>
      <c r="D9313" s="3" t="str">
        <f t="shared" si="1862"/>
        <v>12Go Link</v>
      </c>
      <c r="E9313" s="2" t="s">
        <v>4139</v>
      </c>
    </row>
    <row r="9314">
      <c r="A9314" s="2" t="s">
        <v>4933</v>
      </c>
      <c r="B9314" s="2" t="s">
        <v>4976</v>
      </c>
      <c r="C9314" s="2" t="s">
        <v>5495</v>
      </c>
      <c r="D9314" s="3" t="str">
        <f t="shared" si="1862"/>
        <v>12Go Link</v>
      </c>
      <c r="E9314" s="2" t="s">
        <v>3409</v>
      </c>
    </row>
    <row r="9315">
      <c r="A9315" s="2" t="s">
        <v>4933</v>
      </c>
      <c r="B9315" s="2" t="s">
        <v>4978</v>
      </c>
      <c r="C9315" s="2" t="s">
        <v>5496</v>
      </c>
      <c r="D9315" s="3" t="str">
        <f t="shared" ref="D9315:D9317" si="1863">HYPERLINK("https://12go.asia/en/travel/balapitiya/Alawathupitiya", "12Go Link")</f>
        <v>12Go Link</v>
      </c>
      <c r="E9315" s="2" t="s">
        <v>286</v>
      </c>
    </row>
    <row r="9316">
      <c r="A9316" s="2" t="s">
        <v>4933</v>
      </c>
      <c r="B9316" s="2" t="s">
        <v>4978</v>
      </c>
      <c r="C9316" s="2" t="s">
        <v>5496</v>
      </c>
      <c r="D9316" s="3" t="str">
        <f t="shared" si="1863"/>
        <v>12Go Link</v>
      </c>
      <c r="E9316" s="2" t="s">
        <v>4139</v>
      </c>
    </row>
    <row r="9317">
      <c r="A9317" s="2" t="s">
        <v>4933</v>
      </c>
      <c r="B9317" s="2" t="s">
        <v>4978</v>
      </c>
      <c r="C9317" s="2" t="s">
        <v>5496</v>
      </c>
      <c r="D9317" s="3" t="str">
        <f t="shared" si="1863"/>
        <v>12Go Link</v>
      </c>
      <c r="E9317" s="2" t="s">
        <v>3409</v>
      </c>
    </row>
    <row r="9318">
      <c r="A9318" s="2" t="s">
        <v>4933</v>
      </c>
      <c r="B9318" s="2" t="s">
        <v>4980</v>
      </c>
      <c r="C9318" s="2" t="s">
        <v>5497</v>
      </c>
      <c r="D9318" s="3" t="str">
        <f t="shared" ref="D9318:D9320" si="1864">HYPERLINK("https://12go.asia/en/travel/balapitiya/Pinnawala", "12Go Link")</f>
        <v>12Go Link</v>
      </c>
      <c r="E9318" s="2" t="s">
        <v>286</v>
      </c>
    </row>
    <row r="9319">
      <c r="A9319" s="2" t="s">
        <v>4933</v>
      </c>
      <c r="B9319" s="2" t="s">
        <v>4980</v>
      </c>
      <c r="C9319" s="2" t="s">
        <v>5497</v>
      </c>
      <c r="D9319" s="3" t="str">
        <f t="shared" si="1864"/>
        <v>12Go Link</v>
      </c>
      <c r="E9319" s="2" t="s">
        <v>4139</v>
      </c>
    </row>
    <row r="9320">
      <c r="A9320" s="2" t="s">
        <v>4933</v>
      </c>
      <c r="B9320" s="2" t="s">
        <v>4980</v>
      </c>
      <c r="C9320" s="2" t="s">
        <v>5497</v>
      </c>
      <c r="D9320" s="3" t="str">
        <f t="shared" si="1864"/>
        <v>12Go Link</v>
      </c>
      <c r="E9320" s="2" t="s">
        <v>3409</v>
      </c>
    </row>
    <row r="9321">
      <c r="A9321" s="2" t="s">
        <v>4933</v>
      </c>
      <c r="B9321" s="2" t="s">
        <v>4982</v>
      </c>
      <c r="C9321" s="2" t="s">
        <v>5498</v>
      </c>
      <c r="D9321" s="3" t="str">
        <f t="shared" ref="D9321:D9323" si="1865">HYPERLINK("https://12go.asia/en/travel/balapitiya/Kitulgala", "12Go Link")</f>
        <v>12Go Link</v>
      </c>
      <c r="E9321" s="2" t="s">
        <v>286</v>
      </c>
    </row>
    <row r="9322">
      <c r="A9322" s="2" t="s">
        <v>4933</v>
      </c>
      <c r="B9322" s="2" t="s">
        <v>4982</v>
      </c>
      <c r="C9322" s="2" t="s">
        <v>5498</v>
      </c>
      <c r="D9322" s="3" t="str">
        <f t="shared" si="1865"/>
        <v>12Go Link</v>
      </c>
      <c r="E9322" s="2" t="s">
        <v>4139</v>
      </c>
    </row>
    <row r="9323">
      <c r="A9323" s="2" t="s">
        <v>4933</v>
      </c>
      <c r="B9323" s="2" t="s">
        <v>4982</v>
      </c>
      <c r="C9323" s="2" t="s">
        <v>5498</v>
      </c>
      <c r="D9323" s="3" t="str">
        <f t="shared" si="1865"/>
        <v>12Go Link</v>
      </c>
      <c r="E9323" s="2" t="s">
        <v>3409</v>
      </c>
    </row>
    <row r="9324">
      <c r="A9324" s="2" t="s">
        <v>4933</v>
      </c>
      <c r="B9324" s="2" t="s">
        <v>4984</v>
      </c>
      <c r="C9324" s="2" t="s">
        <v>5499</v>
      </c>
      <c r="D9324" s="3" t="str">
        <f t="shared" ref="D9324:D9326" si="1866">HYPERLINK("https://12go.asia/en/travel/balapitiya/Habaraduwa", "12Go Link")</f>
        <v>12Go Link</v>
      </c>
      <c r="E9324" s="2" t="s">
        <v>286</v>
      </c>
    </row>
    <row r="9325">
      <c r="A9325" s="2" t="s">
        <v>4933</v>
      </c>
      <c r="B9325" s="2" t="s">
        <v>4984</v>
      </c>
      <c r="C9325" s="2" t="s">
        <v>5499</v>
      </c>
      <c r="D9325" s="3" t="str">
        <f t="shared" si="1866"/>
        <v>12Go Link</v>
      </c>
      <c r="E9325" s="2" t="s">
        <v>4139</v>
      </c>
    </row>
    <row r="9326">
      <c r="A9326" s="2" t="s">
        <v>4933</v>
      </c>
      <c r="B9326" s="2" t="s">
        <v>4984</v>
      </c>
      <c r="C9326" s="2" t="s">
        <v>5499</v>
      </c>
      <c r="D9326" s="3" t="str">
        <f t="shared" si="1866"/>
        <v>12Go Link</v>
      </c>
      <c r="E9326" s="2" t="s">
        <v>3409</v>
      </c>
    </row>
    <row r="9327">
      <c r="A9327" s="2" t="s">
        <v>4933</v>
      </c>
      <c r="B9327" s="2" t="s">
        <v>4986</v>
      </c>
      <c r="C9327" s="2" t="s">
        <v>5500</v>
      </c>
      <c r="D9327" s="3" t="str">
        <f t="shared" ref="D9327:D9329" si="1867">HYPERLINK("https://12go.asia/en/travel/balapitiya/Kosgoda", "12Go Link")</f>
        <v>12Go Link</v>
      </c>
      <c r="E9327" s="2" t="s">
        <v>286</v>
      </c>
    </row>
    <row r="9328">
      <c r="A9328" s="2" t="s">
        <v>4933</v>
      </c>
      <c r="B9328" s="2" t="s">
        <v>4986</v>
      </c>
      <c r="C9328" s="2" t="s">
        <v>5500</v>
      </c>
      <c r="D9328" s="3" t="str">
        <f t="shared" si="1867"/>
        <v>12Go Link</v>
      </c>
      <c r="E9328" s="2" t="s">
        <v>4139</v>
      </c>
    </row>
    <row r="9329">
      <c r="A9329" s="2" t="s">
        <v>4933</v>
      </c>
      <c r="B9329" s="2" t="s">
        <v>4986</v>
      </c>
      <c r="C9329" s="2" t="s">
        <v>5500</v>
      </c>
      <c r="D9329" s="3" t="str">
        <f t="shared" si="1867"/>
        <v>12Go Link</v>
      </c>
      <c r="E9329" s="2" t="s">
        <v>3409</v>
      </c>
    </row>
    <row r="9330">
      <c r="A9330" s="2" t="s">
        <v>4933</v>
      </c>
      <c r="B9330" s="2" t="s">
        <v>4988</v>
      </c>
      <c r="C9330" s="2" t="s">
        <v>5501</v>
      </c>
      <c r="D9330" s="3" t="str">
        <f t="shared" ref="D9330:D9332" si="1868">HYPERLINK("https://12go.asia/en/travel/balapitiya/Kuchchaveli", "12Go Link")</f>
        <v>12Go Link</v>
      </c>
      <c r="E9330" s="2" t="s">
        <v>286</v>
      </c>
    </row>
    <row r="9331">
      <c r="A9331" s="2" t="s">
        <v>4933</v>
      </c>
      <c r="B9331" s="2" t="s">
        <v>4988</v>
      </c>
      <c r="C9331" s="2" t="s">
        <v>5501</v>
      </c>
      <c r="D9331" s="3" t="str">
        <f t="shared" si="1868"/>
        <v>12Go Link</v>
      </c>
      <c r="E9331" s="2" t="s">
        <v>4139</v>
      </c>
    </row>
    <row r="9332">
      <c r="A9332" s="2" t="s">
        <v>4933</v>
      </c>
      <c r="B9332" s="2" t="s">
        <v>4988</v>
      </c>
      <c r="C9332" s="2" t="s">
        <v>5501</v>
      </c>
      <c r="D9332" s="3" t="str">
        <f t="shared" si="1868"/>
        <v>12Go Link</v>
      </c>
      <c r="E9332" s="2" t="s">
        <v>3409</v>
      </c>
    </row>
    <row r="9333">
      <c r="A9333" s="2" t="s">
        <v>4933</v>
      </c>
      <c r="B9333" s="2" t="s">
        <v>4990</v>
      </c>
      <c r="C9333" s="2" t="s">
        <v>5502</v>
      </c>
      <c r="D9333" s="3" t="str">
        <f t="shared" ref="D9333:D9335" si="1869">HYPERLINK("https://12go.asia/en/travel/balapitiya/Mannar", "12Go Link")</f>
        <v>12Go Link</v>
      </c>
      <c r="E9333" s="2" t="s">
        <v>286</v>
      </c>
    </row>
    <row r="9334">
      <c r="A9334" s="2" t="s">
        <v>4933</v>
      </c>
      <c r="B9334" s="2" t="s">
        <v>4990</v>
      </c>
      <c r="C9334" s="2" t="s">
        <v>5502</v>
      </c>
      <c r="D9334" s="3" t="str">
        <f t="shared" si="1869"/>
        <v>12Go Link</v>
      </c>
      <c r="E9334" s="2" t="s">
        <v>4139</v>
      </c>
    </row>
    <row r="9335">
      <c r="A9335" s="2" t="s">
        <v>4933</v>
      </c>
      <c r="B9335" s="2" t="s">
        <v>4990</v>
      </c>
      <c r="C9335" s="2" t="s">
        <v>5502</v>
      </c>
      <c r="D9335" s="3" t="str">
        <f t="shared" si="1869"/>
        <v>12Go Link</v>
      </c>
      <c r="E9335" s="2" t="s">
        <v>3409</v>
      </c>
    </row>
    <row r="9336">
      <c r="A9336" s="2" t="s">
        <v>4933</v>
      </c>
      <c r="B9336" s="2" t="s">
        <v>4992</v>
      </c>
      <c r="C9336" s="2" t="s">
        <v>5503</v>
      </c>
      <c r="D9336" s="3" t="str">
        <f t="shared" ref="D9336:D9338" si="1870">HYPERLINK("https://12go.asia/en/travel/balapitiya/Kinigama", "12Go Link")</f>
        <v>12Go Link</v>
      </c>
      <c r="E9336" s="2" t="s">
        <v>286</v>
      </c>
    </row>
    <row r="9337">
      <c r="A9337" s="2" t="s">
        <v>4933</v>
      </c>
      <c r="B9337" s="2" t="s">
        <v>4992</v>
      </c>
      <c r="C9337" s="2" t="s">
        <v>5503</v>
      </c>
      <c r="D9337" s="3" t="str">
        <f t="shared" si="1870"/>
        <v>12Go Link</v>
      </c>
      <c r="E9337" s="2" t="s">
        <v>4139</v>
      </c>
    </row>
    <row r="9338">
      <c r="A9338" s="2" t="s">
        <v>4933</v>
      </c>
      <c r="B9338" s="2" t="s">
        <v>4992</v>
      </c>
      <c r="C9338" s="2" t="s">
        <v>5503</v>
      </c>
      <c r="D9338" s="3" t="str">
        <f t="shared" si="1870"/>
        <v>12Go Link</v>
      </c>
      <c r="E9338" s="2" t="s">
        <v>3409</v>
      </c>
    </row>
    <row r="9339">
      <c r="A9339" s="2" t="s">
        <v>4933</v>
      </c>
      <c r="B9339" s="2" t="s">
        <v>4994</v>
      </c>
      <c r="C9339" s="2" t="s">
        <v>5504</v>
      </c>
      <c r="D9339" s="3" t="str">
        <f t="shared" ref="D9339:D9341" si="1871">HYPERLINK("https://12go.asia/en/travel/balapitiya/Kalamatiya", "12Go Link")</f>
        <v>12Go Link</v>
      </c>
      <c r="E9339" s="2" t="s">
        <v>286</v>
      </c>
    </row>
    <row r="9340">
      <c r="A9340" s="2" t="s">
        <v>4933</v>
      </c>
      <c r="B9340" s="2" t="s">
        <v>4994</v>
      </c>
      <c r="C9340" s="2" t="s">
        <v>5504</v>
      </c>
      <c r="D9340" s="3" t="str">
        <f t="shared" si="1871"/>
        <v>12Go Link</v>
      </c>
      <c r="E9340" s="2" t="s">
        <v>4139</v>
      </c>
    </row>
    <row r="9341">
      <c r="A9341" s="2" t="s">
        <v>4933</v>
      </c>
      <c r="B9341" s="2" t="s">
        <v>4994</v>
      </c>
      <c r="C9341" s="2" t="s">
        <v>5504</v>
      </c>
      <c r="D9341" s="3" t="str">
        <f t="shared" si="1871"/>
        <v>12Go Link</v>
      </c>
      <c r="E9341" s="2" t="s">
        <v>3409</v>
      </c>
    </row>
    <row r="9342">
      <c r="A9342" s="2" t="s">
        <v>4933</v>
      </c>
      <c r="B9342" s="2" t="s">
        <v>4996</v>
      </c>
      <c r="C9342" s="2" t="s">
        <v>5505</v>
      </c>
      <c r="D9342" s="3" t="str">
        <f t="shared" ref="D9342:D9344" si="1872">HYPERLINK("https://12go.asia/en/travel/balapitiya/mirissa", "12Go Link")</f>
        <v>12Go Link</v>
      </c>
      <c r="E9342" s="2" t="s">
        <v>286</v>
      </c>
    </row>
    <row r="9343">
      <c r="A9343" s="2" t="s">
        <v>4933</v>
      </c>
      <c r="B9343" s="2" t="s">
        <v>4996</v>
      </c>
      <c r="C9343" s="2" t="s">
        <v>5505</v>
      </c>
      <c r="D9343" s="3" t="str">
        <f t="shared" si="1872"/>
        <v>12Go Link</v>
      </c>
      <c r="E9343" s="2" t="s">
        <v>4139</v>
      </c>
    </row>
    <row r="9344">
      <c r="A9344" s="2" t="s">
        <v>4933</v>
      </c>
      <c r="B9344" s="2" t="s">
        <v>4996</v>
      </c>
      <c r="C9344" s="2" t="s">
        <v>5505</v>
      </c>
      <c r="D9344" s="3" t="str">
        <f t="shared" si="1872"/>
        <v>12Go Link</v>
      </c>
      <c r="E9344" s="2" t="s">
        <v>3409</v>
      </c>
    </row>
    <row r="9345">
      <c r="A9345" s="2" t="s">
        <v>4933</v>
      </c>
      <c r="B9345" s="2" t="s">
        <v>4998</v>
      </c>
      <c r="C9345" s="2" t="s">
        <v>5506</v>
      </c>
      <c r="D9345" s="3" t="str">
        <f t="shared" ref="D9345:D9347" si="1873">HYPERLINK("https://12go.asia/en/travel/balapitiya/Nanu-Oya", "12Go Link")</f>
        <v>12Go Link</v>
      </c>
      <c r="E9345" s="2" t="s">
        <v>286</v>
      </c>
    </row>
    <row r="9346">
      <c r="A9346" s="2" t="s">
        <v>4933</v>
      </c>
      <c r="B9346" s="2" t="s">
        <v>4998</v>
      </c>
      <c r="C9346" s="2" t="s">
        <v>5506</v>
      </c>
      <c r="D9346" s="3" t="str">
        <f t="shared" si="1873"/>
        <v>12Go Link</v>
      </c>
      <c r="E9346" s="2" t="s">
        <v>4139</v>
      </c>
    </row>
    <row r="9347">
      <c r="A9347" s="2" t="s">
        <v>4933</v>
      </c>
      <c r="B9347" s="2" t="s">
        <v>4998</v>
      </c>
      <c r="C9347" s="2" t="s">
        <v>5506</v>
      </c>
      <c r="D9347" s="3" t="str">
        <f t="shared" si="1873"/>
        <v>12Go Link</v>
      </c>
      <c r="E9347" s="2" t="s">
        <v>3409</v>
      </c>
    </row>
    <row r="9348">
      <c r="A9348" s="2" t="s">
        <v>4933</v>
      </c>
      <c r="B9348" s="2" t="s">
        <v>5000</v>
      </c>
      <c r="C9348" s="2" t="s">
        <v>5507</v>
      </c>
      <c r="D9348" s="3" t="str">
        <f t="shared" ref="D9348:D9350" si="1874">HYPERLINK("https://12go.asia/en/travel/balapitiya/Waikkal", "12Go Link")</f>
        <v>12Go Link</v>
      </c>
      <c r="E9348" s="2" t="s">
        <v>286</v>
      </c>
    </row>
    <row r="9349">
      <c r="A9349" s="2" t="s">
        <v>4933</v>
      </c>
      <c r="B9349" s="2" t="s">
        <v>5000</v>
      </c>
      <c r="C9349" s="2" t="s">
        <v>5507</v>
      </c>
      <c r="D9349" s="3" t="str">
        <f t="shared" si="1874"/>
        <v>12Go Link</v>
      </c>
      <c r="E9349" s="2" t="s">
        <v>4139</v>
      </c>
    </row>
    <row r="9350">
      <c r="A9350" s="2" t="s">
        <v>4933</v>
      </c>
      <c r="B9350" s="2" t="s">
        <v>5000</v>
      </c>
      <c r="C9350" s="2" t="s">
        <v>5507</v>
      </c>
      <c r="D9350" s="3" t="str">
        <f t="shared" si="1874"/>
        <v>12Go Link</v>
      </c>
      <c r="E9350" s="2" t="s">
        <v>3409</v>
      </c>
    </row>
    <row r="9351">
      <c r="A9351" s="2" t="s">
        <v>4933</v>
      </c>
      <c r="B9351" s="2" t="s">
        <v>5003</v>
      </c>
      <c r="C9351" s="2" t="s">
        <v>5508</v>
      </c>
      <c r="D9351" s="3" t="str">
        <f t="shared" ref="D9351:D9353" si="1875">HYPERLINK("https://12go.asia/en/travel/balapitiya/Nilaveli", "12Go Link")</f>
        <v>12Go Link</v>
      </c>
      <c r="E9351" s="2" t="s">
        <v>286</v>
      </c>
    </row>
    <row r="9352">
      <c r="A9352" s="2" t="s">
        <v>4933</v>
      </c>
      <c r="B9352" s="2" t="s">
        <v>5003</v>
      </c>
      <c r="C9352" s="2" t="s">
        <v>5508</v>
      </c>
      <c r="D9352" s="3" t="str">
        <f t="shared" si="1875"/>
        <v>12Go Link</v>
      </c>
      <c r="E9352" s="2" t="s">
        <v>4139</v>
      </c>
    </row>
    <row r="9353">
      <c r="A9353" s="2" t="s">
        <v>4933</v>
      </c>
      <c r="B9353" s="2" t="s">
        <v>5003</v>
      </c>
      <c r="C9353" s="2" t="s">
        <v>5508</v>
      </c>
      <c r="D9353" s="3" t="str">
        <f t="shared" si="1875"/>
        <v>12Go Link</v>
      </c>
      <c r="E9353" s="2" t="s">
        <v>3409</v>
      </c>
    </row>
    <row r="9354">
      <c r="A9354" s="2" t="s">
        <v>4933</v>
      </c>
      <c r="B9354" s="2" t="s">
        <v>5007</v>
      </c>
      <c r="C9354" s="2" t="s">
        <v>5509</v>
      </c>
      <c r="D9354" s="3" t="str">
        <f t="shared" ref="D9354:D9356" si="1876">HYPERLINK("https://12go.asia/en/travel/balapitiya/Pasikuda", "12Go Link")</f>
        <v>12Go Link</v>
      </c>
      <c r="E9354" s="2" t="s">
        <v>286</v>
      </c>
    </row>
    <row r="9355">
      <c r="A9355" s="2" t="s">
        <v>4933</v>
      </c>
      <c r="B9355" s="2" t="s">
        <v>5007</v>
      </c>
      <c r="C9355" s="2" t="s">
        <v>5509</v>
      </c>
      <c r="D9355" s="3" t="str">
        <f t="shared" si="1876"/>
        <v>12Go Link</v>
      </c>
      <c r="E9355" s="2" t="s">
        <v>4139</v>
      </c>
    </row>
    <row r="9356">
      <c r="A9356" s="2" t="s">
        <v>4933</v>
      </c>
      <c r="B9356" s="2" t="s">
        <v>5007</v>
      </c>
      <c r="C9356" s="2" t="s">
        <v>5509</v>
      </c>
      <c r="D9356" s="3" t="str">
        <f t="shared" si="1876"/>
        <v>12Go Link</v>
      </c>
      <c r="E9356" s="2" t="s">
        <v>3409</v>
      </c>
    </row>
    <row r="9357">
      <c r="A9357" s="2" t="s">
        <v>4933</v>
      </c>
      <c r="B9357" s="2" t="s">
        <v>5009</v>
      </c>
      <c r="C9357" s="2" t="s">
        <v>5510</v>
      </c>
      <c r="D9357" s="3" t="str">
        <f t="shared" ref="D9357:D9359" si="1877">HYPERLINK("https://12go.asia/en/travel/balapitiya/Galoya", "12Go Link")</f>
        <v>12Go Link</v>
      </c>
      <c r="E9357" s="2" t="s">
        <v>286</v>
      </c>
    </row>
    <row r="9358">
      <c r="A9358" s="2" t="s">
        <v>4933</v>
      </c>
      <c r="B9358" s="2" t="s">
        <v>5009</v>
      </c>
      <c r="C9358" s="2" t="s">
        <v>5510</v>
      </c>
      <c r="D9358" s="3" t="str">
        <f t="shared" si="1877"/>
        <v>12Go Link</v>
      </c>
      <c r="E9358" s="2" t="s">
        <v>4139</v>
      </c>
    </row>
    <row r="9359">
      <c r="A9359" s="2" t="s">
        <v>4933</v>
      </c>
      <c r="B9359" s="2" t="s">
        <v>5009</v>
      </c>
      <c r="C9359" s="2" t="s">
        <v>5510</v>
      </c>
      <c r="D9359" s="3" t="str">
        <f t="shared" si="1877"/>
        <v>12Go Link</v>
      </c>
      <c r="E9359" s="2" t="s">
        <v>3409</v>
      </c>
    </row>
    <row r="9360">
      <c r="A9360" s="2" t="s">
        <v>4933</v>
      </c>
      <c r="B9360" s="2" t="s">
        <v>5011</v>
      </c>
      <c r="C9360" s="2" t="s">
        <v>5511</v>
      </c>
      <c r="D9360" s="3" t="str">
        <f t="shared" ref="D9360:D9362" si="1878">HYPERLINK("https://12go.asia/en/travel/balapitiya/Kalpitiya", "12Go Link")</f>
        <v>12Go Link</v>
      </c>
      <c r="E9360" s="2" t="s">
        <v>286</v>
      </c>
    </row>
    <row r="9361">
      <c r="A9361" s="2" t="s">
        <v>4933</v>
      </c>
      <c r="B9361" s="2" t="s">
        <v>5011</v>
      </c>
      <c r="C9361" s="2" t="s">
        <v>5511</v>
      </c>
      <c r="D9361" s="3" t="str">
        <f t="shared" si="1878"/>
        <v>12Go Link</v>
      </c>
      <c r="E9361" s="2" t="s">
        <v>4139</v>
      </c>
    </row>
    <row r="9362">
      <c r="A9362" s="2" t="s">
        <v>4933</v>
      </c>
      <c r="B9362" s="2" t="s">
        <v>5011</v>
      </c>
      <c r="C9362" s="2" t="s">
        <v>5511</v>
      </c>
      <c r="D9362" s="3" t="str">
        <f t="shared" si="1878"/>
        <v>12Go Link</v>
      </c>
      <c r="E9362" s="2" t="s">
        <v>3409</v>
      </c>
    </row>
    <row r="9363">
      <c r="A9363" s="2" t="s">
        <v>4933</v>
      </c>
      <c r="B9363" s="2" t="s">
        <v>5011</v>
      </c>
      <c r="C9363" s="2" t="s">
        <v>5512</v>
      </c>
      <c r="D9363" s="3" t="str">
        <f t="shared" ref="D9363:D9365" si="1879">HYPERLINK("https://12go.asia/en/travel/balapitiya/Marawila", "12Go Link")</f>
        <v>12Go Link</v>
      </c>
      <c r="E9363" s="2" t="s">
        <v>286</v>
      </c>
    </row>
    <row r="9364">
      <c r="A9364" s="2" t="s">
        <v>4933</v>
      </c>
      <c r="B9364" s="2" t="s">
        <v>5011</v>
      </c>
      <c r="C9364" s="2" t="s">
        <v>5512</v>
      </c>
      <c r="D9364" s="3" t="str">
        <f t="shared" si="1879"/>
        <v>12Go Link</v>
      </c>
      <c r="E9364" s="2" t="s">
        <v>4139</v>
      </c>
    </row>
    <row r="9365">
      <c r="A9365" s="2" t="s">
        <v>4933</v>
      </c>
      <c r="B9365" s="2" t="s">
        <v>5011</v>
      </c>
      <c r="C9365" s="2" t="s">
        <v>5512</v>
      </c>
      <c r="D9365" s="3" t="str">
        <f t="shared" si="1879"/>
        <v>12Go Link</v>
      </c>
      <c r="E9365" s="2" t="s">
        <v>3409</v>
      </c>
    </row>
    <row r="9366">
      <c r="A9366" s="2" t="s">
        <v>4933</v>
      </c>
      <c r="B9366" s="2" t="s">
        <v>5014</v>
      </c>
      <c r="C9366" s="2" t="s">
        <v>5513</v>
      </c>
      <c r="D9366" s="3" t="str">
        <f t="shared" ref="D9366:D9368" si="1880">HYPERLINK("https://12go.asia/en/travel/balapitiya/Kiriella", "12Go Link")</f>
        <v>12Go Link</v>
      </c>
      <c r="E9366" s="2" t="s">
        <v>286</v>
      </c>
    </row>
    <row r="9367">
      <c r="A9367" s="2" t="s">
        <v>4933</v>
      </c>
      <c r="B9367" s="2" t="s">
        <v>5014</v>
      </c>
      <c r="C9367" s="2" t="s">
        <v>5513</v>
      </c>
      <c r="D9367" s="3" t="str">
        <f t="shared" si="1880"/>
        <v>12Go Link</v>
      </c>
      <c r="E9367" s="2" t="s">
        <v>4139</v>
      </c>
    </row>
    <row r="9368">
      <c r="A9368" s="2" t="s">
        <v>4933</v>
      </c>
      <c r="B9368" s="2" t="s">
        <v>5014</v>
      </c>
      <c r="C9368" s="2" t="s">
        <v>5513</v>
      </c>
      <c r="D9368" s="3" t="str">
        <f t="shared" si="1880"/>
        <v>12Go Link</v>
      </c>
      <c r="E9368" s="2" t="s">
        <v>3409</v>
      </c>
    </row>
    <row r="9369">
      <c r="A9369" s="2" t="s">
        <v>4933</v>
      </c>
      <c r="B9369" s="2" t="s">
        <v>5018</v>
      </c>
      <c r="C9369" s="2" t="s">
        <v>5514</v>
      </c>
      <c r="D9369" s="3" t="str">
        <f t="shared" ref="D9369:D9371" si="1881">HYPERLINK("https://12go.asia/en/travel/balapitiya/Rekawa", "12Go Link")</f>
        <v>12Go Link</v>
      </c>
      <c r="E9369" s="2" t="s">
        <v>286</v>
      </c>
    </row>
    <row r="9370">
      <c r="A9370" s="2" t="s">
        <v>4933</v>
      </c>
      <c r="B9370" s="2" t="s">
        <v>5018</v>
      </c>
      <c r="C9370" s="2" t="s">
        <v>5514</v>
      </c>
      <c r="D9370" s="3" t="str">
        <f t="shared" si="1881"/>
        <v>12Go Link</v>
      </c>
      <c r="E9370" s="2" t="s">
        <v>4139</v>
      </c>
    </row>
    <row r="9371">
      <c r="A9371" s="2" t="s">
        <v>4933</v>
      </c>
      <c r="B9371" s="2" t="s">
        <v>5018</v>
      </c>
      <c r="C9371" s="2" t="s">
        <v>5514</v>
      </c>
      <c r="D9371" s="3" t="str">
        <f t="shared" si="1881"/>
        <v>12Go Link</v>
      </c>
      <c r="E9371" s="2" t="s">
        <v>3409</v>
      </c>
    </row>
    <row r="9372">
      <c r="A9372" s="2" t="s">
        <v>4933</v>
      </c>
      <c r="B9372" s="2" t="s">
        <v>5020</v>
      </c>
      <c r="C9372" s="2" t="s">
        <v>5515</v>
      </c>
      <c r="D9372" s="3" t="str">
        <f t="shared" ref="D9372:D9374" si="1882">HYPERLINK("https://12go.asia/en/travel/balapitiya/Tissamaharama", "12Go Link")</f>
        <v>12Go Link</v>
      </c>
      <c r="E9372" s="2" t="s">
        <v>286</v>
      </c>
    </row>
    <row r="9373">
      <c r="A9373" s="2" t="s">
        <v>4933</v>
      </c>
      <c r="B9373" s="2" t="s">
        <v>5020</v>
      </c>
      <c r="C9373" s="2" t="s">
        <v>5515</v>
      </c>
      <c r="D9373" s="3" t="str">
        <f t="shared" si="1882"/>
        <v>12Go Link</v>
      </c>
      <c r="E9373" s="2" t="s">
        <v>4139</v>
      </c>
    </row>
    <row r="9374">
      <c r="A9374" s="2" t="s">
        <v>4933</v>
      </c>
      <c r="B9374" s="2" t="s">
        <v>5020</v>
      </c>
      <c r="C9374" s="2" t="s">
        <v>5515</v>
      </c>
      <c r="D9374" s="3" t="str">
        <f t="shared" si="1882"/>
        <v>12Go Link</v>
      </c>
      <c r="E9374" s="2" t="s">
        <v>3409</v>
      </c>
    </row>
    <row r="9375">
      <c r="A9375" s="2" t="s">
        <v>4933</v>
      </c>
      <c r="B9375" s="2" t="s">
        <v>5020</v>
      </c>
      <c r="C9375" s="2" t="s">
        <v>5516</v>
      </c>
      <c r="D9375" s="3" t="str">
        <f t="shared" ref="D9375:D9377" si="1883">HYPERLINK("https://12go.asia/en/travel/balapitiya/Yala-Park", "12Go Link")</f>
        <v>12Go Link</v>
      </c>
      <c r="E9375" s="2" t="s">
        <v>286</v>
      </c>
    </row>
    <row r="9376">
      <c r="A9376" s="2" t="s">
        <v>4933</v>
      </c>
      <c r="B9376" s="2" t="s">
        <v>5020</v>
      </c>
      <c r="C9376" s="2" t="s">
        <v>5516</v>
      </c>
      <c r="D9376" s="3" t="str">
        <f t="shared" si="1883"/>
        <v>12Go Link</v>
      </c>
      <c r="E9376" s="2" t="s">
        <v>4139</v>
      </c>
    </row>
    <row r="9377">
      <c r="A9377" s="2" t="s">
        <v>4933</v>
      </c>
      <c r="B9377" s="2" t="s">
        <v>5020</v>
      </c>
      <c r="C9377" s="2" t="s">
        <v>5516</v>
      </c>
      <c r="D9377" s="3" t="str">
        <f t="shared" si="1883"/>
        <v>12Go Link</v>
      </c>
      <c r="E9377" s="2" t="s">
        <v>3409</v>
      </c>
    </row>
    <row r="9378">
      <c r="A9378" s="2" t="s">
        <v>4933</v>
      </c>
      <c r="B9378" s="2" t="s">
        <v>5023</v>
      </c>
      <c r="C9378" s="2" t="s">
        <v>5517</v>
      </c>
      <c r="D9378" s="3" t="str">
        <f t="shared" ref="D9378:D9380" si="1884">HYPERLINK("https://12go.asia/en/travel/balapitiya/Nilaweli", "12Go Link")</f>
        <v>12Go Link</v>
      </c>
      <c r="E9378" s="2" t="s">
        <v>286</v>
      </c>
    </row>
    <row r="9379">
      <c r="A9379" s="2" t="s">
        <v>4933</v>
      </c>
      <c r="B9379" s="2" t="s">
        <v>5023</v>
      </c>
      <c r="C9379" s="2" t="s">
        <v>5517</v>
      </c>
      <c r="D9379" s="3" t="str">
        <f t="shared" si="1884"/>
        <v>12Go Link</v>
      </c>
      <c r="E9379" s="2" t="s">
        <v>4139</v>
      </c>
    </row>
    <row r="9380">
      <c r="A9380" s="2" t="s">
        <v>4933</v>
      </c>
      <c r="B9380" s="2" t="s">
        <v>5023</v>
      </c>
      <c r="C9380" s="2" t="s">
        <v>5517</v>
      </c>
      <c r="D9380" s="3" t="str">
        <f t="shared" si="1884"/>
        <v>12Go Link</v>
      </c>
      <c r="E9380" s="2" t="s">
        <v>3409</v>
      </c>
    </row>
    <row r="9381">
      <c r="A9381" s="2" t="s">
        <v>4933</v>
      </c>
      <c r="B9381" s="2" t="s">
        <v>5025</v>
      </c>
      <c r="C9381" s="2" t="s">
        <v>5518</v>
      </c>
      <c r="D9381" s="3" t="str">
        <f t="shared" ref="D9381:D9383" si="1885">HYPERLINK("https://12go.asia/en/travel/balapitiya/Udawalawa", "12Go Link")</f>
        <v>12Go Link</v>
      </c>
      <c r="E9381" s="2" t="s">
        <v>286</v>
      </c>
    </row>
    <row r="9382">
      <c r="A9382" s="2" t="s">
        <v>4933</v>
      </c>
      <c r="B9382" s="2" t="s">
        <v>5025</v>
      </c>
      <c r="C9382" s="2" t="s">
        <v>5518</v>
      </c>
      <c r="D9382" s="3" t="str">
        <f t="shared" si="1885"/>
        <v>12Go Link</v>
      </c>
      <c r="E9382" s="2" t="s">
        <v>4139</v>
      </c>
    </row>
    <row r="9383">
      <c r="A9383" s="2" t="s">
        <v>4933</v>
      </c>
      <c r="B9383" s="2" t="s">
        <v>5025</v>
      </c>
      <c r="C9383" s="2" t="s">
        <v>5518</v>
      </c>
      <c r="D9383" s="3" t="str">
        <f t="shared" si="1885"/>
        <v>12Go Link</v>
      </c>
      <c r="E9383" s="2" t="s">
        <v>3409</v>
      </c>
    </row>
    <row r="9384">
      <c r="A9384" s="2" t="s">
        <v>4933</v>
      </c>
      <c r="B9384" s="2" t="s">
        <v>5027</v>
      </c>
      <c r="C9384" s="2" t="s">
        <v>5519</v>
      </c>
      <c r="D9384" s="3" t="str">
        <f t="shared" ref="D9384:D9386" si="1886">HYPERLINK("https://12go.asia/en/travel/balapitiya/Unawatuna", "12Go Link")</f>
        <v>12Go Link</v>
      </c>
      <c r="E9384" s="2" t="s">
        <v>286</v>
      </c>
    </row>
    <row r="9385">
      <c r="A9385" s="2" t="s">
        <v>4933</v>
      </c>
      <c r="B9385" s="2" t="s">
        <v>5027</v>
      </c>
      <c r="C9385" s="2" t="s">
        <v>5519</v>
      </c>
      <c r="D9385" s="3" t="str">
        <f t="shared" si="1886"/>
        <v>12Go Link</v>
      </c>
      <c r="E9385" s="2" t="s">
        <v>4139</v>
      </c>
    </row>
    <row r="9386">
      <c r="A9386" s="2" t="s">
        <v>4933</v>
      </c>
      <c r="B9386" s="2" t="s">
        <v>5027</v>
      </c>
      <c r="C9386" s="2" t="s">
        <v>5519</v>
      </c>
      <c r="D9386" s="3" t="str">
        <f t="shared" si="1886"/>
        <v>12Go Link</v>
      </c>
      <c r="E9386" s="2" t="s">
        <v>3409</v>
      </c>
    </row>
    <row r="9387">
      <c r="A9387" s="2" t="s">
        <v>4933</v>
      </c>
      <c r="B9387" s="2" t="s">
        <v>5029</v>
      </c>
      <c r="C9387" s="2" t="s">
        <v>5520</v>
      </c>
      <c r="D9387" s="3" t="str">
        <f t="shared" ref="D9387:D9389" si="1887">HYPERLINK("https://12go.asia/en/travel/balapitiya/Attanagalla", "12Go Link")</f>
        <v>12Go Link</v>
      </c>
      <c r="E9387" s="2" t="s">
        <v>286</v>
      </c>
    </row>
    <row r="9388">
      <c r="A9388" s="2" t="s">
        <v>4933</v>
      </c>
      <c r="B9388" s="2" t="s">
        <v>5029</v>
      </c>
      <c r="C9388" s="2" t="s">
        <v>5520</v>
      </c>
      <c r="D9388" s="3" t="str">
        <f t="shared" si="1887"/>
        <v>12Go Link</v>
      </c>
      <c r="E9388" s="2" t="s">
        <v>4139</v>
      </c>
    </row>
    <row r="9389">
      <c r="A9389" s="2" t="s">
        <v>4933</v>
      </c>
      <c r="B9389" s="2" t="s">
        <v>5029</v>
      </c>
      <c r="C9389" s="2" t="s">
        <v>5520</v>
      </c>
      <c r="D9389" s="3" t="str">
        <f t="shared" si="1887"/>
        <v>12Go Link</v>
      </c>
      <c r="E9389" s="2" t="s">
        <v>3409</v>
      </c>
    </row>
    <row r="9390">
      <c r="A9390" s="2" t="s">
        <v>4933</v>
      </c>
      <c r="B9390" s="2" t="s">
        <v>5031</v>
      </c>
      <c r="C9390" s="2" t="s">
        <v>5521</v>
      </c>
      <c r="D9390" s="3" t="str">
        <f t="shared" ref="D9390:D9392" si="1888">HYPERLINK("https://12go.asia/en/travel/balapitiya/Moronthuduwa", "12Go Link")</f>
        <v>12Go Link</v>
      </c>
      <c r="E9390" s="2" t="s">
        <v>286</v>
      </c>
    </row>
    <row r="9391">
      <c r="A9391" s="2" t="s">
        <v>4933</v>
      </c>
      <c r="B9391" s="2" t="s">
        <v>5031</v>
      </c>
      <c r="C9391" s="2" t="s">
        <v>5521</v>
      </c>
      <c r="D9391" s="3" t="str">
        <f t="shared" si="1888"/>
        <v>12Go Link</v>
      </c>
      <c r="E9391" s="2" t="s">
        <v>4139</v>
      </c>
    </row>
    <row r="9392">
      <c r="A9392" s="2" t="s">
        <v>4933</v>
      </c>
      <c r="B9392" s="2" t="s">
        <v>5031</v>
      </c>
      <c r="C9392" s="2" t="s">
        <v>5521</v>
      </c>
      <c r="D9392" s="3" t="str">
        <f t="shared" si="1888"/>
        <v>12Go Link</v>
      </c>
      <c r="E9392" s="2" t="s">
        <v>3409</v>
      </c>
    </row>
    <row r="9393">
      <c r="A9393" s="2" t="s">
        <v>4933</v>
      </c>
      <c r="B9393" s="2" t="s">
        <v>5031</v>
      </c>
      <c r="C9393" s="2" t="s">
        <v>5522</v>
      </c>
      <c r="D9393" s="3" t="str">
        <f t="shared" ref="D9393:D9395" si="1889">HYPERLINK("https://12go.asia/en/travel/balapitiya/Waskaduwa", "12Go Link")</f>
        <v>12Go Link</v>
      </c>
      <c r="E9393" s="2" t="s">
        <v>286</v>
      </c>
    </row>
    <row r="9394">
      <c r="A9394" s="2" t="s">
        <v>4933</v>
      </c>
      <c r="B9394" s="2" t="s">
        <v>5031</v>
      </c>
      <c r="C9394" s="2" t="s">
        <v>5522</v>
      </c>
      <c r="D9394" s="3" t="str">
        <f t="shared" si="1889"/>
        <v>12Go Link</v>
      </c>
      <c r="E9394" s="2" t="s">
        <v>4139</v>
      </c>
    </row>
    <row r="9395">
      <c r="A9395" s="2" t="s">
        <v>4933</v>
      </c>
      <c r="B9395" s="2" t="s">
        <v>5031</v>
      </c>
      <c r="C9395" s="2" t="s">
        <v>5522</v>
      </c>
      <c r="D9395" s="3" t="str">
        <f t="shared" si="1889"/>
        <v>12Go Link</v>
      </c>
      <c r="E9395" s="2" t="s">
        <v>3409</v>
      </c>
    </row>
    <row r="9396">
      <c r="A9396" s="2" t="s">
        <v>4933</v>
      </c>
      <c r="B9396" s="2" t="s">
        <v>5034</v>
      </c>
      <c r="C9396" s="2" t="s">
        <v>5523</v>
      </c>
      <c r="D9396" s="3" t="str">
        <f t="shared" ref="D9396:D9398" si="1890">HYPERLINK("https://12go.asia/en/travel/balapitiya/Weddagala", "12Go Link")</f>
        <v>12Go Link</v>
      </c>
      <c r="E9396" s="2" t="s">
        <v>286</v>
      </c>
    </row>
    <row r="9397">
      <c r="A9397" s="2" t="s">
        <v>4933</v>
      </c>
      <c r="B9397" s="2" t="s">
        <v>5034</v>
      </c>
      <c r="C9397" s="2" t="s">
        <v>5523</v>
      </c>
      <c r="D9397" s="3" t="str">
        <f t="shared" si="1890"/>
        <v>12Go Link</v>
      </c>
      <c r="E9397" s="2" t="s">
        <v>4139</v>
      </c>
    </row>
    <row r="9398">
      <c r="A9398" s="2" t="s">
        <v>4933</v>
      </c>
      <c r="B9398" s="2" t="s">
        <v>5034</v>
      </c>
      <c r="C9398" s="2" t="s">
        <v>5523</v>
      </c>
      <c r="D9398" s="3" t="str">
        <f t="shared" si="1890"/>
        <v>12Go Link</v>
      </c>
      <c r="E9398" s="2" t="s">
        <v>3409</v>
      </c>
    </row>
    <row r="9399">
      <c r="A9399" s="2" t="s">
        <v>4933</v>
      </c>
      <c r="B9399" s="2" t="s">
        <v>5036</v>
      </c>
      <c r="C9399" s="2" t="s">
        <v>5524</v>
      </c>
      <c r="D9399" s="3" t="str">
        <f t="shared" ref="D9399:D9401" si="1891">HYPERLINK("https://12go.asia/en/travel/balapitiya/Weligatta", "12Go Link")</f>
        <v>12Go Link</v>
      </c>
      <c r="E9399" s="2" t="s">
        <v>286</v>
      </c>
    </row>
    <row r="9400">
      <c r="A9400" s="2" t="s">
        <v>4933</v>
      </c>
      <c r="B9400" s="2" t="s">
        <v>5036</v>
      </c>
      <c r="C9400" s="2" t="s">
        <v>5524</v>
      </c>
      <c r="D9400" s="3" t="str">
        <f t="shared" si="1891"/>
        <v>12Go Link</v>
      </c>
      <c r="E9400" s="2" t="s">
        <v>4139</v>
      </c>
    </row>
    <row r="9401">
      <c r="A9401" s="2" t="s">
        <v>4933</v>
      </c>
      <c r="B9401" s="2" t="s">
        <v>5036</v>
      </c>
      <c r="C9401" s="2" t="s">
        <v>5524</v>
      </c>
      <c r="D9401" s="3" t="str">
        <f t="shared" si="1891"/>
        <v>12Go Link</v>
      </c>
      <c r="E9401" s="2" t="s">
        <v>3409</v>
      </c>
    </row>
    <row r="9402">
      <c r="A9402" s="2" t="s">
        <v>4933</v>
      </c>
      <c r="B9402" s="2" t="s">
        <v>5038</v>
      </c>
      <c r="C9402" s="2" t="s">
        <v>5525</v>
      </c>
      <c r="D9402" s="3" t="str">
        <f t="shared" ref="D9402:D9404" si="1892">HYPERLINK("https://12go.asia/en/travel/balapitiya/Akuressa", "12Go Link")</f>
        <v>12Go Link</v>
      </c>
      <c r="E9402" s="2" t="s">
        <v>286</v>
      </c>
    </row>
    <row r="9403">
      <c r="A9403" s="2" t="s">
        <v>4933</v>
      </c>
      <c r="B9403" s="2" t="s">
        <v>5038</v>
      </c>
      <c r="C9403" s="2" t="s">
        <v>5525</v>
      </c>
      <c r="D9403" s="3" t="str">
        <f t="shared" si="1892"/>
        <v>12Go Link</v>
      </c>
      <c r="E9403" s="2" t="s">
        <v>4139</v>
      </c>
    </row>
    <row r="9404">
      <c r="A9404" s="2" t="s">
        <v>4933</v>
      </c>
      <c r="B9404" s="2" t="s">
        <v>5038</v>
      </c>
      <c r="C9404" s="2" t="s">
        <v>5525</v>
      </c>
      <c r="D9404" s="3" t="str">
        <f t="shared" si="1892"/>
        <v>12Go Link</v>
      </c>
      <c r="E9404" s="2" t="s">
        <v>3409</v>
      </c>
    </row>
    <row r="9405">
      <c r="A9405" s="2" t="s">
        <v>4933</v>
      </c>
      <c r="B9405" s="2" t="s">
        <v>5040</v>
      </c>
      <c r="C9405" s="2" t="s">
        <v>5526</v>
      </c>
      <c r="D9405" s="3" t="str">
        <f t="shared" ref="D9405:D9407" si="1893">HYPERLINK("https://12go.asia/en/travel/balapitiya/Wilpattu", "12Go Link")</f>
        <v>12Go Link</v>
      </c>
      <c r="E9405" s="2" t="s">
        <v>286</v>
      </c>
    </row>
    <row r="9406">
      <c r="A9406" s="2" t="s">
        <v>4933</v>
      </c>
      <c r="B9406" s="2" t="s">
        <v>5040</v>
      </c>
      <c r="C9406" s="2" t="s">
        <v>5526</v>
      </c>
      <c r="D9406" s="3" t="str">
        <f t="shared" si="1893"/>
        <v>12Go Link</v>
      </c>
      <c r="E9406" s="2" t="s">
        <v>4139</v>
      </c>
    </row>
    <row r="9407">
      <c r="A9407" s="2" t="s">
        <v>4933</v>
      </c>
      <c r="B9407" s="2" t="s">
        <v>5040</v>
      </c>
      <c r="C9407" s="2" t="s">
        <v>5526</v>
      </c>
      <c r="D9407" s="3" t="str">
        <f t="shared" si="1893"/>
        <v>12Go Link</v>
      </c>
      <c r="E9407" s="2" t="s">
        <v>3409</v>
      </c>
    </row>
    <row r="9408">
      <c r="A9408" s="2" t="s">
        <v>4937</v>
      </c>
      <c r="B9408" s="2" t="s">
        <v>4918</v>
      </c>
      <c r="C9408" s="2" t="s">
        <v>5527</v>
      </c>
      <c r="D9408" s="3" t="str">
        <f t="shared" ref="D9408:D9410" si="1894">HYPERLINK("https://12go.asia/en/travel/Bentota/Adams-Peak", "12Go Link")</f>
        <v>12Go Link</v>
      </c>
      <c r="E9408" s="2" t="s">
        <v>286</v>
      </c>
    </row>
    <row r="9409">
      <c r="A9409" s="2" t="s">
        <v>4937</v>
      </c>
      <c r="B9409" s="2" t="s">
        <v>4918</v>
      </c>
      <c r="C9409" s="2" t="s">
        <v>5527</v>
      </c>
      <c r="D9409" s="3" t="str">
        <f t="shared" si="1894"/>
        <v>12Go Link</v>
      </c>
      <c r="E9409" s="2" t="s">
        <v>4139</v>
      </c>
    </row>
    <row r="9410">
      <c r="A9410" s="2" t="s">
        <v>4937</v>
      </c>
      <c r="B9410" s="2" t="s">
        <v>4918</v>
      </c>
      <c r="C9410" s="2" t="s">
        <v>5527</v>
      </c>
      <c r="D9410" s="3" t="str">
        <f t="shared" si="1894"/>
        <v>12Go Link</v>
      </c>
      <c r="E9410" s="2" t="s">
        <v>3409</v>
      </c>
    </row>
    <row r="9411">
      <c r="A9411" s="2" t="s">
        <v>4937</v>
      </c>
      <c r="B9411" s="2" t="s">
        <v>4919</v>
      </c>
      <c r="C9411" s="2" t="s">
        <v>5528</v>
      </c>
      <c r="D9411" s="3" t="str">
        <f t="shared" ref="D9411:D9413" si="1895">HYPERLINK("https://12go.asia/en/travel/Bentota/Ahangama", "12Go Link")</f>
        <v>12Go Link</v>
      </c>
      <c r="E9411" s="2" t="s">
        <v>286</v>
      </c>
    </row>
    <row r="9412">
      <c r="A9412" s="2" t="s">
        <v>4937</v>
      </c>
      <c r="B9412" s="2" t="s">
        <v>4919</v>
      </c>
      <c r="C9412" s="2" t="s">
        <v>5528</v>
      </c>
      <c r="D9412" s="3" t="str">
        <f t="shared" si="1895"/>
        <v>12Go Link</v>
      </c>
      <c r="E9412" s="2" t="s">
        <v>4139</v>
      </c>
    </row>
    <row r="9413">
      <c r="A9413" s="2" t="s">
        <v>4937</v>
      </c>
      <c r="B9413" s="2" t="s">
        <v>4919</v>
      </c>
      <c r="C9413" s="2" t="s">
        <v>5528</v>
      </c>
      <c r="D9413" s="3" t="str">
        <f t="shared" si="1895"/>
        <v>12Go Link</v>
      </c>
      <c r="E9413" s="2" t="s">
        <v>3409</v>
      </c>
    </row>
    <row r="9414">
      <c r="A9414" s="2" t="s">
        <v>4937</v>
      </c>
      <c r="B9414" s="2" t="s">
        <v>4921</v>
      </c>
      <c r="C9414" s="2" t="s">
        <v>5529</v>
      </c>
      <c r="D9414" s="3" t="str">
        <f t="shared" ref="D9414:D9416" si="1896">HYPERLINK("https://12go.asia/en/travel/Bentota/Ahungalla", "12Go Link")</f>
        <v>12Go Link</v>
      </c>
      <c r="E9414" s="2" t="s">
        <v>286</v>
      </c>
    </row>
    <row r="9415">
      <c r="A9415" s="2" t="s">
        <v>4937</v>
      </c>
      <c r="B9415" s="2" t="s">
        <v>4921</v>
      </c>
      <c r="C9415" s="2" t="s">
        <v>5529</v>
      </c>
      <c r="D9415" s="3" t="str">
        <f t="shared" si="1896"/>
        <v>12Go Link</v>
      </c>
      <c r="E9415" s="2" t="s">
        <v>4139</v>
      </c>
    </row>
    <row r="9416">
      <c r="A9416" s="2" t="s">
        <v>4937</v>
      </c>
      <c r="B9416" s="2" t="s">
        <v>4921</v>
      </c>
      <c r="C9416" s="2" t="s">
        <v>5529</v>
      </c>
      <c r="D9416" s="3" t="str">
        <f t="shared" si="1896"/>
        <v>12Go Link</v>
      </c>
      <c r="E9416" s="2" t="s">
        <v>3409</v>
      </c>
    </row>
    <row r="9417">
      <c r="A9417" s="2" t="s">
        <v>4937</v>
      </c>
      <c r="B9417" s="2" t="s">
        <v>4923</v>
      </c>
      <c r="C9417" s="2" t="s">
        <v>5530</v>
      </c>
      <c r="D9417" s="3" t="str">
        <f t="shared" ref="D9417:D9419" si="1897">HYPERLINK("https://12go.asia/en/travel/Bentota/Aluthgama", "12Go Link")</f>
        <v>12Go Link</v>
      </c>
      <c r="E9417" s="2" t="s">
        <v>286</v>
      </c>
    </row>
    <row r="9418">
      <c r="A9418" s="2" t="s">
        <v>4937</v>
      </c>
      <c r="B9418" s="2" t="s">
        <v>4923</v>
      </c>
      <c r="C9418" s="2" t="s">
        <v>5530</v>
      </c>
      <c r="D9418" s="3" t="str">
        <f t="shared" si="1897"/>
        <v>12Go Link</v>
      </c>
      <c r="E9418" s="2" t="s">
        <v>4139</v>
      </c>
    </row>
    <row r="9419">
      <c r="A9419" s="2" t="s">
        <v>4937</v>
      </c>
      <c r="B9419" s="2" t="s">
        <v>4923</v>
      </c>
      <c r="C9419" s="2" t="s">
        <v>5530</v>
      </c>
      <c r="D9419" s="3" t="str">
        <f t="shared" si="1897"/>
        <v>12Go Link</v>
      </c>
      <c r="E9419" s="2" t="s">
        <v>3409</v>
      </c>
    </row>
    <row r="9420">
      <c r="A9420" s="2" t="s">
        <v>4937</v>
      </c>
      <c r="B9420" s="2" t="s">
        <v>4925</v>
      </c>
      <c r="C9420" s="2" t="s">
        <v>5531</v>
      </c>
      <c r="D9420" s="3" t="str">
        <f t="shared" ref="D9420:D9422" si="1898">HYPERLINK("https://12go.asia/en/travel/Bentota/Ambalangoda", "12Go Link")</f>
        <v>12Go Link</v>
      </c>
      <c r="E9420" s="2" t="s">
        <v>286</v>
      </c>
    </row>
    <row r="9421">
      <c r="A9421" s="2" t="s">
        <v>4937</v>
      </c>
      <c r="B9421" s="2" t="s">
        <v>4925</v>
      </c>
      <c r="C9421" s="2" t="s">
        <v>5531</v>
      </c>
      <c r="D9421" s="3" t="str">
        <f t="shared" si="1898"/>
        <v>12Go Link</v>
      </c>
      <c r="E9421" s="2" t="s">
        <v>4139</v>
      </c>
    </row>
    <row r="9422">
      <c r="A9422" s="2" t="s">
        <v>4937</v>
      </c>
      <c r="B9422" s="2" t="s">
        <v>4925</v>
      </c>
      <c r="C9422" s="2" t="s">
        <v>5531</v>
      </c>
      <c r="D9422" s="3" t="str">
        <f t="shared" si="1898"/>
        <v>12Go Link</v>
      </c>
      <c r="E9422" s="2" t="s">
        <v>3409</v>
      </c>
    </row>
    <row r="9423">
      <c r="A9423" s="2" t="s">
        <v>4937</v>
      </c>
      <c r="B9423" s="2" t="s">
        <v>4927</v>
      </c>
      <c r="C9423" s="2" t="s">
        <v>5532</v>
      </c>
      <c r="D9423" s="3" t="str">
        <f t="shared" ref="D9423:D9425" si="1899">HYPERLINK("https://12go.asia/en/travel/Bentota/Ambalantota", "12Go Link")</f>
        <v>12Go Link</v>
      </c>
      <c r="E9423" s="2" t="s">
        <v>286</v>
      </c>
    </row>
    <row r="9424">
      <c r="A9424" s="2" t="s">
        <v>4937</v>
      </c>
      <c r="B9424" s="2" t="s">
        <v>4927</v>
      </c>
      <c r="C9424" s="2" t="s">
        <v>5532</v>
      </c>
      <c r="D9424" s="3" t="str">
        <f t="shared" si="1899"/>
        <v>12Go Link</v>
      </c>
      <c r="E9424" s="2" t="s">
        <v>4139</v>
      </c>
    </row>
    <row r="9425">
      <c r="A9425" s="2" t="s">
        <v>4937</v>
      </c>
      <c r="B9425" s="2" t="s">
        <v>4927</v>
      </c>
      <c r="C9425" s="2" t="s">
        <v>5532</v>
      </c>
      <c r="D9425" s="3" t="str">
        <f t="shared" si="1899"/>
        <v>12Go Link</v>
      </c>
      <c r="E9425" s="2" t="s">
        <v>3409</v>
      </c>
    </row>
    <row r="9426">
      <c r="A9426" s="2" t="s">
        <v>4937</v>
      </c>
      <c r="B9426" s="2" t="s">
        <v>4929</v>
      </c>
      <c r="C9426" s="2" t="s">
        <v>5533</v>
      </c>
      <c r="D9426" s="3" t="str">
        <f t="shared" ref="D9426:D9428" si="1900">HYPERLINK("https://12go.asia/en/travel/Bentota/Anuradhapura", "12Go Link")</f>
        <v>12Go Link</v>
      </c>
      <c r="E9426" s="2" t="s">
        <v>286</v>
      </c>
    </row>
    <row r="9427">
      <c r="A9427" s="2" t="s">
        <v>4937</v>
      </c>
      <c r="B9427" s="2" t="s">
        <v>4929</v>
      </c>
      <c r="C9427" s="2" t="s">
        <v>5533</v>
      </c>
      <c r="D9427" s="3" t="str">
        <f t="shared" si="1900"/>
        <v>12Go Link</v>
      </c>
      <c r="E9427" s="2" t="s">
        <v>4139</v>
      </c>
    </row>
    <row r="9428">
      <c r="A9428" s="2" t="s">
        <v>4937</v>
      </c>
      <c r="B9428" s="2" t="s">
        <v>4929</v>
      </c>
      <c r="C9428" s="2" t="s">
        <v>5533</v>
      </c>
      <c r="D9428" s="3" t="str">
        <f t="shared" si="1900"/>
        <v>12Go Link</v>
      </c>
      <c r="E9428" s="2" t="s">
        <v>3409</v>
      </c>
    </row>
    <row r="9429">
      <c r="A9429" s="2" t="s">
        <v>4937</v>
      </c>
      <c r="B9429" s="2" t="s">
        <v>4931</v>
      </c>
      <c r="C9429" s="2" t="s">
        <v>5534</v>
      </c>
      <c r="D9429" s="3" t="str">
        <f t="shared" ref="D9429:D9431" si="1901">HYPERLINK("https://12go.asia/en/travel/Bentota/Arugam-bay", "12Go Link")</f>
        <v>12Go Link</v>
      </c>
      <c r="E9429" s="2" t="s">
        <v>286</v>
      </c>
    </row>
    <row r="9430">
      <c r="A9430" s="2" t="s">
        <v>4937</v>
      </c>
      <c r="B9430" s="2" t="s">
        <v>4931</v>
      </c>
      <c r="C9430" s="2" t="s">
        <v>5534</v>
      </c>
      <c r="D9430" s="3" t="str">
        <f t="shared" si="1901"/>
        <v>12Go Link</v>
      </c>
      <c r="E9430" s="2" t="s">
        <v>4139</v>
      </c>
    </row>
    <row r="9431">
      <c r="A9431" s="2" t="s">
        <v>4937</v>
      </c>
      <c r="B9431" s="2" t="s">
        <v>4931</v>
      </c>
      <c r="C9431" s="2" t="s">
        <v>5534</v>
      </c>
      <c r="D9431" s="3" t="str">
        <f t="shared" si="1901"/>
        <v>12Go Link</v>
      </c>
      <c r="E9431" s="2" t="s">
        <v>3409</v>
      </c>
    </row>
    <row r="9432">
      <c r="A9432" s="2" t="s">
        <v>4937</v>
      </c>
      <c r="B9432" s="2" t="s">
        <v>4933</v>
      </c>
      <c r="C9432" s="2" t="s">
        <v>5535</v>
      </c>
      <c r="D9432" s="3" t="str">
        <f t="shared" ref="D9432:D9434" si="1902">HYPERLINK("https://12go.asia/en/travel/Bentota/balapitiya", "12Go Link")</f>
        <v>12Go Link</v>
      </c>
      <c r="E9432" s="2" t="s">
        <v>286</v>
      </c>
    </row>
    <row r="9433">
      <c r="A9433" s="2" t="s">
        <v>4937</v>
      </c>
      <c r="B9433" s="2" t="s">
        <v>4933</v>
      </c>
      <c r="C9433" s="2" t="s">
        <v>5535</v>
      </c>
      <c r="D9433" s="3" t="str">
        <f t="shared" si="1902"/>
        <v>12Go Link</v>
      </c>
      <c r="E9433" s="2" t="s">
        <v>4139</v>
      </c>
    </row>
    <row r="9434">
      <c r="A9434" s="2" t="s">
        <v>4937</v>
      </c>
      <c r="B9434" s="2" t="s">
        <v>4933</v>
      </c>
      <c r="C9434" s="2" t="s">
        <v>5535</v>
      </c>
      <c r="D9434" s="3" t="str">
        <f t="shared" si="1902"/>
        <v>12Go Link</v>
      </c>
      <c r="E9434" s="2" t="s">
        <v>3409</v>
      </c>
    </row>
    <row r="9435">
      <c r="A9435" s="2" t="s">
        <v>4937</v>
      </c>
      <c r="B9435" s="2" t="s">
        <v>4935</v>
      </c>
      <c r="C9435" s="2" t="s">
        <v>5536</v>
      </c>
      <c r="D9435" s="3" t="str">
        <f t="shared" ref="D9435:D9437" si="1903">HYPERLINK("https://12go.asia/en/travel/Bentota/Batticaloa", "12Go Link")</f>
        <v>12Go Link</v>
      </c>
      <c r="E9435" s="2" t="s">
        <v>286</v>
      </c>
    </row>
    <row r="9436">
      <c r="A9436" s="2" t="s">
        <v>4937</v>
      </c>
      <c r="B9436" s="2" t="s">
        <v>4935</v>
      </c>
      <c r="C9436" s="2" t="s">
        <v>5536</v>
      </c>
      <c r="D9436" s="3" t="str">
        <f t="shared" si="1903"/>
        <v>12Go Link</v>
      </c>
      <c r="E9436" s="2" t="s">
        <v>4139</v>
      </c>
    </row>
    <row r="9437">
      <c r="A9437" s="2" t="s">
        <v>4937</v>
      </c>
      <c r="B9437" s="2" t="s">
        <v>4935</v>
      </c>
      <c r="C9437" s="2" t="s">
        <v>5536</v>
      </c>
      <c r="D9437" s="3" t="str">
        <f t="shared" si="1903"/>
        <v>12Go Link</v>
      </c>
      <c r="E9437" s="2" t="s">
        <v>3409</v>
      </c>
    </row>
    <row r="9438">
      <c r="A9438" s="2" t="s">
        <v>4937</v>
      </c>
      <c r="B9438" s="2" t="s">
        <v>4939</v>
      </c>
      <c r="C9438" s="2" t="s">
        <v>5537</v>
      </c>
      <c r="D9438" s="3" t="str">
        <f t="shared" ref="D9438:D9440" si="1904">HYPERLINK("https://12go.asia/en/travel/Bentota/Beruwala", "12Go Link")</f>
        <v>12Go Link</v>
      </c>
      <c r="E9438" s="2" t="s">
        <v>286</v>
      </c>
    </row>
    <row r="9439">
      <c r="A9439" s="2" t="s">
        <v>4937</v>
      </c>
      <c r="B9439" s="2" t="s">
        <v>4939</v>
      </c>
      <c r="C9439" s="2" t="s">
        <v>5537</v>
      </c>
      <c r="D9439" s="3" t="str">
        <f t="shared" si="1904"/>
        <v>12Go Link</v>
      </c>
      <c r="E9439" s="2" t="s">
        <v>4139</v>
      </c>
    </row>
    <row r="9440">
      <c r="A9440" s="2" t="s">
        <v>4937</v>
      </c>
      <c r="B9440" s="2" t="s">
        <v>4939</v>
      </c>
      <c r="C9440" s="2" t="s">
        <v>5537</v>
      </c>
      <c r="D9440" s="3" t="str">
        <f t="shared" si="1904"/>
        <v>12Go Link</v>
      </c>
      <c r="E9440" s="2" t="s">
        <v>3409</v>
      </c>
    </row>
    <row r="9441">
      <c r="A9441" s="2" t="s">
        <v>4937</v>
      </c>
      <c r="B9441" s="2" t="s">
        <v>4941</v>
      </c>
      <c r="C9441" s="2" t="s">
        <v>5538</v>
      </c>
      <c r="D9441" s="3" t="str">
        <f t="shared" ref="D9441:D9443" si="1905">HYPERLINK("https://12go.asia/en/travel/Bentota/Bundala", "12Go Link")</f>
        <v>12Go Link</v>
      </c>
      <c r="E9441" s="2" t="s">
        <v>286</v>
      </c>
    </row>
    <row r="9442">
      <c r="A9442" s="2" t="s">
        <v>4937</v>
      </c>
      <c r="B9442" s="2" t="s">
        <v>4941</v>
      </c>
      <c r="C9442" s="2" t="s">
        <v>5538</v>
      </c>
      <c r="D9442" s="3" t="str">
        <f t="shared" si="1905"/>
        <v>12Go Link</v>
      </c>
      <c r="E9442" s="2" t="s">
        <v>4139</v>
      </c>
    </row>
    <row r="9443">
      <c r="A9443" s="2" t="s">
        <v>4937</v>
      </c>
      <c r="B9443" s="2" t="s">
        <v>4941</v>
      </c>
      <c r="C9443" s="2" t="s">
        <v>5538</v>
      </c>
      <c r="D9443" s="3" t="str">
        <f t="shared" si="1905"/>
        <v>12Go Link</v>
      </c>
      <c r="E9443" s="2" t="s">
        <v>3409</v>
      </c>
    </row>
    <row r="9444">
      <c r="A9444" s="2" t="s">
        <v>4937</v>
      </c>
      <c r="B9444" s="2" t="s">
        <v>4943</v>
      </c>
      <c r="C9444" s="2" t="s">
        <v>5539</v>
      </c>
      <c r="D9444" s="3" t="str">
        <f>HYPERLINK("https://12go.asia/en/travel/Bentota/Colombo-Fort", "12Go Link")</f>
        <v>12Go Link</v>
      </c>
      <c r="E9444" s="2" t="s">
        <v>5206</v>
      </c>
    </row>
    <row r="9445">
      <c r="A9445" s="2" t="s">
        <v>4937</v>
      </c>
      <c r="B9445" s="2" t="s">
        <v>4945</v>
      </c>
      <c r="C9445" s="2" t="s">
        <v>5540</v>
      </c>
      <c r="D9445" s="3" t="str">
        <f t="shared" ref="D9445:D9447" si="1906">HYPERLINK("https://12go.asia/en/travel/Bentota/Bandaranaike-Airport", "12Go Link")</f>
        <v>12Go Link</v>
      </c>
      <c r="E9445" s="2" t="s">
        <v>286</v>
      </c>
    </row>
    <row r="9446">
      <c r="A9446" s="2" t="s">
        <v>4937</v>
      </c>
      <c r="B9446" s="2" t="s">
        <v>4945</v>
      </c>
      <c r="C9446" s="2" t="s">
        <v>5540</v>
      </c>
      <c r="D9446" s="3" t="str">
        <f t="shared" si="1906"/>
        <v>12Go Link</v>
      </c>
      <c r="E9446" s="2" t="s">
        <v>4139</v>
      </c>
    </row>
    <row r="9447">
      <c r="A9447" s="2" t="s">
        <v>4937</v>
      </c>
      <c r="B9447" s="2" t="s">
        <v>4945</v>
      </c>
      <c r="C9447" s="2" t="s">
        <v>5540</v>
      </c>
      <c r="D9447" s="3" t="str">
        <f t="shared" si="1906"/>
        <v>12Go Link</v>
      </c>
      <c r="E9447" s="2" t="s">
        <v>3409</v>
      </c>
    </row>
    <row r="9448">
      <c r="A9448" s="2" t="s">
        <v>4937</v>
      </c>
      <c r="B9448" s="2" t="s">
        <v>4949</v>
      </c>
      <c r="C9448" s="2" t="s">
        <v>5541</v>
      </c>
      <c r="D9448" s="3" t="str">
        <f t="shared" ref="D9448:D9450" si="1907">HYPERLINK("https://12go.asia/en/travel/Bentota/Deniyaya", "12Go Link")</f>
        <v>12Go Link</v>
      </c>
      <c r="E9448" s="2" t="s">
        <v>286</v>
      </c>
    </row>
    <row r="9449">
      <c r="A9449" s="2" t="s">
        <v>4937</v>
      </c>
      <c r="B9449" s="2" t="s">
        <v>4949</v>
      </c>
      <c r="C9449" s="2" t="s">
        <v>5541</v>
      </c>
      <c r="D9449" s="3" t="str">
        <f t="shared" si="1907"/>
        <v>12Go Link</v>
      </c>
      <c r="E9449" s="2" t="s">
        <v>4139</v>
      </c>
    </row>
    <row r="9450">
      <c r="A9450" s="2" t="s">
        <v>4937</v>
      </c>
      <c r="B9450" s="2" t="s">
        <v>4949</v>
      </c>
      <c r="C9450" s="2" t="s">
        <v>5541</v>
      </c>
      <c r="D9450" s="3" t="str">
        <f t="shared" si="1907"/>
        <v>12Go Link</v>
      </c>
      <c r="E9450" s="2" t="s">
        <v>3409</v>
      </c>
    </row>
    <row r="9451">
      <c r="A9451" s="2" t="s">
        <v>4937</v>
      </c>
      <c r="B9451" s="2" t="s">
        <v>4951</v>
      </c>
      <c r="C9451" s="2" t="s">
        <v>5542</v>
      </c>
      <c r="D9451" s="3" t="str">
        <f t="shared" ref="D9451:D9453" si="1908">HYPERLINK("https://12go.asia/en/travel/Bentota/Dickwella", "12Go Link")</f>
        <v>12Go Link</v>
      </c>
      <c r="E9451" s="2" t="s">
        <v>286</v>
      </c>
    </row>
    <row r="9452">
      <c r="A9452" s="2" t="s">
        <v>4937</v>
      </c>
      <c r="B9452" s="2" t="s">
        <v>4951</v>
      </c>
      <c r="C9452" s="2" t="s">
        <v>5542</v>
      </c>
      <c r="D9452" s="3" t="str">
        <f t="shared" si="1908"/>
        <v>12Go Link</v>
      </c>
      <c r="E9452" s="2" t="s">
        <v>4139</v>
      </c>
    </row>
    <row r="9453">
      <c r="A9453" s="2" t="s">
        <v>4937</v>
      </c>
      <c r="B9453" s="2" t="s">
        <v>4951</v>
      </c>
      <c r="C9453" s="2" t="s">
        <v>5542</v>
      </c>
      <c r="D9453" s="3" t="str">
        <f t="shared" si="1908"/>
        <v>12Go Link</v>
      </c>
      <c r="E9453" s="2" t="s">
        <v>3409</v>
      </c>
    </row>
    <row r="9454">
      <c r="A9454" s="2" t="s">
        <v>4937</v>
      </c>
      <c r="B9454" s="2" t="s">
        <v>4951</v>
      </c>
      <c r="C9454" s="2" t="s">
        <v>5543</v>
      </c>
      <c r="D9454" s="3" t="str">
        <f t="shared" ref="D9454:D9456" si="1909">HYPERLINK("https://12go.asia/en/travel/Bentota/Hiriketiya-beach", "12Go Link")</f>
        <v>12Go Link</v>
      </c>
      <c r="E9454" s="2" t="s">
        <v>286</v>
      </c>
    </row>
    <row r="9455">
      <c r="A9455" s="2" t="s">
        <v>4937</v>
      </c>
      <c r="B9455" s="2" t="s">
        <v>4951</v>
      </c>
      <c r="C9455" s="2" t="s">
        <v>5543</v>
      </c>
      <c r="D9455" s="3" t="str">
        <f t="shared" si="1909"/>
        <v>12Go Link</v>
      </c>
      <c r="E9455" s="2" t="s">
        <v>4139</v>
      </c>
    </row>
    <row r="9456">
      <c r="A9456" s="2" t="s">
        <v>4937</v>
      </c>
      <c r="B9456" s="2" t="s">
        <v>4951</v>
      </c>
      <c r="C9456" s="2" t="s">
        <v>5543</v>
      </c>
      <c r="D9456" s="3" t="str">
        <f t="shared" si="1909"/>
        <v>12Go Link</v>
      </c>
      <c r="E9456" s="2" t="s">
        <v>3409</v>
      </c>
    </row>
    <row r="9457">
      <c r="A9457" s="2" t="s">
        <v>4937</v>
      </c>
      <c r="B9457" s="2" t="s">
        <v>4954</v>
      </c>
      <c r="C9457" s="2" t="s">
        <v>5544</v>
      </c>
      <c r="D9457" s="3" t="str">
        <f>HYPERLINK("https://12go.asia/en/travel/Bentota/Galle", "12Go Link")</f>
        <v>12Go Link</v>
      </c>
      <c r="E9457" s="2" t="s">
        <v>5080</v>
      </c>
    </row>
    <row r="9458">
      <c r="A9458" s="2" t="s">
        <v>4937</v>
      </c>
      <c r="B9458" s="2" t="s">
        <v>4954</v>
      </c>
      <c r="C9458" s="2" t="s">
        <v>5545</v>
      </c>
      <c r="D9458" s="3" t="str">
        <f t="shared" ref="D9458:D9460" si="1910">HYPERLINK("https://12go.asia/en/travel/Bentota/Talpe", "12Go Link")</f>
        <v>12Go Link</v>
      </c>
      <c r="E9458" s="2" t="s">
        <v>286</v>
      </c>
    </row>
    <row r="9459">
      <c r="A9459" s="2" t="s">
        <v>4937</v>
      </c>
      <c r="B9459" s="2" t="s">
        <v>4954</v>
      </c>
      <c r="C9459" s="2" t="s">
        <v>5545</v>
      </c>
      <c r="D9459" s="3" t="str">
        <f t="shared" si="1910"/>
        <v>12Go Link</v>
      </c>
      <c r="E9459" s="2" t="s">
        <v>4139</v>
      </c>
    </row>
    <row r="9460">
      <c r="A9460" s="2" t="s">
        <v>4937</v>
      </c>
      <c r="B9460" s="2" t="s">
        <v>4954</v>
      </c>
      <c r="C9460" s="2" t="s">
        <v>5545</v>
      </c>
      <c r="D9460" s="3" t="str">
        <f t="shared" si="1910"/>
        <v>12Go Link</v>
      </c>
      <c r="E9460" s="2" t="s">
        <v>3409</v>
      </c>
    </row>
    <row r="9461">
      <c r="A9461" s="2" t="s">
        <v>4937</v>
      </c>
      <c r="B9461" s="2" t="s">
        <v>4957</v>
      </c>
      <c r="C9461" s="2" t="s">
        <v>5546</v>
      </c>
      <c r="D9461" s="3" t="str">
        <f t="shared" ref="D9461:D9463" si="1911">HYPERLINK("https://12go.asia/en/travel/Bentota/Habarana", "12Go Link")</f>
        <v>12Go Link</v>
      </c>
      <c r="E9461" s="2" t="s">
        <v>286</v>
      </c>
    </row>
    <row r="9462">
      <c r="A9462" s="2" t="s">
        <v>4937</v>
      </c>
      <c r="B9462" s="2" t="s">
        <v>4957</v>
      </c>
      <c r="C9462" s="2" t="s">
        <v>5546</v>
      </c>
      <c r="D9462" s="3" t="str">
        <f t="shared" si="1911"/>
        <v>12Go Link</v>
      </c>
      <c r="E9462" s="2" t="s">
        <v>4139</v>
      </c>
    </row>
    <row r="9463">
      <c r="A9463" s="2" t="s">
        <v>4937</v>
      </c>
      <c r="B9463" s="2" t="s">
        <v>4957</v>
      </c>
      <c r="C9463" s="2" t="s">
        <v>5546</v>
      </c>
      <c r="D9463" s="3" t="str">
        <f t="shared" si="1911"/>
        <v>12Go Link</v>
      </c>
      <c r="E9463" s="2" t="s">
        <v>3409</v>
      </c>
    </row>
    <row r="9464">
      <c r="A9464" s="2" t="s">
        <v>4937</v>
      </c>
      <c r="B9464" s="2" t="s">
        <v>4959</v>
      </c>
      <c r="C9464" s="2" t="s">
        <v>5547</v>
      </c>
      <c r="D9464" s="3" t="str">
        <f t="shared" ref="D9464:D9466" si="1912">HYPERLINK("https://12go.asia/en/travel/Bentota/Ella", "12Go Link")</f>
        <v>12Go Link</v>
      </c>
      <c r="E9464" s="2" t="s">
        <v>286</v>
      </c>
    </row>
    <row r="9465">
      <c r="A9465" s="2" t="s">
        <v>4937</v>
      </c>
      <c r="B9465" s="2" t="s">
        <v>4959</v>
      </c>
      <c r="C9465" s="2" t="s">
        <v>5547</v>
      </c>
      <c r="D9465" s="3" t="str">
        <f t="shared" si="1912"/>
        <v>12Go Link</v>
      </c>
      <c r="E9465" s="2" t="s">
        <v>4139</v>
      </c>
    </row>
    <row r="9466">
      <c r="A9466" s="2" t="s">
        <v>4937</v>
      </c>
      <c r="B9466" s="2" t="s">
        <v>4959</v>
      </c>
      <c r="C9466" s="2" t="s">
        <v>5547</v>
      </c>
      <c r="D9466" s="3" t="str">
        <f t="shared" si="1912"/>
        <v>12Go Link</v>
      </c>
      <c r="E9466" s="2" t="s">
        <v>3409</v>
      </c>
    </row>
    <row r="9467">
      <c r="A9467" s="2" t="s">
        <v>4937</v>
      </c>
      <c r="B9467" s="2" t="s">
        <v>4961</v>
      </c>
      <c r="C9467" s="2" t="s">
        <v>5548</v>
      </c>
      <c r="D9467" s="3" t="str">
        <f t="shared" ref="D9467:D9469" si="1913">HYPERLINK("https://12go.asia/en/travel/Bentota/Beragala", "12Go Link")</f>
        <v>12Go Link</v>
      </c>
      <c r="E9467" s="2" t="s">
        <v>286</v>
      </c>
    </row>
    <row r="9468">
      <c r="A9468" s="2" t="s">
        <v>4937</v>
      </c>
      <c r="B9468" s="2" t="s">
        <v>4961</v>
      </c>
      <c r="C9468" s="2" t="s">
        <v>5548</v>
      </c>
      <c r="D9468" s="3" t="str">
        <f t="shared" si="1913"/>
        <v>12Go Link</v>
      </c>
      <c r="E9468" s="2" t="s">
        <v>4139</v>
      </c>
    </row>
    <row r="9469">
      <c r="A9469" s="2" t="s">
        <v>4937</v>
      </c>
      <c r="B9469" s="2" t="s">
        <v>4961</v>
      </c>
      <c r="C9469" s="2" t="s">
        <v>5548</v>
      </c>
      <c r="D9469" s="3" t="str">
        <f t="shared" si="1913"/>
        <v>12Go Link</v>
      </c>
      <c r="E9469" s="2" t="s">
        <v>3409</v>
      </c>
    </row>
    <row r="9470">
      <c r="A9470" s="2" t="s">
        <v>4937</v>
      </c>
      <c r="B9470" s="2" t="s">
        <v>4963</v>
      </c>
      <c r="C9470" s="2" t="s">
        <v>5549</v>
      </c>
      <c r="D9470" s="3" t="str">
        <f t="shared" ref="D9470:D9472" si="1914">HYPERLINK("https://12go.asia/en/travel/Bentota/Dick-oya", "12Go Link")</f>
        <v>12Go Link</v>
      </c>
      <c r="E9470" s="2" t="s">
        <v>286</v>
      </c>
    </row>
    <row r="9471">
      <c r="A9471" s="2" t="s">
        <v>4937</v>
      </c>
      <c r="B9471" s="2" t="s">
        <v>4963</v>
      </c>
      <c r="C9471" s="2" t="s">
        <v>5549</v>
      </c>
      <c r="D9471" s="3" t="str">
        <f t="shared" si="1914"/>
        <v>12Go Link</v>
      </c>
      <c r="E9471" s="2" t="s">
        <v>4139</v>
      </c>
    </row>
    <row r="9472">
      <c r="A9472" s="2" t="s">
        <v>4937</v>
      </c>
      <c r="B9472" s="2" t="s">
        <v>4963</v>
      </c>
      <c r="C9472" s="2" t="s">
        <v>5549</v>
      </c>
      <c r="D9472" s="3" t="str">
        <f t="shared" si="1914"/>
        <v>12Go Link</v>
      </c>
      <c r="E9472" s="2" t="s">
        <v>3409</v>
      </c>
    </row>
    <row r="9473">
      <c r="A9473" s="2" t="s">
        <v>4937</v>
      </c>
      <c r="B9473" s="2" t="s">
        <v>4965</v>
      </c>
      <c r="C9473" s="2" t="s">
        <v>5550</v>
      </c>
      <c r="D9473" s="3" t="str">
        <f t="shared" ref="D9473:D9475" si="1915">HYPERLINK("https://12go.asia/en/travel/Bentota/Dodanduwa", "12Go Link")</f>
        <v>12Go Link</v>
      </c>
      <c r="E9473" s="2" t="s">
        <v>286</v>
      </c>
    </row>
    <row r="9474">
      <c r="A9474" s="2" t="s">
        <v>4937</v>
      </c>
      <c r="B9474" s="2" t="s">
        <v>4965</v>
      </c>
      <c r="C9474" s="2" t="s">
        <v>5550</v>
      </c>
      <c r="D9474" s="3" t="str">
        <f t="shared" si="1915"/>
        <v>12Go Link</v>
      </c>
      <c r="E9474" s="2" t="s">
        <v>4139</v>
      </c>
    </row>
    <row r="9475">
      <c r="A9475" s="2" t="s">
        <v>4937</v>
      </c>
      <c r="B9475" s="2" t="s">
        <v>4965</v>
      </c>
      <c r="C9475" s="2" t="s">
        <v>5550</v>
      </c>
      <c r="D9475" s="3" t="str">
        <f t="shared" si="1915"/>
        <v>12Go Link</v>
      </c>
      <c r="E9475" s="2" t="s">
        <v>3409</v>
      </c>
    </row>
    <row r="9476">
      <c r="A9476" s="2" t="s">
        <v>4937</v>
      </c>
      <c r="B9476" s="2" t="s">
        <v>4967</v>
      </c>
      <c r="C9476" s="2" t="s">
        <v>5551</v>
      </c>
      <c r="D9476" s="3" t="str">
        <f t="shared" ref="D9476:D9478" si="1916">HYPERLINK("https://12go.asia/en/travel/Bentota/Induruwa", "12Go Link")</f>
        <v>12Go Link</v>
      </c>
      <c r="E9476" s="2" t="s">
        <v>286</v>
      </c>
    </row>
    <row r="9477">
      <c r="A9477" s="2" t="s">
        <v>4937</v>
      </c>
      <c r="B9477" s="2" t="s">
        <v>4967</v>
      </c>
      <c r="C9477" s="2" t="s">
        <v>5551</v>
      </c>
      <c r="D9477" s="3" t="str">
        <f t="shared" si="1916"/>
        <v>12Go Link</v>
      </c>
      <c r="E9477" s="2" t="s">
        <v>4139</v>
      </c>
    </row>
    <row r="9478">
      <c r="A9478" s="2" t="s">
        <v>4937</v>
      </c>
      <c r="B9478" s="2" t="s">
        <v>4967</v>
      </c>
      <c r="C9478" s="2" t="s">
        <v>5551</v>
      </c>
      <c r="D9478" s="3" t="str">
        <f t="shared" si="1916"/>
        <v>12Go Link</v>
      </c>
      <c r="E9478" s="2" t="s">
        <v>3409</v>
      </c>
    </row>
    <row r="9479">
      <c r="A9479" s="2" t="s">
        <v>4937</v>
      </c>
      <c r="B9479" s="2" t="s">
        <v>4969</v>
      </c>
      <c r="C9479" s="2" t="s">
        <v>5552</v>
      </c>
      <c r="D9479" s="3" t="str">
        <f t="shared" ref="D9479:D9481" si="1917">HYPERLINK("https://12go.asia/en/travel/Bentota/Jaffna", "12Go Link")</f>
        <v>12Go Link</v>
      </c>
      <c r="E9479" s="2" t="s">
        <v>286</v>
      </c>
    </row>
    <row r="9480">
      <c r="A9480" s="2" t="s">
        <v>4937</v>
      </c>
      <c r="B9480" s="2" t="s">
        <v>4969</v>
      </c>
      <c r="C9480" s="2" t="s">
        <v>5552</v>
      </c>
      <c r="D9480" s="3" t="str">
        <f t="shared" si="1917"/>
        <v>12Go Link</v>
      </c>
      <c r="E9480" s="2" t="s">
        <v>4139</v>
      </c>
    </row>
    <row r="9481">
      <c r="A9481" s="2" t="s">
        <v>4937</v>
      </c>
      <c r="B9481" s="2" t="s">
        <v>4969</v>
      </c>
      <c r="C9481" s="2" t="s">
        <v>5552</v>
      </c>
      <c r="D9481" s="3" t="str">
        <f t="shared" si="1917"/>
        <v>12Go Link</v>
      </c>
      <c r="E9481" s="2" t="s">
        <v>3409</v>
      </c>
    </row>
    <row r="9482">
      <c r="A9482" s="2" t="s">
        <v>4937</v>
      </c>
      <c r="B9482" s="2" t="s">
        <v>4971</v>
      </c>
      <c r="C9482" s="2" t="s">
        <v>5553</v>
      </c>
      <c r="D9482" s="3" t="str">
        <f t="shared" ref="D9482:D9484" si="1918">HYPERLINK("https://12go.asia/en/travel/Bentota/Kalapuwa", "12Go Link")</f>
        <v>12Go Link</v>
      </c>
      <c r="E9482" s="2" t="s">
        <v>286</v>
      </c>
    </row>
    <row r="9483">
      <c r="A9483" s="2" t="s">
        <v>4937</v>
      </c>
      <c r="B9483" s="2" t="s">
        <v>4971</v>
      </c>
      <c r="C9483" s="2" t="s">
        <v>5553</v>
      </c>
      <c r="D9483" s="3" t="str">
        <f t="shared" si="1918"/>
        <v>12Go Link</v>
      </c>
      <c r="E9483" s="2" t="s">
        <v>4139</v>
      </c>
    </row>
    <row r="9484">
      <c r="A9484" s="2" t="s">
        <v>4937</v>
      </c>
      <c r="B9484" s="2" t="s">
        <v>4971</v>
      </c>
      <c r="C9484" s="2" t="s">
        <v>5553</v>
      </c>
      <c r="D9484" s="3" t="str">
        <f t="shared" si="1918"/>
        <v>12Go Link</v>
      </c>
      <c r="E9484" s="2" t="s">
        <v>3409</v>
      </c>
    </row>
    <row r="9485">
      <c r="A9485" s="2" t="s">
        <v>4937</v>
      </c>
      <c r="B9485" s="2" t="s">
        <v>4973</v>
      </c>
      <c r="C9485" s="2" t="s">
        <v>5554</v>
      </c>
      <c r="D9485" s="3" t="str">
        <f t="shared" ref="D9485:D9487" si="1919">HYPERLINK("https://12go.asia/en/travel/Bentota/Digana", "12Go Link")</f>
        <v>12Go Link</v>
      </c>
      <c r="E9485" s="2" t="s">
        <v>286</v>
      </c>
    </row>
    <row r="9486">
      <c r="A9486" s="2" t="s">
        <v>4937</v>
      </c>
      <c r="B9486" s="2" t="s">
        <v>4973</v>
      </c>
      <c r="C9486" s="2" t="s">
        <v>5554</v>
      </c>
      <c r="D9486" s="3" t="str">
        <f t="shared" si="1919"/>
        <v>12Go Link</v>
      </c>
      <c r="E9486" s="2" t="s">
        <v>4139</v>
      </c>
    </row>
    <row r="9487">
      <c r="A9487" s="2" t="s">
        <v>4937</v>
      </c>
      <c r="B9487" s="2" t="s">
        <v>4973</v>
      </c>
      <c r="C9487" s="2" t="s">
        <v>5554</v>
      </c>
      <c r="D9487" s="3" t="str">
        <f t="shared" si="1919"/>
        <v>12Go Link</v>
      </c>
      <c r="E9487" s="2" t="s">
        <v>3409</v>
      </c>
    </row>
    <row r="9488">
      <c r="A9488" s="2" t="s">
        <v>4937</v>
      </c>
      <c r="B9488" s="2" t="s">
        <v>4978</v>
      </c>
      <c r="C9488" s="2" t="s">
        <v>5555</v>
      </c>
      <c r="D9488" s="3" t="str">
        <f t="shared" ref="D9488:D9490" si="1920">HYPERLINK("https://12go.asia/en/travel/Bentota/Alawathupitiya", "12Go Link")</f>
        <v>12Go Link</v>
      </c>
      <c r="E9488" s="2" t="s">
        <v>286</v>
      </c>
    </row>
    <row r="9489">
      <c r="A9489" s="2" t="s">
        <v>4937</v>
      </c>
      <c r="B9489" s="2" t="s">
        <v>4978</v>
      </c>
      <c r="C9489" s="2" t="s">
        <v>5555</v>
      </c>
      <c r="D9489" s="3" t="str">
        <f t="shared" si="1920"/>
        <v>12Go Link</v>
      </c>
      <c r="E9489" s="2" t="s">
        <v>4139</v>
      </c>
    </row>
    <row r="9490">
      <c r="A9490" s="2" t="s">
        <v>4937</v>
      </c>
      <c r="B9490" s="2" t="s">
        <v>4978</v>
      </c>
      <c r="C9490" s="2" t="s">
        <v>5555</v>
      </c>
      <c r="D9490" s="3" t="str">
        <f t="shared" si="1920"/>
        <v>12Go Link</v>
      </c>
      <c r="E9490" s="2" t="s">
        <v>3409</v>
      </c>
    </row>
    <row r="9491">
      <c r="A9491" s="2" t="s">
        <v>4937</v>
      </c>
      <c r="B9491" s="2" t="s">
        <v>4980</v>
      </c>
      <c r="C9491" s="2" t="s">
        <v>5556</v>
      </c>
      <c r="D9491" s="3" t="str">
        <f t="shared" ref="D9491:D9493" si="1921">HYPERLINK("https://12go.asia/en/travel/Bentota/Pinnawala", "12Go Link")</f>
        <v>12Go Link</v>
      </c>
      <c r="E9491" s="2" t="s">
        <v>286</v>
      </c>
    </row>
    <row r="9492">
      <c r="A9492" s="2" t="s">
        <v>4937</v>
      </c>
      <c r="B9492" s="2" t="s">
        <v>4980</v>
      </c>
      <c r="C9492" s="2" t="s">
        <v>5556</v>
      </c>
      <c r="D9492" s="3" t="str">
        <f t="shared" si="1921"/>
        <v>12Go Link</v>
      </c>
      <c r="E9492" s="2" t="s">
        <v>4139</v>
      </c>
    </row>
    <row r="9493">
      <c r="A9493" s="2" t="s">
        <v>4937</v>
      </c>
      <c r="B9493" s="2" t="s">
        <v>4980</v>
      </c>
      <c r="C9493" s="2" t="s">
        <v>5556</v>
      </c>
      <c r="D9493" s="3" t="str">
        <f t="shared" si="1921"/>
        <v>12Go Link</v>
      </c>
      <c r="E9493" s="2" t="s">
        <v>3409</v>
      </c>
    </row>
    <row r="9494">
      <c r="A9494" s="2" t="s">
        <v>4937</v>
      </c>
      <c r="B9494" s="2" t="s">
        <v>4982</v>
      </c>
      <c r="C9494" s="2" t="s">
        <v>5557</v>
      </c>
      <c r="D9494" s="3" t="str">
        <f t="shared" ref="D9494:D9496" si="1922">HYPERLINK("https://12go.asia/en/travel/Bentota/Kitulgala", "12Go Link")</f>
        <v>12Go Link</v>
      </c>
      <c r="E9494" s="2" t="s">
        <v>286</v>
      </c>
    </row>
    <row r="9495">
      <c r="A9495" s="2" t="s">
        <v>4937</v>
      </c>
      <c r="B9495" s="2" t="s">
        <v>4982</v>
      </c>
      <c r="C9495" s="2" t="s">
        <v>5557</v>
      </c>
      <c r="D9495" s="3" t="str">
        <f t="shared" si="1922"/>
        <v>12Go Link</v>
      </c>
      <c r="E9495" s="2" t="s">
        <v>4139</v>
      </c>
    </row>
    <row r="9496">
      <c r="A9496" s="2" t="s">
        <v>4937</v>
      </c>
      <c r="B9496" s="2" t="s">
        <v>4982</v>
      </c>
      <c r="C9496" s="2" t="s">
        <v>5557</v>
      </c>
      <c r="D9496" s="3" t="str">
        <f t="shared" si="1922"/>
        <v>12Go Link</v>
      </c>
      <c r="E9496" s="2" t="s">
        <v>3409</v>
      </c>
    </row>
    <row r="9497">
      <c r="A9497" s="2" t="s">
        <v>4937</v>
      </c>
      <c r="B9497" s="2" t="s">
        <v>4984</v>
      </c>
      <c r="C9497" s="2" t="s">
        <v>5558</v>
      </c>
      <c r="D9497" s="3" t="str">
        <f t="shared" ref="D9497:D9499" si="1923">HYPERLINK("https://12go.asia/en/travel/Bentota/Habaraduwa", "12Go Link")</f>
        <v>12Go Link</v>
      </c>
      <c r="E9497" s="2" t="s">
        <v>286</v>
      </c>
    </row>
    <row r="9498">
      <c r="A9498" s="2" t="s">
        <v>4937</v>
      </c>
      <c r="B9498" s="2" t="s">
        <v>4984</v>
      </c>
      <c r="C9498" s="2" t="s">
        <v>5558</v>
      </c>
      <c r="D9498" s="3" t="str">
        <f t="shared" si="1923"/>
        <v>12Go Link</v>
      </c>
      <c r="E9498" s="2" t="s">
        <v>4139</v>
      </c>
    </row>
    <row r="9499">
      <c r="A9499" s="2" t="s">
        <v>4937</v>
      </c>
      <c r="B9499" s="2" t="s">
        <v>4984</v>
      </c>
      <c r="C9499" s="2" t="s">
        <v>5558</v>
      </c>
      <c r="D9499" s="3" t="str">
        <f t="shared" si="1923"/>
        <v>12Go Link</v>
      </c>
      <c r="E9499" s="2" t="s">
        <v>3409</v>
      </c>
    </row>
    <row r="9500">
      <c r="A9500" s="2" t="s">
        <v>4937</v>
      </c>
      <c r="B9500" s="2" t="s">
        <v>4986</v>
      </c>
      <c r="C9500" s="2" t="s">
        <v>5559</v>
      </c>
      <c r="D9500" s="3" t="str">
        <f t="shared" ref="D9500:D9502" si="1924">HYPERLINK("https://12go.asia/en/travel/Bentota/Kosgoda", "12Go Link")</f>
        <v>12Go Link</v>
      </c>
      <c r="E9500" s="2" t="s">
        <v>286</v>
      </c>
    </row>
    <row r="9501">
      <c r="A9501" s="2" t="s">
        <v>4937</v>
      </c>
      <c r="B9501" s="2" t="s">
        <v>4986</v>
      </c>
      <c r="C9501" s="2" t="s">
        <v>5559</v>
      </c>
      <c r="D9501" s="3" t="str">
        <f t="shared" si="1924"/>
        <v>12Go Link</v>
      </c>
      <c r="E9501" s="2" t="s">
        <v>4139</v>
      </c>
    </row>
    <row r="9502">
      <c r="A9502" s="2" t="s">
        <v>4937</v>
      </c>
      <c r="B9502" s="2" t="s">
        <v>4986</v>
      </c>
      <c r="C9502" s="2" t="s">
        <v>5559</v>
      </c>
      <c r="D9502" s="3" t="str">
        <f t="shared" si="1924"/>
        <v>12Go Link</v>
      </c>
      <c r="E9502" s="2" t="s">
        <v>3409</v>
      </c>
    </row>
    <row r="9503">
      <c r="A9503" s="2" t="s">
        <v>4937</v>
      </c>
      <c r="B9503" s="2" t="s">
        <v>4988</v>
      </c>
      <c r="C9503" s="2" t="s">
        <v>5560</v>
      </c>
      <c r="D9503" s="3" t="str">
        <f t="shared" ref="D9503:D9505" si="1925">HYPERLINK("https://12go.asia/en/travel/Bentota/Kuchchaveli", "12Go Link")</f>
        <v>12Go Link</v>
      </c>
      <c r="E9503" s="2" t="s">
        <v>286</v>
      </c>
    </row>
    <row r="9504">
      <c r="A9504" s="2" t="s">
        <v>4937</v>
      </c>
      <c r="B9504" s="2" t="s">
        <v>4988</v>
      </c>
      <c r="C9504" s="2" t="s">
        <v>5560</v>
      </c>
      <c r="D9504" s="3" t="str">
        <f t="shared" si="1925"/>
        <v>12Go Link</v>
      </c>
      <c r="E9504" s="2" t="s">
        <v>4139</v>
      </c>
    </row>
    <row r="9505">
      <c r="A9505" s="2" t="s">
        <v>4937</v>
      </c>
      <c r="B9505" s="2" t="s">
        <v>4988</v>
      </c>
      <c r="C9505" s="2" t="s">
        <v>5560</v>
      </c>
      <c r="D9505" s="3" t="str">
        <f t="shared" si="1925"/>
        <v>12Go Link</v>
      </c>
      <c r="E9505" s="2" t="s">
        <v>3409</v>
      </c>
    </row>
    <row r="9506">
      <c r="A9506" s="2" t="s">
        <v>4937</v>
      </c>
      <c r="B9506" s="2" t="s">
        <v>4990</v>
      </c>
      <c r="C9506" s="2" t="s">
        <v>5561</v>
      </c>
      <c r="D9506" s="3" t="str">
        <f t="shared" ref="D9506:D9508" si="1926">HYPERLINK("https://12go.asia/en/travel/Bentota/Mannar", "12Go Link")</f>
        <v>12Go Link</v>
      </c>
      <c r="E9506" s="2" t="s">
        <v>286</v>
      </c>
    </row>
    <row r="9507">
      <c r="A9507" s="2" t="s">
        <v>4937</v>
      </c>
      <c r="B9507" s="2" t="s">
        <v>4990</v>
      </c>
      <c r="C9507" s="2" t="s">
        <v>5561</v>
      </c>
      <c r="D9507" s="3" t="str">
        <f t="shared" si="1926"/>
        <v>12Go Link</v>
      </c>
      <c r="E9507" s="2" t="s">
        <v>4139</v>
      </c>
    </row>
    <row r="9508">
      <c r="A9508" s="2" t="s">
        <v>4937</v>
      </c>
      <c r="B9508" s="2" t="s">
        <v>4990</v>
      </c>
      <c r="C9508" s="2" t="s">
        <v>5561</v>
      </c>
      <c r="D9508" s="3" t="str">
        <f t="shared" si="1926"/>
        <v>12Go Link</v>
      </c>
      <c r="E9508" s="2" t="s">
        <v>3409</v>
      </c>
    </row>
    <row r="9509">
      <c r="A9509" s="2" t="s">
        <v>4937</v>
      </c>
      <c r="B9509" s="2" t="s">
        <v>4992</v>
      </c>
      <c r="C9509" s="2" t="s">
        <v>5562</v>
      </c>
      <c r="D9509" s="3" t="str">
        <f t="shared" ref="D9509:D9511" si="1927">HYPERLINK("https://12go.asia/en/travel/Bentota/Kinigama", "12Go Link")</f>
        <v>12Go Link</v>
      </c>
      <c r="E9509" s="2" t="s">
        <v>286</v>
      </c>
    </row>
    <row r="9510">
      <c r="A9510" s="2" t="s">
        <v>4937</v>
      </c>
      <c r="B9510" s="2" t="s">
        <v>4992</v>
      </c>
      <c r="C9510" s="2" t="s">
        <v>5562</v>
      </c>
      <c r="D9510" s="3" t="str">
        <f t="shared" si="1927"/>
        <v>12Go Link</v>
      </c>
      <c r="E9510" s="2" t="s">
        <v>4139</v>
      </c>
    </row>
    <row r="9511">
      <c r="A9511" s="2" t="s">
        <v>4937</v>
      </c>
      <c r="B9511" s="2" t="s">
        <v>4992</v>
      </c>
      <c r="C9511" s="2" t="s">
        <v>5562</v>
      </c>
      <c r="D9511" s="3" t="str">
        <f t="shared" si="1927"/>
        <v>12Go Link</v>
      </c>
      <c r="E9511" s="2" t="s">
        <v>3409</v>
      </c>
    </row>
    <row r="9512">
      <c r="A9512" s="2" t="s">
        <v>4937</v>
      </c>
      <c r="B9512" s="2" t="s">
        <v>4994</v>
      </c>
      <c r="C9512" s="2" t="s">
        <v>5563</v>
      </c>
      <c r="D9512" s="3" t="str">
        <f t="shared" ref="D9512:D9514" si="1928">HYPERLINK("https://12go.asia/en/travel/Bentota/Kalamatiya", "12Go Link")</f>
        <v>12Go Link</v>
      </c>
      <c r="E9512" s="2" t="s">
        <v>286</v>
      </c>
    </row>
    <row r="9513">
      <c r="A9513" s="2" t="s">
        <v>4937</v>
      </c>
      <c r="B9513" s="2" t="s">
        <v>4994</v>
      </c>
      <c r="C9513" s="2" t="s">
        <v>5563</v>
      </c>
      <c r="D9513" s="3" t="str">
        <f t="shared" si="1928"/>
        <v>12Go Link</v>
      </c>
      <c r="E9513" s="2" t="s">
        <v>4139</v>
      </c>
    </row>
    <row r="9514">
      <c r="A9514" s="2" t="s">
        <v>4937</v>
      </c>
      <c r="B9514" s="2" t="s">
        <v>4994</v>
      </c>
      <c r="C9514" s="2" t="s">
        <v>5563</v>
      </c>
      <c r="D9514" s="3" t="str">
        <f t="shared" si="1928"/>
        <v>12Go Link</v>
      </c>
      <c r="E9514" s="2" t="s">
        <v>3409</v>
      </c>
    </row>
    <row r="9515">
      <c r="A9515" s="2" t="s">
        <v>4937</v>
      </c>
      <c r="B9515" s="2" t="s">
        <v>4994</v>
      </c>
      <c r="C9515" s="2" t="s">
        <v>5564</v>
      </c>
      <c r="D9515" s="3" t="str">
        <f>HYPERLINK("https://12go.asia/en/travel/Bentota/Matara", "12Go Link")</f>
        <v>12Go Link</v>
      </c>
      <c r="E9515" s="2" t="s">
        <v>5080</v>
      </c>
    </row>
    <row r="9516">
      <c r="A9516" s="2" t="s">
        <v>4937</v>
      </c>
      <c r="B9516" s="2" t="s">
        <v>4996</v>
      </c>
      <c r="C9516" s="2" t="s">
        <v>5565</v>
      </c>
      <c r="D9516" s="3" t="str">
        <f t="shared" ref="D9516:D9518" si="1929">HYPERLINK("https://12go.asia/en/travel/Bentota/mirissa", "12Go Link")</f>
        <v>12Go Link</v>
      </c>
      <c r="E9516" s="2" t="s">
        <v>286</v>
      </c>
    </row>
    <row r="9517">
      <c r="A9517" s="2" t="s">
        <v>4937</v>
      </c>
      <c r="B9517" s="2" t="s">
        <v>4996</v>
      </c>
      <c r="C9517" s="2" t="s">
        <v>5565</v>
      </c>
      <c r="D9517" s="3" t="str">
        <f t="shared" si="1929"/>
        <v>12Go Link</v>
      </c>
      <c r="E9517" s="2" t="s">
        <v>4139</v>
      </c>
    </row>
    <row r="9518">
      <c r="A9518" s="2" t="s">
        <v>4937</v>
      </c>
      <c r="B9518" s="2" t="s">
        <v>4996</v>
      </c>
      <c r="C9518" s="2" t="s">
        <v>5565</v>
      </c>
      <c r="D9518" s="3" t="str">
        <f t="shared" si="1929"/>
        <v>12Go Link</v>
      </c>
      <c r="E9518" s="2" t="s">
        <v>3409</v>
      </c>
    </row>
    <row r="9519">
      <c r="A9519" s="2" t="s">
        <v>4937</v>
      </c>
      <c r="B9519" s="2" t="s">
        <v>5204</v>
      </c>
      <c r="C9519" s="2" t="s">
        <v>5566</v>
      </c>
      <c r="D9519" s="3" t="str">
        <f>HYPERLINK("https://12go.asia/en/travel/Bentota/Moratuwa", "12Go Link")</f>
        <v>12Go Link</v>
      </c>
      <c r="E9519" s="2" t="s">
        <v>5206</v>
      </c>
    </row>
    <row r="9520">
      <c r="A9520" s="2" t="s">
        <v>4937</v>
      </c>
      <c r="B9520" s="2" t="s">
        <v>4998</v>
      </c>
      <c r="C9520" s="2" t="s">
        <v>5567</v>
      </c>
      <c r="D9520" s="3" t="str">
        <f t="shared" ref="D9520:D9522" si="1930">HYPERLINK("https://12go.asia/en/travel/Bentota/Nanu-Oya", "12Go Link")</f>
        <v>12Go Link</v>
      </c>
      <c r="E9520" s="2" t="s">
        <v>286</v>
      </c>
    </row>
    <row r="9521">
      <c r="A9521" s="2" t="s">
        <v>4937</v>
      </c>
      <c r="B9521" s="2" t="s">
        <v>4998</v>
      </c>
      <c r="C9521" s="2" t="s">
        <v>5567</v>
      </c>
      <c r="D9521" s="3" t="str">
        <f t="shared" si="1930"/>
        <v>12Go Link</v>
      </c>
      <c r="E9521" s="2" t="s">
        <v>4139</v>
      </c>
    </row>
    <row r="9522">
      <c r="A9522" s="2" t="s">
        <v>4937</v>
      </c>
      <c r="B9522" s="2" t="s">
        <v>4998</v>
      </c>
      <c r="C9522" s="2" t="s">
        <v>5567</v>
      </c>
      <c r="D9522" s="3" t="str">
        <f t="shared" si="1930"/>
        <v>12Go Link</v>
      </c>
      <c r="E9522" s="2" t="s">
        <v>3409</v>
      </c>
    </row>
    <row r="9523">
      <c r="A9523" s="2" t="s">
        <v>4937</v>
      </c>
      <c r="B9523" s="2" t="s">
        <v>5000</v>
      </c>
      <c r="C9523" s="2" t="s">
        <v>5568</v>
      </c>
      <c r="D9523" s="3" t="str">
        <f t="shared" ref="D9523:D9525" si="1931">HYPERLINK("https://12go.asia/en/travel/Bentota/Waikkal", "12Go Link")</f>
        <v>12Go Link</v>
      </c>
      <c r="E9523" s="2" t="s">
        <v>286</v>
      </c>
    </row>
    <row r="9524">
      <c r="A9524" s="2" t="s">
        <v>4937</v>
      </c>
      <c r="B9524" s="2" t="s">
        <v>5000</v>
      </c>
      <c r="C9524" s="2" t="s">
        <v>5568</v>
      </c>
      <c r="D9524" s="3" t="str">
        <f t="shared" si="1931"/>
        <v>12Go Link</v>
      </c>
      <c r="E9524" s="2" t="s">
        <v>4139</v>
      </c>
    </row>
    <row r="9525">
      <c r="A9525" s="2" t="s">
        <v>4937</v>
      </c>
      <c r="B9525" s="2" t="s">
        <v>5000</v>
      </c>
      <c r="C9525" s="2" t="s">
        <v>5568</v>
      </c>
      <c r="D9525" s="3" t="str">
        <f t="shared" si="1931"/>
        <v>12Go Link</v>
      </c>
      <c r="E9525" s="2" t="s">
        <v>3409</v>
      </c>
    </row>
    <row r="9526">
      <c r="A9526" s="2" t="s">
        <v>4937</v>
      </c>
      <c r="B9526" s="2" t="s">
        <v>5003</v>
      </c>
      <c r="C9526" s="2" t="s">
        <v>5569</v>
      </c>
      <c r="D9526" s="3" t="str">
        <f t="shared" ref="D9526:D9528" si="1932">HYPERLINK("https://12go.asia/en/travel/Bentota/Nilaveli", "12Go Link")</f>
        <v>12Go Link</v>
      </c>
      <c r="E9526" s="2" t="s">
        <v>286</v>
      </c>
    </row>
    <row r="9527">
      <c r="A9527" s="2" t="s">
        <v>4937</v>
      </c>
      <c r="B9527" s="2" t="s">
        <v>5003</v>
      </c>
      <c r="C9527" s="2" t="s">
        <v>5569</v>
      </c>
      <c r="D9527" s="3" t="str">
        <f t="shared" si="1932"/>
        <v>12Go Link</v>
      </c>
      <c r="E9527" s="2" t="s">
        <v>4139</v>
      </c>
    </row>
    <row r="9528">
      <c r="A9528" s="2" t="s">
        <v>4937</v>
      </c>
      <c r="B9528" s="2" t="s">
        <v>5003</v>
      </c>
      <c r="C9528" s="2" t="s">
        <v>5569</v>
      </c>
      <c r="D9528" s="3" t="str">
        <f t="shared" si="1932"/>
        <v>12Go Link</v>
      </c>
      <c r="E9528" s="2" t="s">
        <v>3409</v>
      </c>
    </row>
    <row r="9529">
      <c r="A9529" s="2" t="s">
        <v>4937</v>
      </c>
      <c r="B9529" s="2" t="s">
        <v>5005</v>
      </c>
      <c r="C9529" s="2" t="s">
        <v>5570</v>
      </c>
      <c r="D9529" s="3" t="str">
        <f t="shared" ref="D9529:D9530" si="1933">HYPERLINK("https://12go.asia/en/travel/Bentota/Kotmale", "12Go Link")</f>
        <v>12Go Link</v>
      </c>
      <c r="E9529" s="2" t="s">
        <v>4139</v>
      </c>
    </row>
    <row r="9530">
      <c r="A9530" s="2" t="s">
        <v>4937</v>
      </c>
      <c r="B9530" s="2" t="s">
        <v>5005</v>
      </c>
      <c r="C9530" s="2" t="s">
        <v>5570</v>
      </c>
      <c r="D9530" s="3" t="str">
        <f t="shared" si="1933"/>
        <v>12Go Link</v>
      </c>
      <c r="E9530" s="2" t="s">
        <v>3409</v>
      </c>
    </row>
    <row r="9531">
      <c r="A9531" s="2" t="s">
        <v>4937</v>
      </c>
      <c r="B9531" s="2" t="s">
        <v>5007</v>
      </c>
      <c r="C9531" s="2" t="s">
        <v>5571</v>
      </c>
      <c r="D9531" s="3" t="str">
        <f t="shared" ref="D9531:D9533" si="1934">HYPERLINK("https://12go.asia/en/travel/Bentota/Pasikuda", "12Go Link")</f>
        <v>12Go Link</v>
      </c>
      <c r="E9531" s="2" t="s">
        <v>286</v>
      </c>
    </row>
    <row r="9532">
      <c r="A9532" s="2" t="s">
        <v>4937</v>
      </c>
      <c r="B9532" s="2" t="s">
        <v>5007</v>
      </c>
      <c r="C9532" s="2" t="s">
        <v>5571</v>
      </c>
      <c r="D9532" s="3" t="str">
        <f t="shared" si="1934"/>
        <v>12Go Link</v>
      </c>
      <c r="E9532" s="2" t="s">
        <v>4139</v>
      </c>
    </row>
    <row r="9533">
      <c r="A9533" s="2" t="s">
        <v>4937</v>
      </c>
      <c r="B9533" s="2" t="s">
        <v>5007</v>
      </c>
      <c r="C9533" s="2" t="s">
        <v>5571</v>
      </c>
      <c r="D9533" s="3" t="str">
        <f t="shared" si="1934"/>
        <v>12Go Link</v>
      </c>
      <c r="E9533" s="2" t="s">
        <v>3409</v>
      </c>
    </row>
    <row r="9534">
      <c r="A9534" s="2" t="s">
        <v>4937</v>
      </c>
      <c r="B9534" s="2" t="s">
        <v>5009</v>
      </c>
      <c r="C9534" s="2" t="s">
        <v>5572</v>
      </c>
      <c r="D9534" s="3" t="str">
        <f t="shared" ref="D9534:D9536" si="1935">HYPERLINK("https://12go.asia/en/travel/Bentota/Galoya", "12Go Link")</f>
        <v>12Go Link</v>
      </c>
      <c r="E9534" s="2" t="s">
        <v>286</v>
      </c>
    </row>
    <row r="9535">
      <c r="A9535" s="2" t="s">
        <v>4937</v>
      </c>
      <c r="B9535" s="2" t="s">
        <v>5009</v>
      </c>
      <c r="C9535" s="2" t="s">
        <v>5572</v>
      </c>
      <c r="D9535" s="3" t="str">
        <f t="shared" si="1935"/>
        <v>12Go Link</v>
      </c>
      <c r="E9535" s="2" t="s">
        <v>4139</v>
      </c>
    </row>
    <row r="9536">
      <c r="A9536" s="2" t="s">
        <v>4937</v>
      </c>
      <c r="B9536" s="2" t="s">
        <v>5009</v>
      </c>
      <c r="C9536" s="2" t="s">
        <v>5572</v>
      </c>
      <c r="D9536" s="3" t="str">
        <f t="shared" si="1935"/>
        <v>12Go Link</v>
      </c>
      <c r="E9536" s="2" t="s">
        <v>3409</v>
      </c>
    </row>
    <row r="9537">
      <c r="A9537" s="2" t="s">
        <v>4937</v>
      </c>
      <c r="B9537" s="2" t="s">
        <v>5011</v>
      </c>
      <c r="C9537" s="2" t="s">
        <v>5573</v>
      </c>
      <c r="D9537" s="3" t="str">
        <f t="shared" ref="D9537:D9539" si="1936">HYPERLINK("https://12go.asia/en/travel/Bentota/Kalpitiya", "12Go Link")</f>
        <v>12Go Link</v>
      </c>
      <c r="E9537" s="2" t="s">
        <v>286</v>
      </c>
    </row>
    <row r="9538">
      <c r="A9538" s="2" t="s">
        <v>4937</v>
      </c>
      <c r="B9538" s="2" t="s">
        <v>5011</v>
      </c>
      <c r="C9538" s="2" t="s">
        <v>5573</v>
      </c>
      <c r="D9538" s="3" t="str">
        <f t="shared" si="1936"/>
        <v>12Go Link</v>
      </c>
      <c r="E9538" s="2" t="s">
        <v>4139</v>
      </c>
    </row>
    <row r="9539">
      <c r="A9539" s="2" t="s">
        <v>4937</v>
      </c>
      <c r="B9539" s="2" t="s">
        <v>5011</v>
      </c>
      <c r="C9539" s="2" t="s">
        <v>5573</v>
      </c>
      <c r="D9539" s="3" t="str">
        <f t="shared" si="1936"/>
        <v>12Go Link</v>
      </c>
      <c r="E9539" s="2" t="s">
        <v>3409</v>
      </c>
    </row>
    <row r="9540">
      <c r="A9540" s="2" t="s">
        <v>4937</v>
      </c>
      <c r="B9540" s="2" t="s">
        <v>5011</v>
      </c>
      <c r="C9540" s="2" t="s">
        <v>5574</v>
      </c>
      <c r="D9540" s="3" t="str">
        <f t="shared" ref="D9540:D9542" si="1937">HYPERLINK("https://12go.asia/en/travel/Bentota/Marawila", "12Go Link")</f>
        <v>12Go Link</v>
      </c>
      <c r="E9540" s="2" t="s">
        <v>286</v>
      </c>
    </row>
    <row r="9541">
      <c r="A9541" s="2" t="s">
        <v>4937</v>
      </c>
      <c r="B9541" s="2" t="s">
        <v>5011</v>
      </c>
      <c r="C9541" s="2" t="s">
        <v>5574</v>
      </c>
      <c r="D9541" s="3" t="str">
        <f t="shared" si="1937"/>
        <v>12Go Link</v>
      </c>
      <c r="E9541" s="2" t="s">
        <v>4139</v>
      </c>
    </row>
    <row r="9542">
      <c r="A9542" s="2" t="s">
        <v>4937</v>
      </c>
      <c r="B9542" s="2" t="s">
        <v>5011</v>
      </c>
      <c r="C9542" s="2" t="s">
        <v>5574</v>
      </c>
      <c r="D9542" s="3" t="str">
        <f t="shared" si="1937"/>
        <v>12Go Link</v>
      </c>
      <c r="E9542" s="2" t="s">
        <v>3409</v>
      </c>
    </row>
    <row r="9543">
      <c r="A9543" s="2" t="s">
        <v>4937</v>
      </c>
      <c r="B9543" s="2" t="s">
        <v>5014</v>
      </c>
      <c r="C9543" s="2" t="s">
        <v>5575</v>
      </c>
      <c r="D9543" s="3" t="str">
        <f t="shared" ref="D9543:D9545" si="1938">HYPERLINK("https://12go.asia/en/travel/Bentota/Kiriella", "12Go Link")</f>
        <v>12Go Link</v>
      </c>
      <c r="E9543" s="2" t="s">
        <v>286</v>
      </c>
    </row>
    <row r="9544">
      <c r="A9544" s="2" t="s">
        <v>4937</v>
      </c>
      <c r="B9544" s="2" t="s">
        <v>5014</v>
      </c>
      <c r="C9544" s="2" t="s">
        <v>5575</v>
      </c>
      <c r="D9544" s="3" t="str">
        <f t="shared" si="1938"/>
        <v>12Go Link</v>
      </c>
      <c r="E9544" s="2" t="s">
        <v>4139</v>
      </c>
    </row>
    <row r="9545">
      <c r="A9545" s="2" t="s">
        <v>4937</v>
      </c>
      <c r="B9545" s="2" t="s">
        <v>5014</v>
      </c>
      <c r="C9545" s="2" t="s">
        <v>5575</v>
      </c>
      <c r="D9545" s="3" t="str">
        <f t="shared" si="1938"/>
        <v>12Go Link</v>
      </c>
      <c r="E9545" s="2" t="s">
        <v>3409</v>
      </c>
    </row>
    <row r="9546">
      <c r="A9546" s="2" t="s">
        <v>4937</v>
      </c>
      <c r="B9546" s="2" t="s">
        <v>5018</v>
      </c>
      <c r="C9546" s="2" t="s">
        <v>5576</v>
      </c>
      <c r="D9546" s="3" t="str">
        <f t="shared" ref="D9546:D9548" si="1939">HYPERLINK("https://12go.asia/en/travel/Bentota/Rekawa", "12Go Link")</f>
        <v>12Go Link</v>
      </c>
      <c r="E9546" s="2" t="s">
        <v>286</v>
      </c>
    </row>
    <row r="9547">
      <c r="A9547" s="2" t="s">
        <v>4937</v>
      </c>
      <c r="B9547" s="2" t="s">
        <v>5018</v>
      </c>
      <c r="C9547" s="2" t="s">
        <v>5576</v>
      </c>
      <c r="D9547" s="3" t="str">
        <f t="shared" si="1939"/>
        <v>12Go Link</v>
      </c>
      <c r="E9547" s="2" t="s">
        <v>4139</v>
      </c>
    </row>
    <row r="9548">
      <c r="A9548" s="2" t="s">
        <v>4937</v>
      </c>
      <c r="B9548" s="2" t="s">
        <v>5018</v>
      </c>
      <c r="C9548" s="2" t="s">
        <v>5576</v>
      </c>
      <c r="D9548" s="3" t="str">
        <f t="shared" si="1939"/>
        <v>12Go Link</v>
      </c>
      <c r="E9548" s="2" t="s">
        <v>3409</v>
      </c>
    </row>
    <row r="9549">
      <c r="A9549" s="2" t="s">
        <v>4937</v>
      </c>
      <c r="B9549" s="2" t="s">
        <v>5020</v>
      </c>
      <c r="C9549" s="2" t="s">
        <v>5577</v>
      </c>
      <c r="D9549" s="3" t="str">
        <f t="shared" ref="D9549:D9551" si="1940">HYPERLINK("https://12go.asia/en/travel/Bentota/Tissamaharama", "12Go Link")</f>
        <v>12Go Link</v>
      </c>
      <c r="E9549" s="2" t="s">
        <v>286</v>
      </c>
    </row>
    <row r="9550">
      <c r="A9550" s="2" t="s">
        <v>4937</v>
      </c>
      <c r="B9550" s="2" t="s">
        <v>5020</v>
      </c>
      <c r="C9550" s="2" t="s">
        <v>5577</v>
      </c>
      <c r="D9550" s="3" t="str">
        <f t="shared" si="1940"/>
        <v>12Go Link</v>
      </c>
      <c r="E9550" s="2" t="s">
        <v>4139</v>
      </c>
    </row>
    <row r="9551">
      <c r="A9551" s="2" t="s">
        <v>4937</v>
      </c>
      <c r="B9551" s="2" t="s">
        <v>5020</v>
      </c>
      <c r="C9551" s="2" t="s">
        <v>5577</v>
      </c>
      <c r="D9551" s="3" t="str">
        <f t="shared" si="1940"/>
        <v>12Go Link</v>
      </c>
      <c r="E9551" s="2" t="s">
        <v>3409</v>
      </c>
    </row>
    <row r="9552">
      <c r="A9552" s="2" t="s">
        <v>4937</v>
      </c>
      <c r="B9552" s="2" t="s">
        <v>5020</v>
      </c>
      <c r="C9552" s="2" t="s">
        <v>5578</v>
      </c>
      <c r="D9552" s="3" t="str">
        <f t="shared" ref="D9552:D9554" si="1941">HYPERLINK("https://12go.asia/en/travel/Bentota/Yala-Park", "12Go Link")</f>
        <v>12Go Link</v>
      </c>
      <c r="E9552" s="2" t="s">
        <v>286</v>
      </c>
    </row>
    <row r="9553">
      <c r="A9553" s="2" t="s">
        <v>4937</v>
      </c>
      <c r="B9553" s="2" t="s">
        <v>5020</v>
      </c>
      <c r="C9553" s="2" t="s">
        <v>5578</v>
      </c>
      <c r="D9553" s="3" t="str">
        <f t="shared" si="1941"/>
        <v>12Go Link</v>
      </c>
      <c r="E9553" s="2" t="s">
        <v>4139</v>
      </c>
    </row>
    <row r="9554">
      <c r="A9554" s="2" t="s">
        <v>4937</v>
      </c>
      <c r="B9554" s="2" t="s">
        <v>5020</v>
      </c>
      <c r="C9554" s="2" t="s">
        <v>5578</v>
      </c>
      <c r="D9554" s="3" t="str">
        <f t="shared" si="1941"/>
        <v>12Go Link</v>
      </c>
      <c r="E9554" s="2" t="s">
        <v>3409</v>
      </c>
    </row>
    <row r="9555">
      <c r="A9555" s="2" t="s">
        <v>4937</v>
      </c>
      <c r="B9555" s="2" t="s">
        <v>5023</v>
      </c>
      <c r="C9555" s="2" t="s">
        <v>5579</v>
      </c>
      <c r="D9555" s="3" t="str">
        <f t="shared" ref="D9555:D9557" si="1942">HYPERLINK("https://12go.asia/en/travel/Bentota/Nilaweli", "12Go Link")</f>
        <v>12Go Link</v>
      </c>
      <c r="E9555" s="2" t="s">
        <v>286</v>
      </c>
    </row>
    <row r="9556">
      <c r="A9556" s="2" t="s">
        <v>4937</v>
      </c>
      <c r="B9556" s="2" t="s">
        <v>5023</v>
      </c>
      <c r="C9556" s="2" t="s">
        <v>5579</v>
      </c>
      <c r="D9556" s="3" t="str">
        <f t="shared" si="1942"/>
        <v>12Go Link</v>
      </c>
      <c r="E9556" s="2" t="s">
        <v>4139</v>
      </c>
    </row>
    <row r="9557">
      <c r="A9557" s="2" t="s">
        <v>4937</v>
      </c>
      <c r="B9557" s="2" t="s">
        <v>5023</v>
      </c>
      <c r="C9557" s="2" t="s">
        <v>5579</v>
      </c>
      <c r="D9557" s="3" t="str">
        <f t="shared" si="1942"/>
        <v>12Go Link</v>
      </c>
      <c r="E9557" s="2" t="s">
        <v>3409</v>
      </c>
    </row>
    <row r="9558">
      <c r="A9558" s="2" t="s">
        <v>4937</v>
      </c>
      <c r="B9558" s="2" t="s">
        <v>5025</v>
      </c>
      <c r="C9558" s="2" t="s">
        <v>5580</v>
      </c>
      <c r="D9558" s="3" t="str">
        <f t="shared" ref="D9558:D9560" si="1943">HYPERLINK("https://12go.asia/en/travel/Bentota/Udawalawa", "12Go Link")</f>
        <v>12Go Link</v>
      </c>
      <c r="E9558" s="2" t="s">
        <v>286</v>
      </c>
    </row>
    <row r="9559">
      <c r="A9559" s="2" t="s">
        <v>4937</v>
      </c>
      <c r="B9559" s="2" t="s">
        <v>5025</v>
      </c>
      <c r="C9559" s="2" t="s">
        <v>5580</v>
      </c>
      <c r="D9559" s="3" t="str">
        <f t="shared" si="1943"/>
        <v>12Go Link</v>
      </c>
      <c r="E9559" s="2" t="s">
        <v>4139</v>
      </c>
    </row>
    <row r="9560">
      <c r="A9560" s="2" t="s">
        <v>4937</v>
      </c>
      <c r="B9560" s="2" t="s">
        <v>5025</v>
      </c>
      <c r="C9560" s="2" t="s">
        <v>5580</v>
      </c>
      <c r="D9560" s="3" t="str">
        <f t="shared" si="1943"/>
        <v>12Go Link</v>
      </c>
      <c r="E9560" s="2" t="s">
        <v>3409</v>
      </c>
    </row>
    <row r="9561">
      <c r="A9561" s="2" t="s">
        <v>4937</v>
      </c>
      <c r="B9561" s="2" t="s">
        <v>5027</v>
      </c>
      <c r="C9561" s="2" t="s">
        <v>5581</v>
      </c>
      <c r="D9561" s="3" t="str">
        <f t="shared" ref="D9561:D9563" si="1944">HYPERLINK("https://12go.asia/en/travel/Bentota/Unawatuna", "12Go Link")</f>
        <v>12Go Link</v>
      </c>
      <c r="E9561" s="2" t="s">
        <v>286</v>
      </c>
    </row>
    <row r="9562">
      <c r="A9562" s="2" t="s">
        <v>4937</v>
      </c>
      <c r="B9562" s="2" t="s">
        <v>5027</v>
      </c>
      <c r="C9562" s="2" t="s">
        <v>5581</v>
      </c>
      <c r="D9562" s="3" t="str">
        <f t="shared" si="1944"/>
        <v>12Go Link</v>
      </c>
      <c r="E9562" s="2" t="s">
        <v>4139</v>
      </c>
    </row>
    <row r="9563">
      <c r="A9563" s="2" t="s">
        <v>4937</v>
      </c>
      <c r="B9563" s="2" t="s">
        <v>5027</v>
      </c>
      <c r="C9563" s="2" t="s">
        <v>5581</v>
      </c>
      <c r="D9563" s="3" t="str">
        <f t="shared" si="1944"/>
        <v>12Go Link</v>
      </c>
      <c r="E9563" s="2" t="s">
        <v>3409</v>
      </c>
    </row>
    <row r="9564">
      <c r="A9564" s="2" t="s">
        <v>4937</v>
      </c>
      <c r="B9564" s="2" t="s">
        <v>5029</v>
      </c>
      <c r="C9564" s="2" t="s">
        <v>5582</v>
      </c>
      <c r="D9564" s="3" t="str">
        <f t="shared" ref="D9564:D9566" si="1945">HYPERLINK("https://12go.asia/en/travel/Bentota/Attanagalla", "12Go Link")</f>
        <v>12Go Link</v>
      </c>
      <c r="E9564" s="2" t="s">
        <v>286</v>
      </c>
    </row>
    <row r="9565">
      <c r="A9565" s="2" t="s">
        <v>4937</v>
      </c>
      <c r="B9565" s="2" t="s">
        <v>5029</v>
      </c>
      <c r="C9565" s="2" t="s">
        <v>5582</v>
      </c>
      <c r="D9565" s="3" t="str">
        <f t="shared" si="1945"/>
        <v>12Go Link</v>
      </c>
      <c r="E9565" s="2" t="s">
        <v>4139</v>
      </c>
    </row>
    <row r="9566">
      <c r="A9566" s="2" t="s">
        <v>4937</v>
      </c>
      <c r="B9566" s="2" t="s">
        <v>5029</v>
      </c>
      <c r="C9566" s="2" t="s">
        <v>5582</v>
      </c>
      <c r="D9566" s="3" t="str">
        <f t="shared" si="1945"/>
        <v>12Go Link</v>
      </c>
      <c r="E9566" s="2" t="s">
        <v>3409</v>
      </c>
    </row>
    <row r="9567">
      <c r="A9567" s="2" t="s">
        <v>4937</v>
      </c>
      <c r="B9567" s="2" t="s">
        <v>5031</v>
      </c>
      <c r="C9567" s="2" t="s">
        <v>5583</v>
      </c>
      <c r="D9567" s="3" t="str">
        <f t="shared" ref="D9567:D9569" si="1946">HYPERLINK("https://12go.asia/en/travel/Bentota/Moronthuduwa", "12Go Link")</f>
        <v>12Go Link</v>
      </c>
      <c r="E9567" s="2" t="s">
        <v>286</v>
      </c>
    </row>
    <row r="9568">
      <c r="A9568" s="2" t="s">
        <v>4937</v>
      </c>
      <c r="B9568" s="2" t="s">
        <v>5031</v>
      </c>
      <c r="C9568" s="2" t="s">
        <v>5583</v>
      </c>
      <c r="D9568" s="3" t="str">
        <f t="shared" si="1946"/>
        <v>12Go Link</v>
      </c>
      <c r="E9568" s="2" t="s">
        <v>4139</v>
      </c>
    </row>
    <row r="9569">
      <c r="A9569" s="2" t="s">
        <v>4937</v>
      </c>
      <c r="B9569" s="2" t="s">
        <v>5031</v>
      </c>
      <c r="C9569" s="2" t="s">
        <v>5583</v>
      </c>
      <c r="D9569" s="3" t="str">
        <f t="shared" si="1946"/>
        <v>12Go Link</v>
      </c>
      <c r="E9569" s="2" t="s">
        <v>3409</v>
      </c>
    </row>
    <row r="9570">
      <c r="A9570" s="2" t="s">
        <v>4937</v>
      </c>
      <c r="B9570" s="2" t="s">
        <v>5031</v>
      </c>
      <c r="C9570" s="2" t="s">
        <v>5584</v>
      </c>
      <c r="D9570" s="3" t="str">
        <f t="shared" ref="D9570:D9572" si="1947">HYPERLINK("https://12go.asia/en/travel/Bentota/Waskaduwa", "12Go Link")</f>
        <v>12Go Link</v>
      </c>
      <c r="E9570" s="2" t="s">
        <v>286</v>
      </c>
    </row>
    <row r="9571">
      <c r="A9571" s="2" t="s">
        <v>4937</v>
      </c>
      <c r="B9571" s="2" t="s">
        <v>5031</v>
      </c>
      <c r="C9571" s="2" t="s">
        <v>5584</v>
      </c>
      <c r="D9571" s="3" t="str">
        <f t="shared" si="1947"/>
        <v>12Go Link</v>
      </c>
      <c r="E9571" s="2" t="s">
        <v>4139</v>
      </c>
    </row>
    <row r="9572">
      <c r="A9572" s="2" t="s">
        <v>4937</v>
      </c>
      <c r="B9572" s="2" t="s">
        <v>5031</v>
      </c>
      <c r="C9572" s="2" t="s">
        <v>5584</v>
      </c>
      <c r="D9572" s="3" t="str">
        <f t="shared" si="1947"/>
        <v>12Go Link</v>
      </c>
      <c r="E9572" s="2" t="s">
        <v>3409</v>
      </c>
    </row>
    <row r="9573">
      <c r="A9573" s="2" t="s">
        <v>4937</v>
      </c>
      <c r="B9573" s="2" t="s">
        <v>5034</v>
      </c>
      <c r="C9573" s="2" t="s">
        <v>5585</v>
      </c>
      <c r="D9573" s="3" t="str">
        <f t="shared" ref="D9573:D9575" si="1948">HYPERLINK("https://12go.asia/en/travel/Bentota/Weddagala", "12Go Link")</f>
        <v>12Go Link</v>
      </c>
      <c r="E9573" s="2" t="s">
        <v>286</v>
      </c>
    </row>
    <row r="9574">
      <c r="A9574" s="2" t="s">
        <v>4937</v>
      </c>
      <c r="B9574" s="2" t="s">
        <v>5034</v>
      </c>
      <c r="C9574" s="2" t="s">
        <v>5585</v>
      </c>
      <c r="D9574" s="3" t="str">
        <f t="shared" si="1948"/>
        <v>12Go Link</v>
      </c>
      <c r="E9574" s="2" t="s">
        <v>4139</v>
      </c>
    </row>
    <row r="9575">
      <c r="A9575" s="2" t="s">
        <v>4937</v>
      </c>
      <c r="B9575" s="2" t="s">
        <v>5034</v>
      </c>
      <c r="C9575" s="2" t="s">
        <v>5585</v>
      </c>
      <c r="D9575" s="3" t="str">
        <f t="shared" si="1948"/>
        <v>12Go Link</v>
      </c>
      <c r="E9575" s="2" t="s">
        <v>3409</v>
      </c>
    </row>
    <row r="9576">
      <c r="A9576" s="2" t="s">
        <v>4937</v>
      </c>
      <c r="B9576" s="2" t="s">
        <v>5036</v>
      </c>
      <c r="C9576" s="2" t="s">
        <v>5586</v>
      </c>
      <c r="D9576" s="3" t="str">
        <f t="shared" ref="D9576:D9578" si="1949">HYPERLINK("https://12go.asia/en/travel/Bentota/Weligatta", "12Go Link")</f>
        <v>12Go Link</v>
      </c>
      <c r="E9576" s="2" t="s">
        <v>286</v>
      </c>
    </row>
    <row r="9577">
      <c r="A9577" s="2" t="s">
        <v>4937</v>
      </c>
      <c r="B9577" s="2" t="s">
        <v>5036</v>
      </c>
      <c r="C9577" s="2" t="s">
        <v>5586</v>
      </c>
      <c r="D9577" s="3" t="str">
        <f t="shared" si="1949"/>
        <v>12Go Link</v>
      </c>
      <c r="E9577" s="2" t="s">
        <v>4139</v>
      </c>
    </row>
    <row r="9578">
      <c r="A9578" s="2" t="s">
        <v>4937</v>
      </c>
      <c r="B9578" s="2" t="s">
        <v>5036</v>
      </c>
      <c r="C9578" s="2" t="s">
        <v>5586</v>
      </c>
      <c r="D9578" s="3" t="str">
        <f t="shared" si="1949"/>
        <v>12Go Link</v>
      </c>
      <c r="E9578" s="2" t="s">
        <v>3409</v>
      </c>
    </row>
    <row r="9579">
      <c r="A9579" s="2" t="s">
        <v>4937</v>
      </c>
      <c r="B9579" s="2" t="s">
        <v>5038</v>
      </c>
      <c r="C9579" s="2" t="s">
        <v>5587</v>
      </c>
      <c r="D9579" s="3" t="str">
        <f t="shared" ref="D9579:D9581" si="1950">HYPERLINK("https://12go.asia/en/travel/Bentota/Akuressa", "12Go Link")</f>
        <v>12Go Link</v>
      </c>
      <c r="E9579" s="2" t="s">
        <v>286</v>
      </c>
    </row>
    <row r="9580">
      <c r="A9580" s="2" t="s">
        <v>4937</v>
      </c>
      <c r="B9580" s="2" t="s">
        <v>5038</v>
      </c>
      <c r="C9580" s="2" t="s">
        <v>5587</v>
      </c>
      <c r="D9580" s="3" t="str">
        <f t="shared" si="1950"/>
        <v>12Go Link</v>
      </c>
      <c r="E9580" s="2" t="s">
        <v>4139</v>
      </c>
    </row>
    <row r="9581">
      <c r="A9581" s="2" t="s">
        <v>4937</v>
      </c>
      <c r="B9581" s="2" t="s">
        <v>5038</v>
      </c>
      <c r="C9581" s="2" t="s">
        <v>5587</v>
      </c>
      <c r="D9581" s="3" t="str">
        <f t="shared" si="1950"/>
        <v>12Go Link</v>
      </c>
      <c r="E9581" s="2" t="s">
        <v>3409</v>
      </c>
    </row>
    <row r="9582">
      <c r="A9582" s="2" t="s">
        <v>4937</v>
      </c>
      <c r="B9582" s="2" t="s">
        <v>5040</v>
      </c>
      <c r="C9582" s="2" t="s">
        <v>5588</v>
      </c>
      <c r="D9582" s="3" t="str">
        <f t="shared" ref="D9582:D9584" si="1951">HYPERLINK("https://12go.asia/en/travel/Bentota/Wilpattu", "12Go Link")</f>
        <v>12Go Link</v>
      </c>
      <c r="E9582" s="2" t="s">
        <v>286</v>
      </c>
    </row>
    <row r="9583">
      <c r="A9583" s="2" t="s">
        <v>4937</v>
      </c>
      <c r="B9583" s="2" t="s">
        <v>5040</v>
      </c>
      <c r="C9583" s="2" t="s">
        <v>5588</v>
      </c>
      <c r="D9583" s="3" t="str">
        <f t="shared" si="1951"/>
        <v>12Go Link</v>
      </c>
      <c r="E9583" s="2" t="s">
        <v>4139</v>
      </c>
    </row>
    <row r="9584">
      <c r="A9584" s="2" t="s">
        <v>4937</v>
      </c>
      <c r="B9584" s="2" t="s">
        <v>5040</v>
      </c>
      <c r="C9584" s="2" t="s">
        <v>5588</v>
      </c>
      <c r="D9584" s="3" t="str">
        <f t="shared" si="1951"/>
        <v>12Go Link</v>
      </c>
      <c r="E9584" s="2" t="s">
        <v>3409</v>
      </c>
    </row>
    <row r="9585">
      <c r="A9585" s="2" t="s">
        <v>4939</v>
      </c>
      <c r="B9585" s="2" t="s">
        <v>4918</v>
      </c>
      <c r="C9585" s="2" t="s">
        <v>5589</v>
      </c>
      <c r="D9585" s="3" t="str">
        <f t="shared" ref="D9585:D9587" si="1952">HYPERLINK("https://12go.asia/en/travel/Beruwala/Adams-Peak", "12Go Link")</f>
        <v>12Go Link</v>
      </c>
      <c r="E9585" s="2" t="s">
        <v>286</v>
      </c>
    </row>
    <row r="9586">
      <c r="A9586" s="2" t="s">
        <v>4939</v>
      </c>
      <c r="B9586" s="2" t="s">
        <v>4918</v>
      </c>
      <c r="C9586" s="2" t="s">
        <v>5589</v>
      </c>
      <c r="D9586" s="3" t="str">
        <f t="shared" si="1952"/>
        <v>12Go Link</v>
      </c>
      <c r="E9586" s="2" t="s">
        <v>4139</v>
      </c>
    </row>
    <row r="9587">
      <c r="A9587" s="2" t="s">
        <v>4939</v>
      </c>
      <c r="B9587" s="2" t="s">
        <v>4918</v>
      </c>
      <c r="C9587" s="2" t="s">
        <v>5589</v>
      </c>
      <c r="D9587" s="3" t="str">
        <f t="shared" si="1952"/>
        <v>12Go Link</v>
      </c>
      <c r="E9587" s="2" t="s">
        <v>3409</v>
      </c>
    </row>
    <row r="9588">
      <c r="A9588" s="2" t="s">
        <v>4939</v>
      </c>
      <c r="B9588" s="2" t="s">
        <v>4919</v>
      </c>
      <c r="C9588" s="2" t="s">
        <v>5590</v>
      </c>
      <c r="D9588" s="3" t="str">
        <f t="shared" ref="D9588:D9590" si="1953">HYPERLINK("https://12go.asia/en/travel/Beruwala/Ahangama", "12Go Link")</f>
        <v>12Go Link</v>
      </c>
      <c r="E9588" s="2" t="s">
        <v>286</v>
      </c>
    </row>
    <row r="9589">
      <c r="A9589" s="2" t="s">
        <v>4939</v>
      </c>
      <c r="B9589" s="2" t="s">
        <v>4919</v>
      </c>
      <c r="C9589" s="2" t="s">
        <v>5590</v>
      </c>
      <c r="D9589" s="3" t="str">
        <f t="shared" si="1953"/>
        <v>12Go Link</v>
      </c>
      <c r="E9589" s="2" t="s">
        <v>4139</v>
      </c>
    </row>
    <row r="9590">
      <c r="A9590" s="2" t="s">
        <v>4939</v>
      </c>
      <c r="B9590" s="2" t="s">
        <v>4919</v>
      </c>
      <c r="C9590" s="2" t="s">
        <v>5590</v>
      </c>
      <c r="D9590" s="3" t="str">
        <f t="shared" si="1953"/>
        <v>12Go Link</v>
      </c>
      <c r="E9590" s="2" t="s">
        <v>3409</v>
      </c>
    </row>
    <row r="9591">
      <c r="A9591" s="2" t="s">
        <v>4939</v>
      </c>
      <c r="B9591" s="2" t="s">
        <v>4921</v>
      </c>
      <c r="C9591" s="2" t="s">
        <v>5591</v>
      </c>
      <c r="D9591" s="3" t="str">
        <f t="shared" ref="D9591:D9593" si="1954">HYPERLINK("https://12go.asia/en/travel/Beruwala/Ahungalla", "12Go Link")</f>
        <v>12Go Link</v>
      </c>
      <c r="E9591" s="2" t="s">
        <v>286</v>
      </c>
    </row>
    <row r="9592">
      <c r="A9592" s="2" t="s">
        <v>4939</v>
      </c>
      <c r="B9592" s="2" t="s">
        <v>4921</v>
      </c>
      <c r="C9592" s="2" t="s">
        <v>5591</v>
      </c>
      <c r="D9592" s="3" t="str">
        <f t="shared" si="1954"/>
        <v>12Go Link</v>
      </c>
      <c r="E9592" s="2" t="s">
        <v>4139</v>
      </c>
    </row>
    <row r="9593">
      <c r="A9593" s="2" t="s">
        <v>4939</v>
      </c>
      <c r="B9593" s="2" t="s">
        <v>4921</v>
      </c>
      <c r="C9593" s="2" t="s">
        <v>5591</v>
      </c>
      <c r="D9593" s="3" t="str">
        <f t="shared" si="1954"/>
        <v>12Go Link</v>
      </c>
      <c r="E9593" s="2" t="s">
        <v>3409</v>
      </c>
    </row>
    <row r="9594">
      <c r="A9594" s="2" t="s">
        <v>4939</v>
      </c>
      <c r="B9594" s="2" t="s">
        <v>4923</v>
      </c>
      <c r="C9594" s="2" t="s">
        <v>5592</v>
      </c>
      <c r="D9594" s="3" t="str">
        <f t="shared" ref="D9594:D9596" si="1955">HYPERLINK("https://12go.asia/en/travel/Beruwala/Aluthgama", "12Go Link")</f>
        <v>12Go Link</v>
      </c>
      <c r="E9594" s="2" t="s">
        <v>286</v>
      </c>
    </row>
    <row r="9595">
      <c r="A9595" s="2" t="s">
        <v>4939</v>
      </c>
      <c r="B9595" s="2" t="s">
        <v>4923</v>
      </c>
      <c r="C9595" s="2" t="s">
        <v>5592</v>
      </c>
      <c r="D9595" s="3" t="str">
        <f t="shared" si="1955"/>
        <v>12Go Link</v>
      </c>
      <c r="E9595" s="2" t="s">
        <v>4139</v>
      </c>
    </row>
    <row r="9596">
      <c r="A9596" s="2" t="s">
        <v>4939</v>
      </c>
      <c r="B9596" s="2" t="s">
        <v>4923</v>
      </c>
      <c r="C9596" s="2" t="s">
        <v>5592</v>
      </c>
      <c r="D9596" s="3" t="str">
        <f t="shared" si="1955"/>
        <v>12Go Link</v>
      </c>
      <c r="E9596" s="2" t="s">
        <v>3409</v>
      </c>
    </row>
    <row r="9597">
      <c r="A9597" s="2" t="s">
        <v>4939</v>
      </c>
      <c r="B9597" s="2" t="s">
        <v>4925</v>
      </c>
      <c r="C9597" s="2" t="s">
        <v>5593</v>
      </c>
      <c r="D9597" s="3" t="str">
        <f t="shared" ref="D9597:D9599" si="1956">HYPERLINK("https://12go.asia/en/travel/Beruwala/Ambalangoda", "12Go Link")</f>
        <v>12Go Link</v>
      </c>
      <c r="E9597" s="2" t="s">
        <v>286</v>
      </c>
    </row>
    <row r="9598">
      <c r="A9598" s="2" t="s">
        <v>4939</v>
      </c>
      <c r="B9598" s="2" t="s">
        <v>4925</v>
      </c>
      <c r="C9598" s="2" t="s">
        <v>5593</v>
      </c>
      <c r="D9598" s="3" t="str">
        <f t="shared" si="1956"/>
        <v>12Go Link</v>
      </c>
      <c r="E9598" s="2" t="s">
        <v>4139</v>
      </c>
    </row>
    <row r="9599">
      <c r="A9599" s="2" t="s">
        <v>4939</v>
      </c>
      <c r="B9599" s="2" t="s">
        <v>4925</v>
      </c>
      <c r="C9599" s="2" t="s">
        <v>5593</v>
      </c>
      <c r="D9599" s="3" t="str">
        <f t="shared" si="1956"/>
        <v>12Go Link</v>
      </c>
      <c r="E9599" s="2" t="s">
        <v>3409</v>
      </c>
    </row>
    <row r="9600">
      <c r="A9600" s="2" t="s">
        <v>4939</v>
      </c>
      <c r="B9600" s="2" t="s">
        <v>4927</v>
      </c>
      <c r="C9600" s="2" t="s">
        <v>5594</v>
      </c>
      <c r="D9600" s="3" t="str">
        <f t="shared" ref="D9600:D9602" si="1957">HYPERLINK("https://12go.asia/en/travel/Beruwala/Ambalantota", "12Go Link")</f>
        <v>12Go Link</v>
      </c>
      <c r="E9600" s="2" t="s">
        <v>286</v>
      </c>
    </row>
    <row r="9601">
      <c r="A9601" s="2" t="s">
        <v>4939</v>
      </c>
      <c r="B9601" s="2" t="s">
        <v>4927</v>
      </c>
      <c r="C9601" s="2" t="s">
        <v>5594</v>
      </c>
      <c r="D9601" s="3" t="str">
        <f t="shared" si="1957"/>
        <v>12Go Link</v>
      </c>
      <c r="E9601" s="2" t="s">
        <v>4139</v>
      </c>
    </row>
    <row r="9602">
      <c r="A9602" s="2" t="s">
        <v>4939</v>
      </c>
      <c r="B9602" s="2" t="s">
        <v>4927</v>
      </c>
      <c r="C9602" s="2" t="s">
        <v>5594</v>
      </c>
      <c r="D9602" s="3" t="str">
        <f t="shared" si="1957"/>
        <v>12Go Link</v>
      </c>
      <c r="E9602" s="2" t="s">
        <v>3409</v>
      </c>
    </row>
    <row r="9603">
      <c r="A9603" s="2" t="s">
        <v>4939</v>
      </c>
      <c r="B9603" s="2" t="s">
        <v>4929</v>
      </c>
      <c r="C9603" s="2" t="s">
        <v>5595</v>
      </c>
      <c r="D9603" s="3" t="str">
        <f t="shared" ref="D9603:D9605" si="1958">HYPERLINK("https://12go.asia/en/travel/Beruwala/Anuradhapura", "12Go Link")</f>
        <v>12Go Link</v>
      </c>
      <c r="E9603" s="2" t="s">
        <v>286</v>
      </c>
    </row>
    <row r="9604">
      <c r="A9604" s="2" t="s">
        <v>4939</v>
      </c>
      <c r="B9604" s="2" t="s">
        <v>4929</v>
      </c>
      <c r="C9604" s="2" t="s">
        <v>5595</v>
      </c>
      <c r="D9604" s="3" t="str">
        <f t="shared" si="1958"/>
        <v>12Go Link</v>
      </c>
      <c r="E9604" s="2" t="s">
        <v>4139</v>
      </c>
    </row>
    <row r="9605">
      <c r="A9605" s="2" t="s">
        <v>4939</v>
      </c>
      <c r="B9605" s="2" t="s">
        <v>4929</v>
      </c>
      <c r="C9605" s="2" t="s">
        <v>5595</v>
      </c>
      <c r="D9605" s="3" t="str">
        <f t="shared" si="1958"/>
        <v>12Go Link</v>
      </c>
      <c r="E9605" s="2" t="s">
        <v>3409</v>
      </c>
    </row>
    <row r="9606">
      <c r="A9606" s="2" t="s">
        <v>4939</v>
      </c>
      <c r="B9606" s="2" t="s">
        <v>4931</v>
      </c>
      <c r="C9606" s="2" t="s">
        <v>5596</v>
      </c>
      <c r="D9606" s="3" t="str">
        <f t="shared" ref="D9606:D9608" si="1959">HYPERLINK("https://12go.asia/en/travel/Beruwala/Arugam-bay", "12Go Link")</f>
        <v>12Go Link</v>
      </c>
      <c r="E9606" s="2" t="s">
        <v>286</v>
      </c>
    </row>
    <row r="9607">
      <c r="A9607" s="2" t="s">
        <v>4939</v>
      </c>
      <c r="B9607" s="2" t="s">
        <v>4931</v>
      </c>
      <c r="C9607" s="2" t="s">
        <v>5596</v>
      </c>
      <c r="D9607" s="3" t="str">
        <f t="shared" si="1959"/>
        <v>12Go Link</v>
      </c>
      <c r="E9607" s="2" t="s">
        <v>4139</v>
      </c>
    </row>
    <row r="9608">
      <c r="A9608" s="2" t="s">
        <v>4939</v>
      </c>
      <c r="B9608" s="2" t="s">
        <v>4931</v>
      </c>
      <c r="C9608" s="2" t="s">
        <v>5596</v>
      </c>
      <c r="D9608" s="3" t="str">
        <f t="shared" si="1959"/>
        <v>12Go Link</v>
      </c>
      <c r="E9608" s="2" t="s">
        <v>3409</v>
      </c>
    </row>
    <row r="9609">
      <c r="A9609" s="2" t="s">
        <v>4939</v>
      </c>
      <c r="B9609" s="2" t="s">
        <v>4933</v>
      </c>
      <c r="C9609" s="2" t="s">
        <v>5597</v>
      </c>
      <c r="D9609" s="3" t="str">
        <f t="shared" ref="D9609:D9611" si="1960">HYPERLINK("https://12go.asia/en/travel/Beruwala/balapitiya", "12Go Link")</f>
        <v>12Go Link</v>
      </c>
      <c r="E9609" s="2" t="s">
        <v>286</v>
      </c>
    </row>
    <row r="9610">
      <c r="A9610" s="2" t="s">
        <v>4939</v>
      </c>
      <c r="B9610" s="2" t="s">
        <v>4933</v>
      </c>
      <c r="C9610" s="2" t="s">
        <v>5597</v>
      </c>
      <c r="D9610" s="3" t="str">
        <f t="shared" si="1960"/>
        <v>12Go Link</v>
      </c>
      <c r="E9610" s="2" t="s">
        <v>4139</v>
      </c>
    </row>
    <row r="9611">
      <c r="A9611" s="2" t="s">
        <v>4939</v>
      </c>
      <c r="B9611" s="2" t="s">
        <v>4933</v>
      </c>
      <c r="C9611" s="2" t="s">
        <v>5597</v>
      </c>
      <c r="D9611" s="3" t="str">
        <f t="shared" si="1960"/>
        <v>12Go Link</v>
      </c>
      <c r="E9611" s="2" t="s">
        <v>3409</v>
      </c>
    </row>
    <row r="9612">
      <c r="A9612" s="2" t="s">
        <v>4939</v>
      </c>
      <c r="B9612" s="2" t="s">
        <v>4935</v>
      </c>
      <c r="C9612" s="2" t="s">
        <v>5598</v>
      </c>
      <c r="D9612" s="3" t="str">
        <f t="shared" ref="D9612:D9614" si="1961">HYPERLINK("https://12go.asia/en/travel/Beruwala/Batticaloa", "12Go Link")</f>
        <v>12Go Link</v>
      </c>
      <c r="E9612" s="2" t="s">
        <v>286</v>
      </c>
    </row>
    <row r="9613">
      <c r="A9613" s="2" t="s">
        <v>4939</v>
      </c>
      <c r="B9613" s="2" t="s">
        <v>4935</v>
      </c>
      <c r="C9613" s="2" t="s">
        <v>5598</v>
      </c>
      <c r="D9613" s="3" t="str">
        <f t="shared" si="1961"/>
        <v>12Go Link</v>
      </c>
      <c r="E9613" s="2" t="s">
        <v>4139</v>
      </c>
    </row>
    <row r="9614">
      <c r="A9614" s="2" t="s">
        <v>4939</v>
      </c>
      <c r="B9614" s="2" t="s">
        <v>4935</v>
      </c>
      <c r="C9614" s="2" t="s">
        <v>5598</v>
      </c>
      <c r="D9614" s="3" t="str">
        <f t="shared" si="1961"/>
        <v>12Go Link</v>
      </c>
      <c r="E9614" s="2" t="s">
        <v>3409</v>
      </c>
    </row>
    <row r="9615">
      <c r="A9615" s="2" t="s">
        <v>4939</v>
      </c>
      <c r="B9615" s="2" t="s">
        <v>4937</v>
      </c>
      <c r="C9615" s="2" t="s">
        <v>5599</v>
      </c>
      <c r="D9615" s="3" t="str">
        <f t="shared" ref="D9615:D9617" si="1962">HYPERLINK("https://12go.asia/en/travel/Beruwala/Bentota", "12Go Link")</f>
        <v>12Go Link</v>
      </c>
      <c r="E9615" s="2" t="s">
        <v>286</v>
      </c>
    </row>
    <row r="9616">
      <c r="A9616" s="2" t="s">
        <v>4939</v>
      </c>
      <c r="B9616" s="2" t="s">
        <v>4937</v>
      </c>
      <c r="C9616" s="2" t="s">
        <v>5599</v>
      </c>
      <c r="D9616" s="3" t="str">
        <f t="shared" si="1962"/>
        <v>12Go Link</v>
      </c>
      <c r="E9616" s="2" t="s">
        <v>4139</v>
      </c>
    </row>
    <row r="9617">
      <c r="A9617" s="2" t="s">
        <v>4939</v>
      </c>
      <c r="B9617" s="2" t="s">
        <v>4937</v>
      </c>
      <c r="C9617" s="2" t="s">
        <v>5599</v>
      </c>
      <c r="D9617" s="3" t="str">
        <f t="shared" si="1962"/>
        <v>12Go Link</v>
      </c>
      <c r="E9617" s="2" t="s">
        <v>3409</v>
      </c>
    </row>
    <row r="9618">
      <c r="A9618" s="2" t="s">
        <v>4939</v>
      </c>
      <c r="B9618" s="2" t="s">
        <v>4941</v>
      </c>
      <c r="C9618" s="2" t="s">
        <v>5600</v>
      </c>
      <c r="D9618" s="3" t="str">
        <f t="shared" ref="D9618:D9620" si="1963">HYPERLINK("https://12go.asia/en/travel/Beruwala/Bundala", "12Go Link")</f>
        <v>12Go Link</v>
      </c>
      <c r="E9618" s="2" t="s">
        <v>286</v>
      </c>
    </row>
    <row r="9619">
      <c r="A9619" s="2" t="s">
        <v>4939</v>
      </c>
      <c r="B9619" s="2" t="s">
        <v>4941</v>
      </c>
      <c r="C9619" s="2" t="s">
        <v>5600</v>
      </c>
      <c r="D9619" s="3" t="str">
        <f t="shared" si="1963"/>
        <v>12Go Link</v>
      </c>
      <c r="E9619" s="2" t="s">
        <v>4139</v>
      </c>
    </row>
    <row r="9620">
      <c r="A9620" s="2" t="s">
        <v>4939</v>
      </c>
      <c r="B9620" s="2" t="s">
        <v>4941</v>
      </c>
      <c r="C9620" s="2" t="s">
        <v>5600</v>
      </c>
      <c r="D9620" s="3" t="str">
        <f t="shared" si="1963"/>
        <v>12Go Link</v>
      </c>
      <c r="E9620" s="2" t="s">
        <v>3409</v>
      </c>
    </row>
    <row r="9621">
      <c r="A9621" s="2" t="s">
        <v>4939</v>
      </c>
      <c r="B9621" s="2" t="s">
        <v>4945</v>
      </c>
      <c r="C9621" s="2" t="s">
        <v>5601</v>
      </c>
      <c r="D9621" s="3" t="str">
        <f t="shared" ref="D9621:D9623" si="1964">HYPERLINK("https://12go.asia/en/travel/Beruwala/Bandaranaike-Airport", "12Go Link")</f>
        <v>12Go Link</v>
      </c>
      <c r="E9621" s="2" t="s">
        <v>286</v>
      </c>
    </row>
    <row r="9622">
      <c r="A9622" s="2" t="s">
        <v>4939</v>
      </c>
      <c r="B9622" s="2" t="s">
        <v>4945</v>
      </c>
      <c r="C9622" s="2" t="s">
        <v>5601</v>
      </c>
      <c r="D9622" s="3" t="str">
        <f t="shared" si="1964"/>
        <v>12Go Link</v>
      </c>
      <c r="E9622" s="2" t="s">
        <v>4139</v>
      </c>
    </row>
    <row r="9623">
      <c r="A9623" s="2" t="s">
        <v>4939</v>
      </c>
      <c r="B9623" s="2" t="s">
        <v>4945</v>
      </c>
      <c r="C9623" s="2" t="s">
        <v>5601</v>
      </c>
      <c r="D9623" s="3" t="str">
        <f t="shared" si="1964"/>
        <v>12Go Link</v>
      </c>
      <c r="E9623" s="2" t="s">
        <v>3409</v>
      </c>
    </row>
    <row r="9624">
      <c r="A9624" s="2" t="s">
        <v>4939</v>
      </c>
      <c r="B9624" s="2" t="s">
        <v>4947</v>
      </c>
      <c r="C9624" s="2" t="s">
        <v>5602</v>
      </c>
      <c r="D9624" s="3" t="str">
        <f t="shared" ref="D9624:D9626" si="1965">HYPERLINK("https://12go.asia/en/travel/Beruwala/Dambulla", "12Go Link")</f>
        <v>12Go Link</v>
      </c>
      <c r="E9624" s="2" t="s">
        <v>286</v>
      </c>
    </row>
    <row r="9625">
      <c r="A9625" s="2" t="s">
        <v>4939</v>
      </c>
      <c r="B9625" s="2" t="s">
        <v>4947</v>
      </c>
      <c r="C9625" s="2" t="s">
        <v>5602</v>
      </c>
      <c r="D9625" s="3" t="str">
        <f t="shared" si="1965"/>
        <v>12Go Link</v>
      </c>
      <c r="E9625" s="2" t="s">
        <v>4139</v>
      </c>
    </row>
    <row r="9626">
      <c r="A9626" s="2" t="s">
        <v>4939</v>
      </c>
      <c r="B9626" s="2" t="s">
        <v>4947</v>
      </c>
      <c r="C9626" s="2" t="s">
        <v>5602</v>
      </c>
      <c r="D9626" s="3" t="str">
        <f t="shared" si="1965"/>
        <v>12Go Link</v>
      </c>
      <c r="E9626" s="2" t="s">
        <v>3409</v>
      </c>
    </row>
    <row r="9627">
      <c r="A9627" s="2" t="s">
        <v>4939</v>
      </c>
      <c r="B9627" s="2" t="s">
        <v>4949</v>
      </c>
      <c r="C9627" s="2" t="s">
        <v>5603</v>
      </c>
      <c r="D9627" s="3" t="str">
        <f t="shared" ref="D9627:D9629" si="1966">HYPERLINK("https://12go.asia/en/travel/Beruwala/Deniyaya", "12Go Link")</f>
        <v>12Go Link</v>
      </c>
      <c r="E9627" s="2" t="s">
        <v>286</v>
      </c>
    </row>
    <row r="9628">
      <c r="A9628" s="2" t="s">
        <v>4939</v>
      </c>
      <c r="B9628" s="2" t="s">
        <v>4949</v>
      </c>
      <c r="C9628" s="2" t="s">
        <v>5603</v>
      </c>
      <c r="D9628" s="3" t="str">
        <f t="shared" si="1966"/>
        <v>12Go Link</v>
      </c>
      <c r="E9628" s="2" t="s">
        <v>4139</v>
      </c>
    </row>
    <row r="9629">
      <c r="A9629" s="2" t="s">
        <v>4939</v>
      </c>
      <c r="B9629" s="2" t="s">
        <v>4949</v>
      </c>
      <c r="C9629" s="2" t="s">
        <v>5603</v>
      </c>
      <c r="D9629" s="3" t="str">
        <f t="shared" si="1966"/>
        <v>12Go Link</v>
      </c>
      <c r="E9629" s="2" t="s">
        <v>3409</v>
      </c>
    </row>
    <row r="9630">
      <c r="A9630" s="2" t="s">
        <v>4939</v>
      </c>
      <c r="B9630" s="2" t="s">
        <v>4951</v>
      </c>
      <c r="C9630" s="2" t="s">
        <v>5604</v>
      </c>
      <c r="D9630" s="3" t="str">
        <f t="shared" ref="D9630:D9632" si="1967">HYPERLINK("https://12go.asia/en/travel/Beruwala/Dickwella", "12Go Link")</f>
        <v>12Go Link</v>
      </c>
      <c r="E9630" s="2" t="s">
        <v>286</v>
      </c>
    </row>
    <row r="9631">
      <c r="A9631" s="2" t="s">
        <v>4939</v>
      </c>
      <c r="B9631" s="2" t="s">
        <v>4951</v>
      </c>
      <c r="C9631" s="2" t="s">
        <v>5604</v>
      </c>
      <c r="D9631" s="3" t="str">
        <f t="shared" si="1967"/>
        <v>12Go Link</v>
      </c>
      <c r="E9631" s="2" t="s">
        <v>4139</v>
      </c>
    </row>
    <row r="9632">
      <c r="A9632" s="2" t="s">
        <v>4939</v>
      </c>
      <c r="B9632" s="2" t="s">
        <v>4951</v>
      </c>
      <c r="C9632" s="2" t="s">
        <v>5604</v>
      </c>
      <c r="D9632" s="3" t="str">
        <f t="shared" si="1967"/>
        <v>12Go Link</v>
      </c>
      <c r="E9632" s="2" t="s">
        <v>3409</v>
      </c>
    </row>
    <row r="9633">
      <c r="A9633" s="2" t="s">
        <v>4939</v>
      </c>
      <c r="B9633" s="2" t="s">
        <v>4951</v>
      </c>
      <c r="C9633" s="2" t="s">
        <v>5605</v>
      </c>
      <c r="D9633" s="3" t="str">
        <f t="shared" ref="D9633:D9635" si="1968">HYPERLINK("https://12go.asia/en/travel/Beruwala/Hiriketiya-beach", "12Go Link")</f>
        <v>12Go Link</v>
      </c>
      <c r="E9633" s="2" t="s">
        <v>286</v>
      </c>
    </row>
    <row r="9634">
      <c r="A9634" s="2" t="s">
        <v>4939</v>
      </c>
      <c r="B9634" s="2" t="s">
        <v>4951</v>
      </c>
      <c r="C9634" s="2" t="s">
        <v>5605</v>
      </c>
      <c r="D9634" s="3" t="str">
        <f t="shared" si="1968"/>
        <v>12Go Link</v>
      </c>
      <c r="E9634" s="2" t="s">
        <v>4139</v>
      </c>
    </row>
    <row r="9635">
      <c r="A9635" s="2" t="s">
        <v>4939</v>
      </c>
      <c r="B9635" s="2" t="s">
        <v>4951</v>
      </c>
      <c r="C9635" s="2" t="s">
        <v>5605</v>
      </c>
      <c r="D9635" s="3" t="str">
        <f t="shared" si="1968"/>
        <v>12Go Link</v>
      </c>
      <c r="E9635" s="2" t="s">
        <v>3409</v>
      </c>
    </row>
    <row r="9636">
      <c r="A9636" s="2" t="s">
        <v>4939</v>
      </c>
      <c r="B9636" s="2" t="s">
        <v>4954</v>
      </c>
      <c r="C9636" s="2" t="s">
        <v>5606</v>
      </c>
      <c r="D9636" s="3" t="str">
        <f t="shared" ref="D9636:D9638" si="1969">HYPERLINK("https://12go.asia/en/travel/Beruwala/Galle", "12Go Link")</f>
        <v>12Go Link</v>
      </c>
      <c r="E9636" s="2" t="s">
        <v>286</v>
      </c>
    </row>
    <row r="9637">
      <c r="A9637" s="2" t="s">
        <v>4939</v>
      </c>
      <c r="B9637" s="2" t="s">
        <v>4954</v>
      </c>
      <c r="C9637" s="2" t="s">
        <v>5606</v>
      </c>
      <c r="D9637" s="3" t="str">
        <f t="shared" si="1969"/>
        <v>12Go Link</v>
      </c>
      <c r="E9637" s="2" t="s">
        <v>4139</v>
      </c>
    </row>
    <row r="9638">
      <c r="A9638" s="2" t="s">
        <v>4939</v>
      </c>
      <c r="B9638" s="2" t="s">
        <v>4954</v>
      </c>
      <c r="C9638" s="2" t="s">
        <v>5606</v>
      </c>
      <c r="D9638" s="3" t="str">
        <f t="shared" si="1969"/>
        <v>12Go Link</v>
      </c>
      <c r="E9638" s="2" t="s">
        <v>3409</v>
      </c>
    </row>
    <row r="9639">
      <c r="A9639" s="2" t="s">
        <v>4939</v>
      </c>
      <c r="B9639" s="2" t="s">
        <v>4954</v>
      </c>
      <c r="C9639" s="2" t="s">
        <v>5607</v>
      </c>
      <c r="D9639" s="3" t="str">
        <f t="shared" ref="D9639:D9641" si="1970">HYPERLINK("https://12go.asia/en/travel/Beruwala/Talpe", "12Go Link")</f>
        <v>12Go Link</v>
      </c>
      <c r="E9639" s="2" t="s">
        <v>286</v>
      </c>
    </row>
    <row r="9640">
      <c r="A9640" s="2" t="s">
        <v>4939</v>
      </c>
      <c r="B9640" s="2" t="s">
        <v>4954</v>
      </c>
      <c r="C9640" s="2" t="s">
        <v>5607</v>
      </c>
      <c r="D9640" s="3" t="str">
        <f t="shared" si="1970"/>
        <v>12Go Link</v>
      </c>
      <c r="E9640" s="2" t="s">
        <v>4139</v>
      </c>
    </row>
    <row r="9641">
      <c r="A9641" s="2" t="s">
        <v>4939</v>
      </c>
      <c r="B9641" s="2" t="s">
        <v>4954</v>
      </c>
      <c r="C9641" s="2" t="s">
        <v>5607</v>
      </c>
      <c r="D9641" s="3" t="str">
        <f t="shared" si="1970"/>
        <v>12Go Link</v>
      </c>
      <c r="E9641" s="2" t="s">
        <v>3409</v>
      </c>
    </row>
    <row r="9642">
      <c r="A9642" s="2" t="s">
        <v>4939</v>
      </c>
      <c r="B9642" s="2" t="s">
        <v>4957</v>
      </c>
      <c r="C9642" s="2" t="s">
        <v>5608</v>
      </c>
      <c r="D9642" s="3" t="str">
        <f t="shared" ref="D9642:D9644" si="1971">HYPERLINK("https://12go.asia/en/travel/Beruwala/Habarana", "12Go Link")</f>
        <v>12Go Link</v>
      </c>
      <c r="E9642" s="2" t="s">
        <v>286</v>
      </c>
    </row>
    <row r="9643">
      <c r="A9643" s="2" t="s">
        <v>4939</v>
      </c>
      <c r="B9643" s="2" t="s">
        <v>4957</v>
      </c>
      <c r="C9643" s="2" t="s">
        <v>5608</v>
      </c>
      <c r="D9643" s="3" t="str">
        <f t="shared" si="1971"/>
        <v>12Go Link</v>
      </c>
      <c r="E9643" s="2" t="s">
        <v>4139</v>
      </c>
    </row>
    <row r="9644">
      <c r="A9644" s="2" t="s">
        <v>4939</v>
      </c>
      <c r="B9644" s="2" t="s">
        <v>4957</v>
      </c>
      <c r="C9644" s="2" t="s">
        <v>5608</v>
      </c>
      <c r="D9644" s="3" t="str">
        <f t="shared" si="1971"/>
        <v>12Go Link</v>
      </c>
      <c r="E9644" s="2" t="s">
        <v>3409</v>
      </c>
    </row>
    <row r="9645">
      <c r="A9645" s="2" t="s">
        <v>4939</v>
      </c>
      <c r="B9645" s="2" t="s">
        <v>4959</v>
      </c>
      <c r="C9645" s="2" t="s">
        <v>5609</v>
      </c>
      <c r="D9645" s="3" t="str">
        <f t="shared" ref="D9645:D9647" si="1972">HYPERLINK("https://12go.asia/en/travel/Beruwala/Ella", "12Go Link")</f>
        <v>12Go Link</v>
      </c>
      <c r="E9645" s="2" t="s">
        <v>286</v>
      </c>
    </row>
    <row r="9646">
      <c r="A9646" s="2" t="s">
        <v>4939</v>
      </c>
      <c r="B9646" s="2" t="s">
        <v>4959</v>
      </c>
      <c r="C9646" s="2" t="s">
        <v>5609</v>
      </c>
      <c r="D9646" s="3" t="str">
        <f t="shared" si="1972"/>
        <v>12Go Link</v>
      </c>
      <c r="E9646" s="2" t="s">
        <v>4139</v>
      </c>
    </row>
    <row r="9647">
      <c r="A9647" s="2" t="s">
        <v>4939</v>
      </c>
      <c r="B9647" s="2" t="s">
        <v>4959</v>
      </c>
      <c r="C9647" s="2" t="s">
        <v>5609</v>
      </c>
      <c r="D9647" s="3" t="str">
        <f t="shared" si="1972"/>
        <v>12Go Link</v>
      </c>
      <c r="E9647" s="2" t="s">
        <v>3409</v>
      </c>
    </row>
    <row r="9648">
      <c r="A9648" s="2" t="s">
        <v>4939</v>
      </c>
      <c r="B9648" s="2" t="s">
        <v>4961</v>
      </c>
      <c r="C9648" s="2" t="s">
        <v>5610</v>
      </c>
      <c r="D9648" s="3" t="str">
        <f t="shared" ref="D9648:D9650" si="1973">HYPERLINK("https://12go.asia/en/travel/Beruwala/Beragala", "12Go Link")</f>
        <v>12Go Link</v>
      </c>
      <c r="E9648" s="2" t="s">
        <v>286</v>
      </c>
    </row>
    <row r="9649">
      <c r="A9649" s="2" t="s">
        <v>4939</v>
      </c>
      <c r="B9649" s="2" t="s">
        <v>4961</v>
      </c>
      <c r="C9649" s="2" t="s">
        <v>5610</v>
      </c>
      <c r="D9649" s="3" t="str">
        <f t="shared" si="1973"/>
        <v>12Go Link</v>
      </c>
      <c r="E9649" s="2" t="s">
        <v>4139</v>
      </c>
    </row>
    <row r="9650">
      <c r="A9650" s="2" t="s">
        <v>4939</v>
      </c>
      <c r="B9650" s="2" t="s">
        <v>4961</v>
      </c>
      <c r="C9650" s="2" t="s">
        <v>5610</v>
      </c>
      <c r="D9650" s="3" t="str">
        <f t="shared" si="1973"/>
        <v>12Go Link</v>
      </c>
      <c r="E9650" s="2" t="s">
        <v>3409</v>
      </c>
    </row>
    <row r="9651">
      <c r="A9651" s="2" t="s">
        <v>4939</v>
      </c>
      <c r="B9651" s="2" t="s">
        <v>4963</v>
      </c>
      <c r="C9651" s="2" t="s">
        <v>5611</v>
      </c>
      <c r="D9651" s="3" t="str">
        <f t="shared" ref="D9651:D9653" si="1974">HYPERLINK("https://12go.asia/en/travel/Beruwala/Dick-oya", "12Go Link")</f>
        <v>12Go Link</v>
      </c>
      <c r="E9651" s="2" t="s">
        <v>286</v>
      </c>
    </row>
    <row r="9652">
      <c r="A9652" s="2" t="s">
        <v>4939</v>
      </c>
      <c r="B9652" s="2" t="s">
        <v>4963</v>
      </c>
      <c r="C9652" s="2" t="s">
        <v>5611</v>
      </c>
      <c r="D9652" s="3" t="str">
        <f t="shared" si="1974"/>
        <v>12Go Link</v>
      </c>
      <c r="E9652" s="2" t="s">
        <v>4139</v>
      </c>
    </row>
    <row r="9653">
      <c r="A9653" s="2" t="s">
        <v>4939</v>
      </c>
      <c r="B9653" s="2" t="s">
        <v>4963</v>
      </c>
      <c r="C9653" s="2" t="s">
        <v>5611</v>
      </c>
      <c r="D9653" s="3" t="str">
        <f t="shared" si="1974"/>
        <v>12Go Link</v>
      </c>
      <c r="E9653" s="2" t="s">
        <v>3409</v>
      </c>
    </row>
    <row r="9654">
      <c r="A9654" s="2" t="s">
        <v>4939</v>
      </c>
      <c r="B9654" s="2" t="s">
        <v>4965</v>
      </c>
      <c r="C9654" s="2" t="s">
        <v>5612</v>
      </c>
      <c r="D9654" s="3" t="str">
        <f t="shared" ref="D9654:D9656" si="1975">HYPERLINK("https://12go.asia/en/travel/Beruwala/Dodanduwa", "12Go Link")</f>
        <v>12Go Link</v>
      </c>
      <c r="E9654" s="2" t="s">
        <v>286</v>
      </c>
    </row>
    <row r="9655">
      <c r="A9655" s="2" t="s">
        <v>4939</v>
      </c>
      <c r="B9655" s="2" t="s">
        <v>4965</v>
      </c>
      <c r="C9655" s="2" t="s">
        <v>5612</v>
      </c>
      <c r="D9655" s="3" t="str">
        <f t="shared" si="1975"/>
        <v>12Go Link</v>
      </c>
      <c r="E9655" s="2" t="s">
        <v>4139</v>
      </c>
    </row>
    <row r="9656">
      <c r="A9656" s="2" t="s">
        <v>4939</v>
      </c>
      <c r="B9656" s="2" t="s">
        <v>4965</v>
      </c>
      <c r="C9656" s="2" t="s">
        <v>5612</v>
      </c>
      <c r="D9656" s="3" t="str">
        <f t="shared" si="1975"/>
        <v>12Go Link</v>
      </c>
      <c r="E9656" s="2" t="s">
        <v>3409</v>
      </c>
    </row>
    <row r="9657">
      <c r="A9657" s="2" t="s">
        <v>4939</v>
      </c>
      <c r="B9657" s="2" t="s">
        <v>4967</v>
      </c>
      <c r="C9657" s="2" t="s">
        <v>5613</v>
      </c>
      <c r="D9657" s="3" t="str">
        <f t="shared" ref="D9657:D9659" si="1976">HYPERLINK("https://12go.asia/en/travel/Beruwala/Induruwa", "12Go Link")</f>
        <v>12Go Link</v>
      </c>
      <c r="E9657" s="2" t="s">
        <v>286</v>
      </c>
    </row>
    <row r="9658">
      <c r="A9658" s="2" t="s">
        <v>4939</v>
      </c>
      <c r="B9658" s="2" t="s">
        <v>4967</v>
      </c>
      <c r="C9658" s="2" t="s">
        <v>5613</v>
      </c>
      <c r="D9658" s="3" t="str">
        <f t="shared" si="1976"/>
        <v>12Go Link</v>
      </c>
      <c r="E9658" s="2" t="s">
        <v>4139</v>
      </c>
    </row>
    <row r="9659">
      <c r="A9659" s="2" t="s">
        <v>4939</v>
      </c>
      <c r="B9659" s="2" t="s">
        <v>4967</v>
      </c>
      <c r="C9659" s="2" t="s">
        <v>5613</v>
      </c>
      <c r="D9659" s="3" t="str">
        <f t="shared" si="1976"/>
        <v>12Go Link</v>
      </c>
      <c r="E9659" s="2" t="s">
        <v>3409</v>
      </c>
    </row>
    <row r="9660">
      <c r="A9660" s="2" t="s">
        <v>4939</v>
      </c>
      <c r="B9660" s="2" t="s">
        <v>4969</v>
      </c>
      <c r="C9660" s="2" t="s">
        <v>5614</v>
      </c>
      <c r="D9660" s="3" t="str">
        <f t="shared" ref="D9660:D9662" si="1977">HYPERLINK("https://12go.asia/en/travel/Beruwala/Jaffna", "12Go Link")</f>
        <v>12Go Link</v>
      </c>
      <c r="E9660" s="2" t="s">
        <v>286</v>
      </c>
    </row>
    <row r="9661">
      <c r="A9661" s="2" t="s">
        <v>4939</v>
      </c>
      <c r="B9661" s="2" t="s">
        <v>4969</v>
      </c>
      <c r="C9661" s="2" t="s">
        <v>5614</v>
      </c>
      <c r="D9661" s="3" t="str">
        <f t="shared" si="1977"/>
        <v>12Go Link</v>
      </c>
      <c r="E9661" s="2" t="s">
        <v>4139</v>
      </c>
    </row>
    <row r="9662">
      <c r="A9662" s="2" t="s">
        <v>4939</v>
      </c>
      <c r="B9662" s="2" t="s">
        <v>4969</v>
      </c>
      <c r="C9662" s="2" t="s">
        <v>5614</v>
      </c>
      <c r="D9662" s="3" t="str">
        <f t="shared" si="1977"/>
        <v>12Go Link</v>
      </c>
      <c r="E9662" s="2" t="s">
        <v>3409</v>
      </c>
    </row>
    <row r="9663">
      <c r="A9663" s="2" t="s">
        <v>4939</v>
      </c>
      <c r="B9663" s="2" t="s">
        <v>4971</v>
      </c>
      <c r="C9663" s="2" t="s">
        <v>5615</v>
      </c>
      <c r="D9663" s="3" t="str">
        <f t="shared" ref="D9663:D9665" si="1978">HYPERLINK("https://12go.asia/en/travel/Beruwala/Kalapuwa", "12Go Link")</f>
        <v>12Go Link</v>
      </c>
      <c r="E9663" s="2" t="s">
        <v>286</v>
      </c>
    </row>
    <row r="9664">
      <c r="A9664" s="2" t="s">
        <v>4939</v>
      </c>
      <c r="B9664" s="2" t="s">
        <v>4971</v>
      </c>
      <c r="C9664" s="2" t="s">
        <v>5615</v>
      </c>
      <c r="D9664" s="3" t="str">
        <f t="shared" si="1978"/>
        <v>12Go Link</v>
      </c>
      <c r="E9664" s="2" t="s">
        <v>4139</v>
      </c>
    </row>
    <row r="9665">
      <c r="A9665" s="2" t="s">
        <v>4939</v>
      </c>
      <c r="B9665" s="2" t="s">
        <v>4971</v>
      </c>
      <c r="C9665" s="2" t="s">
        <v>5615</v>
      </c>
      <c r="D9665" s="3" t="str">
        <f t="shared" si="1978"/>
        <v>12Go Link</v>
      </c>
      <c r="E9665" s="2" t="s">
        <v>3409</v>
      </c>
    </row>
    <row r="9666">
      <c r="A9666" s="2" t="s">
        <v>4939</v>
      </c>
      <c r="B9666" s="2" t="s">
        <v>4973</v>
      </c>
      <c r="C9666" s="2" t="s">
        <v>5616</v>
      </c>
      <c r="D9666" s="3" t="str">
        <f t="shared" ref="D9666:D9668" si="1979">HYPERLINK("https://12go.asia/en/travel/Beruwala/Ampitiya", "12Go Link")</f>
        <v>12Go Link</v>
      </c>
      <c r="E9666" s="2" t="s">
        <v>286</v>
      </c>
    </row>
    <row r="9667">
      <c r="A9667" s="2" t="s">
        <v>4939</v>
      </c>
      <c r="B9667" s="2" t="s">
        <v>4973</v>
      </c>
      <c r="C9667" s="2" t="s">
        <v>5616</v>
      </c>
      <c r="D9667" s="3" t="str">
        <f t="shared" si="1979"/>
        <v>12Go Link</v>
      </c>
      <c r="E9667" s="2" t="s">
        <v>4139</v>
      </c>
    </row>
    <row r="9668">
      <c r="A9668" s="2" t="s">
        <v>4939</v>
      </c>
      <c r="B9668" s="2" t="s">
        <v>4973</v>
      </c>
      <c r="C9668" s="2" t="s">
        <v>5616</v>
      </c>
      <c r="D9668" s="3" t="str">
        <f t="shared" si="1979"/>
        <v>12Go Link</v>
      </c>
      <c r="E9668" s="2" t="s">
        <v>3409</v>
      </c>
    </row>
    <row r="9669">
      <c r="A9669" s="2" t="s">
        <v>4939</v>
      </c>
      <c r="B9669" s="2" t="s">
        <v>4973</v>
      </c>
      <c r="C9669" s="2" t="s">
        <v>5617</v>
      </c>
      <c r="D9669" s="3" t="str">
        <f t="shared" ref="D9669:D9671" si="1980">HYPERLINK("https://12go.asia/en/travel/Beruwala/Digana", "12Go Link")</f>
        <v>12Go Link</v>
      </c>
      <c r="E9669" s="2" t="s">
        <v>286</v>
      </c>
    </row>
    <row r="9670">
      <c r="A9670" s="2" t="s">
        <v>4939</v>
      </c>
      <c r="B9670" s="2" t="s">
        <v>4973</v>
      </c>
      <c r="C9670" s="2" t="s">
        <v>5617</v>
      </c>
      <c r="D9670" s="3" t="str">
        <f t="shared" si="1980"/>
        <v>12Go Link</v>
      </c>
      <c r="E9670" s="2" t="s">
        <v>4139</v>
      </c>
    </row>
    <row r="9671">
      <c r="A9671" s="2" t="s">
        <v>4939</v>
      </c>
      <c r="B9671" s="2" t="s">
        <v>4973</v>
      </c>
      <c r="C9671" s="2" t="s">
        <v>5617</v>
      </c>
      <c r="D9671" s="3" t="str">
        <f t="shared" si="1980"/>
        <v>12Go Link</v>
      </c>
      <c r="E9671" s="2" t="s">
        <v>3409</v>
      </c>
    </row>
    <row r="9672">
      <c r="A9672" s="2" t="s">
        <v>4939</v>
      </c>
      <c r="B9672" s="2" t="s">
        <v>4976</v>
      </c>
      <c r="C9672" s="2" t="s">
        <v>5618</v>
      </c>
      <c r="D9672" s="3" t="str">
        <f t="shared" ref="D9672:D9674" si="1981">HYPERLINK("https://12go.asia/en/travel/Beruwala/Kataragama", "12Go Link")</f>
        <v>12Go Link</v>
      </c>
      <c r="E9672" s="2" t="s">
        <v>286</v>
      </c>
    </row>
    <row r="9673">
      <c r="A9673" s="2" t="s">
        <v>4939</v>
      </c>
      <c r="B9673" s="2" t="s">
        <v>4976</v>
      </c>
      <c r="C9673" s="2" t="s">
        <v>5618</v>
      </c>
      <c r="D9673" s="3" t="str">
        <f t="shared" si="1981"/>
        <v>12Go Link</v>
      </c>
      <c r="E9673" s="2" t="s">
        <v>4139</v>
      </c>
    </row>
    <row r="9674">
      <c r="A9674" s="2" t="s">
        <v>4939</v>
      </c>
      <c r="B9674" s="2" t="s">
        <v>4976</v>
      </c>
      <c r="C9674" s="2" t="s">
        <v>5618</v>
      </c>
      <c r="D9674" s="3" t="str">
        <f t="shared" si="1981"/>
        <v>12Go Link</v>
      </c>
      <c r="E9674" s="2" t="s">
        <v>3409</v>
      </c>
    </row>
    <row r="9675">
      <c r="A9675" s="2" t="s">
        <v>4939</v>
      </c>
      <c r="B9675" s="2" t="s">
        <v>4978</v>
      </c>
      <c r="C9675" s="2" t="s">
        <v>5619</v>
      </c>
      <c r="D9675" s="3" t="str">
        <f t="shared" ref="D9675:D9677" si="1982">HYPERLINK("https://12go.asia/en/travel/Beruwala/Alawathupitiya", "12Go Link")</f>
        <v>12Go Link</v>
      </c>
      <c r="E9675" s="2" t="s">
        <v>286</v>
      </c>
    </row>
    <row r="9676">
      <c r="A9676" s="2" t="s">
        <v>4939</v>
      </c>
      <c r="B9676" s="2" t="s">
        <v>4978</v>
      </c>
      <c r="C9676" s="2" t="s">
        <v>5619</v>
      </c>
      <c r="D9676" s="3" t="str">
        <f t="shared" si="1982"/>
        <v>12Go Link</v>
      </c>
      <c r="E9676" s="2" t="s">
        <v>4139</v>
      </c>
    </row>
    <row r="9677">
      <c r="A9677" s="2" t="s">
        <v>4939</v>
      </c>
      <c r="B9677" s="2" t="s">
        <v>4978</v>
      </c>
      <c r="C9677" s="2" t="s">
        <v>5619</v>
      </c>
      <c r="D9677" s="3" t="str">
        <f t="shared" si="1982"/>
        <v>12Go Link</v>
      </c>
      <c r="E9677" s="2" t="s">
        <v>3409</v>
      </c>
    </row>
    <row r="9678">
      <c r="A9678" s="2" t="s">
        <v>4939</v>
      </c>
      <c r="B9678" s="2" t="s">
        <v>4980</v>
      </c>
      <c r="C9678" s="2" t="s">
        <v>5620</v>
      </c>
      <c r="D9678" s="3" t="str">
        <f t="shared" ref="D9678:D9680" si="1983">HYPERLINK("https://12go.asia/en/travel/Beruwala/Pinnawala", "12Go Link")</f>
        <v>12Go Link</v>
      </c>
      <c r="E9678" s="2" t="s">
        <v>286</v>
      </c>
    </row>
    <row r="9679">
      <c r="A9679" s="2" t="s">
        <v>4939</v>
      </c>
      <c r="B9679" s="2" t="s">
        <v>4980</v>
      </c>
      <c r="C9679" s="2" t="s">
        <v>5620</v>
      </c>
      <c r="D9679" s="3" t="str">
        <f t="shared" si="1983"/>
        <v>12Go Link</v>
      </c>
      <c r="E9679" s="2" t="s">
        <v>4139</v>
      </c>
    </row>
    <row r="9680">
      <c r="A9680" s="2" t="s">
        <v>4939</v>
      </c>
      <c r="B9680" s="2" t="s">
        <v>4980</v>
      </c>
      <c r="C9680" s="2" t="s">
        <v>5620</v>
      </c>
      <c r="D9680" s="3" t="str">
        <f t="shared" si="1983"/>
        <v>12Go Link</v>
      </c>
      <c r="E9680" s="2" t="s">
        <v>3409</v>
      </c>
    </row>
    <row r="9681">
      <c r="A9681" s="2" t="s">
        <v>4939</v>
      </c>
      <c r="B9681" s="2" t="s">
        <v>4982</v>
      </c>
      <c r="C9681" s="2" t="s">
        <v>5621</v>
      </c>
      <c r="D9681" s="3" t="str">
        <f t="shared" ref="D9681:D9683" si="1984">HYPERLINK("https://12go.asia/en/travel/Beruwala/Kitulgala", "12Go Link")</f>
        <v>12Go Link</v>
      </c>
      <c r="E9681" s="2" t="s">
        <v>286</v>
      </c>
    </row>
    <row r="9682">
      <c r="A9682" s="2" t="s">
        <v>4939</v>
      </c>
      <c r="B9682" s="2" t="s">
        <v>4982</v>
      </c>
      <c r="C9682" s="2" t="s">
        <v>5621</v>
      </c>
      <c r="D9682" s="3" t="str">
        <f t="shared" si="1984"/>
        <v>12Go Link</v>
      </c>
      <c r="E9682" s="2" t="s">
        <v>4139</v>
      </c>
    </row>
    <row r="9683">
      <c r="A9683" s="2" t="s">
        <v>4939</v>
      </c>
      <c r="B9683" s="2" t="s">
        <v>4982</v>
      </c>
      <c r="C9683" s="2" t="s">
        <v>5621</v>
      </c>
      <c r="D9683" s="3" t="str">
        <f t="shared" si="1984"/>
        <v>12Go Link</v>
      </c>
      <c r="E9683" s="2" t="s">
        <v>3409</v>
      </c>
    </row>
    <row r="9684">
      <c r="A9684" s="2" t="s">
        <v>4939</v>
      </c>
      <c r="B9684" s="2" t="s">
        <v>4984</v>
      </c>
      <c r="C9684" s="2" t="s">
        <v>5622</v>
      </c>
      <c r="D9684" s="3" t="str">
        <f t="shared" ref="D9684:D9686" si="1985">HYPERLINK("https://12go.asia/en/travel/Beruwala/Habaraduwa", "12Go Link")</f>
        <v>12Go Link</v>
      </c>
      <c r="E9684" s="2" t="s">
        <v>286</v>
      </c>
    </row>
    <row r="9685">
      <c r="A9685" s="2" t="s">
        <v>4939</v>
      </c>
      <c r="B9685" s="2" t="s">
        <v>4984</v>
      </c>
      <c r="C9685" s="2" t="s">
        <v>5622</v>
      </c>
      <c r="D9685" s="3" t="str">
        <f t="shared" si="1985"/>
        <v>12Go Link</v>
      </c>
      <c r="E9685" s="2" t="s">
        <v>4139</v>
      </c>
    </row>
    <row r="9686">
      <c r="A9686" s="2" t="s">
        <v>4939</v>
      </c>
      <c r="B9686" s="2" t="s">
        <v>4984</v>
      </c>
      <c r="C9686" s="2" t="s">
        <v>5622</v>
      </c>
      <c r="D9686" s="3" t="str">
        <f t="shared" si="1985"/>
        <v>12Go Link</v>
      </c>
      <c r="E9686" s="2" t="s">
        <v>3409</v>
      </c>
    </row>
    <row r="9687">
      <c r="A9687" s="2" t="s">
        <v>4939</v>
      </c>
      <c r="B9687" s="2" t="s">
        <v>4986</v>
      </c>
      <c r="C9687" s="2" t="s">
        <v>5623</v>
      </c>
      <c r="D9687" s="3" t="str">
        <f t="shared" ref="D9687:D9689" si="1986">HYPERLINK("https://12go.asia/en/travel/Beruwala/Kosgoda", "12Go Link")</f>
        <v>12Go Link</v>
      </c>
      <c r="E9687" s="2" t="s">
        <v>286</v>
      </c>
    </row>
    <row r="9688">
      <c r="A9688" s="2" t="s">
        <v>4939</v>
      </c>
      <c r="B9688" s="2" t="s">
        <v>4986</v>
      </c>
      <c r="C9688" s="2" t="s">
        <v>5623</v>
      </c>
      <c r="D9688" s="3" t="str">
        <f t="shared" si="1986"/>
        <v>12Go Link</v>
      </c>
      <c r="E9688" s="2" t="s">
        <v>4139</v>
      </c>
    </row>
    <row r="9689">
      <c r="A9689" s="2" t="s">
        <v>4939</v>
      </c>
      <c r="B9689" s="2" t="s">
        <v>4986</v>
      </c>
      <c r="C9689" s="2" t="s">
        <v>5623</v>
      </c>
      <c r="D9689" s="3" t="str">
        <f t="shared" si="1986"/>
        <v>12Go Link</v>
      </c>
      <c r="E9689" s="2" t="s">
        <v>3409</v>
      </c>
    </row>
    <row r="9690">
      <c r="A9690" s="2" t="s">
        <v>4939</v>
      </c>
      <c r="B9690" s="2" t="s">
        <v>4988</v>
      </c>
      <c r="C9690" s="2" t="s">
        <v>5624</v>
      </c>
      <c r="D9690" s="3" t="str">
        <f t="shared" ref="D9690:D9692" si="1987">HYPERLINK("https://12go.asia/en/travel/Beruwala/Kuchchaveli", "12Go Link")</f>
        <v>12Go Link</v>
      </c>
      <c r="E9690" s="2" t="s">
        <v>286</v>
      </c>
    </row>
    <row r="9691">
      <c r="A9691" s="2" t="s">
        <v>4939</v>
      </c>
      <c r="B9691" s="2" t="s">
        <v>4988</v>
      </c>
      <c r="C9691" s="2" t="s">
        <v>5624</v>
      </c>
      <c r="D9691" s="3" t="str">
        <f t="shared" si="1987"/>
        <v>12Go Link</v>
      </c>
      <c r="E9691" s="2" t="s">
        <v>4139</v>
      </c>
    </row>
    <row r="9692">
      <c r="A9692" s="2" t="s">
        <v>4939</v>
      </c>
      <c r="B9692" s="2" t="s">
        <v>4988</v>
      </c>
      <c r="C9692" s="2" t="s">
        <v>5624</v>
      </c>
      <c r="D9692" s="3" t="str">
        <f t="shared" si="1987"/>
        <v>12Go Link</v>
      </c>
      <c r="E9692" s="2" t="s">
        <v>3409</v>
      </c>
    </row>
    <row r="9693">
      <c r="A9693" s="2" t="s">
        <v>4939</v>
      </c>
      <c r="B9693" s="2" t="s">
        <v>4990</v>
      </c>
      <c r="C9693" s="2" t="s">
        <v>5625</v>
      </c>
      <c r="D9693" s="3" t="str">
        <f t="shared" ref="D9693:D9695" si="1988">HYPERLINK("https://12go.asia/en/travel/Beruwala/Mannar", "12Go Link")</f>
        <v>12Go Link</v>
      </c>
      <c r="E9693" s="2" t="s">
        <v>286</v>
      </c>
    </row>
    <row r="9694">
      <c r="A9694" s="2" t="s">
        <v>4939</v>
      </c>
      <c r="B9694" s="2" t="s">
        <v>4990</v>
      </c>
      <c r="C9694" s="2" t="s">
        <v>5625</v>
      </c>
      <c r="D9694" s="3" t="str">
        <f t="shared" si="1988"/>
        <v>12Go Link</v>
      </c>
      <c r="E9694" s="2" t="s">
        <v>4139</v>
      </c>
    </row>
    <row r="9695">
      <c r="A9695" s="2" t="s">
        <v>4939</v>
      </c>
      <c r="B9695" s="2" t="s">
        <v>4990</v>
      </c>
      <c r="C9695" s="2" t="s">
        <v>5625</v>
      </c>
      <c r="D9695" s="3" t="str">
        <f t="shared" si="1988"/>
        <v>12Go Link</v>
      </c>
      <c r="E9695" s="2" t="s">
        <v>3409</v>
      </c>
    </row>
    <row r="9696">
      <c r="A9696" s="2" t="s">
        <v>4939</v>
      </c>
      <c r="B9696" s="2" t="s">
        <v>4992</v>
      </c>
      <c r="C9696" s="2" t="s">
        <v>5626</v>
      </c>
      <c r="D9696" s="3" t="str">
        <f t="shared" ref="D9696:D9698" si="1989">HYPERLINK("https://12go.asia/en/travel/Beruwala/Kinigama", "12Go Link")</f>
        <v>12Go Link</v>
      </c>
      <c r="E9696" s="2" t="s">
        <v>286</v>
      </c>
    </row>
    <row r="9697">
      <c r="A9697" s="2" t="s">
        <v>4939</v>
      </c>
      <c r="B9697" s="2" t="s">
        <v>4992</v>
      </c>
      <c r="C9697" s="2" t="s">
        <v>5626</v>
      </c>
      <c r="D9697" s="3" t="str">
        <f t="shared" si="1989"/>
        <v>12Go Link</v>
      </c>
      <c r="E9697" s="2" t="s">
        <v>4139</v>
      </c>
    </row>
    <row r="9698">
      <c r="A9698" s="2" t="s">
        <v>4939</v>
      </c>
      <c r="B9698" s="2" t="s">
        <v>4992</v>
      </c>
      <c r="C9698" s="2" t="s">
        <v>5626</v>
      </c>
      <c r="D9698" s="3" t="str">
        <f t="shared" si="1989"/>
        <v>12Go Link</v>
      </c>
      <c r="E9698" s="2" t="s">
        <v>3409</v>
      </c>
    </row>
    <row r="9699">
      <c r="A9699" s="2" t="s">
        <v>4939</v>
      </c>
      <c r="B9699" s="2" t="s">
        <v>4994</v>
      </c>
      <c r="C9699" s="2" t="s">
        <v>5627</v>
      </c>
      <c r="D9699" s="3" t="str">
        <f t="shared" ref="D9699:D9701" si="1990">HYPERLINK("https://12go.asia/en/travel/Beruwala/Kalamatiya", "12Go Link")</f>
        <v>12Go Link</v>
      </c>
      <c r="E9699" s="2" t="s">
        <v>286</v>
      </c>
    </row>
    <row r="9700">
      <c r="A9700" s="2" t="s">
        <v>4939</v>
      </c>
      <c r="B9700" s="2" t="s">
        <v>4994</v>
      </c>
      <c r="C9700" s="2" t="s">
        <v>5627</v>
      </c>
      <c r="D9700" s="3" t="str">
        <f t="shared" si="1990"/>
        <v>12Go Link</v>
      </c>
      <c r="E9700" s="2" t="s">
        <v>4139</v>
      </c>
    </row>
    <row r="9701">
      <c r="A9701" s="2" t="s">
        <v>4939</v>
      </c>
      <c r="B9701" s="2" t="s">
        <v>4994</v>
      </c>
      <c r="C9701" s="2" t="s">
        <v>5627</v>
      </c>
      <c r="D9701" s="3" t="str">
        <f t="shared" si="1990"/>
        <v>12Go Link</v>
      </c>
      <c r="E9701" s="2" t="s">
        <v>3409</v>
      </c>
    </row>
    <row r="9702">
      <c r="A9702" s="2" t="s">
        <v>4939</v>
      </c>
      <c r="B9702" s="2" t="s">
        <v>4996</v>
      </c>
      <c r="C9702" s="2" t="s">
        <v>5628</v>
      </c>
      <c r="D9702" s="3" t="str">
        <f t="shared" ref="D9702:D9704" si="1991">HYPERLINK("https://12go.asia/en/travel/Beruwala/mirissa", "12Go Link")</f>
        <v>12Go Link</v>
      </c>
      <c r="E9702" s="2" t="s">
        <v>286</v>
      </c>
    </row>
    <row r="9703">
      <c r="A9703" s="2" t="s">
        <v>4939</v>
      </c>
      <c r="B9703" s="2" t="s">
        <v>4996</v>
      </c>
      <c r="C9703" s="2" t="s">
        <v>5628</v>
      </c>
      <c r="D9703" s="3" t="str">
        <f t="shared" si="1991"/>
        <v>12Go Link</v>
      </c>
      <c r="E9703" s="2" t="s">
        <v>4139</v>
      </c>
    </row>
    <row r="9704">
      <c r="A9704" s="2" t="s">
        <v>4939</v>
      </c>
      <c r="B9704" s="2" t="s">
        <v>4996</v>
      </c>
      <c r="C9704" s="2" t="s">
        <v>5628</v>
      </c>
      <c r="D9704" s="3" t="str">
        <f t="shared" si="1991"/>
        <v>12Go Link</v>
      </c>
      <c r="E9704" s="2" t="s">
        <v>3409</v>
      </c>
    </row>
    <row r="9705">
      <c r="A9705" s="2" t="s">
        <v>4939</v>
      </c>
      <c r="B9705" s="2" t="s">
        <v>4998</v>
      </c>
      <c r="C9705" s="2" t="s">
        <v>5629</v>
      </c>
      <c r="D9705" s="3" t="str">
        <f t="shared" ref="D9705:D9707" si="1992">HYPERLINK("https://12go.asia/en/travel/Beruwala/Nanu-Oya", "12Go Link")</f>
        <v>12Go Link</v>
      </c>
      <c r="E9705" s="2" t="s">
        <v>286</v>
      </c>
    </row>
    <row r="9706">
      <c r="A9706" s="2" t="s">
        <v>4939</v>
      </c>
      <c r="B9706" s="2" t="s">
        <v>4998</v>
      </c>
      <c r="C9706" s="2" t="s">
        <v>5629</v>
      </c>
      <c r="D9706" s="3" t="str">
        <f t="shared" si="1992"/>
        <v>12Go Link</v>
      </c>
      <c r="E9706" s="2" t="s">
        <v>4139</v>
      </c>
    </row>
    <row r="9707">
      <c r="A9707" s="2" t="s">
        <v>4939</v>
      </c>
      <c r="B9707" s="2" t="s">
        <v>4998</v>
      </c>
      <c r="C9707" s="2" t="s">
        <v>5629</v>
      </c>
      <c r="D9707" s="3" t="str">
        <f t="shared" si="1992"/>
        <v>12Go Link</v>
      </c>
      <c r="E9707" s="2" t="s">
        <v>3409</v>
      </c>
    </row>
    <row r="9708">
      <c r="A9708" s="2" t="s">
        <v>4939</v>
      </c>
      <c r="B9708" s="2" t="s">
        <v>5000</v>
      </c>
      <c r="C9708" s="2" t="s">
        <v>5630</v>
      </c>
      <c r="D9708" s="3" t="str">
        <f>HYPERLINK("https://12go.asia/en/travel/Beruwala/Dalupotha", "12Go Link")</f>
        <v>12Go Link</v>
      </c>
      <c r="E9708" s="2" t="s">
        <v>3409</v>
      </c>
    </row>
    <row r="9709">
      <c r="A9709" s="2" t="s">
        <v>4939</v>
      </c>
      <c r="B9709" s="2" t="s">
        <v>5000</v>
      </c>
      <c r="C9709" s="2" t="s">
        <v>5631</v>
      </c>
      <c r="D9709" s="3" t="str">
        <f t="shared" ref="D9709:D9711" si="1993">HYPERLINK("https://12go.asia/en/travel/Beruwala/Waikkal", "12Go Link")</f>
        <v>12Go Link</v>
      </c>
      <c r="E9709" s="2" t="s">
        <v>286</v>
      </c>
    </row>
    <row r="9710">
      <c r="A9710" s="2" t="s">
        <v>4939</v>
      </c>
      <c r="B9710" s="2" t="s">
        <v>5000</v>
      </c>
      <c r="C9710" s="2" t="s">
        <v>5631</v>
      </c>
      <c r="D9710" s="3" t="str">
        <f t="shared" si="1993"/>
        <v>12Go Link</v>
      </c>
      <c r="E9710" s="2" t="s">
        <v>4139</v>
      </c>
    </row>
    <row r="9711">
      <c r="A9711" s="2" t="s">
        <v>4939</v>
      </c>
      <c r="B9711" s="2" t="s">
        <v>5000</v>
      </c>
      <c r="C9711" s="2" t="s">
        <v>5631</v>
      </c>
      <c r="D9711" s="3" t="str">
        <f t="shared" si="1993"/>
        <v>12Go Link</v>
      </c>
      <c r="E9711" s="2" t="s">
        <v>3409</v>
      </c>
    </row>
    <row r="9712">
      <c r="A9712" s="2" t="s">
        <v>4939</v>
      </c>
      <c r="B9712" s="2" t="s">
        <v>5003</v>
      </c>
      <c r="C9712" s="2" t="s">
        <v>5632</v>
      </c>
      <c r="D9712" s="3" t="str">
        <f t="shared" ref="D9712:D9714" si="1994">HYPERLINK("https://12go.asia/en/travel/Beruwala/Nilaveli", "12Go Link")</f>
        <v>12Go Link</v>
      </c>
      <c r="E9712" s="2" t="s">
        <v>286</v>
      </c>
    </row>
    <row r="9713">
      <c r="A9713" s="2" t="s">
        <v>4939</v>
      </c>
      <c r="B9713" s="2" t="s">
        <v>5003</v>
      </c>
      <c r="C9713" s="2" t="s">
        <v>5632</v>
      </c>
      <c r="D9713" s="3" t="str">
        <f t="shared" si="1994"/>
        <v>12Go Link</v>
      </c>
      <c r="E9713" s="2" t="s">
        <v>4139</v>
      </c>
    </row>
    <row r="9714">
      <c r="A9714" s="2" t="s">
        <v>4939</v>
      </c>
      <c r="B9714" s="2" t="s">
        <v>5003</v>
      </c>
      <c r="C9714" s="2" t="s">
        <v>5632</v>
      </c>
      <c r="D9714" s="3" t="str">
        <f t="shared" si="1994"/>
        <v>12Go Link</v>
      </c>
      <c r="E9714" s="2" t="s">
        <v>3409</v>
      </c>
    </row>
    <row r="9715">
      <c r="A9715" s="2" t="s">
        <v>4939</v>
      </c>
      <c r="B9715" s="2" t="s">
        <v>5005</v>
      </c>
      <c r="C9715" s="2" t="s">
        <v>5633</v>
      </c>
      <c r="D9715" s="3" t="str">
        <f t="shared" ref="D9715:D9717" si="1995">HYPERLINK("https://12go.asia/en/travel/Beruwala/Kotmale", "12Go Link")</f>
        <v>12Go Link</v>
      </c>
      <c r="E9715" s="2" t="s">
        <v>286</v>
      </c>
    </row>
    <row r="9716">
      <c r="A9716" s="2" t="s">
        <v>4939</v>
      </c>
      <c r="B9716" s="2" t="s">
        <v>5005</v>
      </c>
      <c r="C9716" s="2" t="s">
        <v>5633</v>
      </c>
      <c r="D9716" s="3" t="str">
        <f t="shared" si="1995"/>
        <v>12Go Link</v>
      </c>
      <c r="E9716" s="2" t="s">
        <v>4139</v>
      </c>
    </row>
    <row r="9717">
      <c r="A9717" s="2" t="s">
        <v>4939</v>
      </c>
      <c r="B9717" s="2" t="s">
        <v>5005</v>
      </c>
      <c r="C9717" s="2" t="s">
        <v>5633</v>
      </c>
      <c r="D9717" s="3" t="str">
        <f t="shared" si="1995"/>
        <v>12Go Link</v>
      </c>
      <c r="E9717" s="2" t="s">
        <v>3409</v>
      </c>
    </row>
    <row r="9718">
      <c r="A9718" s="2" t="s">
        <v>4939</v>
      </c>
      <c r="B9718" s="2" t="s">
        <v>5007</v>
      </c>
      <c r="C9718" s="2" t="s">
        <v>5634</v>
      </c>
      <c r="D9718" s="3" t="str">
        <f t="shared" ref="D9718:D9720" si="1996">HYPERLINK("https://12go.asia/en/travel/Beruwala/Pasikuda", "12Go Link")</f>
        <v>12Go Link</v>
      </c>
      <c r="E9718" s="2" t="s">
        <v>286</v>
      </c>
    </row>
    <row r="9719">
      <c r="A9719" s="2" t="s">
        <v>4939</v>
      </c>
      <c r="B9719" s="2" t="s">
        <v>5007</v>
      </c>
      <c r="C9719" s="2" t="s">
        <v>5634</v>
      </c>
      <c r="D9719" s="3" t="str">
        <f t="shared" si="1996"/>
        <v>12Go Link</v>
      </c>
      <c r="E9719" s="2" t="s">
        <v>4139</v>
      </c>
    </row>
    <row r="9720">
      <c r="A9720" s="2" t="s">
        <v>4939</v>
      </c>
      <c r="B9720" s="2" t="s">
        <v>5007</v>
      </c>
      <c r="C9720" s="2" t="s">
        <v>5634</v>
      </c>
      <c r="D9720" s="3" t="str">
        <f t="shared" si="1996"/>
        <v>12Go Link</v>
      </c>
      <c r="E9720" s="2" t="s">
        <v>3409</v>
      </c>
    </row>
    <row r="9721">
      <c r="A9721" s="2" t="s">
        <v>4939</v>
      </c>
      <c r="B9721" s="2" t="s">
        <v>5009</v>
      </c>
      <c r="C9721" s="2" t="s">
        <v>5635</v>
      </c>
      <c r="D9721" s="3" t="str">
        <f t="shared" ref="D9721:D9723" si="1997">HYPERLINK("https://12go.asia/en/travel/Beruwala/Galoya", "12Go Link")</f>
        <v>12Go Link</v>
      </c>
      <c r="E9721" s="2" t="s">
        <v>286</v>
      </c>
    </row>
    <row r="9722">
      <c r="A9722" s="2" t="s">
        <v>4939</v>
      </c>
      <c r="B9722" s="2" t="s">
        <v>5009</v>
      </c>
      <c r="C9722" s="2" t="s">
        <v>5635</v>
      </c>
      <c r="D9722" s="3" t="str">
        <f t="shared" si="1997"/>
        <v>12Go Link</v>
      </c>
      <c r="E9722" s="2" t="s">
        <v>4139</v>
      </c>
    </row>
    <row r="9723">
      <c r="A9723" s="2" t="s">
        <v>4939</v>
      </c>
      <c r="B9723" s="2" t="s">
        <v>5009</v>
      </c>
      <c r="C9723" s="2" t="s">
        <v>5635</v>
      </c>
      <c r="D9723" s="3" t="str">
        <f t="shared" si="1997"/>
        <v>12Go Link</v>
      </c>
      <c r="E9723" s="2" t="s">
        <v>3409</v>
      </c>
    </row>
    <row r="9724">
      <c r="A9724" s="2" t="s">
        <v>4939</v>
      </c>
      <c r="B9724" s="2" t="s">
        <v>5011</v>
      </c>
      <c r="C9724" s="2" t="s">
        <v>5636</v>
      </c>
      <c r="D9724" s="3" t="str">
        <f t="shared" ref="D9724:D9726" si="1998">HYPERLINK("https://12go.asia/en/travel/Beruwala/Kalpitiya", "12Go Link")</f>
        <v>12Go Link</v>
      </c>
      <c r="E9724" s="2" t="s">
        <v>286</v>
      </c>
    </row>
    <row r="9725">
      <c r="A9725" s="2" t="s">
        <v>4939</v>
      </c>
      <c r="B9725" s="2" t="s">
        <v>5011</v>
      </c>
      <c r="C9725" s="2" t="s">
        <v>5636</v>
      </c>
      <c r="D9725" s="3" t="str">
        <f t="shared" si="1998"/>
        <v>12Go Link</v>
      </c>
      <c r="E9725" s="2" t="s">
        <v>4139</v>
      </c>
    </row>
    <row r="9726">
      <c r="A9726" s="2" t="s">
        <v>4939</v>
      </c>
      <c r="B9726" s="2" t="s">
        <v>5011</v>
      </c>
      <c r="C9726" s="2" t="s">
        <v>5636</v>
      </c>
      <c r="D9726" s="3" t="str">
        <f t="shared" si="1998"/>
        <v>12Go Link</v>
      </c>
      <c r="E9726" s="2" t="s">
        <v>3409</v>
      </c>
    </row>
    <row r="9727">
      <c r="A9727" s="2" t="s">
        <v>4939</v>
      </c>
      <c r="B9727" s="2" t="s">
        <v>5011</v>
      </c>
      <c r="C9727" s="2" t="s">
        <v>5637</v>
      </c>
      <c r="D9727" s="3" t="str">
        <f t="shared" ref="D9727:D9729" si="1999">HYPERLINK("https://12go.asia/en/travel/Beruwala/Marawila", "12Go Link")</f>
        <v>12Go Link</v>
      </c>
      <c r="E9727" s="2" t="s">
        <v>286</v>
      </c>
    </row>
    <row r="9728">
      <c r="A9728" s="2" t="s">
        <v>4939</v>
      </c>
      <c r="B9728" s="2" t="s">
        <v>5011</v>
      </c>
      <c r="C9728" s="2" t="s">
        <v>5637</v>
      </c>
      <c r="D9728" s="3" t="str">
        <f t="shared" si="1999"/>
        <v>12Go Link</v>
      </c>
      <c r="E9728" s="2" t="s">
        <v>4139</v>
      </c>
    </row>
    <row r="9729">
      <c r="A9729" s="2" t="s">
        <v>4939</v>
      </c>
      <c r="B9729" s="2" t="s">
        <v>5011</v>
      </c>
      <c r="C9729" s="2" t="s">
        <v>5637</v>
      </c>
      <c r="D9729" s="3" t="str">
        <f t="shared" si="1999"/>
        <v>12Go Link</v>
      </c>
      <c r="E9729" s="2" t="s">
        <v>3409</v>
      </c>
    </row>
    <row r="9730">
      <c r="A9730" s="2" t="s">
        <v>4939</v>
      </c>
      <c r="B9730" s="2" t="s">
        <v>5014</v>
      </c>
      <c r="C9730" s="2" t="s">
        <v>5638</v>
      </c>
      <c r="D9730" s="3" t="str">
        <f t="shared" ref="D9730:D9732" si="2000">HYPERLINK("https://12go.asia/en/travel/Beruwala/Kiriella", "12Go Link")</f>
        <v>12Go Link</v>
      </c>
      <c r="E9730" s="2" t="s">
        <v>286</v>
      </c>
    </row>
    <row r="9731">
      <c r="A9731" s="2" t="s">
        <v>4939</v>
      </c>
      <c r="B9731" s="2" t="s">
        <v>5014</v>
      </c>
      <c r="C9731" s="2" t="s">
        <v>5638</v>
      </c>
      <c r="D9731" s="3" t="str">
        <f t="shared" si="2000"/>
        <v>12Go Link</v>
      </c>
      <c r="E9731" s="2" t="s">
        <v>4139</v>
      </c>
    </row>
    <row r="9732">
      <c r="A9732" s="2" t="s">
        <v>4939</v>
      </c>
      <c r="B9732" s="2" t="s">
        <v>5014</v>
      </c>
      <c r="C9732" s="2" t="s">
        <v>5638</v>
      </c>
      <c r="D9732" s="3" t="str">
        <f t="shared" si="2000"/>
        <v>12Go Link</v>
      </c>
      <c r="E9732" s="2" t="s">
        <v>3409</v>
      </c>
    </row>
    <row r="9733">
      <c r="A9733" s="2" t="s">
        <v>4939</v>
      </c>
      <c r="B9733" s="2" t="s">
        <v>5016</v>
      </c>
      <c r="C9733" s="2" t="s">
        <v>5639</v>
      </c>
      <c r="D9733" s="3" t="str">
        <f t="shared" ref="D9733:D9735" si="2001">HYPERLINK("https://12go.asia/en/travel/Beruwala/Pidurangala", "12Go Link")</f>
        <v>12Go Link</v>
      </c>
      <c r="E9733" s="2" t="s">
        <v>286</v>
      </c>
    </row>
    <row r="9734">
      <c r="A9734" s="2" t="s">
        <v>4939</v>
      </c>
      <c r="B9734" s="2" t="s">
        <v>5016</v>
      </c>
      <c r="C9734" s="2" t="s">
        <v>5639</v>
      </c>
      <c r="D9734" s="3" t="str">
        <f t="shared" si="2001"/>
        <v>12Go Link</v>
      </c>
      <c r="E9734" s="2" t="s">
        <v>4139</v>
      </c>
    </row>
    <row r="9735">
      <c r="A9735" s="2" t="s">
        <v>4939</v>
      </c>
      <c r="B9735" s="2" t="s">
        <v>5016</v>
      </c>
      <c r="C9735" s="2" t="s">
        <v>5639</v>
      </c>
      <c r="D9735" s="3" t="str">
        <f t="shared" si="2001"/>
        <v>12Go Link</v>
      </c>
      <c r="E9735" s="2" t="s">
        <v>3409</v>
      </c>
    </row>
    <row r="9736">
      <c r="A9736" s="2" t="s">
        <v>4939</v>
      </c>
      <c r="B9736" s="2" t="s">
        <v>5018</v>
      </c>
      <c r="C9736" s="2" t="s">
        <v>5640</v>
      </c>
      <c r="D9736" s="3" t="str">
        <f t="shared" ref="D9736:D9738" si="2002">HYPERLINK("https://12go.asia/en/travel/Beruwala/Rekawa", "12Go Link")</f>
        <v>12Go Link</v>
      </c>
      <c r="E9736" s="2" t="s">
        <v>286</v>
      </c>
    </row>
    <row r="9737">
      <c r="A9737" s="2" t="s">
        <v>4939</v>
      </c>
      <c r="B9737" s="2" t="s">
        <v>5018</v>
      </c>
      <c r="C9737" s="2" t="s">
        <v>5640</v>
      </c>
      <c r="D9737" s="3" t="str">
        <f t="shared" si="2002"/>
        <v>12Go Link</v>
      </c>
      <c r="E9737" s="2" t="s">
        <v>4139</v>
      </c>
    </row>
    <row r="9738">
      <c r="A9738" s="2" t="s">
        <v>4939</v>
      </c>
      <c r="B9738" s="2" t="s">
        <v>5018</v>
      </c>
      <c r="C9738" s="2" t="s">
        <v>5640</v>
      </c>
      <c r="D9738" s="3" t="str">
        <f t="shared" si="2002"/>
        <v>12Go Link</v>
      </c>
      <c r="E9738" s="2" t="s">
        <v>3409</v>
      </c>
    </row>
    <row r="9739">
      <c r="A9739" s="2" t="s">
        <v>4939</v>
      </c>
      <c r="B9739" s="2" t="s">
        <v>5020</v>
      </c>
      <c r="C9739" s="2" t="s">
        <v>5641</v>
      </c>
      <c r="D9739" s="3" t="str">
        <f t="shared" ref="D9739:D9741" si="2003">HYPERLINK("https://12go.asia/en/travel/Beruwala/Tissamaharama", "12Go Link")</f>
        <v>12Go Link</v>
      </c>
      <c r="E9739" s="2" t="s">
        <v>286</v>
      </c>
    </row>
    <row r="9740">
      <c r="A9740" s="2" t="s">
        <v>4939</v>
      </c>
      <c r="B9740" s="2" t="s">
        <v>5020</v>
      </c>
      <c r="C9740" s="2" t="s">
        <v>5641</v>
      </c>
      <c r="D9740" s="3" t="str">
        <f t="shared" si="2003"/>
        <v>12Go Link</v>
      </c>
      <c r="E9740" s="2" t="s">
        <v>4139</v>
      </c>
    </row>
    <row r="9741">
      <c r="A9741" s="2" t="s">
        <v>4939</v>
      </c>
      <c r="B9741" s="2" t="s">
        <v>5020</v>
      </c>
      <c r="C9741" s="2" t="s">
        <v>5641</v>
      </c>
      <c r="D9741" s="3" t="str">
        <f t="shared" si="2003"/>
        <v>12Go Link</v>
      </c>
      <c r="E9741" s="2" t="s">
        <v>3409</v>
      </c>
    </row>
    <row r="9742">
      <c r="A9742" s="2" t="s">
        <v>4939</v>
      </c>
      <c r="B9742" s="2" t="s">
        <v>5020</v>
      </c>
      <c r="C9742" s="2" t="s">
        <v>5642</v>
      </c>
      <c r="D9742" s="3" t="str">
        <f t="shared" ref="D9742:D9744" si="2004">HYPERLINK("https://12go.asia/en/travel/Beruwala/Yala-Park", "12Go Link")</f>
        <v>12Go Link</v>
      </c>
      <c r="E9742" s="2" t="s">
        <v>286</v>
      </c>
    </row>
    <row r="9743">
      <c r="A9743" s="2" t="s">
        <v>4939</v>
      </c>
      <c r="B9743" s="2" t="s">
        <v>5020</v>
      </c>
      <c r="C9743" s="2" t="s">
        <v>5642</v>
      </c>
      <c r="D9743" s="3" t="str">
        <f t="shared" si="2004"/>
        <v>12Go Link</v>
      </c>
      <c r="E9743" s="2" t="s">
        <v>4139</v>
      </c>
    </row>
    <row r="9744">
      <c r="A9744" s="2" t="s">
        <v>4939</v>
      </c>
      <c r="B9744" s="2" t="s">
        <v>5020</v>
      </c>
      <c r="C9744" s="2" t="s">
        <v>5642</v>
      </c>
      <c r="D9744" s="3" t="str">
        <f t="shared" si="2004"/>
        <v>12Go Link</v>
      </c>
      <c r="E9744" s="2" t="s">
        <v>3409</v>
      </c>
    </row>
    <row r="9745">
      <c r="A9745" s="2" t="s">
        <v>4939</v>
      </c>
      <c r="B9745" s="2" t="s">
        <v>5023</v>
      </c>
      <c r="C9745" s="2" t="s">
        <v>5643</v>
      </c>
      <c r="D9745" s="3" t="str">
        <f t="shared" ref="D9745:D9747" si="2005">HYPERLINK("https://12go.asia/en/travel/Beruwala/Nilaweli", "12Go Link")</f>
        <v>12Go Link</v>
      </c>
      <c r="E9745" s="2" t="s">
        <v>286</v>
      </c>
    </row>
    <row r="9746">
      <c r="A9746" s="2" t="s">
        <v>4939</v>
      </c>
      <c r="B9746" s="2" t="s">
        <v>5023</v>
      </c>
      <c r="C9746" s="2" t="s">
        <v>5643</v>
      </c>
      <c r="D9746" s="3" t="str">
        <f t="shared" si="2005"/>
        <v>12Go Link</v>
      </c>
      <c r="E9746" s="2" t="s">
        <v>4139</v>
      </c>
    </row>
    <row r="9747">
      <c r="A9747" s="2" t="s">
        <v>4939</v>
      </c>
      <c r="B9747" s="2" t="s">
        <v>5023</v>
      </c>
      <c r="C9747" s="2" t="s">
        <v>5643</v>
      </c>
      <c r="D9747" s="3" t="str">
        <f t="shared" si="2005"/>
        <v>12Go Link</v>
      </c>
      <c r="E9747" s="2" t="s">
        <v>3409</v>
      </c>
    </row>
    <row r="9748">
      <c r="A9748" s="2" t="s">
        <v>4939</v>
      </c>
      <c r="B9748" s="2" t="s">
        <v>5025</v>
      </c>
      <c r="C9748" s="2" t="s">
        <v>5644</v>
      </c>
      <c r="D9748" s="3" t="str">
        <f t="shared" ref="D9748:D9750" si="2006">HYPERLINK("https://12go.asia/en/travel/Beruwala/Udawalawa", "12Go Link")</f>
        <v>12Go Link</v>
      </c>
      <c r="E9748" s="2" t="s">
        <v>286</v>
      </c>
    </row>
    <row r="9749">
      <c r="A9749" s="2" t="s">
        <v>4939</v>
      </c>
      <c r="B9749" s="2" t="s">
        <v>5025</v>
      </c>
      <c r="C9749" s="2" t="s">
        <v>5644</v>
      </c>
      <c r="D9749" s="3" t="str">
        <f t="shared" si="2006"/>
        <v>12Go Link</v>
      </c>
      <c r="E9749" s="2" t="s">
        <v>4139</v>
      </c>
    </row>
    <row r="9750">
      <c r="A9750" s="2" t="s">
        <v>4939</v>
      </c>
      <c r="B9750" s="2" t="s">
        <v>5025</v>
      </c>
      <c r="C9750" s="2" t="s">
        <v>5644</v>
      </c>
      <c r="D9750" s="3" t="str">
        <f t="shared" si="2006"/>
        <v>12Go Link</v>
      </c>
      <c r="E9750" s="2" t="s">
        <v>3409</v>
      </c>
    </row>
    <row r="9751">
      <c r="A9751" s="2" t="s">
        <v>4939</v>
      </c>
      <c r="B9751" s="2" t="s">
        <v>5027</v>
      </c>
      <c r="C9751" s="2" t="s">
        <v>5645</v>
      </c>
      <c r="D9751" s="3" t="str">
        <f t="shared" ref="D9751:D9753" si="2007">HYPERLINK("https://12go.asia/en/travel/Beruwala/Unawatuna", "12Go Link")</f>
        <v>12Go Link</v>
      </c>
      <c r="E9751" s="2" t="s">
        <v>286</v>
      </c>
    </row>
    <row r="9752">
      <c r="A9752" s="2" t="s">
        <v>4939</v>
      </c>
      <c r="B9752" s="2" t="s">
        <v>5027</v>
      </c>
      <c r="C9752" s="2" t="s">
        <v>5645</v>
      </c>
      <c r="D9752" s="3" t="str">
        <f t="shared" si="2007"/>
        <v>12Go Link</v>
      </c>
      <c r="E9752" s="2" t="s">
        <v>4139</v>
      </c>
    </row>
    <row r="9753">
      <c r="A9753" s="2" t="s">
        <v>4939</v>
      </c>
      <c r="B9753" s="2" t="s">
        <v>5027</v>
      </c>
      <c r="C9753" s="2" t="s">
        <v>5645</v>
      </c>
      <c r="D9753" s="3" t="str">
        <f t="shared" si="2007"/>
        <v>12Go Link</v>
      </c>
      <c r="E9753" s="2" t="s">
        <v>3409</v>
      </c>
    </row>
    <row r="9754">
      <c r="A9754" s="2" t="s">
        <v>4939</v>
      </c>
      <c r="B9754" s="2" t="s">
        <v>5029</v>
      </c>
      <c r="C9754" s="2" t="s">
        <v>5646</v>
      </c>
      <c r="D9754" s="3" t="str">
        <f t="shared" ref="D9754:D9756" si="2008">HYPERLINK("https://12go.asia/en/travel/Beruwala/Attanagalla", "12Go Link")</f>
        <v>12Go Link</v>
      </c>
      <c r="E9754" s="2" t="s">
        <v>286</v>
      </c>
    </row>
    <row r="9755">
      <c r="A9755" s="2" t="s">
        <v>4939</v>
      </c>
      <c r="B9755" s="2" t="s">
        <v>5029</v>
      </c>
      <c r="C9755" s="2" t="s">
        <v>5646</v>
      </c>
      <c r="D9755" s="3" t="str">
        <f t="shared" si="2008"/>
        <v>12Go Link</v>
      </c>
      <c r="E9755" s="2" t="s">
        <v>4139</v>
      </c>
    </row>
    <row r="9756">
      <c r="A9756" s="2" t="s">
        <v>4939</v>
      </c>
      <c r="B9756" s="2" t="s">
        <v>5029</v>
      </c>
      <c r="C9756" s="2" t="s">
        <v>5646</v>
      </c>
      <c r="D9756" s="3" t="str">
        <f t="shared" si="2008"/>
        <v>12Go Link</v>
      </c>
      <c r="E9756" s="2" t="s">
        <v>3409</v>
      </c>
    </row>
    <row r="9757">
      <c r="A9757" s="2" t="s">
        <v>4939</v>
      </c>
      <c r="B9757" s="2" t="s">
        <v>5031</v>
      </c>
      <c r="C9757" s="2" t="s">
        <v>5647</v>
      </c>
      <c r="D9757" s="3" t="str">
        <f t="shared" ref="D9757:D9759" si="2009">HYPERLINK("https://12go.asia/en/travel/Beruwala/Moronthuduwa", "12Go Link")</f>
        <v>12Go Link</v>
      </c>
      <c r="E9757" s="2" t="s">
        <v>286</v>
      </c>
    </row>
    <row r="9758">
      <c r="A9758" s="2" t="s">
        <v>4939</v>
      </c>
      <c r="B9758" s="2" t="s">
        <v>5031</v>
      </c>
      <c r="C9758" s="2" t="s">
        <v>5647</v>
      </c>
      <c r="D9758" s="3" t="str">
        <f t="shared" si="2009"/>
        <v>12Go Link</v>
      </c>
      <c r="E9758" s="2" t="s">
        <v>4139</v>
      </c>
    </row>
    <row r="9759">
      <c r="A9759" s="2" t="s">
        <v>4939</v>
      </c>
      <c r="B9759" s="2" t="s">
        <v>5031</v>
      </c>
      <c r="C9759" s="2" t="s">
        <v>5647</v>
      </c>
      <c r="D9759" s="3" t="str">
        <f t="shared" si="2009"/>
        <v>12Go Link</v>
      </c>
      <c r="E9759" s="2" t="s">
        <v>3409</v>
      </c>
    </row>
    <row r="9760">
      <c r="A9760" s="2" t="s">
        <v>4939</v>
      </c>
      <c r="B9760" s="2" t="s">
        <v>5031</v>
      </c>
      <c r="C9760" s="2" t="s">
        <v>5648</v>
      </c>
      <c r="D9760" s="3" t="str">
        <f t="shared" ref="D9760:D9762" si="2010">HYPERLINK("https://12go.asia/en/travel/Beruwala/Waskaduwa", "12Go Link")</f>
        <v>12Go Link</v>
      </c>
      <c r="E9760" s="2" t="s">
        <v>286</v>
      </c>
    </row>
    <row r="9761">
      <c r="A9761" s="2" t="s">
        <v>4939</v>
      </c>
      <c r="B9761" s="2" t="s">
        <v>5031</v>
      </c>
      <c r="C9761" s="2" t="s">
        <v>5648</v>
      </c>
      <c r="D9761" s="3" t="str">
        <f t="shared" si="2010"/>
        <v>12Go Link</v>
      </c>
      <c r="E9761" s="2" t="s">
        <v>4139</v>
      </c>
    </row>
    <row r="9762">
      <c r="A9762" s="2" t="s">
        <v>4939</v>
      </c>
      <c r="B9762" s="2" t="s">
        <v>5031</v>
      </c>
      <c r="C9762" s="2" t="s">
        <v>5648</v>
      </c>
      <c r="D9762" s="3" t="str">
        <f t="shared" si="2010"/>
        <v>12Go Link</v>
      </c>
      <c r="E9762" s="2" t="s">
        <v>3409</v>
      </c>
    </row>
    <row r="9763">
      <c r="A9763" s="2" t="s">
        <v>4939</v>
      </c>
      <c r="B9763" s="2" t="s">
        <v>5034</v>
      </c>
      <c r="C9763" s="2" t="s">
        <v>5649</v>
      </c>
      <c r="D9763" s="3" t="str">
        <f t="shared" ref="D9763:D9765" si="2011">HYPERLINK("https://12go.asia/en/travel/Beruwala/Weddagala", "12Go Link")</f>
        <v>12Go Link</v>
      </c>
      <c r="E9763" s="2" t="s">
        <v>286</v>
      </c>
    </row>
    <row r="9764">
      <c r="A9764" s="2" t="s">
        <v>4939</v>
      </c>
      <c r="B9764" s="2" t="s">
        <v>5034</v>
      </c>
      <c r="C9764" s="2" t="s">
        <v>5649</v>
      </c>
      <c r="D9764" s="3" t="str">
        <f t="shared" si="2011"/>
        <v>12Go Link</v>
      </c>
      <c r="E9764" s="2" t="s">
        <v>4139</v>
      </c>
    </row>
    <row r="9765">
      <c r="A9765" s="2" t="s">
        <v>4939</v>
      </c>
      <c r="B9765" s="2" t="s">
        <v>5034</v>
      </c>
      <c r="C9765" s="2" t="s">
        <v>5649</v>
      </c>
      <c r="D9765" s="3" t="str">
        <f t="shared" si="2011"/>
        <v>12Go Link</v>
      </c>
      <c r="E9765" s="2" t="s">
        <v>3409</v>
      </c>
    </row>
    <row r="9766">
      <c r="A9766" s="2" t="s">
        <v>4939</v>
      </c>
      <c r="B9766" s="2" t="s">
        <v>5036</v>
      </c>
      <c r="C9766" s="2" t="s">
        <v>5650</v>
      </c>
      <c r="D9766" s="3" t="str">
        <f t="shared" ref="D9766:D9768" si="2012">HYPERLINK("https://12go.asia/en/travel/Beruwala/Weligatta", "12Go Link")</f>
        <v>12Go Link</v>
      </c>
      <c r="E9766" s="2" t="s">
        <v>286</v>
      </c>
    </row>
    <row r="9767">
      <c r="A9767" s="2" t="s">
        <v>4939</v>
      </c>
      <c r="B9767" s="2" t="s">
        <v>5036</v>
      </c>
      <c r="C9767" s="2" t="s">
        <v>5650</v>
      </c>
      <c r="D9767" s="3" t="str">
        <f t="shared" si="2012"/>
        <v>12Go Link</v>
      </c>
      <c r="E9767" s="2" t="s">
        <v>4139</v>
      </c>
    </row>
    <row r="9768">
      <c r="A9768" s="2" t="s">
        <v>4939</v>
      </c>
      <c r="B9768" s="2" t="s">
        <v>5036</v>
      </c>
      <c r="C9768" s="2" t="s">
        <v>5650</v>
      </c>
      <c r="D9768" s="3" t="str">
        <f t="shared" si="2012"/>
        <v>12Go Link</v>
      </c>
      <c r="E9768" s="2" t="s">
        <v>3409</v>
      </c>
    </row>
    <row r="9769">
      <c r="A9769" s="2" t="s">
        <v>4939</v>
      </c>
      <c r="B9769" s="2" t="s">
        <v>5038</v>
      </c>
      <c r="C9769" s="2" t="s">
        <v>5651</v>
      </c>
      <c r="D9769" s="3" t="str">
        <f t="shared" ref="D9769:D9771" si="2013">HYPERLINK("https://12go.asia/en/travel/Beruwala/Akuressa", "12Go Link")</f>
        <v>12Go Link</v>
      </c>
      <c r="E9769" s="2" t="s">
        <v>286</v>
      </c>
    </row>
    <row r="9770">
      <c r="A9770" s="2" t="s">
        <v>4939</v>
      </c>
      <c r="B9770" s="2" t="s">
        <v>5038</v>
      </c>
      <c r="C9770" s="2" t="s">
        <v>5651</v>
      </c>
      <c r="D9770" s="3" t="str">
        <f t="shared" si="2013"/>
        <v>12Go Link</v>
      </c>
      <c r="E9770" s="2" t="s">
        <v>4139</v>
      </c>
    </row>
    <row r="9771">
      <c r="A9771" s="2" t="s">
        <v>4939</v>
      </c>
      <c r="B9771" s="2" t="s">
        <v>5038</v>
      </c>
      <c r="C9771" s="2" t="s">
        <v>5651</v>
      </c>
      <c r="D9771" s="3" t="str">
        <f t="shared" si="2013"/>
        <v>12Go Link</v>
      </c>
      <c r="E9771" s="2" t="s">
        <v>3409</v>
      </c>
    </row>
    <row r="9772">
      <c r="A9772" s="2" t="s">
        <v>4939</v>
      </c>
      <c r="B9772" s="2" t="s">
        <v>5040</v>
      </c>
      <c r="C9772" s="2" t="s">
        <v>5652</v>
      </c>
      <c r="D9772" s="3" t="str">
        <f t="shared" ref="D9772:D9774" si="2014">HYPERLINK("https://12go.asia/en/travel/Beruwala/Wilpattu", "12Go Link")</f>
        <v>12Go Link</v>
      </c>
      <c r="E9772" s="2" t="s">
        <v>286</v>
      </c>
    </row>
    <row r="9773">
      <c r="A9773" s="2" t="s">
        <v>4939</v>
      </c>
      <c r="B9773" s="2" t="s">
        <v>5040</v>
      </c>
      <c r="C9773" s="2" t="s">
        <v>5652</v>
      </c>
      <c r="D9773" s="3" t="str">
        <f t="shared" si="2014"/>
        <v>12Go Link</v>
      </c>
      <c r="E9773" s="2" t="s">
        <v>4139</v>
      </c>
    </row>
    <row r="9774">
      <c r="A9774" s="2" t="s">
        <v>4939</v>
      </c>
      <c r="B9774" s="2" t="s">
        <v>5040</v>
      </c>
      <c r="C9774" s="2" t="s">
        <v>5652</v>
      </c>
      <c r="D9774" s="3" t="str">
        <f t="shared" si="2014"/>
        <v>12Go Link</v>
      </c>
      <c r="E9774" s="2" t="s">
        <v>3409</v>
      </c>
    </row>
    <row r="9775">
      <c r="A9775" s="2" t="s">
        <v>5653</v>
      </c>
      <c r="B9775" s="2" t="s">
        <v>4943</v>
      </c>
      <c r="C9775" s="2" t="s">
        <v>5654</v>
      </c>
      <c r="D9775" s="3" t="str">
        <f t="shared" ref="D9775:D9776" si="2015">HYPERLINK("https://12go.asia/en/travel/Chilaw/Colombo-Fort", "12Go Link")</f>
        <v>12Go Link</v>
      </c>
      <c r="E9775" s="2" t="s">
        <v>5080</v>
      </c>
    </row>
    <row r="9776">
      <c r="A9776" s="2" t="s">
        <v>5653</v>
      </c>
      <c r="B9776" s="2" t="s">
        <v>4943</v>
      </c>
      <c r="C9776" s="2" t="s">
        <v>5654</v>
      </c>
      <c r="D9776" s="3" t="str">
        <f t="shared" si="2015"/>
        <v>12Go Link</v>
      </c>
      <c r="E9776" s="2" t="s">
        <v>5081</v>
      </c>
    </row>
    <row r="9777">
      <c r="A9777" s="2" t="s">
        <v>5653</v>
      </c>
      <c r="B9777" s="2" t="s">
        <v>5000</v>
      </c>
      <c r="C9777" s="2" t="s">
        <v>5655</v>
      </c>
      <c r="D9777" s="3" t="str">
        <f t="shared" ref="D9777:D9778" si="2016">HYPERLINK("https://12go.asia/en/travel/Chilaw/Negombo", "12Go Link")</f>
        <v>12Go Link</v>
      </c>
      <c r="E9777" s="2" t="s">
        <v>5080</v>
      </c>
    </row>
    <row r="9778">
      <c r="A9778" s="2" t="s">
        <v>5653</v>
      </c>
      <c r="B9778" s="2" t="s">
        <v>5000</v>
      </c>
      <c r="C9778" s="2" t="s">
        <v>5655</v>
      </c>
      <c r="D9778" s="3" t="str">
        <f t="shared" si="2016"/>
        <v>12Go Link</v>
      </c>
      <c r="E9778" s="2" t="s">
        <v>5081</v>
      </c>
    </row>
    <row r="9779">
      <c r="A9779" s="2" t="s">
        <v>4943</v>
      </c>
      <c r="B9779" s="2" t="s">
        <v>4918</v>
      </c>
      <c r="C9779" s="2" t="s">
        <v>5656</v>
      </c>
      <c r="D9779" s="3" t="str">
        <f t="shared" ref="D9779:D9781" si="2017">HYPERLINK("https://12go.asia/en/travel/Bambalapitiya/Adams-Peak", "12Go Link")</f>
        <v>12Go Link</v>
      </c>
      <c r="E9779" s="2" t="s">
        <v>286</v>
      </c>
    </row>
    <row r="9780">
      <c r="A9780" s="2" t="s">
        <v>4943</v>
      </c>
      <c r="B9780" s="2" t="s">
        <v>4918</v>
      </c>
      <c r="C9780" s="2" t="s">
        <v>5656</v>
      </c>
      <c r="D9780" s="3" t="str">
        <f t="shared" si="2017"/>
        <v>12Go Link</v>
      </c>
      <c r="E9780" s="2" t="s">
        <v>4139</v>
      </c>
    </row>
    <row r="9781">
      <c r="A9781" s="2" t="s">
        <v>4943</v>
      </c>
      <c r="B9781" s="2" t="s">
        <v>4918</v>
      </c>
      <c r="C9781" s="2" t="s">
        <v>5656</v>
      </c>
      <c r="D9781" s="3" t="str">
        <f t="shared" si="2017"/>
        <v>12Go Link</v>
      </c>
      <c r="E9781" s="2" t="s">
        <v>3409</v>
      </c>
    </row>
    <row r="9782">
      <c r="A9782" s="2" t="s">
        <v>4943</v>
      </c>
      <c r="B9782" s="2" t="s">
        <v>4919</v>
      </c>
      <c r="C9782" s="2" t="s">
        <v>5657</v>
      </c>
      <c r="D9782" s="3" t="str">
        <f>HYPERLINK("https://12go.asia/en/travel/Colombo-Fort/Ahangama", "12Go Link")</f>
        <v>12Go Link</v>
      </c>
      <c r="E9782" s="2" t="s">
        <v>5080</v>
      </c>
    </row>
    <row r="9783">
      <c r="A9783" s="2" t="s">
        <v>4943</v>
      </c>
      <c r="B9783" s="2" t="s">
        <v>4937</v>
      </c>
      <c r="C9783" s="2" t="s">
        <v>5658</v>
      </c>
      <c r="D9783" s="3" t="str">
        <f>HYPERLINK("https://12go.asia/en/travel/Colombo-Fort/Bentota", "12Go Link")</f>
        <v>12Go Link</v>
      </c>
      <c r="E9783" s="2" t="s">
        <v>5080</v>
      </c>
    </row>
    <row r="9784">
      <c r="A9784" s="2" t="s">
        <v>4943</v>
      </c>
      <c r="B9784" s="2" t="s">
        <v>4939</v>
      </c>
      <c r="C9784" s="2" t="s">
        <v>5659</v>
      </c>
      <c r="D9784" s="3" t="str">
        <f>HYPERLINK("https://12go.asia/en/travel/Bambalapitiya/Beruwala", "12Go Link")</f>
        <v>12Go Link</v>
      </c>
      <c r="E9784" s="2" t="s">
        <v>3409</v>
      </c>
    </row>
    <row r="9785">
      <c r="A9785" s="2" t="s">
        <v>4943</v>
      </c>
      <c r="B9785" s="2" t="s">
        <v>5653</v>
      </c>
      <c r="C9785" s="2" t="s">
        <v>5660</v>
      </c>
      <c r="D9785" s="3" t="str">
        <f t="shared" ref="D9785:D9786" si="2018">HYPERLINK("https://12go.asia/en/travel/Colombo-Fort/Chilaw", "12Go Link")</f>
        <v>12Go Link</v>
      </c>
      <c r="E9785" s="2" t="s">
        <v>5080</v>
      </c>
    </row>
    <row r="9786">
      <c r="A9786" s="2" t="s">
        <v>4943</v>
      </c>
      <c r="B9786" s="2" t="s">
        <v>5653</v>
      </c>
      <c r="C9786" s="2" t="s">
        <v>5660</v>
      </c>
      <c r="D9786" s="3" t="str">
        <f t="shared" si="2018"/>
        <v>12Go Link</v>
      </c>
      <c r="E9786" s="2" t="s">
        <v>5081</v>
      </c>
    </row>
    <row r="9787">
      <c r="A9787" s="2" t="s">
        <v>4943</v>
      </c>
      <c r="B9787" s="2" t="s">
        <v>4945</v>
      </c>
      <c r="C9787" s="2" t="s">
        <v>5661</v>
      </c>
      <c r="D9787" s="3" t="str">
        <f t="shared" ref="D9787:D9789" si="2019">HYPERLINK("https://12go.asia/en/travel/Bambalapitiya/Bandaranaike-Airport", "12Go Link")</f>
        <v>12Go Link</v>
      </c>
      <c r="E9787" s="2" t="s">
        <v>286</v>
      </c>
    </row>
    <row r="9788">
      <c r="A9788" s="2" t="s">
        <v>4943</v>
      </c>
      <c r="B9788" s="2" t="s">
        <v>4945</v>
      </c>
      <c r="C9788" s="2" t="s">
        <v>5661</v>
      </c>
      <c r="D9788" s="3" t="str">
        <f t="shared" si="2019"/>
        <v>12Go Link</v>
      </c>
      <c r="E9788" s="2" t="s">
        <v>4139</v>
      </c>
    </row>
    <row r="9789">
      <c r="A9789" s="2" t="s">
        <v>4943</v>
      </c>
      <c r="B9789" s="2" t="s">
        <v>4945</v>
      </c>
      <c r="C9789" s="2" t="s">
        <v>5661</v>
      </c>
      <c r="D9789" s="3" t="str">
        <f t="shared" si="2019"/>
        <v>12Go Link</v>
      </c>
      <c r="E9789" s="2" t="s">
        <v>3409</v>
      </c>
    </row>
    <row r="9790">
      <c r="A9790" s="2" t="s">
        <v>4943</v>
      </c>
      <c r="B9790" s="2" t="s">
        <v>4949</v>
      </c>
      <c r="C9790" s="2" t="s">
        <v>5662</v>
      </c>
      <c r="D9790" s="3" t="str">
        <f t="shared" ref="D9790:D9792" si="2020">HYPERLINK("https://12go.asia/en/travel/Bambalapitiya/Deniyaya", "12Go Link")</f>
        <v>12Go Link</v>
      </c>
      <c r="E9790" s="2" t="s">
        <v>286</v>
      </c>
    </row>
    <row r="9791">
      <c r="A9791" s="2" t="s">
        <v>4943</v>
      </c>
      <c r="B9791" s="2" t="s">
        <v>4949</v>
      </c>
      <c r="C9791" s="2" t="s">
        <v>5662</v>
      </c>
      <c r="D9791" s="3" t="str">
        <f t="shared" si="2020"/>
        <v>12Go Link</v>
      </c>
      <c r="E9791" s="2" t="s">
        <v>4139</v>
      </c>
    </row>
    <row r="9792">
      <c r="A9792" s="2" t="s">
        <v>4943</v>
      </c>
      <c r="B9792" s="2" t="s">
        <v>4949</v>
      </c>
      <c r="C9792" s="2" t="s">
        <v>5662</v>
      </c>
      <c r="D9792" s="3" t="str">
        <f t="shared" si="2020"/>
        <v>12Go Link</v>
      </c>
      <c r="E9792" s="2" t="s">
        <v>3409</v>
      </c>
    </row>
    <row r="9793">
      <c r="A9793" s="2" t="s">
        <v>4943</v>
      </c>
      <c r="B9793" s="2" t="s">
        <v>4951</v>
      </c>
      <c r="C9793" s="2" t="s">
        <v>5663</v>
      </c>
      <c r="D9793" s="3" t="str">
        <f t="shared" ref="D9793:D9795" si="2021">HYPERLINK("https://12go.asia/en/travel/Bambalapitiya/Dickwella", "12Go Link")</f>
        <v>12Go Link</v>
      </c>
      <c r="E9793" s="2" t="s">
        <v>286</v>
      </c>
    </row>
    <row r="9794">
      <c r="A9794" s="2" t="s">
        <v>4943</v>
      </c>
      <c r="B9794" s="2" t="s">
        <v>4951</v>
      </c>
      <c r="C9794" s="2" t="s">
        <v>5663</v>
      </c>
      <c r="D9794" s="3" t="str">
        <f t="shared" si="2021"/>
        <v>12Go Link</v>
      </c>
      <c r="E9794" s="2" t="s">
        <v>4139</v>
      </c>
    </row>
    <row r="9795">
      <c r="A9795" s="2" t="s">
        <v>4943</v>
      </c>
      <c r="B9795" s="2" t="s">
        <v>4951</v>
      </c>
      <c r="C9795" s="2" t="s">
        <v>5663</v>
      </c>
      <c r="D9795" s="3" t="str">
        <f t="shared" si="2021"/>
        <v>12Go Link</v>
      </c>
      <c r="E9795" s="2" t="s">
        <v>3409</v>
      </c>
    </row>
    <row r="9796">
      <c r="A9796" s="2" t="s">
        <v>4943</v>
      </c>
      <c r="B9796" s="2" t="s">
        <v>4951</v>
      </c>
      <c r="C9796" s="2" t="s">
        <v>5664</v>
      </c>
      <c r="D9796" s="3" t="str">
        <f t="shared" ref="D9796:D9798" si="2022">HYPERLINK("https://12go.asia/en/travel/Bambalapitiya/Hiriketiya-beach", "12Go Link")</f>
        <v>12Go Link</v>
      </c>
      <c r="E9796" s="2" t="s">
        <v>286</v>
      </c>
    </row>
    <row r="9797">
      <c r="A9797" s="2" t="s">
        <v>4943</v>
      </c>
      <c r="B9797" s="2" t="s">
        <v>4951</v>
      </c>
      <c r="C9797" s="2" t="s">
        <v>5664</v>
      </c>
      <c r="D9797" s="3" t="str">
        <f t="shared" si="2022"/>
        <v>12Go Link</v>
      </c>
      <c r="E9797" s="2" t="s">
        <v>4139</v>
      </c>
    </row>
    <row r="9798">
      <c r="A9798" s="2" t="s">
        <v>4943</v>
      </c>
      <c r="B9798" s="2" t="s">
        <v>4951</v>
      </c>
      <c r="C9798" s="2" t="s">
        <v>5664</v>
      </c>
      <c r="D9798" s="3" t="str">
        <f t="shared" si="2022"/>
        <v>12Go Link</v>
      </c>
      <c r="E9798" s="2" t="s">
        <v>3409</v>
      </c>
    </row>
    <row r="9799">
      <c r="A9799" s="2" t="s">
        <v>4943</v>
      </c>
      <c r="B9799" s="2" t="s">
        <v>4954</v>
      </c>
      <c r="C9799" s="2" t="s">
        <v>5665</v>
      </c>
      <c r="D9799" s="3" t="str">
        <f t="shared" ref="D9799:D9801" si="2023">HYPERLINK("https://12go.asia/en/travel/Bambalapitiya/Talpe", "12Go Link")</f>
        <v>12Go Link</v>
      </c>
      <c r="E9799" s="2" t="s">
        <v>286</v>
      </c>
    </row>
    <row r="9800">
      <c r="A9800" s="2" t="s">
        <v>4943</v>
      </c>
      <c r="B9800" s="2" t="s">
        <v>4954</v>
      </c>
      <c r="C9800" s="2" t="s">
        <v>5665</v>
      </c>
      <c r="D9800" s="3" t="str">
        <f t="shared" si="2023"/>
        <v>12Go Link</v>
      </c>
      <c r="E9800" s="2" t="s">
        <v>4139</v>
      </c>
    </row>
    <row r="9801">
      <c r="A9801" s="2" t="s">
        <v>4943</v>
      </c>
      <c r="B9801" s="2" t="s">
        <v>4954</v>
      </c>
      <c r="C9801" s="2" t="s">
        <v>5665</v>
      </c>
      <c r="D9801" s="3" t="str">
        <f t="shared" si="2023"/>
        <v>12Go Link</v>
      </c>
      <c r="E9801" s="2" t="s">
        <v>3409</v>
      </c>
    </row>
    <row r="9802">
      <c r="A9802" s="2" t="s">
        <v>4943</v>
      </c>
      <c r="B9802" s="2" t="s">
        <v>4954</v>
      </c>
      <c r="C9802" s="2" t="s">
        <v>5666</v>
      </c>
      <c r="D9802" s="3" t="str">
        <f>HYPERLINK("https://12go.asia/en/travel/Colombo-Fort/Talpe", "12Go Link")</f>
        <v>12Go Link</v>
      </c>
      <c r="E9802" s="2" t="s">
        <v>5080</v>
      </c>
    </row>
    <row r="9803">
      <c r="A9803" s="2" t="s">
        <v>4943</v>
      </c>
      <c r="B9803" s="2" t="s">
        <v>4963</v>
      </c>
      <c r="C9803" s="2" t="s">
        <v>5667</v>
      </c>
      <c r="D9803" s="3" t="str">
        <f t="shared" ref="D9803:D9805" si="2024">HYPERLINK("https://12go.asia/en/travel/Bambalapitiya/Dick-oya", "12Go Link")</f>
        <v>12Go Link</v>
      </c>
      <c r="E9803" s="2" t="s">
        <v>286</v>
      </c>
    </row>
    <row r="9804">
      <c r="A9804" s="2" t="s">
        <v>4943</v>
      </c>
      <c r="B9804" s="2" t="s">
        <v>4963</v>
      </c>
      <c r="C9804" s="2" t="s">
        <v>5667</v>
      </c>
      <c r="D9804" s="3" t="str">
        <f t="shared" si="2024"/>
        <v>12Go Link</v>
      </c>
      <c r="E9804" s="2" t="s">
        <v>4139</v>
      </c>
    </row>
    <row r="9805">
      <c r="A9805" s="2" t="s">
        <v>4943</v>
      </c>
      <c r="B9805" s="2" t="s">
        <v>4963</v>
      </c>
      <c r="C9805" s="2" t="s">
        <v>5667</v>
      </c>
      <c r="D9805" s="3" t="str">
        <f t="shared" si="2024"/>
        <v>12Go Link</v>
      </c>
      <c r="E9805" s="2" t="s">
        <v>3409</v>
      </c>
    </row>
    <row r="9806">
      <c r="A9806" s="2" t="s">
        <v>4943</v>
      </c>
      <c r="B9806" s="2" t="s">
        <v>4965</v>
      </c>
      <c r="C9806" s="2" t="s">
        <v>5668</v>
      </c>
      <c r="D9806" s="3" t="str">
        <f>HYPERLINK("https://12go.asia/en/travel/Colombo-Fort/Dodanduwa", "12Go Link")</f>
        <v>12Go Link</v>
      </c>
      <c r="E9806" s="2" t="s">
        <v>5080</v>
      </c>
    </row>
    <row r="9807">
      <c r="A9807" s="2" t="s">
        <v>4943</v>
      </c>
      <c r="B9807" s="2" t="s">
        <v>4971</v>
      </c>
      <c r="C9807" s="2" t="s">
        <v>5669</v>
      </c>
      <c r="D9807" s="3" t="str">
        <f t="shared" ref="D9807:D9809" si="2025">HYPERLINK("https://12go.asia/en/travel/Bambalapitiya/Kalapuwa", "12Go Link")</f>
        <v>12Go Link</v>
      </c>
      <c r="E9807" s="2" t="s">
        <v>286</v>
      </c>
    </row>
    <row r="9808">
      <c r="A9808" s="2" t="s">
        <v>4943</v>
      </c>
      <c r="B9808" s="2" t="s">
        <v>4971</v>
      </c>
      <c r="C9808" s="2" t="s">
        <v>5669</v>
      </c>
      <c r="D9808" s="3" t="str">
        <f t="shared" si="2025"/>
        <v>12Go Link</v>
      </c>
      <c r="E9808" s="2" t="s">
        <v>4139</v>
      </c>
    </row>
    <row r="9809">
      <c r="A9809" s="2" t="s">
        <v>4943</v>
      </c>
      <c r="B9809" s="2" t="s">
        <v>4971</v>
      </c>
      <c r="C9809" s="2" t="s">
        <v>5669</v>
      </c>
      <c r="D9809" s="3" t="str">
        <f t="shared" si="2025"/>
        <v>12Go Link</v>
      </c>
      <c r="E9809" s="2" t="s">
        <v>3409</v>
      </c>
    </row>
    <row r="9810">
      <c r="A9810" s="2" t="s">
        <v>4943</v>
      </c>
      <c r="B9810" s="2" t="s">
        <v>4973</v>
      </c>
      <c r="C9810" s="2" t="s">
        <v>5670</v>
      </c>
      <c r="D9810" s="3" t="str">
        <f t="shared" ref="D9810:D9812" si="2026">HYPERLINK("https://12go.asia/en/travel/Bambalapitiya/Digana", "12Go Link")</f>
        <v>12Go Link</v>
      </c>
      <c r="E9810" s="2" t="s">
        <v>286</v>
      </c>
    </row>
    <row r="9811">
      <c r="A9811" s="2" t="s">
        <v>4943</v>
      </c>
      <c r="B9811" s="2" t="s">
        <v>4973</v>
      </c>
      <c r="C9811" s="2" t="s">
        <v>5670</v>
      </c>
      <c r="D9811" s="3" t="str">
        <f t="shared" si="2026"/>
        <v>12Go Link</v>
      </c>
      <c r="E9811" s="2" t="s">
        <v>4139</v>
      </c>
    </row>
    <row r="9812">
      <c r="A9812" s="2" t="s">
        <v>4943</v>
      </c>
      <c r="B9812" s="2" t="s">
        <v>4973</v>
      </c>
      <c r="C9812" s="2" t="s">
        <v>5670</v>
      </c>
      <c r="D9812" s="3" t="str">
        <f t="shared" si="2026"/>
        <v>12Go Link</v>
      </c>
      <c r="E9812" s="2" t="s">
        <v>3409</v>
      </c>
    </row>
    <row r="9813">
      <c r="A9813" s="2" t="s">
        <v>4943</v>
      </c>
      <c r="B9813" s="2" t="s">
        <v>4978</v>
      </c>
      <c r="C9813" s="2" t="s">
        <v>5671</v>
      </c>
      <c r="D9813" s="3" t="str">
        <f t="shared" ref="D9813:D9815" si="2027">HYPERLINK("https://12go.asia/en/travel/Bambalapitiya/Alawathupitiya", "12Go Link")</f>
        <v>12Go Link</v>
      </c>
      <c r="E9813" s="2" t="s">
        <v>286</v>
      </c>
    </row>
    <row r="9814">
      <c r="A9814" s="2" t="s">
        <v>4943</v>
      </c>
      <c r="B9814" s="2" t="s">
        <v>4978</v>
      </c>
      <c r="C9814" s="2" t="s">
        <v>5671</v>
      </c>
      <c r="D9814" s="3" t="str">
        <f t="shared" si="2027"/>
        <v>12Go Link</v>
      </c>
      <c r="E9814" s="2" t="s">
        <v>4139</v>
      </c>
    </row>
    <row r="9815">
      <c r="A9815" s="2" t="s">
        <v>4943</v>
      </c>
      <c r="B9815" s="2" t="s">
        <v>4978</v>
      </c>
      <c r="C9815" s="2" t="s">
        <v>5671</v>
      </c>
      <c r="D9815" s="3" t="str">
        <f t="shared" si="2027"/>
        <v>12Go Link</v>
      </c>
      <c r="E9815" s="2" t="s">
        <v>3409</v>
      </c>
    </row>
    <row r="9816">
      <c r="A9816" s="2" t="s">
        <v>4943</v>
      </c>
      <c r="B9816" s="2" t="s">
        <v>4980</v>
      </c>
      <c r="C9816" s="2" t="s">
        <v>5672</v>
      </c>
      <c r="D9816" s="3" t="str">
        <f t="shared" ref="D9816:D9818" si="2028">HYPERLINK("https://12go.asia/en/travel/Bambalapitiya/Pinnawala", "12Go Link")</f>
        <v>12Go Link</v>
      </c>
      <c r="E9816" s="2" t="s">
        <v>286</v>
      </c>
    </row>
    <row r="9817">
      <c r="A9817" s="2" t="s">
        <v>4943</v>
      </c>
      <c r="B9817" s="2" t="s">
        <v>4980</v>
      </c>
      <c r="C9817" s="2" t="s">
        <v>5672</v>
      </c>
      <c r="D9817" s="3" t="str">
        <f t="shared" si="2028"/>
        <v>12Go Link</v>
      </c>
      <c r="E9817" s="2" t="s">
        <v>4139</v>
      </c>
    </row>
    <row r="9818">
      <c r="A9818" s="2" t="s">
        <v>4943</v>
      </c>
      <c r="B9818" s="2" t="s">
        <v>4980</v>
      </c>
      <c r="C9818" s="2" t="s">
        <v>5672</v>
      </c>
      <c r="D9818" s="3" t="str">
        <f t="shared" si="2028"/>
        <v>12Go Link</v>
      </c>
      <c r="E9818" s="2" t="s">
        <v>3409</v>
      </c>
    </row>
    <row r="9819">
      <c r="A9819" s="2" t="s">
        <v>4943</v>
      </c>
      <c r="B9819" s="2" t="s">
        <v>4982</v>
      </c>
      <c r="C9819" s="2" t="s">
        <v>5673</v>
      </c>
      <c r="D9819" s="3" t="str">
        <f t="shared" ref="D9819:D9821" si="2029">HYPERLINK("https://12go.asia/en/travel/Bambalapitiya/Kitulgala", "12Go Link")</f>
        <v>12Go Link</v>
      </c>
      <c r="E9819" s="2" t="s">
        <v>286</v>
      </c>
    </row>
    <row r="9820">
      <c r="A9820" s="2" t="s">
        <v>4943</v>
      </c>
      <c r="B9820" s="2" t="s">
        <v>4982</v>
      </c>
      <c r="C9820" s="2" t="s">
        <v>5673</v>
      </c>
      <c r="D9820" s="3" t="str">
        <f t="shared" si="2029"/>
        <v>12Go Link</v>
      </c>
      <c r="E9820" s="2" t="s">
        <v>4139</v>
      </c>
    </row>
    <row r="9821">
      <c r="A9821" s="2" t="s">
        <v>4943</v>
      </c>
      <c r="B9821" s="2" t="s">
        <v>4982</v>
      </c>
      <c r="C9821" s="2" t="s">
        <v>5673</v>
      </c>
      <c r="D9821" s="3" t="str">
        <f t="shared" si="2029"/>
        <v>12Go Link</v>
      </c>
      <c r="E9821" s="2" t="s">
        <v>3409</v>
      </c>
    </row>
    <row r="9822">
      <c r="A9822" s="2" t="s">
        <v>4943</v>
      </c>
      <c r="B9822" s="2" t="s">
        <v>4984</v>
      </c>
      <c r="C9822" s="2" t="s">
        <v>5674</v>
      </c>
      <c r="D9822" s="3" t="str">
        <f t="shared" ref="D9822:D9824" si="2030">HYPERLINK("https://12go.asia/en/travel/Bambalapitiya/Habaraduwa", "12Go Link")</f>
        <v>12Go Link</v>
      </c>
      <c r="E9822" s="2" t="s">
        <v>286</v>
      </c>
    </row>
    <row r="9823">
      <c r="A9823" s="2" t="s">
        <v>4943</v>
      </c>
      <c r="B9823" s="2" t="s">
        <v>4984</v>
      </c>
      <c r="C9823" s="2" t="s">
        <v>5674</v>
      </c>
      <c r="D9823" s="3" t="str">
        <f t="shared" si="2030"/>
        <v>12Go Link</v>
      </c>
      <c r="E9823" s="2" t="s">
        <v>4139</v>
      </c>
    </row>
    <row r="9824">
      <c r="A9824" s="2" t="s">
        <v>4943</v>
      </c>
      <c r="B9824" s="2" t="s">
        <v>4984</v>
      </c>
      <c r="C9824" s="2" t="s">
        <v>5674</v>
      </c>
      <c r="D9824" s="3" t="str">
        <f t="shared" si="2030"/>
        <v>12Go Link</v>
      </c>
      <c r="E9824" s="2" t="s">
        <v>3409</v>
      </c>
    </row>
    <row r="9825">
      <c r="A9825" s="2" t="s">
        <v>4943</v>
      </c>
      <c r="B9825" s="2" t="s">
        <v>4984</v>
      </c>
      <c r="C9825" s="2" t="s">
        <v>5675</v>
      </c>
      <c r="D9825" s="3" t="str">
        <f>HYPERLINK("https://12go.asia/en/travel/Colombo-Fort/Koggala", "12Go Link")</f>
        <v>12Go Link</v>
      </c>
      <c r="E9825" s="2" t="s">
        <v>5080</v>
      </c>
    </row>
    <row r="9826">
      <c r="A9826" s="2" t="s">
        <v>4943</v>
      </c>
      <c r="B9826" s="2" t="s">
        <v>4990</v>
      </c>
      <c r="C9826" s="2" t="s">
        <v>5676</v>
      </c>
      <c r="D9826" s="3" t="str">
        <f t="shared" ref="D9826:D9828" si="2031">HYPERLINK("https://12go.asia/en/travel/Bambalapitiya/Mannar", "12Go Link")</f>
        <v>12Go Link</v>
      </c>
      <c r="E9826" s="2" t="s">
        <v>286</v>
      </c>
    </row>
    <row r="9827">
      <c r="A9827" s="2" t="s">
        <v>4943</v>
      </c>
      <c r="B9827" s="2" t="s">
        <v>4990</v>
      </c>
      <c r="C9827" s="2" t="s">
        <v>5676</v>
      </c>
      <c r="D9827" s="3" t="str">
        <f t="shared" si="2031"/>
        <v>12Go Link</v>
      </c>
      <c r="E9827" s="2" t="s">
        <v>4139</v>
      </c>
    </row>
    <row r="9828">
      <c r="A9828" s="2" t="s">
        <v>4943</v>
      </c>
      <c r="B9828" s="2" t="s">
        <v>4990</v>
      </c>
      <c r="C9828" s="2" t="s">
        <v>5676</v>
      </c>
      <c r="D9828" s="3" t="str">
        <f t="shared" si="2031"/>
        <v>12Go Link</v>
      </c>
      <c r="E9828" s="2" t="s">
        <v>3409</v>
      </c>
    </row>
    <row r="9829">
      <c r="A9829" s="2" t="s">
        <v>4943</v>
      </c>
      <c r="B9829" s="2" t="s">
        <v>4996</v>
      </c>
      <c r="C9829" s="2" t="s">
        <v>5677</v>
      </c>
      <c r="D9829" s="3" t="str">
        <f>HYPERLINK("https://12go.asia/en/travel/Colombo-Fort/Mirissa", "12Go Link")</f>
        <v>12Go Link</v>
      </c>
      <c r="E9829" s="2" t="s">
        <v>5080</v>
      </c>
    </row>
    <row r="9830">
      <c r="A9830" s="2" t="s">
        <v>4943</v>
      </c>
      <c r="B9830" s="2" t="s">
        <v>5204</v>
      </c>
      <c r="C9830" s="2" t="s">
        <v>5678</v>
      </c>
      <c r="D9830" s="3" t="str">
        <f>HYPERLINK("https://12go.asia/en/travel/Colombo-Fort/Moratuwa", "12Go Link")</f>
        <v>12Go Link</v>
      </c>
      <c r="E9830" s="2" t="s">
        <v>5080</v>
      </c>
    </row>
    <row r="9831">
      <c r="A9831" s="2" t="s">
        <v>4943</v>
      </c>
      <c r="B9831" s="2" t="s">
        <v>4998</v>
      </c>
      <c r="C9831" s="2" t="s">
        <v>5679</v>
      </c>
      <c r="D9831" s="3" t="str">
        <f t="shared" ref="D9831:D9833" si="2032">HYPERLINK("https://12go.asia/en/travel/Bambalapitiya/Nanu-Oya", "12Go Link")</f>
        <v>12Go Link</v>
      </c>
      <c r="E9831" s="2" t="s">
        <v>286</v>
      </c>
    </row>
    <row r="9832">
      <c r="A9832" s="2" t="s">
        <v>4943</v>
      </c>
      <c r="B9832" s="2" t="s">
        <v>4998</v>
      </c>
      <c r="C9832" s="2" t="s">
        <v>5679</v>
      </c>
      <c r="D9832" s="3" t="str">
        <f t="shared" si="2032"/>
        <v>12Go Link</v>
      </c>
      <c r="E9832" s="2" t="s">
        <v>4139</v>
      </c>
    </row>
    <row r="9833">
      <c r="A9833" s="2" t="s">
        <v>4943</v>
      </c>
      <c r="B9833" s="2" t="s">
        <v>4998</v>
      </c>
      <c r="C9833" s="2" t="s">
        <v>5679</v>
      </c>
      <c r="D9833" s="3" t="str">
        <f t="shared" si="2032"/>
        <v>12Go Link</v>
      </c>
      <c r="E9833" s="2" t="s">
        <v>3409</v>
      </c>
    </row>
    <row r="9834">
      <c r="A9834" s="2" t="s">
        <v>4943</v>
      </c>
      <c r="B9834" s="2" t="s">
        <v>5000</v>
      </c>
      <c r="C9834" s="2" t="s">
        <v>5680</v>
      </c>
      <c r="D9834" s="3" t="str">
        <f t="shared" ref="D9834:D9836" si="2033">HYPERLINK("https://12go.asia/en/travel/Bambalapitiya/Waikkal", "12Go Link")</f>
        <v>12Go Link</v>
      </c>
      <c r="E9834" s="2" t="s">
        <v>286</v>
      </c>
    </row>
    <row r="9835">
      <c r="A9835" s="2" t="s">
        <v>4943</v>
      </c>
      <c r="B9835" s="2" t="s">
        <v>5000</v>
      </c>
      <c r="C9835" s="2" t="s">
        <v>5680</v>
      </c>
      <c r="D9835" s="3" t="str">
        <f t="shared" si="2033"/>
        <v>12Go Link</v>
      </c>
      <c r="E9835" s="2" t="s">
        <v>4139</v>
      </c>
    </row>
    <row r="9836">
      <c r="A9836" s="2" t="s">
        <v>4943</v>
      </c>
      <c r="B9836" s="2" t="s">
        <v>5000</v>
      </c>
      <c r="C9836" s="2" t="s">
        <v>5680</v>
      </c>
      <c r="D9836" s="3" t="str">
        <f t="shared" si="2033"/>
        <v>12Go Link</v>
      </c>
      <c r="E9836" s="2" t="s">
        <v>3409</v>
      </c>
    </row>
    <row r="9837">
      <c r="A9837" s="2" t="s">
        <v>4943</v>
      </c>
      <c r="B9837" s="2" t="s">
        <v>5000</v>
      </c>
      <c r="C9837" s="2" t="s">
        <v>5681</v>
      </c>
      <c r="D9837" s="3" t="str">
        <f t="shared" ref="D9837:D9838" si="2034">HYPERLINK("https://12go.asia/en/travel/Colombo-Fort/Negombo", "12Go Link")</f>
        <v>12Go Link</v>
      </c>
      <c r="E9837" s="2" t="s">
        <v>5080</v>
      </c>
    </row>
    <row r="9838">
      <c r="A9838" s="2" t="s">
        <v>4943</v>
      </c>
      <c r="B9838" s="2" t="s">
        <v>5000</v>
      </c>
      <c r="C9838" s="2" t="s">
        <v>5681</v>
      </c>
      <c r="D9838" s="3" t="str">
        <f t="shared" si="2034"/>
        <v>12Go Link</v>
      </c>
      <c r="E9838" s="2" t="s">
        <v>5081</v>
      </c>
    </row>
    <row r="9839">
      <c r="A9839" s="2" t="s">
        <v>4943</v>
      </c>
      <c r="B9839" s="2" t="s">
        <v>5005</v>
      </c>
      <c r="C9839" s="2" t="s">
        <v>5682</v>
      </c>
      <c r="D9839" s="3" t="str">
        <f t="shared" ref="D9839:D9841" si="2035">HYPERLINK("https://12go.asia/en/travel/Bambalapitiya/Kotmale", "12Go Link")</f>
        <v>12Go Link</v>
      </c>
      <c r="E9839" s="2" t="s">
        <v>286</v>
      </c>
    </row>
    <row r="9840">
      <c r="A9840" s="2" t="s">
        <v>4943</v>
      </c>
      <c r="B9840" s="2" t="s">
        <v>5005</v>
      </c>
      <c r="C9840" s="2" t="s">
        <v>5682</v>
      </c>
      <c r="D9840" s="3" t="str">
        <f t="shared" si="2035"/>
        <v>12Go Link</v>
      </c>
      <c r="E9840" s="2" t="s">
        <v>4139</v>
      </c>
    </row>
    <row r="9841">
      <c r="A9841" s="2" t="s">
        <v>4943</v>
      </c>
      <c r="B9841" s="2" t="s">
        <v>5005</v>
      </c>
      <c r="C9841" s="2" t="s">
        <v>5682</v>
      </c>
      <c r="D9841" s="3" t="str">
        <f t="shared" si="2035"/>
        <v>12Go Link</v>
      </c>
      <c r="E9841" s="2" t="s">
        <v>3409</v>
      </c>
    </row>
    <row r="9842">
      <c r="A9842" s="2" t="s">
        <v>4943</v>
      </c>
      <c r="B9842" s="2" t="s">
        <v>5683</v>
      </c>
      <c r="C9842" s="2" t="s">
        <v>5684</v>
      </c>
      <c r="D9842" s="3" t="str">
        <f>HYPERLINK("https://12go.asia/en/travel/Colombo-Fort/Panadura", "12Go Link")</f>
        <v>12Go Link</v>
      </c>
      <c r="E9842" s="2" t="s">
        <v>5080</v>
      </c>
    </row>
    <row r="9843">
      <c r="A9843" s="2" t="s">
        <v>4943</v>
      </c>
      <c r="B9843" s="2" t="s">
        <v>5007</v>
      </c>
      <c r="C9843" s="2" t="s">
        <v>5685</v>
      </c>
      <c r="D9843" s="3" t="str">
        <f>HYPERLINK("https://12go.asia/en/travel/Bambalapitiya/Pasikuda", "12Go Link")</f>
        <v>12Go Link</v>
      </c>
      <c r="E9843" s="2" t="s">
        <v>4139</v>
      </c>
    </row>
    <row r="9844">
      <c r="A9844" s="2" t="s">
        <v>4943</v>
      </c>
      <c r="B9844" s="2" t="s">
        <v>5011</v>
      </c>
      <c r="C9844" s="2" t="s">
        <v>5686</v>
      </c>
      <c r="D9844" s="3" t="str">
        <f t="shared" ref="D9844:D9846" si="2036">HYPERLINK("https://12go.asia/en/travel/Bambalapitiya/Kalpitiya", "12Go Link")</f>
        <v>12Go Link</v>
      </c>
      <c r="E9844" s="2" t="s">
        <v>286</v>
      </c>
    </row>
    <row r="9845">
      <c r="A9845" s="2" t="s">
        <v>4943</v>
      </c>
      <c r="B9845" s="2" t="s">
        <v>5011</v>
      </c>
      <c r="C9845" s="2" t="s">
        <v>5686</v>
      </c>
      <c r="D9845" s="3" t="str">
        <f t="shared" si="2036"/>
        <v>12Go Link</v>
      </c>
      <c r="E9845" s="2" t="s">
        <v>4139</v>
      </c>
    </row>
    <row r="9846">
      <c r="A9846" s="2" t="s">
        <v>4943</v>
      </c>
      <c r="B9846" s="2" t="s">
        <v>5011</v>
      </c>
      <c r="C9846" s="2" t="s">
        <v>5686</v>
      </c>
      <c r="D9846" s="3" t="str">
        <f t="shared" si="2036"/>
        <v>12Go Link</v>
      </c>
      <c r="E9846" s="2" t="s">
        <v>3409</v>
      </c>
    </row>
    <row r="9847">
      <c r="A9847" s="2" t="s">
        <v>4943</v>
      </c>
      <c r="B9847" s="2" t="s">
        <v>5011</v>
      </c>
      <c r="C9847" s="2" t="s">
        <v>5687</v>
      </c>
      <c r="D9847" s="3" t="str">
        <f t="shared" ref="D9847:D9849" si="2037">HYPERLINK("https://12go.asia/en/travel/Bambalapitiya/Marawila", "12Go Link")</f>
        <v>12Go Link</v>
      </c>
      <c r="E9847" s="2" t="s">
        <v>286</v>
      </c>
    </row>
    <row r="9848">
      <c r="A9848" s="2" t="s">
        <v>4943</v>
      </c>
      <c r="B9848" s="2" t="s">
        <v>5011</v>
      </c>
      <c r="C9848" s="2" t="s">
        <v>5687</v>
      </c>
      <c r="D9848" s="3" t="str">
        <f t="shared" si="2037"/>
        <v>12Go Link</v>
      </c>
      <c r="E9848" s="2" t="s">
        <v>4139</v>
      </c>
    </row>
    <row r="9849">
      <c r="A9849" s="2" t="s">
        <v>4943</v>
      </c>
      <c r="B9849" s="2" t="s">
        <v>5011</v>
      </c>
      <c r="C9849" s="2" t="s">
        <v>5687</v>
      </c>
      <c r="D9849" s="3" t="str">
        <f t="shared" si="2037"/>
        <v>12Go Link</v>
      </c>
      <c r="E9849" s="2" t="s">
        <v>3409</v>
      </c>
    </row>
    <row r="9850">
      <c r="A9850" s="2" t="s">
        <v>4943</v>
      </c>
      <c r="B9850" s="2" t="s">
        <v>5014</v>
      </c>
      <c r="C9850" s="2" t="s">
        <v>5688</v>
      </c>
      <c r="D9850" s="3" t="str">
        <f t="shared" ref="D9850:D9852" si="2038">HYPERLINK("https://12go.asia/en/travel/Bambalapitiya/Kiriella", "12Go Link")</f>
        <v>12Go Link</v>
      </c>
      <c r="E9850" s="2" t="s">
        <v>286</v>
      </c>
    </row>
    <row r="9851">
      <c r="A9851" s="2" t="s">
        <v>4943</v>
      </c>
      <c r="B9851" s="2" t="s">
        <v>5014</v>
      </c>
      <c r="C9851" s="2" t="s">
        <v>5688</v>
      </c>
      <c r="D9851" s="3" t="str">
        <f t="shared" si="2038"/>
        <v>12Go Link</v>
      </c>
      <c r="E9851" s="2" t="s">
        <v>4139</v>
      </c>
    </row>
    <row r="9852">
      <c r="A9852" s="2" t="s">
        <v>4943</v>
      </c>
      <c r="B9852" s="2" t="s">
        <v>5014</v>
      </c>
      <c r="C9852" s="2" t="s">
        <v>5688</v>
      </c>
      <c r="D9852" s="3" t="str">
        <f t="shared" si="2038"/>
        <v>12Go Link</v>
      </c>
      <c r="E9852" s="2" t="s">
        <v>3409</v>
      </c>
    </row>
    <row r="9853">
      <c r="A9853" s="2" t="s">
        <v>4943</v>
      </c>
      <c r="B9853" s="2" t="s">
        <v>5018</v>
      </c>
      <c r="C9853" s="2" t="s">
        <v>5689</v>
      </c>
      <c r="D9853" s="3" t="str">
        <f t="shared" ref="D9853:D9855" si="2039">HYPERLINK("https://12go.asia/en/travel/Bambalapitiya/Rekawa", "12Go Link")</f>
        <v>12Go Link</v>
      </c>
      <c r="E9853" s="2" t="s">
        <v>286</v>
      </c>
    </row>
    <row r="9854">
      <c r="A9854" s="2" t="s">
        <v>4943</v>
      </c>
      <c r="B9854" s="2" t="s">
        <v>5018</v>
      </c>
      <c r="C9854" s="2" t="s">
        <v>5689</v>
      </c>
      <c r="D9854" s="3" t="str">
        <f t="shared" si="2039"/>
        <v>12Go Link</v>
      </c>
      <c r="E9854" s="2" t="s">
        <v>4139</v>
      </c>
    </row>
    <row r="9855">
      <c r="A9855" s="2" t="s">
        <v>4943</v>
      </c>
      <c r="B9855" s="2" t="s">
        <v>5018</v>
      </c>
      <c r="C9855" s="2" t="s">
        <v>5689</v>
      </c>
      <c r="D9855" s="3" t="str">
        <f t="shared" si="2039"/>
        <v>12Go Link</v>
      </c>
      <c r="E9855" s="2" t="s">
        <v>3409</v>
      </c>
    </row>
    <row r="9856">
      <c r="A9856" s="2" t="s">
        <v>4943</v>
      </c>
      <c r="B9856" s="2" t="s">
        <v>5020</v>
      </c>
      <c r="C9856" s="2" t="s">
        <v>5690</v>
      </c>
      <c r="D9856" s="3" t="str">
        <f t="shared" ref="D9856:D9858" si="2040">HYPERLINK("https://12go.asia/en/travel/Bambalapitiya/Tissamaharama", "12Go Link")</f>
        <v>12Go Link</v>
      </c>
      <c r="E9856" s="2" t="s">
        <v>286</v>
      </c>
    </row>
    <row r="9857">
      <c r="A9857" s="2" t="s">
        <v>4943</v>
      </c>
      <c r="B9857" s="2" t="s">
        <v>5020</v>
      </c>
      <c r="C9857" s="2" t="s">
        <v>5690</v>
      </c>
      <c r="D9857" s="3" t="str">
        <f t="shared" si="2040"/>
        <v>12Go Link</v>
      </c>
      <c r="E9857" s="2" t="s">
        <v>4139</v>
      </c>
    </row>
    <row r="9858">
      <c r="A9858" s="2" t="s">
        <v>4943</v>
      </c>
      <c r="B9858" s="2" t="s">
        <v>5020</v>
      </c>
      <c r="C9858" s="2" t="s">
        <v>5690</v>
      </c>
      <c r="D9858" s="3" t="str">
        <f t="shared" si="2040"/>
        <v>12Go Link</v>
      </c>
      <c r="E9858" s="2" t="s">
        <v>3409</v>
      </c>
    </row>
    <row r="9859">
      <c r="A9859" s="2" t="s">
        <v>4943</v>
      </c>
      <c r="B9859" s="2" t="s">
        <v>5020</v>
      </c>
      <c r="C9859" s="2" t="s">
        <v>5691</v>
      </c>
      <c r="D9859" s="3" t="str">
        <f t="shared" ref="D9859:D9861" si="2041">HYPERLINK("https://12go.asia/en/travel/Bambalapitiya/Yala-Park", "12Go Link")</f>
        <v>12Go Link</v>
      </c>
      <c r="E9859" s="2" t="s">
        <v>286</v>
      </c>
    </row>
    <row r="9860">
      <c r="A9860" s="2" t="s">
        <v>4943</v>
      </c>
      <c r="B9860" s="2" t="s">
        <v>5020</v>
      </c>
      <c r="C9860" s="2" t="s">
        <v>5691</v>
      </c>
      <c r="D9860" s="3" t="str">
        <f t="shared" si="2041"/>
        <v>12Go Link</v>
      </c>
      <c r="E9860" s="2" t="s">
        <v>4139</v>
      </c>
    </row>
    <row r="9861">
      <c r="A9861" s="2" t="s">
        <v>4943</v>
      </c>
      <c r="B9861" s="2" t="s">
        <v>5020</v>
      </c>
      <c r="C9861" s="2" t="s">
        <v>5691</v>
      </c>
      <c r="D9861" s="3" t="str">
        <f t="shared" si="2041"/>
        <v>12Go Link</v>
      </c>
      <c r="E9861" s="2" t="s">
        <v>3409</v>
      </c>
    </row>
    <row r="9862">
      <c r="A9862" s="2" t="s">
        <v>4943</v>
      </c>
      <c r="B9862" s="2" t="s">
        <v>5023</v>
      </c>
      <c r="C9862" s="2" t="s">
        <v>5692</v>
      </c>
      <c r="D9862" s="3" t="str">
        <f t="shared" ref="D9862:D9864" si="2042">HYPERLINK("https://12go.asia/en/travel/Bambalapitiya/Nilaweli", "12Go Link")</f>
        <v>12Go Link</v>
      </c>
      <c r="E9862" s="2" t="s">
        <v>286</v>
      </c>
    </row>
    <row r="9863">
      <c r="A9863" s="2" t="s">
        <v>4943</v>
      </c>
      <c r="B9863" s="2" t="s">
        <v>5023</v>
      </c>
      <c r="C9863" s="2" t="s">
        <v>5692</v>
      </c>
      <c r="D9863" s="3" t="str">
        <f t="shared" si="2042"/>
        <v>12Go Link</v>
      </c>
      <c r="E9863" s="2" t="s">
        <v>4139</v>
      </c>
    </row>
    <row r="9864">
      <c r="A9864" s="2" t="s">
        <v>4943</v>
      </c>
      <c r="B9864" s="2" t="s">
        <v>5023</v>
      </c>
      <c r="C9864" s="2" t="s">
        <v>5692</v>
      </c>
      <c r="D9864" s="3" t="str">
        <f t="shared" si="2042"/>
        <v>12Go Link</v>
      </c>
      <c r="E9864" s="2" t="s">
        <v>3409</v>
      </c>
    </row>
    <row r="9865">
      <c r="A9865" s="2" t="s">
        <v>4943</v>
      </c>
      <c r="B9865" s="2" t="s">
        <v>5025</v>
      </c>
      <c r="C9865" s="2" t="s">
        <v>5693</v>
      </c>
      <c r="D9865" s="3" t="str">
        <f t="shared" ref="D9865:D9867" si="2043">HYPERLINK("https://12go.asia/en/travel/Bambalapitiya/Udawalawa", "12Go Link")</f>
        <v>12Go Link</v>
      </c>
      <c r="E9865" s="2" t="s">
        <v>286</v>
      </c>
    </row>
    <row r="9866">
      <c r="A9866" s="2" t="s">
        <v>4943</v>
      </c>
      <c r="B9866" s="2" t="s">
        <v>5025</v>
      </c>
      <c r="C9866" s="2" t="s">
        <v>5693</v>
      </c>
      <c r="D9866" s="3" t="str">
        <f t="shared" si="2043"/>
        <v>12Go Link</v>
      </c>
      <c r="E9866" s="2" t="s">
        <v>4139</v>
      </c>
    </row>
    <row r="9867">
      <c r="A9867" s="2" t="s">
        <v>4943</v>
      </c>
      <c r="B9867" s="2" t="s">
        <v>5025</v>
      </c>
      <c r="C9867" s="2" t="s">
        <v>5693</v>
      </c>
      <c r="D9867" s="3" t="str">
        <f t="shared" si="2043"/>
        <v>12Go Link</v>
      </c>
      <c r="E9867" s="2" t="s">
        <v>3409</v>
      </c>
    </row>
    <row r="9868">
      <c r="A9868" s="2" t="s">
        <v>4943</v>
      </c>
      <c r="B9868" s="2" t="s">
        <v>5029</v>
      </c>
      <c r="C9868" s="2" t="s">
        <v>5694</v>
      </c>
      <c r="D9868" s="3" t="str">
        <f t="shared" ref="D9868:D9870" si="2044">HYPERLINK("https://12go.asia/en/travel/Bambalapitiya/Attanagalla", "12Go Link")</f>
        <v>12Go Link</v>
      </c>
      <c r="E9868" s="2" t="s">
        <v>286</v>
      </c>
    </row>
    <row r="9869">
      <c r="A9869" s="2" t="s">
        <v>4943</v>
      </c>
      <c r="B9869" s="2" t="s">
        <v>5029</v>
      </c>
      <c r="C9869" s="2" t="s">
        <v>5694</v>
      </c>
      <c r="D9869" s="3" t="str">
        <f t="shared" si="2044"/>
        <v>12Go Link</v>
      </c>
      <c r="E9869" s="2" t="s">
        <v>4139</v>
      </c>
    </row>
    <row r="9870">
      <c r="A9870" s="2" t="s">
        <v>4943</v>
      </c>
      <c r="B9870" s="2" t="s">
        <v>5029</v>
      </c>
      <c r="C9870" s="2" t="s">
        <v>5694</v>
      </c>
      <c r="D9870" s="3" t="str">
        <f t="shared" si="2044"/>
        <v>12Go Link</v>
      </c>
      <c r="E9870" s="2" t="s">
        <v>3409</v>
      </c>
    </row>
    <row r="9871">
      <c r="A9871" s="2" t="s">
        <v>4943</v>
      </c>
      <c r="B9871" s="2" t="s">
        <v>5031</v>
      </c>
      <c r="C9871" s="2" t="s">
        <v>5695</v>
      </c>
      <c r="D9871" s="3" t="str">
        <f t="shared" ref="D9871:D9873" si="2045">HYPERLINK("https://12go.asia/en/travel/Bambalapitiya/Waskaduwa", "12Go Link")</f>
        <v>12Go Link</v>
      </c>
      <c r="E9871" s="2" t="s">
        <v>286</v>
      </c>
    </row>
    <row r="9872">
      <c r="A9872" s="2" t="s">
        <v>4943</v>
      </c>
      <c r="B9872" s="2" t="s">
        <v>5031</v>
      </c>
      <c r="C9872" s="2" t="s">
        <v>5695</v>
      </c>
      <c r="D9872" s="3" t="str">
        <f t="shared" si="2045"/>
        <v>12Go Link</v>
      </c>
      <c r="E9872" s="2" t="s">
        <v>4139</v>
      </c>
    </row>
    <row r="9873">
      <c r="A9873" s="2" t="s">
        <v>4943</v>
      </c>
      <c r="B9873" s="2" t="s">
        <v>5031</v>
      </c>
      <c r="C9873" s="2" t="s">
        <v>5695</v>
      </c>
      <c r="D9873" s="3" t="str">
        <f t="shared" si="2045"/>
        <v>12Go Link</v>
      </c>
      <c r="E9873" s="2" t="s">
        <v>3409</v>
      </c>
    </row>
    <row r="9874">
      <c r="A9874" s="2" t="s">
        <v>4943</v>
      </c>
      <c r="B9874" s="2" t="s">
        <v>5031</v>
      </c>
      <c r="C9874" s="2" t="s">
        <v>5696</v>
      </c>
      <c r="D9874" s="3" t="str">
        <f>HYPERLINK("https://12go.asia/en/travel/Colombo-Fort/Wadduwa", "12Go Link")</f>
        <v>12Go Link</v>
      </c>
      <c r="E9874" s="2" t="s">
        <v>5080</v>
      </c>
    </row>
    <row r="9875">
      <c r="A9875" s="2" t="s">
        <v>4943</v>
      </c>
      <c r="B9875" s="2" t="s">
        <v>5034</v>
      </c>
      <c r="C9875" s="2" t="s">
        <v>5697</v>
      </c>
      <c r="D9875" s="3" t="str">
        <f t="shared" ref="D9875:D9877" si="2046">HYPERLINK("https://12go.asia/en/travel/Bambalapitiya/Weddagala", "12Go Link")</f>
        <v>12Go Link</v>
      </c>
      <c r="E9875" s="2" t="s">
        <v>286</v>
      </c>
    </row>
    <row r="9876">
      <c r="A9876" s="2" t="s">
        <v>4943</v>
      </c>
      <c r="B9876" s="2" t="s">
        <v>5034</v>
      </c>
      <c r="C9876" s="2" t="s">
        <v>5697</v>
      </c>
      <c r="D9876" s="3" t="str">
        <f t="shared" si="2046"/>
        <v>12Go Link</v>
      </c>
      <c r="E9876" s="2" t="s">
        <v>4139</v>
      </c>
    </row>
    <row r="9877">
      <c r="A9877" s="2" t="s">
        <v>4943</v>
      </c>
      <c r="B9877" s="2" t="s">
        <v>5034</v>
      </c>
      <c r="C9877" s="2" t="s">
        <v>5697</v>
      </c>
      <c r="D9877" s="3" t="str">
        <f t="shared" si="2046"/>
        <v>12Go Link</v>
      </c>
      <c r="E9877" s="2" t="s">
        <v>3409</v>
      </c>
    </row>
    <row r="9878">
      <c r="A9878" s="2" t="s">
        <v>4943</v>
      </c>
      <c r="B9878" s="2" t="s">
        <v>5036</v>
      </c>
      <c r="C9878" s="2" t="s">
        <v>5698</v>
      </c>
      <c r="D9878" s="3" t="str">
        <f t="shared" ref="D9878:D9880" si="2047">HYPERLINK("https://12go.asia/en/travel/Bambalapitiya/Weligatta", "12Go Link")</f>
        <v>12Go Link</v>
      </c>
      <c r="E9878" s="2" t="s">
        <v>286</v>
      </c>
    </row>
    <row r="9879">
      <c r="A9879" s="2" t="s">
        <v>4943</v>
      </c>
      <c r="B9879" s="2" t="s">
        <v>5036</v>
      </c>
      <c r="C9879" s="2" t="s">
        <v>5698</v>
      </c>
      <c r="D9879" s="3" t="str">
        <f t="shared" si="2047"/>
        <v>12Go Link</v>
      </c>
      <c r="E9879" s="2" t="s">
        <v>4139</v>
      </c>
    </row>
    <row r="9880">
      <c r="A9880" s="2" t="s">
        <v>4943</v>
      </c>
      <c r="B9880" s="2" t="s">
        <v>5036</v>
      </c>
      <c r="C9880" s="2" t="s">
        <v>5698</v>
      </c>
      <c r="D9880" s="3" t="str">
        <f t="shared" si="2047"/>
        <v>12Go Link</v>
      </c>
      <c r="E9880" s="2" t="s">
        <v>3409</v>
      </c>
    </row>
    <row r="9881">
      <c r="A9881" s="2" t="s">
        <v>4943</v>
      </c>
      <c r="B9881" s="2" t="s">
        <v>5038</v>
      </c>
      <c r="C9881" s="2" t="s">
        <v>5699</v>
      </c>
      <c r="D9881" s="3" t="str">
        <f t="shared" ref="D9881:D9883" si="2048">HYPERLINK("https://12go.asia/en/travel/Bambalapitiya/Akuressa", "12Go Link")</f>
        <v>12Go Link</v>
      </c>
      <c r="E9881" s="2" t="s">
        <v>286</v>
      </c>
    </row>
    <row r="9882">
      <c r="A9882" s="2" t="s">
        <v>4943</v>
      </c>
      <c r="B9882" s="2" t="s">
        <v>5038</v>
      </c>
      <c r="C9882" s="2" t="s">
        <v>5699</v>
      </c>
      <c r="D9882" s="3" t="str">
        <f t="shared" si="2048"/>
        <v>12Go Link</v>
      </c>
      <c r="E9882" s="2" t="s">
        <v>4139</v>
      </c>
    </row>
    <row r="9883">
      <c r="A9883" s="2" t="s">
        <v>4943</v>
      </c>
      <c r="B9883" s="2" t="s">
        <v>5038</v>
      </c>
      <c r="C9883" s="2" t="s">
        <v>5699</v>
      </c>
      <c r="D9883" s="3" t="str">
        <f t="shared" si="2048"/>
        <v>12Go Link</v>
      </c>
      <c r="E9883" s="2" t="s">
        <v>3409</v>
      </c>
    </row>
    <row r="9884">
      <c r="A9884" s="2" t="s">
        <v>4943</v>
      </c>
      <c r="B9884" s="2" t="s">
        <v>5038</v>
      </c>
      <c r="C9884" s="2" t="s">
        <v>5700</v>
      </c>
      <c r="D9884" s="3" t="str">
        <f>HYPERLINK("https://12go.asia/en/travel/Colombo-Fort/Weligama", "12Go Link")</f>
        <v>12Go Link</v>
      </c>
      <c r="E9884" s="2" t="s">
        <v>5080</v>
      </c>
    </row>
    <row r="9885">
      <c r="A9885" s="2" t="s">
        <v>4943</v>
      </c>
      <c r="B9885" s="2" t="s">
        <v>5040</v>
      </c>
      <c r="C9885" s="2" t="s">
        <v>5701</v>
      </c>
      <c r="D9885" s="3" t="str">
        <f t="shared" ref="D9885:D9887" si="2049">HYPERLINK("https://12go.asia/en/travel/Bambalapitiya/Wilpattu", "12Go Link")</f>
        <v>12Go Link</v>
      </c>
      <c r="E9885" s="2" t="s">
        <v>286</v>
      </c>
    </row>
    <row r="9886">
      <c r="A9886" s="2" t="s">
        <v>4943</v>
      </c>
      <c r="B9886" s="2" t="s">
        <v>5040</v>
      </c>
      <c r="C9886" s="2" t="s">
        <v>5701</v>
      </c>
      <c r="D9886" s="3" t="str">
        <f t="shared" si="2049"/>
        <v>12Go Link</v>
      </c>
      <c r="E9886" s="2" t="s">
        <v>4139</v>
      </c>
    </row>
    <row r="9887">
      <c r="A9887" s="2" t="s">
        <v>4943</v>
      </c>
      <c r="B9887" s="2" t="s">
        <v>5040</v>
      </c>
      <c r="C9887" s="2" t="s">
        <v>5701</v>
      </c>
      <c r="D9887" s="3" t="str">
        <f t="shared" si="2049"/>
        <v>12Go Link</v>
      </c>
      <c r="E9887" s="2" t="s">
        <v>3409</v>
      </c>
    </row>
    <row r="9888">
      <c r="A9888" s="2" t="s">
        <v>4945</v>
      </c>
      <c r="B9888" s="2" t="s">
        <v>4918</v>
      </c>
      <c r="C9888" s="2" t="s">
        <v>5702</v>
      </c>
      <c r="D9888" s="3" t="str">
        <f t="shared" ref="D9888:D9890" si="2050">HYPERLINK("https://12go.asia/en/travel/Bandaranaike-Airport/Adams-Peak", "12Go Link")</f>
        <v>12Go Link</v>
      </c>
      <c r="E9888" s="2" t="s">
        <v>286</v>
      </c>
    </row>
    <row r="9889">
      <c r="A9889" s="2" t="s">
        <v>4945</v>
      </c>
      <c r="B9889" s="2" t="s">
        <v>4918</v>
      </c>
      <c r="C9889" s="2" t="s">
        <v>5702</v>
      </c>
      <c r="D9889" s="3" t="str">
        <f t="shared" si="2050"/>
        <v>12Go Link</v>
      </c>
      <c r="E9889" s="2" t="s">
        <v>4139</v>
      </c>
    </row>
    <row r="9890">
      <c r="A9890" s="2" t="s">
        <v>4945</v>
      </c>
      <c r="B9890" s="2" t="s">
        <v>4918</v>
      </c>
      <c r="C9890" s="2" t="s">
        <v>5702</v>
      </c>
      <c r="D9890" s="3" t="str">
        <f t="shared" si="2050"/>
        <v>12Go Link</v>
      </c>
      <c r="E9890" s="2" t="s">
        <v>3409</v>
      </c>
    </row>
    <row r="9891">
      <c r="A9891" s="2" t="s">
        <v>4945</v>
      </c>
      <c r="B9891" s="2" t="s">
        <v>4919</v>
      </c>
      <c r="C9891" s="2" t="s">
        <v>5703</v>
      </c>
      <c r="D9891" s="3" t="str">
        <f t="shared" ref="D9891:D9893" si="2051">HYPERLINK("https://12go.asia/en/travel/Bandaranaike-Airport/Ahangama", "12Go Link")</f>
        <v>12Go Link</v>
      </c>
      <c r="E9891" s="2" t="s">
        <v>286</v>
      </c>
    </row>
    <row r="9892">
      <c r="A9892" s="2" t="s">
        <v>4945</v>
      </c>
      <c r="B9892" s="2" t="s">
        <v>4919</v>
      </c>
      <c r="C9892" s="2" t="s">
        <v>5703</v>
      </c>
      <c r="D9892" s="3" t="str">
        <f t="shared" si="2051"/>
        <v>12Go Link</v>
      </c>
      <c r="E9892" s="2" t="s">
        <v>4139</v>
      </c>
    </row>
    <row r="9893">
      <c r="A9893" s="2" t="s">
        <v>4945</v>
      </c>
      <c r="B9893" s="2" t="s">
        <v>4919</v>
      </c>
      <c r="C9893" s="2" t="s">
        <v>5703</v>
      </c>
      <c r="D9893" s="3" t="str">
        <f t="shared" si="2051"/>
        <v>12Go Link</v>
      </c>
      <c r="E9893" s="2" t="s">
        <v>3409</v>
      </c>
    </row>
    <row r="9894">
      <c r="A9894" s="2" t="s">
        <v>4945</v>
      </c>
      <c r="B9894" s="2" t="s">
        <v>4921</v>
      </c>
      <c r="C9894" s="2" t="s">
        <v>5704</v>
      </c>
      <c r="D9894" s="3" t="str">
        <f t="shared" ref="D9894:D9896" si="2052">HYPERLINK("https://12go.asia/en/travel/Bandaranaike-Airport/Ahungalla", "12Go Link")</f>
        <v>12Go Link</v>
      </c>
      <c r="E9894" s="2" t="s">
        <v>286</v>
      </c>
    </row>
    <row r="9895">
      <c r="A9895" s="2" t="s">
        <v>4945</v>
      </c>
      <c r="B9895" s="2" t="s">
        <v>4921</v>
      </c>
      <c r="C9895" s="2" t="s">
        <v>5704</v>
      </c>
      <c r="D9895" s="3" t="str">
        <f t="shared" si="2052"/>
        <v>12Go Link</v>
      </c>
      <c r="E9895" s="2" t="s">
        <v>4139</v>
      </c>
    </row>
    <row r="9896">
      <c r="A9896" s="2" t="s">
        <v>4945</v>
      </c>
      <c r="B9896" s="2" t="s">
        <v>4921</v>
      </c>
      <c r="C9896" s="2" t="s">
        <v>5704</v>
      </c>
      <c r="D9896" s="3" t="str">
        <f t="shared" si="2052"/>
        <v>12Go Link</v>
      </c>
      <c r="E9896" s="2" t="s">
        <v>3409</v>
      </c>
    </row>
    <row r="9897">
      <c r="A9897" s="2" t="s">
        <v>4945</v>
      </c>
      <c r="B9897" s="2" t="s">
        <v>4923</v>
      </c>
      <c r="C9897" s="2" t="s">
        <v>5705</v>
      </c>
      <c r="D9897" s="3" t="str">
        <f t="shared" ref="D9897:D9899" si="2053">HYPERLINK("https://12go.asia/en/travel/Bandaranaike-Airport/Aluthgama", "12Go Link")</f>
        <v>12Go Link</v>
      </c>
      <c r="E9897" s="2" t="s">
        <v>286</v>
      </c>
    </row>
    <row r="9898">
      <c r="A9898" s="2" t="s">
        <v>4945</v>
      </c>
      <c r="B9898" s="2" t="s">
        <v>4923</v>
      </c>
      <c r="C9898" s="2" t="s">
        <v>5705</v>
      </c>
      <c r="D9898" s="3" t="str">
        <f t="shared" si="2053"/>
        <v>12Go Link</v>
      </c>
      <c r="E9898" s="2" t="s">
        <v>4139</v>
      </c>
    </row>
    <row r="9899">
      <c r="A9899" s="2" t="s">
        <v>4945</v>
      </c>
      <c r="B9899" s="2" t="s">
        <v>4923</v>
      </c>
      <c r="C9899" s="2" t="s">
        <v>5705</v>
      </c>
      <c r="D9899" s="3" t="str">
        <f t="shared" si="2053"/>
        <v>12Go Link</v>
      </c>
      <c r="E9899" s="2" t="s">
        <v>3409</v>
      </c>
    </row>
    <row r="9900">
      <c r="A9900" s="2" t="s">
        <v>4945</v>
      </c>
      <c r="B9900" s="2" t="s">
        <v>4925</v>
      </c>
      <c r="C9900" s="2" t="s">
        <v>5706</v>
      </c>
      <c r="D9900" s="3" t="str">
        <f t="shared" ref="D9900:D9902" si="2054">HYPERLINK("https://12go.asia/en/travel/Bandaranaike-Airport/Ambalangoda", "12Go Link")</f>
        <v>12Go Link</v>
      </c>
      <c r="E9900" s="2" t="s">
        <v>286</v>
      </c>
    </row>
    <row r="9901">
      <c r="A9901" s="2" t="s">
        <v>4945</v>
      </c>
      <c r="B9901" s="2" t="s">
        <v>4925</v>
      </c>
      <c r="C9901" s="2" t="s">
        <v>5706</v>
      </c>
      <c r="D9901" s="3" t="str">
        <f t="shared" si="2054"/>
        <v>12Go Link</v>
      </c>
      <c r="E9901" s="2" t="s">
        <v>4139</v>
      </c>
    </row>
    <row r="9902">
      <c r="A9902" s="2" t="s">
        <v>4945</v>
      </c>
      <c r="B9902" s="2" t="s">
        <v>4925</v>
      </c>
      <c r="C9902" s="2" t="s">
        <v>5706</v>
      </c>
      <c r="D9902" s="3" t="str">
        <f t="shared" si="2054"/>
        <v>12Go Link</v>
      </c>
      <c r="E9902" s="2" t="s">
        <v>3409</v>
      </c>
    </row>
    <row r="9903">
      <c r="A9903" s="2" t="s">
        <v>4945</v>
      </c>
      <c r="B9903" s="2" t="s">
        <v>4927</v>
      </c>
      <c r="C9903" s="2" t="s">
        <v>5707</v>
      </c>
      <c r="D9903" s="3" t="str">
        <f t="shared" ref="D9903:D9905" si="2055">HYPERLINK("https://12go.asia/en/travel/Bandaranaike-Airport/Ambalantota", "12Go Link")</f>
        <v>12Go Link</v>
      </c>
      <c r="E9903" s="2" t="s">
        <v>286</v>
      </c>
    </row>
    <row r="9904">
      <c r="A9904" s="2" t="s">
        <v>4945</v>
      </c>
      <c r="B9904" s="2" t="s">
        <v>4927</v>
      </c>
      <c r="C9904" s="2" t="s">
        <v>5707</v>
      </c>
      <c r="D9904" s="3" t="str">
        <f t="shared" si="2055"/>
        <v>12Go Link</v>
      </c>
      <c r="E9904" s="2" t="s">
        <v>4139</v>
      </c>
    </row>
    <row r="9905">
      <c r="A9905" s="2" t="s">
        <v>4945</v>
      </c>
      <c r="B9905" s="2" t="s">
        <v>4927</v>
      </c>
      <c r="C9905" s="2" t="s">
        <v>5707</v>
      </c>
      <c r="D9905" s="3" t="str">
        <f t="shared" si="2055"/>
        <v>12Go Link</v>
      </c>
      <c r="E9905" s="2" t="s">
        <v>3409</v>
      </c>
    </row>
    <row r="9906">
      <c r="A9906" s="2" t="s">
        <v>4945</v>
      </c>
      <c r="B9906" s="2" t="s">
        <v>4929</v>
      </c>
      <c r="C9906" s="2" t="s">
        <v>5708</v>
      </c>
      <c r="D9906" s="3" t="str">
        <f t="shared" ref="D9906:D9908" si="2056">HYPERLINK("https://12go.asia/en/travel/Bandaranaike-Airport/Anuradhapura", "12Go Link")</f>
        <v>12Go Link</v>
      </c>
      <c r="E9906" s="2" t="s">
        <v>286</v>
      </c>
    </row>
    <row r="9907">
      <c r="A9907" s="2" t="s">
        <v>4945</v>
      </c>
      <c r="B9907" s="2" t="s">
        <v>4929</v>
      </c>
      <c r="C9907" s="2" t="s">
        <v>5708</v>
      </c>
      <c r="D9907" s="3" t="str">
        <f t="shared" si="2056"/>
        <v>12Go Link</v>
      </c>
      <c r="E9907" s="2" t="s">
        <v>4139</v>
      </c>
    </row>
    <row r="9908">
      <c r="A9908" s="2" t="s">
        <v>4945</v>
      </c>
      <c r="B9908" s="2" t="s">
        <v>4929</v>
      </c>
      <c r="C9908" s="2" t="s">
        <v>5708</v>
      </c>
      <c r="D9908" s="3" t="str">
        <f t="shared" si="2056"/>
        <v>12Go Link</v>
      </c>
      <c r="E9908" s="2" t="s">
        <v>3409</v>
      </c>
    </row>
    <row r="9909">
      <c r="A9909" s="2" t="s">
        <v>4945</v>
      </c>
      <c r="B9909" s="2" t="s">
        <v>4931</v>
      </c>
      <c r="C9909" s="2" t="s">
        <v>5709</v>
      </c>
      <c r="D9909" s="3" t="str">
        <f t="shared" ref="D9909:D9911" si="2057">HYPERLINK("https://12go.asia/en/travel/Bandaranaike-Airport/Arugam-bay", "12Go Link")</f>
        <v>12Go Link</v>
      </c>
      <c r="E9909" s="2" t="s">
        <v>286</v>
      </c>
    </row>
    <row r="9910">
      <c r="A9910" s="2" t="s">
        <v>4945</v>
      </c>
      <c r="B9910" s="2" t="s">
        <v>4931</v>
      </c>
      <c r="C9910" s="2" t="s">
        <v>5709</v>
      </c>
      <c r="D9910" s="3" t="str">
        <f t="shared" si="2057"/>
        <v>12Go Link</v>
      </c>
      <c r="E9910" s="2" t="s">
        <v>4139</v>
      </c>
    </row>
    <row r="9911">
      <c r="A9911" s="2" t="s">
        <v>4945</v>
      </c>
      <c r="B9911" s="2" t="s">
        <v>4931</v>
      </c>
      <c r="C9911" s="2" t="s">
        <v>5709</v>
      </c>
      <c r="D9911" s="3" t="str">
        <f t="shared" si="2057"/>
        <v>12Go Link</v>
      </c>
      <c r="E9911" s="2" t="s">
        <v>3409</v>
      </c>
    </row>
    <row r="9912">
      <c r="A9912" s="2" t="s">
        <v>4945</v>
      </c>
      <c r="B9912" s="2" t="s">
        <v>4933</v>
      </c>
      <c r="C9912" s="2" t="s">
        <v>5710</v>
      </c>
      <c r="D9912" s="3" t="str">
        <f t="shared" ref="D9912:D9914" si="2058">HYPERLINK("https://12go.asia/en/travel/Bandaranaike-Airport/balapitiya", "12Go Link")</f>
        <v>12Go Link</v>
      </c>
      <c r="E9912" s="2" t="s">
        <v>286</v>
      </c>
    </row>
    <row r="9913">
      <c r="A9913" s="2" t="s">
        <v>4945</v>
      </c>
      <c r="B9913" s="2" t="s">
        <v>4933</v>
      </c>
      <c r="C9913" s="2" t="s">
        <v>5710</v>
      </c>
      <c r="D9913" s="3" t="str">
        <f t="shared" si="2058"/>
        <v>12Go Link</v>
      </c>
      <c r="E9913" s="2" t="s">
        <v>4139</v>
      </c>
    </row>
    <row r="9914">
      <c r="A9914" s="2" t="s">
        <v>4945</v>
      </c>
      <c r="B9914" s="2" t="s">
        <v>4933</v>
      </c>
      <c r="C9914" s="2" t="s">
        <v>5710</v>
      </c>
      <c r="D9914" s="3" t="str">
        <f t="shared" si="2058"/>
        <v>12Go Link</v>
      </c>
      <c r="E9914" s="2" t="s">
        <v>3409</v>
      </c>
    </row>
    <row r="9915">
      <c r="A9915" s="2" t="s">
        <v>4945</v>
      </c>
      <c r="B9915" s="2" t="s">
        <v>4935</v>
      </c>
      <c r="C9915" s="2" t="s">
        <v>5711</v>
      </c>
      <c r="D9915" s="3" t="str">
        <f t="shared" ref="D9915:D9917" si="2059">HYPERLINK("https://12go.asia/en/travel/Bandaranaike-Airport/Batticaloa", "12Go Link")</f>
        <v>12Go Link</v>
      </c>
      <c r="E9915" s="2" t="s">
        <v>286</v>
      </c>
    </row>
    <row r="9916">
      <c r="A9916" s="2" t="s">
        <v>4945</v>
      </c>
      <c r="B9916" s="2" t="s">
        <v>4935</v>
      </c>
      <c r="C9916" s="2" t="s">
        <v>5711</v>
      </c>
      <c r="D9916" s="3" t="str">
        <f t="shared" si="2059"/>
        <v>12Go Link</v>
      </c>
      <c r="E9916" s="2" t="s">
        <v>4139</v>
      </c>
    </row>
    <row r="9917">
      <c r="A9917" s="2" t="s">
        <v>4945</v>
      </c>
      <c r="B9917" s="2" t="s">
        <v>4935</v>
      </c>
      <c r="C9917" s="2" t="s">
        <v>5711</v>
      </c>
      <c r="D9917" s="3" t="str">
        <f t="shared" si="2059"/>
        <v>12Go Link</v>
      </c>
      <c r="E9917" s="2" t="s">
        <v>3409</v>
      </c>
    </row>
    <row r="9918">
      <c r="A9918" s="2" t="s">
        <v>4945</v>
      </c>
      <c r="B9918" s="2" t="s">
        <v>4937</v>
      </c>
      <c r="C9918" s="2" t="s">
        <v>5712</v>
      </c>
      <c r="D9918" s="3" t="str">
        <f t="shared" ref="D9918:D9920" si="2060">HYPERLINK("https://12go.asia/en/travel/Bandaranaike-Airport/Bentota", "12Go Link")</f>
        <v>12Go Link</v>
      </c>
      <c r="E9918" s="2" t="s">
        <v>286</v>
      </c>
    </row>
    <row r="9919">
      <c r="A9919" s="2" t="s">
        <v>4945</v>
      </c>
      <c r="B9919" s="2" t="s">
        <v>4937</v>
      </c>
      <c r="C9919" s="2" t="s">
        <v>5712</v>
      </c>
      <c r="D9919" s="3" t="str">
        <f t="shared" si="2060"/>
        <v>12Go Link</v>
      </c>
      <c r="E9919" s="2" t="s">
        <v>4139</v>
      </c>
    </row>
    <row r="9920">
      <c r="A9920" s="2" t="s">
        <v>4945</v>
      </c>
      <c r="B9920" s="2" t="s">
        <v>4937</v>
      </c>
      <c r="C9920" s="2" t="s">
        <v>5712</v>
      </c>
      <c r="D9920" s="3" t="str">
        <f t="shared" si="2060"/>
        <v>12Go Link</v>
      </c>
      <c r="E9920" s="2" t="s">
        <v>3409</v>
      </c>
    </row>
    <row r="9921">
      <c r="A9921" s="2" t="s">
        <v>4945</v>
      </c>
      <c r="B9921" s="2" t="s">
        <v>4939</v>
      </c>
      <c r="C9921" s="2" t="s">
        <v>5713</v>
      </c>
      <c r="D9921" s="3" t="str">
        <f t="shared" ref="D9921:D9923" si="2061">HYPERLINK("https://12go.asia/en/travel/Bandaranaike-Airport/Beruwala", "12Go Link")</f>
        <v>12Go Link</v>
      </c>
      <c r="E9921" s="2" t="s">
        <v>286</v>
      </c>
    </row>
    <row r="9922">
      <c r="A9922" s="2" t="s">
        <v>4945</v>
      </c>
      <c r="B9922" s="2" t="s">
        <v>4939</v>
      </c>
      <c r="C9922" s="2" t="s">
        <v>5713</v>
      </c>
      <c r="D9922" s="3" t="str">
        <f t="shared" si="2061"/>
        <v>12Go Link</v>
      </c>
      <c r="E9922" s="2" t="s">
        <v>4139</v>
      </c>
    </row>
    <row r="9923">
      <c r="A9923" s="2" t="s">
        <v>4945</v>
      </c>
      <c r="B9923" s="2" t="s">
        <v>4939</v>
      </c>
      <c r="C9923" s="2" t="s">
        <v>5713</v>
      </c>
      <c r="D9923" s="3" t="str">
        <f t="shared" si="2061"/>
        <v>12Go Link</v>
      </c>
      <c r="E9923" s="2" t="s">
        <v>3409</v>
      </c>
    </row>
    <row r="9924">
      <c r="A9924" s="2" t="s">
        <v>4945</v>
      </c>
      <c r="B9924" s="2" t="s">
        <v>4941</v>
      </c>
      <c r="C9924" s="2" t="s">
        <v>5714</v>
      </c>
      <c r="D9924" s="3" t="str">
        <f t="shared" ref="D9924:D9926" si="2062">HYPERLINK("https://12go.asia/en/travel/Bandaranaike-Airport/Bundala", "12Go Link")</f>
        <v>12Go Link</v>
      </c>
      <c r="E9924" s="2" t="s">
        <v>286</v>
      </c>
    </row>
    <row r="9925">
      <c r="A9925" s="2" t="s">
        <v>4945</v>
      </c>
      <c r="B9925" s="2" t="s">
        <v>4941</v>
      </c>
      <c r="C9925" s="2" t="s">
        <v>5714</v>
      </c>
      <c r="D9925" s="3" t="str">
        <f t="shared" si="2062"/>
        <v>12Go Link</v>
      </c>
      <c r="E9925" s="2" t="s">
        <v>4139</v>
      </c>
    </row>
    <row r="9926">
      <c r="A9926" s="2" t="s">
        <v>4945</v>
      </c>
      <c r="B9926" s="2" t="s">
        <v>4941</v>
      </c>
      <c r="C9926" s="2" t="s">
        <v>5714</v>
      </c>
      <c r="D9926" s="3" t="str">
        <f t="shared" si="2062"/>
        <v>12Go Link</v>
      </c>
      <c r="E9926" s="2" t="s">
        <v>3409</v>
      </c>
    </row>
    <row r="9927">
      <c r="A9927" s="2" t="s">
        <v>4945</v>
      </c>
      <c r="B9927" s="2" t="s">
        <v>4943</v>
      </c>
      <c r="C9927" s="2" t="s">
        <v>5715</v>
      </c>
      <c r="D9927" s="3" t="str">
        <f t="shared" ref="D9927:D9929" si="2063">HYPERLINK("https://12go.asia/en/travel/Bandaranaike-Airport/Bambalapitiya", "12Go Link")</f>
        <v>12Go Link</v>
      </c>
      <c r="E9927" s="2" t="s">
        <v>286</v>
      </c>
    </row>
    <row r="9928">
      <c r="A9928" s="2" t="s">
        <v>4945</v>
      </c>
      <c r="B9928" s="2" t="s">
        <v>4943</v>
      </c>
      <c r="C9928" s="2" t="s">
        <v>5715</v>
      </c>
      <c r="D9928" s="3" t="str">
        <f t="shared" si="2063"/>
        <v>12Go Link</v>
      </c>
      <c r="E9928" s="2" t="s">
        <v>4139</v>
      </c>
    </row>
    <row r="9929">
      <c r="A9929" s="2" t="s">
        <v>4945</v>
      </c>
      <c r="B9929" s="2" t="s">
        <v>4943</v>
      </c>
      <c r="C9929" s="2" t="s">
        <v>5715</v>
      </c>
      <c r="D9929" s="3" t="str">
        <f t="shared" si="2063"/>
        <v>12Go Link</v>
      </c>
      <c r="E9929" s="2" t="s">
        <v>3409</v>
      </c>
    </row>
    <row r="9930">
      <c r="A9930" s="2" t="s">
        <v>4945</v>
      </c>
      <c r="B9930" s="2" t="s">
        <v>4947</v>
      </c>
      <c r="C9930" s="2" t="s">
        <v>5716</v>
      </c>
      <c r="D9930" s="3" t="str">
        <f t="shared" ref="D9930:D9932" si="2064">HYPERLINK("https://12go.asia/en/travel/Bandaranaike-Airport/Dambulla", "12Go Link")</f>
        <v>12Go Link</v>
      </c>
      <c r="E9930" s="2" t="s">
        <v>286</v>
      </c>
    </row>
    <row r="9931">
      <c r="A9931" s="2" t="s">
        <v>4945</v>
      </c>
      <c r="B9931" s="2" t="s">
        <v>4947</v>
      </c>
      <c r="C9931" s="2" t="s">
        <v>5716</v>
      </c>
      <c r="D9931" s="3" t="str">
        <f t="shared" si="2064"/>
        <v>12Go Link</v>
      </c>
      <c r="E9931" s="2" t="s">
        <v>4139</v>
      </c>
    </row>
    <row r="9932">
      <c r="A9932" s="2" t="s">
        <v>4945</v>
      </c>
      <c r="B9932" s="2" t="s">
        <v>4947</v>
      </c>
      <c r="C9932" s="2" t="s">
        <v>5716</v>
      </c>
      <c r="D9932" s="3" t="str">
        <f t="shared" si="2064"/>
        <v>12Go Link</v>
      </c>
      <c r="E9932" s="2" t="s">
        <v>3409</v>
      </c>
    </row>
    <row r="9933">
      <c r="A9933" s="2" t="s">
        <v>4945</v>
      </c>
      <c r="B9933" s="2" t="s">
        <v>4949</v>
      </c>
      <c r="C9933" s="2" t="s">
        <v>5717</v>
      </c>
      <c r="D9933" s="3" t="str">
        <f t="shared" ref="D9933:D9935" si="2065">HYPERLINK("https://12go.asia/en/travel/Bandaranaike-Airport/Deniyaya", "12Go Link")</f>
        <v>12Go Link</v>
      </c>
      <c r="E9933" s="2" t="s">
        <v>286</v>
      </c>
    </row>
    <row r="9934">
      <c r="A9934" s="2" t="s">
        <v>4945</v>
      </c>
      <c r="B9934" s="2" t="s">
        <v>4949</v>
      </c>
      <c r="C9934" s="2" t="s">
        <v>5717</v>
      </c>
      <c r="D9934" s="3" t="str">
        <f t="shared" si="2065"/>
        <v>12Go Link</v>
      </c>
      <c r="E9934" s="2" t="s">
        <v>4139</v>
      </c>
    </row>
    <row r="9935">
      <c r="A9935" s="2" t="s">
        <v>4945</v>
      </c>
      <c r="B9935" s="2" t="s">
        <v>4949</v>
      </c>
      <c r="C9935" s="2" t="s">
        <v>5717</v>
      </c>
      <c r="D9935" s="3" t="str">
        <f t="shared" si="2065"/>
        <v>12Go Link</v>
      </c>
      <c r="E9935" s="2" t="s">
        <v>3409</v>
      </c>
    </row>
    <row r="9936">
      <c r="A9936" s="2" t="s">
        <v>4945</v>
      </c>
      <c r="B9936" s="2" t="s">
        <v>4951</v>
      </c>
      <c r="C9936" s="2" t="s">
        <v>5718</v>
      </c>
      <c r="D9936" s="3" t="str">
        <f t="shared" ref="D9936:D9938" si="2066">HYPERLINK("https://12go.asia/en/travel/Bandaranaike-Airport/Dickwella", "12Go Link")</f>
        <v>12Go Link</v>
      </c>
      <c r="E9936" s="2" t="s">
        <v>286</v>
      </c>
    </row>
    <row r="9937">
      <c r="A9937" s="2" t="s">
        <v>4945</v>
      </c>
      <c r="B9937" s="2" t="s">
        <v>4951</v>
      </c>
      <c r="C9937" s="2" t="s">
        <v>5718</v>
      </c>
      <c r="D9937" s="3" t="str">
        <f t="shared" si="2066"/>
        <v>12Go Link</v>
      </c>
      <c r="E9937" s="2" t="s">
        <v>4139</v>
      </c>
    </row>
    <row r="9938">
      <c r="A9938" s="2" t="s">
        <v>4945</v>
      </c>
      <c r="B9938" s="2" t="s">
        <v>4951</v>
      </c>
      <c r="C9938" s="2" t="s">
        <v>5718</v>
      </c>
      <c r="D9938" s="3" t="str">
        <f t="shared" si="2066"/>
        <v>12Go Link</v>
      </c>
      <c r="E9938" s="2" t="s">
        <v>3409</v>
      </c>
    </row>
    <row r="9939">
      <c r="A9939" s="2" t="s">
        <v>4945</v>
      </c>
      <c r="B9939" s="2" t="s">
        <v>4951</v>
      </c>
      <c r="C9939" s="2" t="s">
        <v>5719</v>
      </c>
      <c r="D9939" s="3" t="str">
        <f t="shared" ref="D9939:D9941" si="2067">HYPERLINK("https://12go.asia/en/travel/Bandaranaike-Airport/Hiriketiya-beach", "12Go Link")</f>
        <v>12Go Link</v>
      </c>
      <c r="E9939" s="2" t="s">
        <v>286</v>
      </c>
    </row>
    <row r="9940">
      <c r="A9940" s="2" t="s">
        <v>4945</v>
      </c>
      <c r="B9940" s="2" t="s">
        <v>4951</v>
      </c>
      <c r="C9940" s="2" t="s">
        <v>5719</v>
      </c>
      <c r="D9940" s="3" t="str">
        <f t="shared" si="2067"/>
        <v>12Go Link</v>
      </c>
      <c r="E9940" s="2" t="s">
        <v>4139</v>
      </c>
    </row>
    <row r="9941">
      <c r="A9941" s="2" t="s">
        <v>4945</v>
      </c>
      <c r="B9941" s="2" t="s">
        <v>4951</v>
      </c>
      <c r="C9941" s="2" t="s">
        <v>5719</v>
      </c>
      <c r="D9941" s="3" t="str">
        <f t="shared" si="2067"/>
        <v>12Go Link</v>
      </c>
      <c r="E9941" s="2" t="s">
        <v>3409</v>
      </c>
    </row>
    <row r="9942">
      <c r="A9942" s="2" t="s">
        <v>4945</v>
      </c>
      <c r="B9942" s="2" t="s">
        <v>4954</v>
      </c>
      <c r="C9942" s="2" t="s">
        <v>5720</v>
      </c>
      <c r="D9942" s="3" t="str">
        <f t="shared" ref="D9942:D9944" si="2068">HYPERLINK("https://12go.asia/en/travel/Bandaranaike-Airport/Galle", "12Go Link")</f>
        <v>12Go Link</v>
      </c>
      <c r="E9942" s="2" t="s">
        <v>286</v>
      </c>
    </row>
    <row r="9943">
      <c r="A9943" s="2" t="s">
        <v>4945</v>
      </c>
      <c r="B9943" s="2" t="s">
        <v>4954</v>
      </c>
      <c r="C9943" s="2" t="s">
        <v>5720</v>
      </c>
      <c r="D9943" s="3" t="str">
        <f t="shared" si="2068"/>
        <v>12Go Link</v>
      </c>
      <c r="E9943" s="2" t="s">
        <v>4139</v>
      </c>
    </row>
    <row r="9944">
      <c r="A9944" s="2" t="s">
        <v>4945</v>
      </c>
      <c r="B9944" s="2" t="s">
        <v>4954</v>
      </c>
      <c r="C9944" s="2" t="s">
        <v>5720</v>
      </c>
      <c r="D9944" s="3" t="str">
        <f t="shared" si="2068"/>
        <v>12Go Link</v>
      </c>
      <c r="E9944" s="2" t="s">
        <v>3409</v>
      </c>
    </row>
    <row r="9945">
      <c r="A9945" s="2" t="s">
        <v>4945</v>
      </c>
      <c r="B9945" s="2" t="s">
        <v>4954</v>
      </c>
      <c r="C9945" s="2" t="s">
        <v>5721</v>
      </c>
      <c r="D9945" s="3" t="str">
        <f t="shared" ref="D9945:D9947" si="2069">HYPERLINK("https://12go.asia/en/travel/Bandaranaike-Airport/Talpe", "12Go Link")</f>
        <v>12Go Link</v>
      </c>
      <c r="E9945" s="2" t="s">
        <v>286</v>
      </c>
    </row>
    <row r="9946">
      <c r="A9946" s="2" t="s">
        <v>4945</v>
      </c>
      <c r="B9946" s="2" t="s">
        <v>4954</v>
      </c>
      <c r="C9946" s="2" t="s">
        <v>5721</v>
      </c>
      <c r="D9946" s="3" t="str">
        <f t="shared" si="2069"/>
        <v>12Go Link</v>
      </c>
      <c r="E9946" s="2" t="s">
        <v>4139</v>
      </c>
    </row>
    <row r="9947">
      <c r="A9947" s="2" t="s">
        <v>4945</v>
      </c>
      <c r="B9947" s="2" t="s">
        <v>4954</v>
      </c>
      <c r="C9947" s="2" t="s">
        <v>5721</v>
      </c>
      <c r="D9947" s="3" t="str">
        <f t="shared" si="2069"/>
        <v>12Go Link</v>
      </c>
      <c r="E9947" s="2" t="s">
        <v>3409</v>
      </c>
    </row>
    <row r="9948">
      <c r="A9948" s="2" t="s">
        <v>4945</v>
      </c>
      <c r="B9948" s="2" t="s">
        <v>4957</v>
      </c>
      <c r="C9948" s="2" t="s">
        <v>5722</v>
      </c>
      <c r="D9948" s="3" t="str">
        <f t="shared" ref="D9948:D9950" si="2070">HYPERLINK("https://12go.asia/en/travel/Bandaranaike-Airport/Habarana", "12Go Link")</f>
        <v>12Go Link</v>
      </c>
      <c r="E9948" s="2" t="s">
        <v>286</v>
      </c>
    </row>
    <row r="9949">
      <c r="A9949" s="2" t="s">
        <v>4945</v>
      </c>
      <c r="B9949" s="2" t="s">
        <v>4957</v>
      </c>
      <c r="C9949" s="2" t="s">
        <v>5722</v>
      </c>
      <c r="D9949" s="3" t="str">
        <f t="shared" si="2070"/>
        <v>12Go Link</v>
      </c>
      <c r="E9949" s="2" t="s">
        <v>4139</v>
      </c>
    </row>
    <row r="9950">
      <c r="A9950" s="2" t="s">
        <v>4945</v>
      </c>
      <c r="B9950" s="2" t="s">
        <v>4957</v>
      </c>
      <c r="C9950" s="2" t="s">
        <v>5722</v>
      </c>
      <c r="D9950" s="3" t="str">
        <f t="shared" si="2070"/>
        <v>12Go Link</v>
      </c>
      <c r="E9950" s="2" t="s">
        <v>3409</v>
      </c>
    </row>
    <row r="9951">
      <c r="A9951" s="2" t="s">
        <v>4945</v>
      </c>
      <c r="B9951" s="2" t="s">
        <v>4959</v>
      </c>
      <c r="C9951" s="2" t="s">
        <v>5723</v>
      </c>
      <c r="D9951" s="3" t="str">
        <f t="shared" ref="D9951:D9953" si="2071">HYPERLINK("https://12go.asia/en/travel/Bandaranaike-Airport/Ella", "12Go Link")</f>
        <v>12Go Link</v>
      </c>
      <c r="E9951" s="2" t="s">
        <v>286</v>
      </c>
    </row>
    <row r="9952">
      <c r="A9952" s="2" t="s">
        <v>4945</v>
      </c>
      <c r="B9952" s="2" t="s">
        <v>4959</v>
      </c>
      <c r="C9952" s="2" t="s">
        <v>5723</v>
      </c>
      <c r="D9952" s="3" t="str">
        <f t="shared" si="2071"/>
        <v>12Go Link</v>
      </c>
      <c r="E9952" s="2" t="s">
        <v>4139</v>
      </c>
    </row>
    <row r="9953">
      <c r="A9953" s="2" t="s">
        <v>4945</v>
      </c>
      <c r="B9953" s="2" t="s">
        <v>4959</v>
      </c>
      <c r="C9953" s="2" t="s">
        <v>5723</v>
      </c>
      <c r="D9953" s="3" t="str">
        <f t="shared" si="2071"/>
        <v>12Go Link</v>
      </c>
      <c r="E9953" s="2" t="s">
        <v>3409</v>
      </c>
    </row>
    <row r="9954">
      <c r="A9954" s="2" t="s">
        <v>4945</v>
      </c>
      <c r="B9954" s="2" t="s">
        <v>4961</v>
      </c>
      <c r="C9954" s="2" t="s">
        <v>5724</v>
      </c>
      <c r="D9954" s="3" t="str">
        <f t="shared" ref="D9954:D9956" si="2072">HYPERLINK("https://12go.asia/en/travel/Bandaranaike-Airport/Beragala", "12Go Link")</f>
        <v>12Go Link</v>
      </c>
      <c r="E9954" s="2" t="s">
        <v>286</v>
      </c>
    </row>
    <row r="9955">
      <c r="A9955" s="2" t="s">
        <v>4945</v>
      </c>
      <c r="B9955" s="2" t="s">
        <v>4961</v>
      </c>
      <c r="C9955" s="2" t="s">
        <v>5724</v>
      </c>
      <c r="D9955" s="3" t="str">
        <f t="shared" si="2072"/>
        <v>12Go Link</v>
      </c>
      <c r="E9955" s="2" t="s">
        <v>4139</v>
      </c>
    </row>
    <row r="9956">
      <c r="A9956" s="2" t="s">
        <v>4945</v>
      </c>
      <c r="B9956" s="2" t="s">
        <v>4961</v>
      </c>
      <c r="C9956" s="2" t="s">
        <v>5724</v>
      </c>
      <c r="D9956" s="3" t="str">
        <f t="shared" si="2072"/>
        <v>12Go Link</v>
      </c>
      <c r="E9956" s="2" t="s">
        <v>3409</v>
      </c>
    </row>
    <row r="9957">
      <c r="A9957" s="2" t="s">
        <v>4945</v>
      </c>
      <c r="B9957" s="2" t="s">
        <v>4963</v>
      </c>
      <c r="C9957" s="2" t="s">
        <v>5725</v>
      </c>
      <c r="D9957" s="3" t="str">
        <f t="shared" ref="D9957:D9959" si="2073">HYPERLINK("https://12go.asia/en/travel/Bandaranaike-Airport/Dick-oya", "12Go Link")</f>
        <v>12Go Link</v>
      </c>
      <c r="E9957" s="2" t="s">
        <v>286</v>
      </c>
    </row>
    <row r="9958">
      <c r="A9958" s="2" t="s">
        <v>4945</v>
      </c>
      <c r="B9958" s="2" t="s">
        <v>4963</v>
      </c>
      <c r="C9958" s="2" t="s">
        <v>5725</v>
      </c>
      <c r="D9958" s="3" t="str">
        <f t="shared" si="2073"/>
        <v>12Go Link</v>
      </c>
      <c r="E9958" s="2" t="s">
        <v>4139</v>
      </c>
    </row>
    <row r="9959">
      <c r="A9959" s="2" t="s">
        <v>4945</v>
      </c>
      <c r="B9959" s="2" t="s">
        <v>4963</v>
      </c>
      <c r="C9959" s="2" t="s">
        <v>5725</v>
      </c>
      <c r="D9959" s="3" t="str">
        <f t="shared" si="2073"/>
        <v>12Go Link</v>
      </c>
      <c r="E9959" s="2" t="s">
        <v>3409</v>
      </c>
    </row>
    <row r="9960">
      <c r="A9960" s="2" t="s">
        <v>4945</v>
      </c>
      <c r="B9960" s="2" t="s">
        <v>4965</v>
      </c>
      <c r="C9960" s="2" t="s">
        <v>5726</v>
      </c>
      <c r="D9960" s="3" t="str">
        <f t="shared" ref="D9960:D9962" si="2074">HYPERLINK("https://12go.asia/en/travel/Bandaranaike-Airport/Dodanduwa", "12Go Link")</f>
        <v>12Go Link</v>
      </c>
      <c r="E9960" s="2" t="s">
        <v>286</v>
      </c>
    </row>
    <row r="9961">
      <c r="A9961" s="2" t="s">
        <v>4945</v>
      </c>
      <c r="B9961" s="2" t="s">
        <v>4965</v>
      </c>
      <c r="C9961" s="2" t="s">
        <v>5726</v>
      </c>
      <c r="D9961" s="3" t="str">
        <f t="shared" si="2074"/>
        <v>12Go Link</v>
      </c>
      <c r="E9961" s="2" t="s">
        <v>4139</v>
      </c>
    </row>
    <row r="9962">
      <c r="A9962" s="2" t="s">
        <v>4945</v>
      </c>
      <c r="B9962" s="2" t="s">
        <v>4965</v>
      </c>
      <c r="C9962" s="2" t="s">
        <v>5726</v>
      </c>
      <c r="D9962" s="3" t="str">
        <f t="shared" si="2074"/>
        <v>12Go Link</v>
      </c>
      <c r="E9962" s="2" t="s">
        <v>3409</v>
      </c>
    </row>
    <row r="9963">
      <c r="A9963" s="2" t="s">
        <v>4945</v>
      </c>
      <c r="B9963" s="2" t="s">
        <v>4967</v>
      </c>
      <c r="C9963" s="2" t="s">
        <v>5727</v>
      </c>
      <c r="D9963" s="3" t="str">
        <f t="shared" ref="D9963:D9965" si="2075">HYPERLINK("https://12go.asia/en/travel/Bandaranaike-Airport/Induruwa", "12Go Link")</f>
        <v>12Go Link</v>
      </c>
      <c r="E9963" s="2" t="s">
        <v>286</v>
      </c>
    </row>
    <row r="9964">
      <c r="A9964" s="2" t="s">
        <v>4945</v>
      </c>
      <c r="B9964" s="2" t="s">
        <v>4967</v>
      </c>
      <c r="C9964" s="2" t="s">
        <v>5727</v>
      </c>
      <c r="D9964" s="3" t="str">
        <f t="shared" si="2075"/>
        <v>12Go Link</v>
      </c>
      <c r="E9964" s="2" t="s">
        <v>4139</v>
      </c>
    </row>
    <row r="9965">
      <c r="A9965" s="2" t="s">
        <v>4945</v>
      </c>
      <c r="B9965" s="2" t="s">
        <v>4967</v>
      </c>
      <c r="C9965" s="2" t="s">
        <v>5727</v>
      </c>
      <c r="D9965" s="3" t="str">
        <f t="shared" si="2075"/>
        <v>12Go Link</v>
      </c>
      <c r="E9965" s="2" t="s">
        <v>3409</v>
      </c>
    </row>
    <row r="9966">
      <c r="A9966" s="2" t="s">
        <v>4945</v>
      </c>
      <c r="B9966" s="2" t="s">
        <v>4969</v>
      </c>
      <c r="C9966" s="2" t="s">
        <v>5728</v>
      </c>
      <c r="D9966" s="3" t="str">
        <f t="shared" ref="D9966:D9968" si="2076">HYPERLINK("https://12go.asia/en/travel/Bandaranaike-Airport/Jaffna", "12Go Link")</f>
        <v>12Go Link</v>
      </c>
      <c r="E9966" s="2" t="s">
        <v>286</v>
      </c>
    </row>
    <row r="9967">
      <c r="A9967" s="2" t="s">
        <v>4945</v>
      </c>
      <c r="B9967" s="2" t="s">
        <v>4969</v>
      </c>
      <c r="C9967" s="2" t="s">
        <v>5728</v>
      </c>
      <c r="D9967" s="3" t="str">
        <f t="shared" si="2076"/>
        <v>12Go Link</v>
      </c>
      <c r="E9967" s="2" t="s">
        <v>4139</v>
      </c>
    </row>
    <row r="9968">
      <c r="A9968" s="2" t="s">
        <v>4945</v>
      </c>
      <c r="B9968" s="2" t="s">
        <v>4969</v>
      </c>
      <c r="C9968" s="2" t="s">
        <v>5728</v>
      </c>
      <c r="D9968" s="3" t="str">
        <f t="shared" si="2076"/>
        <v>12Go Link</v>
      </c>
      <c r="E9968" s="2" t="s">
        <v>3409</v>
      </c>
    </row>
    <row r="9969">
      <c r="A9969" s="2" t="s">
        <v>4945</v>
      </c>
      <c r="B9969" s="2" t="s">
        <v>4971</v>
      </c>
      <c r="C9969" s="2" t="s">
        <v>5729</v>
      </c>
      <c r="D9969" s="3" t="str">
        <f t="shared" ref="D9969:D9971" si="2077">HYPERLINK("https://12go.asia/en/travel/Bandaranaike-Airport/Kalapuwa", "12Go Link")</f>
        <v>12Go Link</v>
      </c>
      <c r="E9969" s="2" t="s">
        <v>286</v>
      </c>
    </row>
    <row r="9970">
      <c r="A9970" s="2" t="s">
        <v>4945</v>
      </c>
      <c r="B9970" s="2" t="s">
        <v>4971</v>
      </c>
      <c r="C9970" s="2" t="s">
        <v>5729</v>
      </c>
      <c r="D9970" s="3" t="str">
        <f t="shared" si="2077"/>
        <v>12Go Link</v>
      </c>
      <c r="E9970" s="2" t="s">
        <v>4139</v>
      </c>
    </row>
    <row r="9971">
      <c r="A9971" s="2" t="s">
        <v>4945</v>
      </c>
      <c r="B9971" s="2" t="s">
        <v>4971</v>
      </c>
      <c r="C9971" s="2" t="s">
        <v>5729</v>
      </c>
      <c r="D9971" s="3" t="str">
        <f t="shared" si="2077"/>
        <v>12Go Link</v>
      </c>
      <c r="E9971" s="2" t="s">
        <v>3409</v>
      </c>
    </row>
    <row r="9972">
      <c r="A9972" s="2" t="s">
        <v>4945</v>
      </c>
      <c r="B9972" s="2" t="s">
        <v>4973</v>
      </c>
      <c r="C9972" s="2" t="s">
        <v>5730</v>
      </c>
      <c r="D9972" s="3" t="str">
        <f t="shared" ref="D9972:D9974" si="2078">HYPERLINK("https://12go.asia/en/travel/Bandaranaike-Airport/Ampitiya", "12Go Link")</f>
        <v>12Go Link</v>
      </c>
      <c r="E9972" s="2" t="s">
        <v>286</v>
      </c>
    </row>
    <row r="9973">
      <c r="A9973" s="2" t="s">
        <v>4945</v>
      </c>
      <c r="B9973" s="2" t="s">
        <v>4973</v>
      </c>
      <c r="C9973" s="2" t="s">
        <v>5730</v>
      </c>
      <c r="D9973" s="3" t="str">
        <f t="shared" si="2078"/>
        <v>12Go Link</v>
      </c>
      <c r="E9973" s="2" t="s">
        <v>4139</v>
      </c>
    </row>
    <row r="9974">
      <c r="A9974" s="2" t="s">
        <v>4945</v>
      </c>
      <c r="B9974" s="2" t="s">
        <v>4973</v>
      </c>
      <c r="C9974" s="2" t="s">
        <v>5730</v>
      </c>
      <c r="D9974" s="3" t="str">
        <f t="shared" si="2078"/>
        <v>12Go Link</v>
      </c>
      <c r="E9974" s="2" t="s">
        <v>3409</v>
      </c>
    </row>
    <row r="9975">
      <c r="A9975" s="2" t="s">
        <v>4945</v>
      </c>
      <c r="B9975" s="2" t="s">
        <v>4973</v>
      </c>
      <c r="C9975" s="2" t="s">
        <v>5731</v>
      </c>
      <c r="D9975" s="3" t="str">
        <f t="shared" ref="D9975:D9977" si="2079">HYPERLINK("https://12go.asia/en/travel/Bandaranaike-Airport/Digana", "12Go Link")</f>
        <v>12Go Link</v>
      </c>
      <c r="E9975" s="2" t="s">
        <v>286</v>
      </c>
    </row>
    <row r="9976">
      <c r="A9976" s="2" t="s">
        <v>4945</v>
      </c>
      <c r="B9976" s="2" t="s">
        <v>4973</v>
      </c>
      <c r="C9976" s="2" t="s">
        <v>5731</v>
      </c>
      <c r="D9976" s="3" t="str">
        <f t="shared" si="2079"/>
        <v>12Go Link</v>
      </c>
      <c r="E9976" s="2" t="s">
        <v>4139</v>
      </c>
    </row>
    <row r="9977">
      <c r="A9977" s="2" t="s">
        <v>4945</v>
      </c>
      <c r="B9977" s="2" t="s">
        <v>4973</v>
      </c>
      <c r="C9977" s="2" t="s">
        <v>5731</v>
      </c>
      <c r="D9977" s="3" t="str">
        <f t="shared" si="2079"/>
        <v>12Go Link</v>
      </c>
      <c r="E9977" s="2" t="s">
        <v>3409</v>
      </c>
    </row>
    <row r="9978">
      <c r="A9978" s="2" t="s">
        <v>4945</v>
      </c>
      <c r="B9978" s="2" t="s">
        <v>4976</v>
      </c>
      <c r="C9978" s="2" t="s">
        <v>5732</v>
      </c>
      <c r="D9978" s="3" t="str">
        <f t="shared" ref="D9978:D9980" si="2080">HYPERLINK("https://12go.asia/en/travel/Bandaranaike-Airport/Kataragama", "12Go Link")</f>
        <v>12Go Link</v>
      </c>
      <c r="E9978" s="2" t="s">
        <v>286</v>
      </c>
    </row>
    <row r="9979">
      <c r="A9979" s="2" t="s">
        <v>4945</v>
      </c>
      <c r="B9979" s="2" t="s">
        <v>4976</v>
      </c>
      <c r="C9979" s="2" t="s">
        <v>5732</v>
      </c>
      <c r="D9979" s="3" t="str">
        <f t="shared" si="2080"/>
        <v>12Go Link</v>
      </c>
      <c r="E9979" s="2" t="s">
        <v>4139</v>
      </c>
    </row>
    <row r="9980">
      <c r="A9980" s="2" t="s">
        <v>4945</v>
      </c>
      <c r="B9980" s="2" t="s">
        <v>4976</v>
      </c>
      <c r="C9980" s="2" t="s">
        <v>5732</v>
      </c>
      <c r="D9980" s="3" t="str">
        <f t="shared" si="2080"/>
        <v>12Go Link</v>
      </c>
      <c r="E9980" s="2" t="s">
        <v>3409</v>
      </c>
    </row>
    <row r="9981">
      <c r="A9981" s="2" t="s">
        <v>4945</v>
      </c>
      <c r="B9981" s="2" t="s">
        <v>4978</v>
      </c>
      <c r="C9981" s="2" t="s">
        <v>5733</v>
      </c>
      <c r="D9981" s="3" t="str">
        <f t="shared" ref="D9981:D9983" si="2081">HYPERLINK("https://12go.asia/en/travel/Bandaranaike-Airport/Alawathupitiya", "12Go Link")</f>
        <v>12Go Link</v>
      </c>
      <c r="E9981" s="2" t="s">
        <v>286</v>
      </c>
    </row>
    <row r="9982">
      <c r="A9982" s="2" t="s">
        <v>4945</v>
      </c>
      <c r="B9982" s="2" t="s">
        <v>4978</v>
      </c>
      <c r="C9982" s="2" t="s">
        <v>5733</v>
      </c>
      <c r="D9982" s="3" t="str">
        <f t="shared" si="2081"/>
        <v>12Go Link</v>
      </c>
      <c r="E9982" s="2" t="s">
        <v>4139</v>
      </c>
    </row>
    <row r="9983">
      <c r="A9983" s="2" t="s">
        <v>4945</v>
      </c>
      <c r="B9983" s="2" t="s">
        <v>4978</v>
      </c>
      <c r="C9983" s="2" t="s">
        <v>5733</v>
      </c>
      <c r="D9983" s="3" t="str">
        <f t="shared" si="2081"/>
        <v>12Go Link</v>
      </c>
      <c r="E9983" s="2" t="s">
        <v>3409</v>
      </c>
    </row>
    <row r="9984">
      <c r="A9984" s="2" t="s">
        <v>4945</v>
      </c>
      <c r="B9984" s="2" t="s">
        <v>4980</v>
      </c>
      <c r="C9984" s="2" t="s">
        <v>5734</v>
      </c>
      <c r="D9984" s="3" t="str">
        <f t="shared" ref="D9984:D9986" si="2082">HYPERLINK("https://12go.asia/en/travel/Bandaranaike-Airport/Pinnawala", "12Go Link")</f>
        <v>12Go Link</v>
      </c>
      <c r="E9984" s="2" t="s">
        <v>286</v>
      </c>
    </row>
    <row r="9985">
      <c r="A9985" s="2" t="s">
        <v>4945</v>
      </c>
      <c r="B9985" s="2" t="s">
        <v>4980</v>
      </c>
      <c r="C9985" s="2" t="s">
        <v>5734</v>
      </c>
      <c r="D9985" s="3" t="str">
        <f t="shared" si="2082"/>
        <v>12Go Link</v>
      </c>
      <c r="E9985" s="2" t="s">
        <v>4139</v>
      </c>
    </row>
    <row r="9986">
      <c r="A9986" s="2" t="s">
        <v>4945</v>
      </c>
      <c r="B9986" s="2" t="s">
        <v>4980</v>
      </c>
      <c r="C9986" s="2" t="s">
        <v>5734</v>
      </c>
      <c r="D9986" s="3" t="str">
        <f t="shared" si="2082"/>
        <v>12Go Link</v>
      </c>
      <c r="E9986" s="2" t="s">
        <v>3409</v>
      </c>
    </row>
    <row r="9987">
      <c r="A9987" s="2" t="s">
        <v>4945</v>
      </c>
      <c r="B9987" s="2" t="s">
        <v>4982</v>
      </c>
      <c r="C9987" s="2" t="s">
        <v>5735</v>
      </c>
      <c r="D9987" s="3" t="str">
        <f t="shared" ref="D9987:D9989" si="2083">HYPERLINK("https://12go.asia/en/travel/Bandaranaike-Airport/Kitulgala", "12Go Link")</f>
        <v>12Go Link</v>
      </c>
      <c r="E9987" s="2" t="s">
        <v>286</v>
      </c>
    </row>
    <row r="9988">
      <c r="A9988" s="2" t="s">
        <v>4945</v>
      </c>
      <c r="B9988" s="2" t="s">
        <v>4982</v>
      </c>
      <c r="C9988" s="2" t="s">
        <v>5735</v>
      </c>
      <c r="D9988" s="3" t="str">
        <f t="shared" si="2083"/>
        <v>12Go Link</v>
      </c>
      <c r="E9988" s="2" t="s">
        <v>4139</v>
      </c>
    </row>
    <row r="9989">
      <c r="A9989" s="2" t="s">
        <v>4945</v>
      </c>
      <c r="B9989" s="2" t="s">
        <v>4982</v>
      </c>
      <c r="C9989" s="2" t="s">
        <v>5735</v>
      </c>
      <c r="D9989" s="3" t="str">
        <f t="shared" si="2083"/>
        <v>12Go Link</v>
      </c>
      <c r="E9989" s="2" t="s">
        <v>3409</v>
      </c>
    </row>
    <row r="9990">
      <c r="A9990" s="2" t="s">
        <v>4945</v>
      </c>
      <c r="B9990" s="2" t="s">
        <v>4984</v>
      </c>
      <c r="C9990" s="2" t="s">
        <v>5736</v>
      </c>
      <c r="D9990" s="3" t="str">
        <f t="shared" ref="D9990:D9992" si="2084">HYPERLINK("https://12go.asia/en/travel/Bandaranaike-Airport/Habaraduwa", "12Go Link")</f>
        <v>12Go Link</v>
      </c>
      <c r="E9990" s="2" t="s">
        <v>286</v>
      </c>
    </row>
    <row r="9991">
      <c r="A9991" s="2" t="s">
        <v>4945</v>
      </c>
      <c r="B9991" s="2" t="s">
        <v>4984</v>
      </c>
      <c r="C9991" s="2" t="s">
        <v>5736</v>
      </c>
      <c r="D9991" s="3" t="str">
        <f t="shared" si="2084"/>
        <v>12Go Link</v>
      </c>
      <c r="E9991" s="2" t="s">
        <v>4139</v>
      </c>
    </row>
    <row r="9992">
      <c r="A9992" s="2" t="s">
        <v>4945</v>
      </c>
      <c r="B9992" s="2" t="s">
        <v>4984</v>
      </c>
      <c r="C9992" s="2" t="s">
        <v>5736</v>
      </c>
      <c r="D9992" s="3" t="str">
        <f t="shared" si="2084"/>
        <v>12Go Link</v>
      </c>
      <c r="E9992" s="2" t="s">
        <v>3409</v>
      </c>
    </row>
    <row r="9993">
      <c r="A9993" s="2" t="s">
        <v>4945</v>
      </c>
      <c r="B9993" s="2" t="s">
        <v>4986</v>
      </c>
      <c r="C9993" s="2" t="s">
        <v>5737</v>
      </c>
      <c r="D9993" s="3" t="str">
        <f t="shared" ref="D9993:D9995" si="2085">HYPERLINK("https://12go.asia/en/travel/Bandaranaike-Airport/Kosgoda", "12Go Link")</f>
        <v>12Go Link</v>
      </c>
      <c r="E9993" s="2" t="s">
        <v>286</v>
      </c>
    </row>
    <row r="9994">
      <c r="A9994" s="2" t="s">
        <v>4945</v>
      </c>
      <c r="B9994" s="2" t="s">
        <v>4986</v>
      </c>
      <c r="C9994" s="2" t="s">
        <v>5737</v>
      </c>
      <c r="D9994" s="3" t="str">
        <f t="shared" si="2085"/>
        <v>12Go Link</v>
      </c>
      <c r="E9994" s="2" t="s">
        <v>4139</v>
      </c>
    </row>
    <row r="9995">
      <c r="A9995" s="2" t="s">
        <v>4945</v>
      </c>
      <c r="B9995" s="2" t="s">
        <v>4986</v>
      </c>
      <c r="C9995" s="2" t="s">
        <v>5737</v>
      </c>
      <c r="D9995" s="3" t="str">
        <f t="shared" si="2085"/>
        <v>12Go Link</v>
      </c>
      <c r="E9995" s="2" t="s">
        <v>3409</v>
      </c>
    </row>
    <row r="9996">
      <c r="A9996" s="2" t="s">
        <v>4945</v>
      </c>
      <c r="B9996" s="2" t="s">
        <v>4988</v>
      </c>
      <c r="C9996" s="2" t="s">
        <v>5738</v>
      </c>
      <c r="D9996" s="3" t="str">
        <f t="shared" ref="D9996:D9998" si="2086">HYPERLINK("https://12go.asia/en/travel/Bandaranaike-Airport/Kuchchaveli", "12Go Link")</f>
        <v>12Go Link</v>
      </c>
      <c r="E9996" s="2" t="s">
        <v>286</v>
      </c>
    </row>
    <row r="9997">
      <c r="A9997" s="2" t="s">
        <v>4945</v>
      </c>
      <c r="B9997" s="2" t="s">
        <v>4988</v>
      </c>
      <c r="C9997" s="2" t="s">
        <v>5738</v>
      </c>
      <c r="D9997" s="3" t="str">
        <f t="shared" si="2086"/>
        <v>12Go Link</v>
      </c>
      <c r="E9997" s="2" t="s">
        <v>4139</v>
      </c>
    </row>
    <row r="9998">
      <c r="A9998" s="2" t="s">
        <v>4945</v>
      </c>
      <c r="B9998" s="2" t="s">
        <v>4988</v>
      </c>
      <c r="C9998" s="2" t="s">
        <v>5738</v>
      </c>
      <c r="D9998" s="3" t="str">
        <f t="shared" si="2086"/>
        <v>12Go Link</v>
      </c>
      <c r="E9998" s="2" t="s">
        <v>3409</v>
      </c>
    </row>
    <row r="9999">
      <c r="A9999" s="2" t="s">
        <v>4945</v>
      </c>
      <c r="B9999" s="2" t="s">
        <v>4990</v>
      </c>
      <c r="C9999" s="2" t="s">
        <v>5739</v>
      </c>
      <c r="D9999" s="3" t="str">
        <f t="shared" ref="D9999:D10001" si="2087">HYPERLINK("https://12go.asia/en/travel/Bandaranaike-Airport/Mannar", "12Go Link")</f>
        <v>12Go Link</v>
      </c>
      <c r="E9999" s="2" t="s">
        <v>286</v>
      </c>
    </row>
    <row r="10000">
      <c r="A10000" s="2" t="s">
        <v>4945</v>
      </c>
      <c r="B10000" s="2" t="s">
        <v>4990</v>
      </c>
      <c r="C10000" s="2" t="s">
        <v>5739</v>
      </c>
      <c r="D10000" s="3" t="str">
        <f t="shared" si="2087"/>
        <v>12Go Link</v>
      </c>
      <c r="E10000" s="2" t="s">
        <v>4139</v>
      </c>
    </row>
    <row r="10001">
      <c r="A10001" s="2" t="s">
        <v>4945</v>
      </c>
      <c r="B10001" s="2" t="s">
        <v>4990</v>
      </c>
      <c r="C10001" s="2" t="s">
        <v>5739</v>
      </c>
      <c r="D10001" s="3" t="str">
        <f t="shared" si="2087"/>
        <v>12Go Link</v>
      </c>
      <c r="E10001" s="2" t="s">
        <v>3409</v>
      </c>
    </row>
    <row r="10002">
      <c r="A10002" s="2" t="s">
        <v>4945</v>
      </c>
      <c r="B10002" s="2" t="s">
        <v>4992</v>
      </c>
      <c r="C10002" s="2" t="s">
        <v>5740</v>
      </c>
      <c r="D10002" s="3" t="str">
        <f t="shared" ref="D10002:D10004" si="2088">HYPERLINK("https://12go.asia/en/travel/Bandaranaike-Airport/Kinigama", "12Go Link")</f>
        <v>12Go Link</v>
      </c>
      <c r="E10002" s="2" t="s">
        <v>286</v>
      </c>
    </row>
    <row r="10003">
      <c r="A10003" s="2" t="s">
        <v>4945</v>
      </c>
      <c r="B10003" s="2" t="s">
        <v>4992</v>
      </c>
      <c r="C10003" s="2" t="s">
        <v>5740</v>
      </c>
      <c r="D10003" s="3" t="str">
        <f t="shared" si="2088"/>
        <v>12Go Link</v>
      </c>
      <c r="E10003" s="2" t="s">
        <v>4139</v>
      </c>
    </row>
    <row r="10004">
      <c r="A10004" s="2" t="s">
        <v>4945</v>
      </c>
      <c r="B10004" s="2" t="s">
        <v>4992</v>
      </c>
      <c r="C10004" s="2" t="s">
        <v>5740</v>
      </c>
      <c r="D10004" s="3" t="str">
        <f t="shared" si="2088"/>
        <v>12Go Link</v>
      </c>
      <c r="E10004" s="2" t="s">
        <v>3409</v>
      </c>
    </row>
    <row r="10005">
      <c r="A10005" s="2" t="s">
        <v>4945</v>
      </c>
      <c r="B10005" s="2" t="s">
        <v>4994</v>
      </c>
      <c r="C10005" s="2" t="s">
        <v>5741</v>
      </c>
      <c r="D10005" s="3" t="str">
        <f t="shared" ref="D10005:D10007" si="2089">HYPERLINK("https://12go.asia/en/travel/Bandaranaike-Airport/Kalamatiya", "12Go Link")</f>
        <v>12Go Link</v>
      </c>
      <c r="E10005" s="2" t="s">
        <v>286</v>
      </c>
    </row>
    <row r="10006">
      <c r="A10006" s="2" t="s">
        <v>4945</v>
      </c>
      <c r="B10006" s="2" t="s">
        <v>4994</v>
      </c>
      <c r="C10006" s="2" t="s">
        <v>5741</v>
      </c>
      <c r="D10006" s="3" t="str">
        <f t="shared" si="2089"/>
        <v>12Go Link</v>
      </c>
      <c r="E10006" s="2" t="s">
        <v>4139</v>
      </c>
    </row>
    <row r="10007">
      <c r="A10007" s="2" t="s">
        <v>4945</v>
      </c>
      <c r="B10007" s="2" t="s">
        <v>4994</v>
      </c>
      <c r="C10007" s="2" t="s">
        <v>5741</v>
      </c>
      <c r="D10007" s="3" t="str">
        <f t="shared" si="2089"/>
        <v>12Go Link</v>
      </c>
      <c r="E10007" s="2" t="s">
        <v>3409</v>
      </c>
    </row>
    <row r="10008">
      <c r="A10008" s="2" t="s">
        <v>4945</v>
      </c>
      <c r="B10008" s="2" t="s">
        <v>4996</v>
      </c>
      <c r="C10008" s="2" t="s">
        <v>5742</v>
      </c>
      <c r="D10008" s="3" t="str">
        <f t="shared" ref="D10008:D10010" si="2090">HYPERLINK("https://12go.asia/en/travel/Bandaranaike-Airport/mirissa", "12Go Link")</f>
        <v>12Go Link</v>
      </c>
      <c r="E10008" s="2" t="s">
        <v>286</v>
      </c>
    </row>
    <row r="10009">
      <c r="A10009" s="2" t="s">
        <v>4945</v>
      </c>
      <c r="B10009" s="2" t="s">
        <v>4996</v>
      </c>
      <c r="C10009" s="2" t="s">
        <v>5742</v>
      </c>
      <c r="D10009" s="3" t="str">
        <f t="shared" si="2090"/>
        <v>12Go Link</v>
      </c>
      <c r="E10009" s="2" t="s">
        <v>4139</v>
      </c>
    </row>
    <row r="10010">
      <c r="A10010" s="2" t="s">
        <v>4945</v>
      </c>
      <c r="B10010" s="2" t="s">
        <v>4996</v>
      </c>
      <c r="C10010" s="2" t="s">
        <v>5742</v>
      </c>
      <c r="D10010" s="3" t="str">
        <f t="shared" si="2090"/>
        <v>12Go Link</v>
      </c>
      <c r="E10010" s="2" t="s">
        <v>3409</v>
      </c>
    </row>
    <row r="10011">
      <c r="A10011" s="2" t="s">
        <v>4945</v>
      </c>
      <c r="B10011" s="2" t="s">
        <v>4998</v>
      </c>
      <c r="C10011" s="2" t="s">
        <v>5743</v>
      </c>
      <c r="D10011" s="3" t="str">
        <f t="shared" ref="D10011:D10013" si="2091">HYPERLINK("https://12go.asia/en/travel/Bandaranaike-Airport/Nanu-Oya", "12Go Link")</f>
        <v>12Go Link</v>
      </c>
      <c r="E10011" s="2" t="s">
        <v>286</v>
      </c>
    </row>
    <row r="10012">
      <c r="A10012" s="2" t="s">
        <v>4945</v>
      </c>
      <c r="B10012" s="2" t="s">
        <v>4998</v>
      </c>
      <c r="C10012" s="2" t="s">
        <v>5743</v>
      </c>
      <c r="D10012" s="3" t="str">
        <f t="shared" si="2091"/>
        <v>12Go Link</v>
      </c>
      <c r="E10012" s="2" t="s">
        <v>4139</v>
      </c>
    </row>
    <row r="10013">
      <c r="A10013" s="2" t="s">
        <v>4945</v>
      </c>
      <c r="B10013" s="2" t="s">
        <v>4998</v>
      </c>
      <c r="C10013" s="2" t="s">
        <v>5743</v>
      </c>
      <c r="D10013" s="3" t="str">
        <f t="shared" si="2091"/>
        <v>12Go Link</v>
      </c>
      <c r="E10013" s="2" t="s">
        <v>3409</v>
      </c>
    </row>
    <row r="10014">
      <c r="A10014" s="2" t="s">
        <v>4945</v>
      </c>
      <c r="B10014" s="2" t="s">
        <v>5000</v>
      </c>
      <c r="C10014" s="2" t="s">
        <v>5744</v>
      </c>
      <c r="D10014" s="3" t="str">
        <f t="shared" ref="D10014:D10016" si="2092">HYPERLINK("https://12go.asia/en/travel/Bandaranaike-Airport/Dalupotha", "12Go Link")</f>
        <v>12Go Link</v>
      </c>
      <c r="E10014" s="2" t="s">
        <v>286</v>
      </c>
    </row>
    <row r="10015">
      <c r="A10015" s="2" t="s">
        <v>4945</v>
      </c>
      <c r="B10015" s="2" t="s">
        <v>5000</v>
      </c>
      <c r="C10015" s="2" t="s">
        <v>5744</v>
      </c>
      <c r="D10015" s="3" t="str">
        <f t="shared" si="2092"/>
        <v>12Go Link</v>
      </c>
      <c r="E10015" s="2" t="s">
        <v>4139</v>
      </c>
    </row>
    <row r="10016">
      <c r="A10016" s="2" t="s">
        <v>4945</v>
      </c>
      <c r="B10016" s="2" t="s">
        <v>5000</v>
      </c>
      <c r="C10016" s="2" t="s">
        <v>5744</v>
      </c>
      <c r="D10016" s="3" t="str">
        <f t="shared" si="2092"/>
        <v>12Go Link</v>
      </c>
      <c r="E10016" s="2" t="s">
        <v>3409</v>
      </c>
    </row>
    <row r="10017">
      <c r="A10017" s="2" t="s">
        <v>4945</v>
      </c>
      <c r="B10017" s="2" t="s">
        <v>5000</v>
      </c>
      <c r="C10017" s="2" t="s">
        <v>5745</v>
      </c>
      <c r="D10017" s="3" t="str">
        <f t="shared" ref="D10017:D10019" si="2093">HYPERLINK("https://12go.asia/en/travel/Bandaranaike-Airport/Waikkal", "12Go Link")</f>
        <v>12Go Link</v>
      </c>
      <c r="E10017" s="2" t="s">
        <v>286</v>
      </c>
    </row>
    <row r="10018">
      <c r="A10018" s="2" t="s">
        <v>4945</v>
      </c>
      <c r="B10018" s="2" t="s">
        <v>5000</v>
      </c>
      <c r="C10018" s="2" t="s">
        <v>5745</v>
      </c>
      <c r="D10018" s="3" t="str">
        <f t="shared" si="2093"/>
        <v>12Go Link</v>
      </c>
      <c r="E10018" s="2" t="s">
        <v>4139</v>
      </c>
    </row>
    <row r="10019">
      <c r="A10019" s="2" t="s">
        <v>4945</v>
      </c>
      <c r="B10019" s="2" t="s">
        <v>5000</v>
      </c>
      <c r="C10019" s="2" t="s">
        <v>5745</v>
      </c>
      <c r="D10019" s="3" t="str">
        <f t="shared" si="2093"/>
        <v>12Go Link</v>
      </c>
      <c r="E10019" s="2" t="s">
        <v>3409</v>
      </c>
    </row>
    <row r="10020">
      <c r="A10020" s="2" t="s">
        <v>4945</v>
      </c>
      <c r="B10020" s="2" t="s">
        <v>5003</v>
      </c>
      <c r="C10020" s="2" t="s">
        <v>5746</v>
      </c>
      <c r="D10020" s="3" t="str">
        <f t="shared" ref="D10020:D10022" si="2094">HYPERLINK("https://12go.asia/en/travel/Bandaranaike-Airport/Nilaveli", "12Go Link")</f>
        <v>12Go Link</v>
      </c>
      <c r="E10020" s="2" t="s">
        <v>286</v>
      </c>
    </row>
    <row r="10021">
      <c r="A10021" s="2" t="s">
        <v>4945</v>
      </c>
      <c r="B10021" s="2" t="s">
        <v>5003</v>
      </c>
      <c r="C10021" s="2" t="s">
        <v>5746</v>
      </c>
      <c r="D10021" s="3" t="str">
        <f t="shared" si="2094"/>
        <v>12Go Link</v>
      </c>
      <c r="E10021" s="2" t="s">
        <v>4139</v>
      </c>
    </row>
    <row r="10022">
      <c r="A10022" s="2" t="s">
        <v>4945</v>
      </c>
      <c r="B10022" s="2" t="s">
        <v>5003</v>
      </c>
      <c r="C10022" s="2" t="s">
        <v>5746</v>
      </c>
      <c r="D10022" s="3" t="str">
        <f t="shared" si="2094"/>
        <v>12Go Link</v>
      </c>
      <c r="E10022" s="2" t="s">
        <v>3409</v>
      </c>
    </row>
    <row r="10023">
      <c r="A10023" s="2" t="s">
        <v>4945</v>
      </c>
      <c r="B10023" s="2" t="s">
        <v>5005</v>
      </c>
      <c r="C10023" s="2" t="s">
        <v>5747</v>
      </c>
      <c r="D10023" s="3" t="str">
        <f t="shared" ref="D10023:D10025" si="2095">HYPERLINK("https://12go.asia/en/travel/Bandaranaike-Airport/Kotmale", "12Go Link")</f>
        <v>12Go Link</v>
      </c>
      <c r="E10023" s="2" t="s">
        <v>286</v>
      </c>
    </row>
    <row r="10024">
      <c r="A10024" s="2" t="s">
        <v>4945</v>
      </c>
      <c r="B10024" s="2" t="s">
        <v>5005</v>
      </c>
      <c r="C10024" s="2" t="s">
        <v>5747</v>
      </c>
      <c r="D10024" s="3" t="str">
        <f t="shared" si="2095"/>
        <v>12Go Link</v>
      </c>
      <c r="E10024" s="2" t="s">
        <v>4139</v>
      </c>
    </row>
    <row r="10025">
      <c r="A10025" s="2" t="s">
        <v>4945</v>
      </c>
      <c r="B10025" s="2" t="s">
        <v>5005</v>
      </c>
      <c r="C10025" s="2" t="s">
        <v>5747</v>
      </c>
      <c r="D10025" s="3" t="str">
        <f t="shared" si="2095"/>
        <v>12Go Link</v>
      </c>
      <c r="E10025" s="2" t="s">
        <v>3409</v>
      </c>
    </row>
    <row r="10026">
      <c r="A10026" s="2" t="s">
        <v>4945</v>
      </c>
      <c r="B10026" s="2" t="s">
        <v>5007</v>
      </c>
      <c r="C10026" s="2" t="s">
        <v>5748</v>
      </c>
      <c r="D10026" s="3" t="str">
        <f t="shared" ref="D10026:D10028" si="2096">HYPERLINK("https://12go.asia/en/travel/Bandaranaike-Airport/Pasikuda", "12Go Link")</f>
        <v>12Go Link</v>
      </c>
      <c r="E10026" s="2" t="s">
        <v>286</v>
      </c>
    </row>
    <row r="10027">
      <c r="A10027" s="2" t="s">
        <v>4945</v>
      </c>
      <c r="B10027" s="2" t="s">
        <v>5007</v>
      </c>
      <c r="C10027" s="2" t="s">
        <v>5748</v>
      </c>
      <c r="D10027" s="3" t="str">
        <f t="shared" si="2096"/>
        <v>12Go Link</v>
      </c>
      <c r="E10027" s="2" t="s">
        <v>4139</v>
      </c>
    </row>
    <row r="10028">
      <c r="A10028" s="2" t="s">
        <v>4945</v>
      </c>
      <c r="B10028" s="2" t="s">
        <v>5007</v>
      </c>
      <c r="C10028" s="2" t="s">
        <v>5748</v>
      </c>
      <c r="D10028" s="3" t="str">
        <f t="shared" si="2096"/>
        <v>12Go Link</v>
      </c>
      <c r="E10028" s="2" t="s">
        <v>3409</v>
      </c>
    </row>
    <row r="10029">
      <c r="A10029" s="2" t="s">
        <v>4945</v>
      </c>
      <c r="B10029" s="2" t="s">
        <v>5009</v>
      </c>
      <c r="C10029" s="2" t="s">
        <v>5749</v>
      </c>
      <c r="D10029" s="3" t="str">
        <f t="shared" ref="D10029:D10031" si="2097">HYPERLINK("https://12go.asia/en/travel/Bandaranaike-Airport/Galoya", "12Go Link")</f>
        <v>12Go Link</v>
      </c>
      <c r="E10029" s="2" t="s">
        <v>286</v>
      </c>
    </row>
    <row r="10030">
      <c r="A10030" s="2" t="s">
        <v>4945</v>
      </c>
      <c r="B10030" s="2" t="s">
        <v>5009</v>
      </c>
      <c r="C10030" s="2" t="s">
        <v>5749</v>
      </c>
      <c r="D10030" s="3" t="str">
        <f t="shared" si="2097"/>
        <v>12Go Link</v>
      </c>
      <c r="E10030" s="2" t="s">
        <v>4139</v>
      </c>
    </row>
    <row r="10031">
      <c r="A10031" s="2" t="s">
        <v>4945</v>
      </c>
      <c r="B10031" s="2" t="s">
        <v>5009</v>
      </c>
      <c r="C10031" s="2" t="s">
        <v>5749</v>
      </c>
      <c r="D10031" s="3" t="str">
        <f t="shared" si="2097"/>
        <v>12Go Link</v>
      </c>
      <c r="E10031" s="2" t="s">
        <v>3409</v>
      </c>
    </row>
    <row r="10032">
      <c r="A10032" s="2" t="s">
        <v>4945</v>
      </c>
      <c r="B10032" s="2" t="s">
        <v>5011</v>
      </c>
      <c r="C10032" s="2" t="s">
        <v>5750</v>
      </c>
      <c r="D10032" s="3" t="str">
        <f t="shared" ref="D10032:D10034" si="2098">HYPERLINK("https://12go.asia/en/travel/Bandaranaike-Airport/Kalpitiya", "12Go Link")</f>
        <v>12Go Link</v>
      </c>
      <c r="E10032" s="2" t="s">
        <v>286</v>
      </c>
    </row>
    <row r="10033">
      <c r="A10033" s="2" t="s">
        <v>4945</v>
      </c>
      <c r="B10033" s="2" t="s">
        <v>5011</v>
      </c>
      <c r="C10033" s="2" t="s">
        <v>5750</v>
      </c>
      <c r="D10033" s="3" t="str">
        <f t="shared" si="2098"/>
        <v>12Go Link</v>
      </c>
      <c r="E10033" s="2" t="s">
        <v>4139</v>
      </c>
    </row>
    <row r="10034">
      <c r="A10034" s="2" t="s">
        <v>4945</v>
      </c>
      <c r="B10034" s="2" t="s">
        <v>5011</v>
      </c>
      <c r="C10034" s="2" t="s">
        <v>5750</v>
      </c>
      <c r="D10034" s="3" t="str">
        <f t="shared" si="2098"/>
        <v>12Go Link</v>
      </c>
      <c r="E10034" s="2" t="s">
        <v>3409</v>
      </c>
    </row>
    <row r="10035">
      <c r="A10035" s="2" t="s">
        <v>4945</v>
      </c>
      <c r="B10035" s="2" t="s">
        <v>5011</v>
      </c>
      <c r="C10035" s="2" t="s">
        <v>5751</v>
      </c>
      <c r="D10035" s="3" t="str">
        <f t="shared" ref="D10035:D10037" si="2099">HYPERLINK("https://12go.asia/en/travel/Bandaranaike-Airport/Marawila", "12Go Link")</f>
        <v>12Go Link</v>
      </c>
      <c r="E10035" s="2" t="s">
        <v>286</v>
      </c>
    </row>
    <row r="10036">
      <c r="A10036" s="2" t="s">
        <v>4945</v>
      </c>
      <c r="B10036" s="2" t="s">
        <v>5011</v>
      </c>
      <c r="C10036" s="2" t="s">
        <v>5751</v>
      </c>
      <c r="D10036" s="3" t="str">
        <f t="shared" si="2099"/>
        <v>12Go Link</v>
      </c>
      <c r="E10036" s="2" t="s">
        <v>4139</v>
      </c>
    </row>
    <row r="10037">
      <c r="A10037" s="2" t="s">
        <v>4945</v>
      </c>
      <c r="B10037" s="2" t="s">
        <v>5011</v>
      </c>
      <c r="C10037" s="2" t="s">
        <v>5751</v>
      </c>
      <c r="D10037" s="3" t="str">
        <f t="shared" si="2099"/>
        <v>12Go Link</v>
      </c>
      <c r="E10037" s="2" t="s">
        <v>3409</v>
      </c>
    </row>
    <row r="10038">
      <c r="A10038" s="2" t="s">
        <v>4945</v>
      </c>
      <c r="B10038" s="2" t="s">
        <v>5014</v>
      </c>
      <c r="C10038" s="2" t="s">
        <v>5752</v>
      </c>
      <c r="D10038" s="3" t="str">
        <f t="shared" ref="D10038:D10040" si="2100">HYPERLINK("https://12go.asia/en/travel/Bandaranaike-Airport/Kiriella", "12Go Link")</f>
        <v>12Go Link</v>
      </c>
      <c r="E10038" s="2" t="s">
        <v>286</v>
      </c>
    </row>
    <row r="10039">
      <c r="A10039" s="2" t="s">
        <v>4945</v>
      </c>
      <c r="B10039" s="2" t="s">
        <v>5014</v>
      </c>
      <c r="C10039" s="2" t="s">
        <v>5752</v>
      </c>
      <c r="D10039" s="3" t="str">
        <f t="shared" si="2100"/>
        <v>12Go Link</v>
      </c>
      <c r="E10039" s="2" t="s">
        <v>4139</v>
      </c>
    </row>
    <row r="10040">
      <c r="A10040" s="2" t="s">
        <v>4945</v>
      </c>
      <c r="B10040" s="2" t="s">
        <v>5014</v>
      </c>
      <c r="C10040" s="2" t="s">
        <v>5752</v>
      </c>
      <c r="D10040" s="3" t="str">
        <f t="shared" si="2100"/>
        <v>12Go Link</v>
      </c>
      <c r="E10040" s="2" t="s">
        <v>3409</v>
      </c>
    </row>
    <row r="10041">
      <c r="A10041" s="2" t="s">
        <v>4945</v>
      </c>
      <c r="B10041" s="2" t="s">
        <v>5016</v>
      </c>
      <c r="C10041" s="2" t="s">
        <v>5753</v>
      </c>
      <c r="D10041" s="3" t="str">
        <f t="shared" ref="D10041:D10043" si="2101">HYPERLINK("https://12go.asia/en/travel/Bandaranaike-Airport/Pidurangala", "12Go Link")</f>
        <v>12Go Link</v>
      </c>
      <c r="E10041" s="2" t="s">
        <v>286</v>
      </c>
    </row>
    <row r="10042">
      <c r="A10042" s="2" t="s">
        <v>4945</v>
      </c>
      <c r="B10042" s="2" t="s">
        <v>5016</v>
      </c>
      <c r="C10042" s="2" t="s">
        <v>5753</v>
      </c>
      <c r="D10042" s="3" t="str">
        <f t="shared" si="2101"/>
        <v>12Go Link</v>
      </c>
      <c r="E10042" s="2" t="s">
        <v>4139</v>
      </c>
    </row>
    <row r="10043">
      <c r="A10043" s="2" t="s">
        <v>4945</v>
      </c>
      <c r="B10043" s="2" t="s">
        <v>5016</v>
      </c>
      <c r="C10043" s="2" t="s">
        <v>5753</v>
      </c>
      <c r="D10043" s="3" t="str">
        <f t="shared" si="2101"/>
        <v>12Go Link</v>
      </c>
      <c r="E10043" s="2" t="s">
        <v>3409</v>
      </c>
    </row>
    <row r="10044">
      <c r="A10044" s="2" t="s">
        <v>4945</v>
      </c>
      <c r="B10044" s="2" t="s">
        <v>5018</v>
      </c>
      <c r="C10044" s="2" t="s">
        <v>5754</v>
      </c>
      <c r="D10044" s="3" t="str">
        <f t="shared" ref="D10044:D10046" si="2102">HYPERLINK("https://12go.asia/en/travel/Bandaranaike-Airport/Rekawa", "12Go Link")</f>
        <v>12Go Link</v>
      </c>
      <c r="E10044" s="2" t="s">
        <v>286</v>
      </c>
    </row>
    <row r="10045">
      <c r="A10045" s="2" t="s">
        <v>4945</v>
      </c>
      <c r="B10045" s="2" t="s">
        <v>5018</v>
      </c>
      <c r="C10045" s="2" t="s">
        <v>5754</v>
      </c>
      <c r="D10045" s="3" t="str">
        <f t="shared" si="2102"/>
        <v>12Go Link</v>
      </c>
      <c r="E10045" s="2" t="s">
        <v>4139</v>
      </c>
    </row>
    <row r="10046">
      <c r="A10046" s="2" t="s">
        <v>4945</v>
      </c>
      <c r="B10046" s="2" t="s">
        <v>5018</v>
      </c>
      <c r="C10046" s="2" t="s">
        <v>5754</v>
      </c>
      <c r="D10046" s="3" t="str">
        <f t="shared" si="2102"/>
        <v>12Go Link</v>
      </c>
      <c r="E10046" s="2" t="s">
        <v>3409</v>
      </c>
    </row>
    <row r="10047">
      <c r="A10047" s="2" t="s">
        <v>4945</v>
      </c>
      <c r="B10047" s="2" t="s">
        <v>5020</v>
      </c>
      <c r="C10047" s="2" t="s">
        <v>5755</v>
      </c>
      <c r="D10047" s="3" t="str">
        <f t="shared" ref="D10047:D10049" si="2103">HYPERLINK("https://12go.asia/en/travel/Bandaranaike-Airport/Tissamaharama", "12Go Link")</f>
        <v>12Go Link</v>
      </c>
      <c r="E10047" s="2" t="s">
        <v>286</v>
      </c>
    </row>
    <row r="10048">
      <c r="A10048" s="2" t="s">
        <v>4945</v>
      </c>
      <c r="B10048" s="2" t="s">
        <v>5020</v>
      </c>
      <c r="C10048" s="2" t="s">
        <v>5755</v>
      </c>
      <c r="D10048" s="3" t="str">
        <f t="shared" si="2103"/>
        <v>12Go Link</v>
      </c>
      <c r="E10048" s="2" t="s">
        <v>4139</v>
      </c>
    </row>
    <row r="10049">
      <c r="A10049" s="2" t="s">
        <v>4945</v>
      </c>
      <c r="B10049" s="2" t="s">
        <v>5020</v>
      </c>
      <c r="C10049" s="2" t="s">
        <v>5755</v>
      </c>
      <c r="D10049" s="3" t="str">
        <f t="shared" si="2103"/>
        <v>12Go Link</v>
      </c>
      <c r="E10049" s="2" t="s">
        <v>3409</v>
      </c>
    </row>
    <row r="10050">
      <c r="A10050" s="2" t="s">
        <v>4945</v>
      </c>
      <c r="B10050" s="2" t="s">
        <v>5020</v>
      </c>
      <c r="C10050" s="2" t="s">
        <v>5756</v>
      </c>
      <c r="D10050" s="3" t="str">
        <f t="shared" ref="D10050:D10052" si="2104">HYPERLINK("https://12go.asia/en/travel/Bandaranaike-Airport/Yala-Park", "12Go Link")</f>
        <v>12Go Link</v>
      </c>
      <c r="E10050" s="2" t="s">
        <v>286</v>
      </c>
    </row>
    <row r="10051">
      <c r="A10051" s="2" t="s">
        <v>4945</v>
      </c>
      <c r="B10051" s="2" t="s">
        <v>5020</v>
      </c>
      <c r="C10051" s="2" t="s">
        <v>5756</v>
      </c>
      <c r="D10051" s="3" t="str">
        <f t="shared" si="2104"/>
        <v>12Go Link</v>
      </c>
      <c r="E10051" s="2" t="s">
        <v>4139</v>
      </c>
    </row>
    <row r="10052">
      <c r="A10052" s="2" t="s">
        <v>4945</v>
      </c>
      <c r="B10052" s="2" t="s">
        <v>5020</v>
      </c>
      <c r="C10052" s="2" t="s">
        <v>5756</v>
      </c>
      <c r="D10052" s="3" t="str">
        <f t="shared" si="2104"/>
        <v>12Go Link</v>
      </c>
      <c r="E10052" s="2" t="s">
        <v>3409</v>
      </c>
    </row>
    <row r="10053">
      <c r="A10053" s="2" t="s">
        <v>4945</v>
      </c>
      <c r="B10053" s="2" t="s">
        <v>5023</v>
      </c>
      <c r="C10053" s="2" t="s">
        <v>5757</v>
      </c>
      <c r="D10053" s="3" t="str">
        <f t="shared" ref="D10053:D10055" si="2105">HYPERLINK("https://12go.asia/en/travel/Bandaranaike-Airport/Nilaweli", "12Go Link")</f>
        <v>12Go Link</v>
      </c>
      <c r="E10053" s="2" t="s">
        <v>286</v>
      </c>
    </row>
    <row r="10054">
      <c r="A10054" s="2" t="s">
        <v>4945</v>
      </c>
      <c r="B10054" s="2" t="s">
        <v>5023</v>
      </c>
      <c r="C10054" s="2" t="s">
        <v>5757</v>
      </c>
      <c r="D10054" s="3" t="str">
        <f t="shared" si="2105"/>
        <v>12Go Link</v>
      </c>
      <c r="E10054" s="2" t="s">
        <v>4139</v>
      </c>
    </row>
    <row r="10055">
      <c r="A10055" s="2" t="s">
        <v>4945</v>
      </c>
      <c r="B10055" s="2" t="s">
        <v>5023</v>
      </c>
      <c r="C10055" s="2" t="s">
        <v>5757</v>
      </c>
      <c r="D10055" s="3" t="str">
        <f t="shared" si="2105"/>
        <v>12Go Link</v>
      </c>
      <c r="E10055" s="2" t="s">
        <v>3409</v>
      </c>
    </row>
    <row r="10056">
      <c r="A10056" s="2" t="s">
        <v>4945</v>
      </c>
      <c r="B10056" s="2" t="s">
        <v>5025</v>
      </c>
      <c r="C10056" s="2" t="s">
        <v>5758</v>
      </c>
      <c r="D10056" s="3" t="str">
        <f t="shared" ref="D10056:D10058" si="2106">HYPERLINK("https://12go.asia/en/travel/Bandaranaike-Airport/Udawalawa", "12Go Link")</f>
        <v>12Go Link</v>
      </c>
      <c r="E10056" s="2" t="s">
        <v>286</v>
      </c>
    </row>
    <row r="10057">
      <c r="A10057" s="2" t="s">
        <v>4945</v>
      </c>
      <c r="B10057" s="2" t="s">
        <v>5025</v>
      </c>
      <c r="C10057" s="2" t="s">
        <v>5758</v>
      </c>
      <c r="D10057" s="3" t="str">
        <f t="shared" si="2106"/>
        <v>12Go Link</v>
      </c>
      <c r="E10057" s="2" t="s">
        <v>4139</v>
      </c>
    </row>
    <row r="10058">
      <c r="A10058" s="2" t="s">
        <v>4945</v>
      </c>
      <c r="B10058" s="2" t="s">
        <v>5025</v>
      </c>
      <c r="C10058" s="2" t="s">
        <v>5758</v>
      </c>
      <c r="D10058" s="3" t="str">
        <f t="shared" si="2106"/>
        <v>12Go Link</v>
      </c>
      <c r="E10058" s="2" t="s">
        <v>3409</v>
      </c>
    </row>
    <row r="10059">
      <c r="A10059" s="2" t="s">
        <v>4945</v>
      </c>
      <c r="B10059" s="2" t="s">
        <v>5027</v>
      </c>
      <c r="C10059" s="2" t="s">
        <v>5759</v>
      </c>
      <c r="D10059" s="3" t="str">
        <f t="shared" ref="D10059:D10061" si="2107">HYPERLINK("https://12go.asia/en/travel/Bandaranaike-Airport/Unawatuna", "12Go Link")</f>
        <v>12Go Link</v>
      </c>
      <c r="E10059" s="2" t="s">
        <v>286</v>
      </c>
    </row>
    <row r="10060">
      <c r="A10060" s="2" t="s">
        <v>4945</v>
      </c>
      <c r="B10060" s="2" t="s">
        <v>5027</v>
      </c>
      <c r="C10060" s="2" t="s">
        <v>5759</v>
      </c>
      <c r="D10060" s="3" t="str">
        <f t="shared" si="2107"/>
        <v>12Go Link</v>
      </c>
      <c r="E10060" s="2" t="s">
        <v>4139</v>
      </c>
    </row>
    <row r="10061">
      <c r="A10061" s="2" t="s">
        <v>4945</v>
      </c>
      <c r="B10061" s="2" t="s">
        <v>5027</v>
      </c>
      <c r="C10061" s="2" t="s">
        <v>5759</v>
      </c>
      <c r="D10061" s="3" t="str">
        <f t="shared" si="2107"/>
        <v>12Go Link</v>
      </c>
      <c r="E10061" s="2" t="s">
        <v>3409</v>
      </c>
    </row>
    <row r="10062">
      <c r="A10062" s="2" t="s">
        <v>4945</v>
      </c>
      <c r="B10062" s="2" t="s">
        <v>5029</v>
      </c>
      <c r="C10062" s="2" t="s">
        <v>5760</v>
      </c>
      <c r="D10062" s="3" t="str">
        <f t="shared" ref="D10062:D10064" si="2108">HYPERLINK("https://12go.asia/en/travel/Bandaranaike-Airport/Attanagalla", "12Go Link")</f>
        <v>12Go Link</v>
      </c>
      <c r="E10062" s="2" t="s">
        <v>286</v>
      </c>
    </row>
    <row r="10063">
      <c r="A10063" s="2" t="s">
        <v>4945</v>
      </c>
      <c r="B10063" s="2" t="s">
        <v>5029</v>
      </c>
      <c r="C10063" s="2" t="s">
        <v>5760</v>
      </c>
      <c r="D10063" s="3" t="str">
        <f t="shared" si="2108"/>
        <v>12Go Link</v>
      </c>
      <c r="E10063" s="2" t="s">
        <v>4139</v>
      </c>
    </row>
    <row r="10064">
      <c r="A10064" s="2" t="s">
        <v>4945</v>
      </c>
      <c r="B10064" s="2" t="s">
        <v>5029</v>
      </c>
      <c r="C10064" s="2" t="s">
        <v>5760</v>
      </c>
      <c r="D10064" s="3" t="str">
        <f t="shared" si="2108"/>
        <v>12Go Link</v>
      </c>
      <c r="E10064" s="2" t="s">
        <v>3409</v>
      </c>
    </row>
    <row r="10065">
      <c r="A10065" s="2" t="s">
        <v>4945</v>
      </c>
      <c r="B10065" s="2" t="s">
        <v>5031</v>
      </c>
      <c r="C10065" s="2" t="s">
        <v>5761</v>
      </c>
      <c r="D10065" s="3" t="str">
        <f t="shared" ref="D10065:D10067" si="2109">HYPERLINK("https://12go.asia/en/travel/Bandaranaike-Airport/Moronthuduwa", "12Go Link")</f>
        <v>12Go Link</v>
      </c>
      <c r="E10065" s="2" t="s">
        <v>286</v>
      </c>
    </row>
    <row r="10066">
      <c r="A10066" s="2" t="s">
        <v>4945</v>
      </c>
      <c r="B10066" s="2" t="s">
        <v>5031</v>
      </c>
      <c r="C10066" s="2" t="s">
        <v>5761</v>
      </c>
      <c r="D10066" s="3" t="str">
        <f t="shared" si="2109"/>
        <v>12Go Link</v>
      </c>
      <c r="E10066" s="2" t="s">
        <v>4139</v>
      </c>
    </row>
    <row r="10067">
      <c r="A10067" s="2" t="s">
        <v>4945</v>
      </c>
      <c r="B10067" s="2" t="s">
        <v>5031</v>
      </c>
      <c r="C10067" s="2" t="s">
        <v>5761</v>
      </c>
      <c r="D10067" s="3" t="str">
        <f t="shared" si="2109"/>
        <v>12Go Link</v>
      </c>
      <c r="E10067" s="2" t="s">
        <v>3409</v>
      </c>
    </row>
    <row r="10068">
      <c r="A10068" s="2" t="s">
        <v>4945</v>
      </c>
      <c r="B10068" s="2" t="s">
        <v>5031</v>
      </c>
      <c r="C10068" s="2" t="s">
        <v>5762</v>
      </c>
      <c r="D10068" s="3" t="str">
        <f t="shared" ref="D10068:D10070" si="2110">HYPERLINK("https://12go.asia/en/travel/Bandaranaike-Airport/Waskaduwa", "12Go Link")</f>
        <v>12Go Link</v>
      </c>
      <c r="E10068" s="2" t="s">
        <v>286</v>
      </c>
    </row>
    <row r="10069">
      <c r="A10069" s="2" t="s">
        <v>4945</v>
      </c>
      <c r="B10069" s="2" t="s">
        <v>5031</v>
      </c>
      <c r="C10069" s="2" t="s">
        <v>5762</v>
      </c>
      <c r="D10069" s="3" t="str">
        <f t="shared" si="2110"/>
        <v>12Go Link</v>
      </c>
      <c r="E10069" s="2" t="s">
        <v>4139</v>
      </c>
    </row>
    <row r="10070">
      <c r="A10070" s="2" t="s">
        <v>4945</v>
      </c>
      <c r="B10070" s="2" t="s">
        <v>5031</v>
      </c>
      <c r="C10070" s="2" t="s">
        <v>5762</v>
      </c>
      <c r="D10070" s="3" t="str">
        <f t="shared" si="2110"/>
        <v>12Go Link</v>
      </c>
      <c r="E10070" s="2" t="s">
        <v>3409</v>
      </c>
    </row>
    <row r="10071">
      <c r="A10071" s="2" t="s">
        <v>4945</v>
      </c>
      <c r="B10071" s="2" t="s">
        <v>5034</v>
      </c>
      <c r="C10071" s="2" t="s">
        <v>5763</v>
      </c>
      <c r="D10071" s="3" t="str">
        <f t="shared" ref="D10071:D10073" si="2111">HYPERLINK("https://12go.asia/en/travel/Bandaranaike-Airport/Weddagala", "12Go Link")</f>
        <v>12Go Link</v>
      </c>
      <c r="E10071" s="2" t="s">
        <v>286</v>
      </c>
    </row>
    <row r="10072">
      <c r="A10072" s="2" t="s">
        <v>4945</v>
      </c>
      <c r="B10072" s="2" t="s">
        <v>5034</v>
      </c>
      <c r="C10072" s="2" t="s">
        <v>5763</v>
      </c>
      <c r="D10072" s="3" t="str">
        <f t="shared" si="2111"/>
        <v>12Go Link</v>
      </c>
      <c r="E10072" s="2" t="s">
        <v>4139</v>
      </c>
    </row>
    <row r="10073">
      <c r="A10073" s="2" t="s">
        <v>4945</v>
      </c>
      <c r="B10073" s="2" t="s">
        <v>5034</v>
      </c>
      <c r="C10073" s="2" t="s">
        <v>5763</v>
      </c>
      <c r="D10073" s="3" t="str">
        <f t="shared" si="2111"/>
        <v>12Go Link</v>
      </c>
      <c r="E10073" s="2" t="s">
        <v>3409</v>
      </c>
    </row>
    <row r="10074">
      <c r="A10074" s="2" t="s">
        <v>4945</v>
      </c>
      <c r="B10074" s="2" t="s">
        <v>5036</v>
      </c>
      <c r="C10074" s="2" t="s">
        <v>5764</v>
      </c>
      <c r="D10074" s="3" t="str">
        <f t="shared" ref="D10074:D10076" si="2112">HYPERLINK("https://12go.asia/en/travel/Bandaranaike-Airport/Weligatta", "12Go Link")</f>
        <v>12Go Link</v>
      </c>
      <c r="E10074" s="2" t="s">
        <v>286</v>
      </c>
    </row>
    <row r="10075">
      <c r="A10075" s="2" t="s">
        <v>4945</v>
      </c>
      <c r="B10075" s="2" t="s">
        <v>5036</v>
      </c>
      <c r="C10075" s="2" t="s">
        <v>5764</v>
      </c>
      <c r="D10075" s="3" t="str">
        <f t="shared" si="2112"/>
        <v>12Go Link</v>
      </c>
      <c r="E10075" s="2" t="s">
        <v>4139</v>
      </c>
    </row>
    <row r="10076">
      <c r="A10076" s="2" t="s">
        <v>4945</v>
      </c>
      <c r="B10076" s="2" t="s">
        <v>5036</v>
      </c>
      <c r="C10076" s="2" t="s">
        <v>5764</v>
      </c>
      <c r="D10076" s="3" t="str">
        <f t="shared" si="2112"/>
        <v>12Go Link</v>
      </c>
      <c r="E10076" s="2" t="s">
        <v>3409</v>
      </c>
    </row>
    <row r="10077">
      <c r="A10077" s="2" t="s">
        <v>4945</v>
      </c>
      <c r="B10077" s="2" t="s">
        <v>5038</v>
      </c>
      <c r="C10077" s="2" t="s">
        <v>5765</v>
      </c>
      <c r="D10077" s="3" t="str">
        <f t="shared" ref="D10077:D10079" si="2113">HYPERLINK("https://12go.asia/en/travel/Bandaranaike-Airport/Akuressa", "12Go Link")</f>
        <v>12Go Link</v>
      </c>
      <c r="E10077" s="2" t="s">
        <v>286</v>
      </c>
    </row>
    <row r="10078">
      <c r="A10078" s="2" t="s">
        <v>4945</v>
      </c>
      <c r="B10078" s="2" t="s">
        <v>5038</v>
      </c>
      <c r="C10078" s="2" t="s">
        <v>5765</v>
      </c>
      <c r="D10078" s="3" t="str">
        <f t="shared" si="2113"/>
        <v>12Go Link</v>
      </c>
      <c r="E10078" s="2" t="s">
        <v>4139</v>
      </c>
    </row>
    <row r="10079">
      <c r="A10079" s="2" t="s">
        <v>4945</v>
      </c>
      <c r="B10079" s="2" t="s">
        <v>5038</v>
      </c>
      <c r="C10079" s="2" t="s">
        <v>5765</v>
      </c>
      <c r="D10079" s="3" t="str">
        <f t="shared" si="2113"/>
        <v>12Go Link</v>
      </c>
      <c r="E10079" s="2" t="s">
        <v>3409</v>
      </c>
    </row>
    <row r="10080">
      <c r="A10080" s="2" t="s">
        <v>4945</v>
      </c>
      <c r="B10080" s="2" t="s">
        <v>5040</v>
      </c>
      <c r="C10080" s="2" t="s">
        <v>5766</v>
      </c>
      <c r="D10080" s="3" t="str">
        <f t="shared" ref="D10080:D10082" si="2114">HYPERLINK("https://12go.asia/en/travel/Bandaranaike-Airport/Wilpattu", "12Go Link")</f>
        <v>12Go Link</v>
      </c>
      <c r="E10080" s="2" t="s">
        <v>286</v>
      </c>
    </row>
    <row r="10081">
      <c r="A10081" s="2" t="s">
        <v>4945</v>
      </c>
      <c r="B10081" s="2" t="s">
        <v>5040</v>
      </c>
      <c r="C10081" s="2" t="s">
        <v>5766</v>
      </c>
      <c r="D10081" s="3" t="str">
        <f t="shared" si="2114"/>
        <v>12Go Link</v>
      </c>
      <c r="E10081" s="2" t="s">
        <v>4139</v>
      </c>
    </row>
    <row r="10082">
      <c r="A10082" s="2" t="s">
        <v>4945</v>
      </c>
      <c r="B10082" s="2" t="s">
        <v>5040</v>
      </c>
      <c r="C10082" s="2" t="s">
        <v>5766</v>
      </c>
      <c r="D10082" s="3" t="str">
        <f t="shared" si="2114"/>
        <v>12Go Link</v>
      </c>
      <c r="E10082" s="2" t="s">
        <v>3409</v>
      </c>
    </row>
    <row r="10083">
      <c r="A10083" s="2" t="s">
        <v>4947</v>
      </c>
      <c r="B10083" s="2" t="s">
        <v>4918</v>
      </c>
      <c r="C10083" s="2" t="s">
        <v>5767</v>
      </c>
      <c r="D10083" s="3" t="str">
        <f t="shared" ref="D10083:D10085" si="2115">HYPERLINK("https://12go.asia/en/travel/Dambulla/Adams-Peak", "12Go Link")</f>
        <v>12Go Link</v>
      </c>
      <c r="E10083" s="2" t="s">
        <v>286</v>
      </c>
    </row>
    <row r="10084">
      <c r="A10084" s="2" t="s">
        <v>4947</v>
      </c>
      <c r="B10084" s="2" t="s">
        <v>4918</v>
      </c>
      <c r="C10084" s="2" t="s">
        <v>5767</v>
      </c>
      <c r="D10084" s="3" t="str">
        <f t="shared" si="2115"/>
        <v>12Go Link</v>
      </c>
      <c r="E10084" s="2" t="s">
        <v>4139</v>
      </c>
    </row>
    <row r="10085">
      <c r="A10085" s="2" t="s">
        <v>4947</v>
      </c>
      <c r="B10085" s="2" t="s">
        <v>4918</v>
      </c>
      <c r="C10085" s="2" t="s">
        <v>5767</v>
      </c>
      <c r="D10085" s="3" t="str">
        <f t="shared" si="2115"/>
        <v>12Go Link</v>
      </c>
      <c r="E10085" s="2" t="s">
        <v>3409</v>
      </c>
    </row>
    <row r="10086">
      <c r="A10086" s="2" t="s">
        <v>4947</v>
      </c>
      <c r="B10086" s="2" t="s">
        <v>4921</v>
      </c>
      <c r="C10086" s="2" t="s">
        <v>5768</v>
      </c>
      <c r="D10086" s="3" t="str">
        <f t="shared" ref="D10086:D10087" si="2116">HYPERLINK("https://12go.asia/en/travel/Dambulla/Ahungalla", "12Go Link")</f>
        <v>12Go Link</v>
      </c>
      <c r="E10086" s="2" t="s">
        <v>4139</v>
      </c>
    </row>
    <row r="10087">
      <c r="A10087" s="2" t="s">
        <v>4947</v>
      </c>
      <c r="B10087" s="2" t="s">
        <v>4921</v>
      </c>
      <c r="C10087" s="2" t="s">
        <v>5768</v>
      </c>
      <c r="D10087" s="3" t="str">
        <f t="shared" si="2116"/>
        <v>12Go Link</v>
      </c>
      <c r="E10087" s="2" t="s">
        <v>3409</v>
      </c>
    </row>
    <row r="10088">
      <c r="A10088" s="2" t="s">
        <v>4947</v>
      </c>
      <c r="B10088" s="2" t="s">
        <v>4925</v>
      </c>
      <c r="C10088" s="2" t="s">
        <v>5769</v>
      </c>
      <c r="D10088" s="3" t="str">
        <f t="shared" ref="D10088:D10089" si="2117">HYPERLINK("https://12go.asia/en/travel/Dambulla/Ambalangoda", "12Go Link")</f>
        <v>12Go Link</v>
      </c>
      <c r="E10088" s="2" t="s">
        <v>4139</v>
      </c>
    </row>
    <row r="10089">
      <c r="A10089" s="2" t="s">
        <v>4947</v>
      </c>
      <c r="B10089" s="2" t="s">
        <v>4925</v>
      </c>
      <c r="C10089" s="2" t="s">
        <v>5769</v>
      </c>
      <c r="D10089" s="3" t="str">
        <f t="shared" si="2117"/>
        <v>12Go Link</v>
      </c>
      <c r="E10089" s="2" t="s">
        <v>3409</v>
      </c>
    </row>
    <row r="10090">
      <c r="A10090" s="2" t="s">
        <v>4947</v>
      </c>
      <c r="B10090" s="2" t="s">
        <v>4929</v>
      </c>
      <c r="C10090" s="2" t="s">
        <v>5770</v>
      </c>
      <c r="D10090" s="3" t="str">
        <f t="shared" ref="D10090:D10092" si="2118">HYPERLINK("https://12go.asia/en/travel/Dambulla/Anuradhapura", "12Go Link")</f>
        <v>12Go Link</v>
      </c>
      <c r="E10090" s="2" t="s">
        <v>286</v>
      </c>
    </row>
    <row r="10091">
      <c r="A10091" s="2" t="s">
        <v>4947</v>
      </c>
      <c r="B10091" s="2" t="s">
        <v>4929</v>
      </c>
      <c r="C10091" s="2" t="s">
        <v>5770</v>
      </c>
      <c r="D10091" s="3" t="str">
        <f t="shared" si="2118"/>
        <v>12Go Link</v>
      </c>
      <c r="E10091" s="2" t="s">
        <v>4139</v>
      </c>
    </row>
    <row r="10092">
      <c r="A10092" s="2" t="s">
        <v>4947</v>
      </c>
      <c r="B10092" s="2" t="s">
        <v>4929</v>
      </c>
      <c r="C10092" s="2" t="s">
        <v>5770</v>
      </c>
      <c r="D10092" s="3" t="str">
        <f t="shared" si="2118"/>
        <v>12Go Link</v>
      </c>
      <c r="E10092" s="2" t="s">
        <v>3409</v>
      </c>
    </row>
    <row r="10093">
      <c r="A10093" s="2" t="s">
        <v>4947</v>
      </c>
      <c r="B10093" s="2" t="s">
        <v>4931</v>
      </c>
      <c r="C10093" s="2" t="s">
        <v>5771</v>
      </c>
      <c r="D10093" s="3" t="str">
        <f t="shared" ref="D10093:D10095" si="2119">HYPERLINK("https://12go.asia/en/travel/Dambulla/Arugam-bay", "12Go Link")</f>
        <v>12Go Link</v>
      </c>
      <c r="E10093" s="2" t="s">
        <v>286</v>
      </c>
    </row>
    <row r="10094">
      <c r="A10094" s="2" t="s">
        <v>4947</v>
      </c>
      <c r="B10094" s="2" t="s">
        <v>4931</v>
      </c>
      <c r="C10094" s="2" t="s">
        <v>5771</v>
      </c>
      <c r="D10094" s="3" t="str">
        <f t="shared" si="2119"/>
        <v>12Go Link</v>
      </c>
      <c r="E10094" s="2" t="s">
        <v>4139</v>
      </c>
    </row>
    <row r="10095">
      <c r="A10095" s="2" t="s">
        <v>4947</v>
      </c>
      <c r="B10095" s="2" t="s">
        <v>4931</v>
      </c>
      <c r="C10095" s="2" t="s">
        <v>5771</v>
      </c>
      <c r="D10095" s="3" t="str">
        <f t="shared" si="2119"/>
        <v>12Go Link</v>
      </c>
      <c r="E10095" s="2" t="s">
        <v>3409</v>
      </c>
    </row>
    <row r="10096">
      <c r="A10096" s="2" t="s">
        <v>4947</v>
      </c>
      <c r="B10096" s="2" t="s">
        <v>4933</v>
      </c>
      <c r="C10096" s="2" t="s">
        <v>5772</v>
      </c>
      <c r="D10096" s="3" t="str">
        <f t="shared" ref="D10096:D10097" si="2120">HYPERLINK("https://12go.asia/en/travel/Dambulla/balapitiya", "12Go Link")</f>
        <v>12Go Link</v>
      </c>
      <c r="E10096" s="2" t="s">
        <v>4139</v>
      </c>
    </row>
    <row r="10097">
      <c r="A10097" s="2" t="s">
        <v>4947</v>
      </c>
      <c r="B10097" s="2" t="s">
        <v>4933</v>
      </c>
      <c r="C10097" s="2" t="s">
        <v>5772</v>
      </c>
      <c r="D10097" s="3" t="str">
        <f t="shared" si="2120"/>
        <v>12Go Link</v>
      </c>
      <c r="E10097" s="2" t="s">
        <v>3409</v>
      </c>
    </row>
    <row r="10098">
      <c r="A10098" s="2" t="s">
        <v>4947</v>
      </c>
      <c r="B10098" s="2" t="s">
        <v>4935</v>
      </c>
      <c r="C10098" s="2" t="s">
        <v>5773</v>
      </c>
      <c r="D10098" s="3" t="str">
        <f t="shared" ref="D10098:D10100" si="2121">HYPERLINK("https://12go.asia/en/travel/Dambulla/Batticaloa", "12Go Link")</f>
        <v>12Go Link</v>
      </c>
      <c r="E10098" s="2" t="s">
        <v>286</v>
      </c>
    </row>
    <row r="10099">
      <c r="A10099" s="2" t="s">
        <v>4947</v>
      </c>
      <c r="B10099" s="2" t="s">
        <v>4935</v>
      </c>
      <c r="C10099" s="2" t="s">
        <v>5773</v>
      </c>
      <c r="D10099" s="3" t="str">
        <f t="shared" si="2121"/>
        <v>12Go Link</v>
      </c>
      <c r="E10099" s="2" t="s">
        <v>4139</v>
      </c>
    </row>
    <row r="10100">
      <c r="A10100" s="2" t="s">
        <v>4947</v>
      </c>
      <c r="B10100" s="2" t="s">
        <v>4935</v>
      </c>
      <c r="C10100" s="2" t="s">
        <v>5773</v>
      </c>
      <c r="D10100" s="3" t="str">
        <f t="shared" si="2121"/>
        <v>12Go Link</v>
      </c>
      <c r="E10100" s="2" t="s">
        <v>3409</v>
      </c>
    </row>
    <row r="10101">
      <c r="A10101" s="2" t="s">
        <v>4947</v>
      </c>
      <c r="B10101" s="2" t="s">
        <v>4937</v>
      </c>
      <c r="C10101" s="2" t="s">
        <v>5774</v>
      </c>
      <c r="D10101" s="3" t="str">
        <f t="shared" ref="D10101:D10102" si="2122">HYPERLINK("https://12go.asia/en/travel/Dambulla/Bentota", "12Go Link")</f>
        <v>12Go Link</v>
      </c>
      <c r="E10101" s="2" t="s">
        <v>4139</v>
      </c>
    </row>
    <row r="10102">
      <c r="A10102" s="2" t="s">
        <v>4947</v>
      </c>
      <c r="B10102" s="2" t="s">
        <v>4937</v>
      </c>
      <c r="C10102" s="2" t="s">
        <v>5774</v>
      </c>
      <c r="D10102" s="3" t="str">
        <f t="shared" si="2122"/>
        <v>12Go Link</v>
      </c>
      <c r="E10102" s="2" t="s">
        <v>3409</v>
      </c>
    </row>
    <row r="10103">
      <c r="A10103" s="2" t="s">
        <v>4947</v>
      </c>
      <c r="B10103" s="2" t="s">
        <v>4939</v>
      </c>
      <c r="C10103" s="2" t="s">
        <v>5775</v>
      </c>
      <c r="D10103" s="3" t="str">
        <f t="shared" ref="D10103:D10105" si="2123">HYPERLINK("https://12go.asia/en/travel/Dambulla/Beruwala", "12Go Link")</f>
        <v>12Go Link</v>
      </c>
      <c r="E10103" s="2" t="s">
        <v>286</v>
      </c>
    </row>
    <row r="10104">
      <c r="A10104" s="2" t="s">
        <v>4947</v>
      </c>
      <c r="B10104" s="2" t="s">
        <v>4939</v>
      </c>
      <c r="C10104" s="2" t="s">
        <v>5775</v>
      </c>
      <c r="D10104" s="3" t="str">
        <f t="shared" si="2123"/>
        <v>12Go Link</v>
      </c>
      <c r="E10104" s="2" t="s">
        <v>4139</v>
      </c>
    </row>
    <row r="10105">
      <c r="A10105" s="2" t="s">
        <v>4947</v>
      </c>
      <c r="B10105" s="2" t="s">
        <v>4939</v>
      </c>
      <c r="C10105" s="2" t="s">
        <v>5775</v>
      </c>
      <c r="D10105" s="3" t="str">
        <f t="shared" si="2123"/>
        <v>12Go Link</v>
      </c>
      <c r="E10105" s="2" t="s">
        <v>3409</v>
      </c>
    </row>
    <row r="10106">
      <c r="A10106" s="2" t="s">
        <v>4947</v>
      </c>
      <c r="B10106" s="2" t="s">
        <v>4943</v>
      </c>
      <c r="C10106" s="2" t="s">
        <v>5776</v>
      </c>
      <c r="D10106" s="3" t="str">
        <f t="shared" ref="D10106:D10108" si="2124">HYPERLINK("https://12go.asia/en/travel/Dambulla/Bambalapitiya", "12Go Link")</f>
        <v>12Go Link</v>
      </c>
      <c r="E10106" s="2" t="s">
        <v>286</v>
      </c>
    </row>
    <row r="10107">
      <c r="A10107" s="2" t="s">
        <v>4947</v>
      </c>
      <c r="B10107" s="2" t="s">
        <v>4943</v>
      </c>
      <c r="C10107" s="2" t="s">
        <v>5776</v>
      </c>
      <c r="D10107" s="3" t="str">
        <f t="shared" si="2124"/>
        <v>12Go Link</v>
      </c>
      <c r="E10107" s="2" t="s">
        <v>4139</v>
      </c>
    </row>
    <row r="10108">
      <c r="A10108" s="2" t="s">
        <v>4947</v>
      </c>
      <c r="B10108" s="2" t="s">
        <v>4943</v>
      </c>
      <c r="C10108" s="2" t="s">
        <v>5776</v>
      </c>
      <c r="D10108" s="3" t="str">
        <f t="shared" si="2124"/>
        <v>12Go Link</v>
      </c>
      <c r="E10108" s="2" t="s">
        <v>3409</v>
      </c>
    </row>
    <row r="10109">
      <c r="A10109" s="2" t="s">
        <v>4947</v>
      </c>
      <c r="B10109" s="2" t="s">
        <v>4945</v>
      </c>
      <c r="C10109" s="2" t="s">
        <v>5777</v>
      </c>
      <c r="D10109" s="3" t="str">
        <f t="shared" ref="D10109:D10111" si="2125">HYPERLINK("https://12go.asia/en/travel/Dambulla/Bandaranaike-Airport", "12Go Link")</f>
        <v>12Go Link</v>
      </c>
      <c r="E10109" s="2" t="s">
        <v>286</v>
      </c>
    </row>
    <row r="10110">
      <c r="A10110" s="2" t="s">
        <v>4947</v>
      </c>
      <c r="B10110" s="2" t="s">
        <v>4945</v>
      </c>
      <c r="C10110" s="2" t="s">
        <v>5777</v>
      </c>
      <c r="D10110" s="3" t="str">
        <f t="shared" si="2125"/>
        <v>12Go Link</v>
      </c>
      <c r="E10110" s="2" t="s">
        <v>4139</v>
      </c>
    </row>
    <row r="10111">
      <c r="A10111" s="2" t="s">
        <v>4947</v>
      </c>
      <c r="B10111" s="2" t="s">
        <v>4945</v>
      </c>
      <c r="C10111" s="2" t="s">
        <v>5777</v>
      </c>
      <c r="D10111" s="3" t="str">
        <f t="shared" si="2125"/>
        <v>12Go Link</v>
      </c>
      <c r="E10111" s="2" t="s">
        <v>3409</v>
      </c>
    </row>
    <row r="10112">
      <c r="A10112" s="2" t="s">
        <v>4947</v>
      </c>
      <c r="B10112" s="2" t="s">
        <v>4949</v>
      </c>
      <c r="C10112" s="2" t="s">
        <v>5778</v>
      </c>
      <c r="D10112" s="3" t="str">
        <f t="shared" ref="D10112:D10114" si="2126">HYPERLINK("https://12go.asia/en/travel/Dambulla/Deniyaya", "12Go Link")</f>
        <v>12Go Link</v>
      </c>
      <c r="E10112" s="2" t="s">
        <v>286</v>
      </c>
    </row>
    <row r="10113">
      <c r="A10113" s="2" t="s">
        <v>4947</v>
      </c>
      <c r="B10113" s="2" t="s">
        <v>4949</v>
      </c>
      <c r="C10113" s="2" t="s">
        <v>5778</v>
      </c>
      <c r="D10113" s="3" t="str">
        <f t="shared" si="2126"/>
        <v>12Go Link</v>
      </c>
      <c r="E10113" s="2" t="s">
        <v>4139</v>
      </c>
    </row>
    <row r="10114">
      <c r="A10114" s="2" t="s">
        <v>4947</v>
      </c>
      <c r="B10114" s="2" t="s">
        <v>4949</v>
      </c>
      <c r="C10114" s="2" t="s">
        <v>5778</v>
      </c>
      <c r="D10114" s="3" t="str">
        <f t="shared" si="2126"/>
        <v>12Go Link</v>
      </c>
      <c r="E10114" s="2" t="s">
        <v>3409</v>
      </c>
    </row>
    <row r="10115">
      <c r="A10115" s="2" t="s">
        <v>4947</v>
      </c>
      <c r="B10115" s="2" t="s">
        <v>5779</v>
      </c>
      <c r="C10115" s="2" t="s">
        <v>5780</v>
      </c>
      <c r="D10115" s="3" t="str">
        <f t="shared" ref="D10115:D10117" si="2127">HYPERLINK("https://12go.asia/en/travel/Dambulla/Ella", "12Go Link")</f>
        <v>12Go Link</v>
      </c>
      <c r="E10115" s="2" t="s">
        <v>286</v>
      </c>
    </row>
    <row r="10116">
      <c r="A10116" s="2" t="s">
        <v>4947</v>
      </c>
      <c r="B10116" s="2" t="s">
        <v>5779</v>
      </c>
      <c r="C10116" s="2" t="s">
        <v>5780</v>
      </c>
      <c r="D10116" s="3" t="str">
        <f t="shared" si="2127"/>
        <v>12Go Link</v>
      </c>
      <c r="E10116" s="2" t="s">
        <v>4139</v>
      </c>
    </row>
    <row r="10117">
      <c r="A10117" s="2" t="s">
        <v>4947</v>
      </c>
      <c r="B10117" s="2" t="s">
        <v>5779</v>
      </c>
      <c r="C10117" s="2" t="s">
        <v>5780</v>
      </c>
      <c r="D10117" s="3" t="str">
        <f t="shared" si="2127"/>
        <v>12Go Link</v>
      </c>
      <c r="E10117" s="2" t="s">
        <v>3409</v>
      </c>
    </row>
    <row r="10118">
      <c r="A10118" s="2" t="s">
        <v>4947</v>
      </c>
      <c r="B10118" s="2" t="s">
        <v>4954</v>
      </c>
      <c r="C10118" s="2" t="s">
        <v>5781</v>
      </c>
      <c r="D10118" s="3" t="str">
        <f t="shared" ref="D10118:D10119" si="2128">HYPERLINK("https://12go.asia/en/travel/Dambulla/Galle", "12Go Link")</f>
        <v>12Go Link</v>
      </c>
      <c r="E10118" s="2" t="s">
        <v>4139</v>
      </c>
    </row>
    <row r="10119">
      <c r="A10119" s="2" t="s">
        <v>4947</v>
      </c>
      <c r="B10119" s="2" t="s">
        <v>4954</v>
      </c>
      <c r="C10119" s="2" t="s">
        <v>5781</v>
      </c>
      <c r="D10119" s="3" t="str">
        <f t="shared" si="2128"/>
        <v>12Go Link</v>
      </c>
      <c r="E10119" s="2" t="s">
        <v>3409</v>
      </c>
    </row>
    <row r="10120">
      <c r="A10120" s="2" t="s">
        <v>4947</v>
      </c>
      <c r="B10120" s="2" t="s">
        <v>4954</v>
      </c>
      <c r="C10120" s="2" t="s">
        <v>5782</v>
      </c>
      <c r="D10120" s="3" t="str">
        <f t="shared" ref="D10120:D10122" si="2129">HYPERLINK("https://12go.asia/en/travel/Dambulla/Talpe", "12Go Link")</f>
        <v>12Go Link</v>
      </c>
      <c r="E10120" s="2" t="s">
        <v>286</v>
      </c>
    </row>
    <row r="10121">
      <c r="A10121" s="2" t="s">
        <v>4947</v>
      </c>
      <c r="B10121" s="2" t="s">
        <v>4954</v>
      </c>
      <c r="C10121" s="2" t="s">
        <v>5782</v>
      </c>
      <c r="D10121" s="3" t="str">
        <f t="shared" si="2129"/>
        <v>12Go Link</v>
      </c>
      <c r="E10121" s="2" t="s">
        <v>4139</v>
      </c>
    </row>
    <row r="10122">
      <c r="A10122" s="2" t="s">
        <v>4947</v>
      </c>
      <c r="B10122" s="2" t="s">
        <v>4954</v>
      </c>
      <c r="C10122" s="2" t="s">
        <v>5782</v>
      </c>
      <c r="D10122" s="3" t="str">
        <f t="shared" si="2129"/>
        <v>12Go Link</v>
      </c>
      <c r="E10122" s="2" t="s">
        <v>3409</v>
      </c>
    </row>
    <row r="10123">
      <c r="A10123" s="2" t="s">
        <v>4947</v>
      </c>
      <c r="B10123" s="2" t="s">
        <v>4957</v>
      </c>
      <c r="C10123" s="2" t="s">
        <v>5783</v>
      </c>
      <c r="D10123" s="3" t="str">
        <f t="shared" ref="D10123:D10125" si="2130">HYPERLINK("https://12go.asia/en/travel/Dambulla/Habarana", "12Go Link")</f>
        <v>12Go Link</v>
      </c>
      <c r="E10123" s="2" t="s">
        <v>286</v>
      </c>
    </row>
    <row r="10124">
      <c r="A10124" s="2" t="s">
        <v>4947</v>
      </c>
      <c r="B10124" s="2" t="s">
        <v>4957</v>
      </c>
      <c r="C10124" s="2" t="s">
        <v>5783</v>
      </c>
      <c r="D10124" s="3" t="str">
        <f t="shared" si="2130"/>
        <v>12Go Link</v>
      </c>
      <c r="E10124" s="2" t="s">
        <v>4139</v>
      </c>
    </row>
    <row r="10125">
      <c r="A10125" s="2" t="s">
        <v>4947</v>
      </c>
      <c r="B10125" s="2" t="s">
        <v>4957</v>
      </c>
      <c r="C10125" s="2" t="s">
        <v>5783</v>
      </c>
      <c r="D10125" s="3" t="str">
        <f t="shared" si="2130"/>
        <v>12Go Link</v>
      </c>
      <c r="E10125" s="2" t="s">
        <v>3409</v>
      </c>
    </row>
    <row r="10126">
      <c r="A10126" s="2" t="s">
        <v>4947</v>
      </c>
      <c r="B10126" s="2" t="s">
        <v>4961</v>
      </c>
      <c r="C10126" s="2" t="s">
        <v>5784</v>
      </c>
      <c r="D10126" s="3" t="str">
        <f t="shared" ref="D10126:D10128" si="2131">HYPERLINK("https://12go.asia/en/travel/Dambulla/Beragala", "12Go Link")</f>
        <v>12Go Link</v>
      </c>
      <c r="E10126" s="2" t="s">
        <v>286</v>
      </c>
    </row>
    <row r="10127">
      <c r="A10127" s="2" t="s">
        <v>4947</v>
      </c>
      <c r="B10127" s="2" t="s">
        <v>4961</v>
      </c>
      <c r="C10127" s="2" t="s">
        <v>5784</v>
      </c>
      <c r="D10127" s="3" t="str">
        <f t="shared" si="2131"/>
        <v>12Go Link</v>
      </c>
      <c r="E10127" s="2" t="s">
        <v>4139</v>
      </c>
    </row>
    <row r="10128">
      <c r="A10128" s="2" t="s">
        <v>4947</v>
      </c>
      <c r="B10128" s="2" t="s">
        <v>4961</v>
      </c>
      <c r="C10128" s="2" t="s">
        <v>5784</v>
      </c>
      <c r="D10128" s="3" t="str">
        <f t="shared" si="2131"/>
        <v>12Go Link</v>
      </c>
      <c r="E10128" s="2" t="s">
        <v>3409</v>
      </c>
    </row>
    <row r="10129">
      <c r="A10129" s="2" t="s">
        <v>4947</v>
      </c>
      <c r="B10129" s="2" t="s">
        <v>4963</v>
      </c>
      <c r="C10129" s="2" t="s">
        <v>5785</v>
      </c>
      <c r="D10129" s="3" t="str">
        <f t="shared" ref="D10129:D10131" si="2132">HYPERLINK("https://12go.asia/en/travel/Dambulla/Dick-oya", "12Go Link")</f>
        <v>12Go Link</v>
      </c>
      <c r="E10129" s="2" t="s">
        <v>286</v>
      </c>
    </row>
    <row r="10130">
      <c r="A10130" s="2" t="s">
        <v>4947</v>
      </c>
      <c r="B10130" s="2" t="s">
        <v>4963</v>
      </c>
      <c r="C10130" s="2" t="s">
        <v>5785</v>
      </c>
      <c r="D10130" s="3" t="str">
        <f t="shared" si="2132"/>
        <v>12Go Link</v>
      </c>
      <c r="E10130" s="2" t="s">
        <v>4139</v>
      </c>
    </row>
    <row r="10131">
      <c r="A10131" s="2" t="s">
        <v>4947</v>
      </c>
      <c r="B10131" s="2" t="s">
        <v>4963</v>
      </c>
      <c r="C10131" s="2" t="s">
        <v>5785</v>
      </c>
      <c r="D10131" s="3" t="str">
        <f t="shared" si="2132"/>
        <v>12Go Link</v>
      </c>
      <c r="E10131" s="2" t="s">
        <v>3409</v>
      </c>
    </row>
    <row r="10132">
      <c r="A10132" s="2" t="s">
        <v>4947</v>
      </c>
      <c r="B10132" s="2" t="s">
        <v>4965</v>
      </c>
      <c r="C10132" s="2" t="s">
        <v>5786</v>
      </c>
      <c r="D10132" s="3" t="str">
        <f t="shared" ref="D10132:D10133" si="2133">HYPERLINK("https://12go.asia/en/travel/Dambulla/Dodanduwa", "12Go Link")</f>
        <v>12Go Link</v>
      </c>
      <c r="E10132" s="2" t="s">
        <v>4139</v>
      </c>
    </row>
    <row r="10133">
      <c r="A10133" s="2" t="s">
        <v>4947</v>
      </c>
      <c r="B10133" s="2" t="s">
        <v>4965</v>
      </c>
      <c r="C10133" s="2" t="s">
        <v>5786</v>
      </c>
      <c r="D10133" s="3" t="str">
        <f t="shared" si="2133"/>
        <v>12Go Link</v>
      </c>
      <c r="E10133" s="2" t="s">
        <v>3409</v>
      </c>
    </row>
    <row r="10134">
      <c r="A10134" s="2" t="s">
        <v>4947</v>
      </c>
      <c r="B10134" s="2" t="s">
        <v>4967</v>
      </c>
      <c r="C10134" s="2" t="s">
        <v>5787</v>
      </c>
      <c r="D10134" s="3" t="str">
        <f t="shared" ref="D10134:D10136" si="2134">HYPERLINK("https://12go.asia/en/travel/Dambulla/Induruwa", "12Go Link")</f>
        <v>12Go Link</v>
      </c>
      <c r="E10134" s="2" t="s">
        <v>286</v>
      </c>
    </row>
    <row r="10135">
      <c r="A10135" s="2" t="s">
        <v>4947</v>
      </c>
      <c r="B10135" s="2" t="s">
        <v>4967</v>
      </c>
      <c r="C10135" s="2" t="s">
        <v>5787</v>
      </c>
      <c r="D10135" s="3" t="str">
        <f t="shared" si="2134"/>
        <v>12Go Link</v>
      </c>
      <c r="E10135" s="2" t="s">
        <v>4139</v>
      </c>
    </row>
    <row r="10136">
      <c r="A10136" s="2" t="s">
        <v>4947</v>
      </c>
      <c r="B10136" s="2" t="s">
        <v>4967</v>
      </c>
      <c r="C10136" s="2" t="s">
        <v>5787</v>
      </c>
      <c r="D10136" s="3" t="str">
        <f t="shared" si="2134"/>
        <v>12Go Link</v>
      </c>
      <c r="E10136" s="2" t="s">
        <v>3409</v>
      </c>
    </row>
    <row r="10137">
      <c r="A10137" s="2" t="s">
        <v>4947</v>
      </c>
      <c r="B10137" s="2" t="s">
        <v>4969</v>
      </c>
      <c r="C10137" s="2" t="s">
        <v>5788</v>
      </c>
      <c r="D10137" s="3" t="str">
        <f t="shared" ref="D10137:D10139" si="2135">HYPERLINK("https://12go.asia/en/travel/Dambulla/Jaffna", "12Go Link")</f>
        <v>12Go Link</v>
      </c>
      <c r="E10137" s="2" t="s">
        <v>286</v>
      </c>
    </row>
    <row r="10138">
      <c r="A10138" s="2" t="s">
        <v>4947</v>
      </c>
      <c r="B10138" s="2" t="s">
        <v>4969</v>
      </c>
      <c r="C10138" s="2" t="s">
        <v>5788</v>
      </c>
      <c r="D10138" s="3" t="str">
        <f t="shared" si="2135"/>
        <v>12Go Link</v>
      </c>
      <c r="E10138" s="2" t="s">
        <v>4139</v>
      </c>
    </row>
    <row r="10139">
      <c r="A10139" s="2" t="s">
        <v>4947</v>
      </c>
      <c r="B10139" s="2" t="s">
        <v>4969</v>
      </c>
      <c r="C10139" s="2" t="s">
        <v>5788</v>
      </c>
      <c r="D10139" s="3" t="str">
        <f t="shared" si="2135"/>
        <v>12Go Link</v>
      </c>
      <c r="E10139" s="2" t="s">
        <v>3409</v>
      </c>
    </row>
    <row r="10140">
      <c r="A10140" s="2" t="s">
        <v>4947</v>
      </c>
      <c r="B10140" s="2" t="s">
        <v>4971</v>
      </c>
      <c r="C10140" s="2" t="s">
        <v>5789</v>
      </c>
      <c r="D10140" s="3" t="str">
        <f t="shared" ref="D10140:D10142" si="2136">HYPERLINK("https://12go.asia/en/travel/Dambulla/Kalapuwa", "12Go Link")</f>
        <v>12Go Link</v>
      </c>
      <c r="E10140" s="2" t="s">
        <v>286</v>
      </c>
    </row>
    <row r="10141">
      <c r="A10141" s="2" t="s">
        <v>4947</v>
      </c>
      <c r="B10141" s="2" t="s">
        <v>4971</v>
      </c>
      <c r="C10141" s="2" t="s">
        <v>5789</v>
      </c>
      <c r="D10141" s="3" t="str">
        <f t="shared" si="2136"/>
        <v>12Go Link</v>
      </c>
      <c r="E10141" s="2" t="s">
        <v>4139</v>
      </c>
    </row>
    <row r="10142">
      <c r="A10142" s="2" t="s">
        <v>4947</v>
      </c>
      <c r="B10142" s="2" t="s">
        <v>4971</v>
      </c>
      <c r="C10142" s="2" t="s">
        <v>5789</v>
      </c>
      <c r="D10142" s="3" t="str">
        <f t="shared" si="2136"/>
        <v>12Go Link</v>
      </c>
      <c r="E10142" s="2" t="s">
        <v>3409</v>
      </c>
    </row>
    <row r="10143">
      <c r="A10143" s="2" t="s">
        <v>4947</v>
      </c>
      <c r="B10143" s="2" t="s">
        <v>4973</v>
      </c>
      <c r="C10143" s="2" t="s">
        <v>5790</v>
      </c>
      <c r="D10143" s="3" t="str">
        <f t="shared" ref="D10143:D10145" si="2137">HYPERLINK("https://12go.asia/en/travel/Dambulla/Digana", "12Go Link")</f>
        <v>12Go Link</v>
      </c>
      <c r="E10143" s="2" t="s">
        <v>286</v>
      </c>
    </row>
    <row r="10144">
      <c r="A10144" s="2" t="s">
        <v>4947</v>
      </c>
      <c r="B10144" s="2" t="s">
        <v>4973</v>
      </c>
      <c r="C10144" s="2" t="s">
        <v>5790</v>
      </c>
      <c r="D10144" s="3" t="str">
        <f t="shared" si="2137"/>
        <v>12Go Link</v>
      </c>
      <c r="E10144" s="2" t="s">
        <v>4139</v>
      </c>
    </row>
    <row r="10145">
      <c r="A10145" s="2" t="s">
        <v>4947</v>
      </c>
      <c r="B10145" s="2" t="s">
        <v>4973</v>
      </c>
      <c r="C10145" s="2" t="s">
        <v>5790</v>
      </c>
      <c r="D10145" s="3" t="str">
        <f t="shared" si="2137"/>
        <v>12Go Link</v>
      </c>
      <c r="E10145" s="2" t="s">
        <v>3409</v>
      </c>
    </row>
    <row r="10146">
      <c r="A10146" s="2" t="s">
        <v>4947</v>
      </c>
      <c r="B10146" s="2" t="s">
        <v>4980</v>
      </c>
      <c r="C10146" s="2" t="s">
        <v>5791</v>
      </c>
      <c r="D10146" s="3" t="str">
        <f t="shared" ref="D10146:D10148" si="2138">HYPERLINK("https://12go.asia/en/travel/Dambulla/Pinnawala", "12Go Link")</f>
        <v>12Go Link</v>
      </c>
      <c r="E10146" s="2" t="s">
        <v>286</v>
      </c>
    </row>
    <row r="10147">
      <c r="A10147" s="2" t="s">
        <v>4947</v>
      </c>
      <c r="B10147" s="2" t="s">
        <v>4980</v>
      </c>
      <c r="C10147" s="2" t="s">
        <v>5791</v>
      </c>
      <c r="D10147" s="3" t="str">
        <f t="shared" si="2138"/>
        <v>12Go Link</v>
      </c>
      <c r="E10147" s="2" t="s">
        <v>4139</v>
      </c>
    </row>
    <row r="10148">
      <c r="A10148" s="2" t="s">
        <v>4947</v>
      </c>
      <c r="B10148" s="2" t="s">
        <v>4980</v>
      </c>
      <c r="C10148" s="2" t="s">
        <v>5791</v>
      </c>
      <c r="D10148" s="3" t="str">
        <f t="shared" si="2138"/>
        <v>12Go Link</v>
      </c>
      <c r="E10148" s="2" t="s">
        <v>3409</v>
      </c>
    </row>
    <row r="10149">
      <c r="A10149" s="2" t="s">
        <v>4947</v>
      </c>
      <c r="B10149" s="2" t="s">
        <v>4982</v>
      </c>
      <c r="C10149" s="2" t="s">
        <v>5792</v>
      </c>
      <c r="D10149" s="3" t="str">
        <f t="shared" ref="D10149:D10151" si="2139">HYPERLINK("https://12go.asia/en/travel/Dambulla/Kitulgala", "12Go Link")</f>
        <v>12Go Link</v>
      </c>
      <c r="E10149" s="2" t="s">
        <v>286</v>
      </c>
    </row>
    <row r="10150">
      <c r="A10150" s="2" t="s">
        <v>4947</v>
      </c>
      <c r="B10150" s="2" t="s">
        <v>4982</v>
      </c>
      <c r="C10150" s="2" t="s">
        <v>5792</v>
      </c>
      <c r="D10150" s="3" t="str">
        <f t="shared" si="2139"/>
        <v>12Go Link</v>
      </c>
      <c r="E10150" s="2" t="s">
        <v>4139</v>
      </c>
    </row>
    <row r="10151">
      <c r="A10151" s="2" t="s">
        <v>4947</v>
      </c>
      <c r="B10151" s="2" t="s">
        <v>4982</v>
      </c>
      <c r="C10151" s="2" t="s">
        <v>5792</v>
      </c>
      <c r="D10151" s="3" t="str">
        <f t="shared" si="2139"/>
        <v>12Go Link</v>
      </c>
      <c r="E10151" s="2" t="s">
        <v>3409</v>
      </c>
    </row>
    <row r="10152">
      <c r="A10152" s="2" t="s">
        <v>4947</v>
      </c>
      <c r="B10152" s="2" t="s">
        <v>4984</v>
      </c>
      <c r="C10152" s="2" t="s">
        <v>5793</v>
      </c>
      <c r="D10152" s="3" t="str">
        <f t="shared" ref="D10152:D10154" si="2140">HYPERLINK("https://12go.asia/en/travel/Dambulla/Habaraduwa", "12Go Link")</f>
        <v>12Go Link</v>
      </c>
      <c r="E10152" s="2" t="s">
        <v>286</v>
      </c>
    </row>
    <row r="10153">
      <c r="A10153" s="2" t="s">
        <v>4947</v>
      </c>
      <c r="B10153" s="2" t="s">
        <v>4984</v>
      </c>
      <c r="C10153" s="2" t="s">
        <v>5793</v>
      </c>
      <c r="D10153" s="3" t="str">
        <f t="shared" si="2140"/>
        <v>12Go Link</v>
      </c>
      <c r="E10153" s="2" t="s">
        <v>4139</v>
      </c>
    </row>
    <row r="10154">
      <c r="A10154" s="2" t="s">
        <v>4947</v>
      </c>
      <c r="B10154" s="2" t="s">
        <v>4984</v>
      </c>
      <c r="C10154" s="2" t="s">
        <v>5793</v>
      </c>
      <c r="D10154" s="3" t="str">
        <f t="shared" si="2140"/>
        <v>12Go Link</v>
      </c>
      <c r="E10154" s="2" t="s">
        <v>3409</v>
      </c>
    </row>
    <row r="10155">
      <c r="A10155" s="2" t="s">
        <v>4947</v>
      </c>
      <c r="B10155" s="2" t="s">
        <v>4986</v>
      </c>
      <c r="C10155" s="2" t="s">
        <v>5794</v>
      </c>
      <c r="D10155" s="3" t="str">
        <f t="shared" ref="D10155:D10156" si="2141">HYPERLINK("https://12go.asia/en/travel/Dambulla/Kosgoda", "12Go Link")</f>
        <v>12Go Link</v>
      </c>
      <c r="E10155" s="2" t="s">
        <v>4139</v>
      </c>
    </row>
    <row r="10156">
      <c r="A10156" s="2" t="s">
        <v>4947</v>
      </c>
      <c r="B10156" s="2" t="s">
        <v>4986</v>
      </c>
      <c r="C10156" s="2" t="s">
        <v>5794</v>
      </c>
      <c r="D10156" s="3" t="str">
        <f t="shared" si="2141"/>
        <v>12Go Link</v>
      </c>
      <c r="E10156" s="2" t="s">
        <v>3409</v>
      </c>
    </row>
    <row r="10157">
      <c r="A10157" s="2" t="s">
        <v>4947</v>
      </c>
      <c r="B10157" s="2" t="s">
        <v>4988</v>
      </c>
      <c r="C10157" s="2" t="s">
        <v>5795</v>
      </c>
      <c r="D10157" s="3" t="str">
        <f t="shared" ref="D10157:D10159" si="2142">HYPERLINK("https://12go.asia/en/travel/Dambulla/Kuchchaveli", "12Go Link")</f>
        <v>12Go Link</v>
      </c>
      <c r="E10157" s="2" t="s">
        <v>286</v>
      </c>
    </row>
    <row r="10158">
      <c r="A10158" s="2" t="s">
        <v>4947</v>
      </c>
      <c r="B10158" s="2" t="s">
        <v>4988</v>
      </c>
      <c r="C10158" s="2" t="s">
        <v>5795</v>
      </c>
      <c r="D10158" s="3" t="str">
        <f t="shared" si="2142"/>
        <v>12Go Link</v>
      </c>
      <c r="E10158" s="2" t="s">
        <v>4139</v>
      </c>
    </row>
    <row r="10159">
      <c r="A10159" s="2" t="s">
        <v>4947</v>
      </c>
      <c r="B10159" s="2" t="s">
        <v>4988</v>
      </c>
      <c r="C10159" s="2" t="s">
        <v>5795</v>
      </c>
      <c r="D10159" s="3" t="str">
        <f t="shared" si="2142"/>
        <v>12Go Link</v>
      </c>
      <c r="E10159" s="2" t="s">
        <v>3409</v>
      </c>
    </row>
    <row r="10160">
      <c r="A10160" s="2" t="s">
        <v>4947</v>
      </c>
      <c r="B10160" s="2" t="s">
        <v>4990</v>
      </c>
      <c r="C10160" s="2" t="s">
        <v>5796</v>
      </c>
      <c r="D10160" s="3" t="str">
        <f t="shared" ref="D10160:D10162" si="2143">HYPERLINK("https://12go.asia/en/travel/Dambulla/Mannar", "12Go Link")</f>
        <v>12Go Link</v>
      </c>
      <c r="E10160" s="2" t="s">
        <v>286</v>
      </c>
    </row>
    <row r="10161">
      <c r="A10161" s="2" t="s">
        <v>4947</v>
      </c>
      <c r="B10161" s="2" t="s">
        <v>4990</v>
      </c>
      <c r="C10161" s="2" t="s">
        <v>5796</v>
      </c>
      <c r="D10161" s="3" t="str">
        <f t="shared" si="2143"/>
        <v>12Go Link</v>
      </c>
      <c r="E10161" s="2" t="s">
        <v>4139</v>
      </c>
    </row>
    <row r="10162">
      <c r="A10162" s="2" t="s">
        <v>4947</v>
      </c>
      <c r="B10162" s="2" t="s">
        <v>4990</v>
      </c>
      <c r="C10162" s="2" t="s">
        <v>5796</v>
      </c>
      <c r="D10162" s="3" t="str">
        <f t="shared" si="2143"/>
        <v>12Go Link</v>
      </c>
      <c r="E10162" s="2" t="s">
        <v>3409</v>
      </c>
    </row>
    <row r="10163">
      <c r="A10163" s="2" t="s">
        <v>4947</v>
      </c>
      <c r="B10163" s="2" t="s">
        <v>4992</v>
      </c>
      <c r="C10163" s="2" t="s">
        <v>5797</v>
      </c>
      <c r="D10163" s="3" t="str">
        <f t="shared" ref="D10163:D10165" si="2144">HYPERLINK("https://12go.asia/en/travel/Dambulla/Kinigama", "12Go Link")</f>
        <v>12Go Link</v>
      </c>
      <c r="E10163" s="2" t="s">
        <v>286</v>
      </c>
    </row>
    <row r="10164">
      <c r="A10164" s="2" t="s">
        <v>4947</v>
      </c>
      <c r="B10164" s="2" t="s">
        <v>4992</v>
      </c>
      <c r="C10164" s="2" t="s">
        <v>5797</v>
      </c>
      <c r="D10164" s="3" t="str">
        <f t="shared" si="2144"/>
        <v>12Go Link</v>
      </c>
      <c r="E10164" s="2" t="s">
        <v>4139</v>
      </c>
    </row>
    <row r="10165">
      <c r="A10165" s="2" t="s">
        <v>4947</v>
      </c>
      <c r="B10165" s="2" t="s">
        <v>4992</v>
      </c>
      <c r="C10165" s="2" t="s">
        <v>5797</v>
      </c>
      <c r="D10165" s="3" t="str">
        <f t="shared" si="2144"/>
        <v>12Go Link</v>
      </c>
      <c r="E10165" s="2" t="s">
        <v>3409</v>
      </c>
    </row>
    <row r="10166">
      <c r="A10166" s="2" t="s">
        <v>4947</v>
      </c>
      <c r="B10166" s="2" t="s">
        <v>4998</v>
      </c>
      <c r="C10166" s="2" t="s">
        <v>5798</v>
      </c>
      <c r="D10166" s="3" t="str">
        <f t="shared" ref="D10166:D10168" si="2145">HYPERLINK("https://12go.asia/en/travel/Dambulla/Nanu-Oya", "12Go Link")</f>
        <v>12Go Link</v>
      </c>
      <c r="E10166" s="2" t="s">
        <v>286</v>
      </c>
    </row>
    <row r="10167">
      <c r="A10167" s="2" t="s">
        <v>4947</v>
      </c>
      <c r="B10167" s="2" t="s">
        <v>4998</v>
      </c>
      <c r="C10167" s="2" t="s">
        <v>5798</v>
      </c>
      <c r="D10167" s="3" t="str">
        <f t="shared" si="2145"/>
        <v>12Go Link</v>
      </c>
      <c r="E10167" s="2" t="s">
        <v>4139</v>
      </c>
    </row>
    <row r="10168">
      <c r="A10168" s="2" t="s">
        <v>4947</v>
      </c>
      <c r="B10168" s="2" t="s">
        <v>4998</v>
      </c>
      <c r="C10168" s="2" t="s">
        <v>5798</v>
      </c>
      <c r="D10168" s="3" t="str">
        <f t="shared" si="2145"/>
        <v>12Go Link</v>
      </c>
      <c r="E10168" s="2" t="s">
        <v>3409</v>
      </c>
    </row>
    <row r="10169">
      <c r="A10169" s="2" t="s">
        <v>4947</v>
      </c>
      <c r="B10169" s="2" t="s">
        <v>5000</v>
      </c>
      <c r="C10169" s="2" t="s">
        <v>5799</v>
      </c>
      <c r="D10169" s="3" t="str">
        <f t="shared" ref="D10169:D10171" si="2146">HYPERLINK("https://12go.asia/en/travel/Dambulla/Dalupotha", "12Go Link")</f>
        <v>12Go Link</v>
      </c>
      <c r="E10169" s="2" t="s">
        <v>286</v>
      </c>
    </row>
    <row r="10170">
      <c r="A10170" s="2" t="s">
        <v>4947</v>
      </c>
      <c r="B10170" s="2" t="s">
        <v>5000</v>
      </c>
      <c r="C10170" s="2" t="s">
        <v>5799</v>
      </c>
      <c r="D10170" s="3" t="str">
        <f t="shared" si="2146"/>
        <v>12Go Link</v>
      </c>
      <c r="E10170" s="2" t="s">
        <v>4139</v>
      </c>
    </row>
    <row r="10171">
      <c r="A10171" s="2" t="s">
        <v>4947</v>
      </c>
      <c r="B10171" s="2" t="s">
        <v>5000</v>
      </c>
      <c r="C10171" s="2" t="s">
        <v>5799</v>
      </c>
      <c r="D10171" s="3" t="str">
        <f t="shared" si="2146"/>
        <v>12Go Link</v>
      </c>
      <c r="E10171" s="2" t="s">
        <v>3409</v>
      </c>
    </row>
    <row r="10172">
      <c r="A10172" s="2" t="s">
        <v>4947</v>
      </c>
      <c r="B10172" s="2" t="s">
        <v>5000</v>
      </c>
      <c r="C10172" s="2" t="s">
        <v>5800</v>
      </c>
      <c r="D10172" s="3" t="str">
        <f t="shared" ref="D10172:D10174" si="2147">HYPERLINK("https://12go.asia/en/travel/Dambulla/Waikkal", "12Go Link")</f>
        <v>12Go Link</v>
      </c>
      <c r="E10172" s="2" t="s">
        <v>286</v>
      </c>
    </row>
    <row r="10173">
      <c r="A10173" s="2" t="s">
        <v>4947</v>
      </c>
      <c r="B10173" s="2" t="s">
        <v>5000</v>
      </c>
      <c r="C10173" s="2" t="s">
        <v>5800</v>
      </c>
      <c r="D10173" s="3" t="str">
        <f t="shared" si="2147"/>
        <v>12Go Link</v>
      </c>
      <c r="E10173" s="2" t="s">
        <v>4139</v>
      </c>
    </row>
    <row r="10174">
      <c r="A10174" s="2" t="s">
        <v>4947</v>
      </c>
      <c r="B10174" s="2" t="s">
        <v>5000</v>
      </c>
      <c r="C10174" s="2" t="s">
        <v>5800</v>
      </c>
      <c r="D10174" s="3" t="str">
        <f t="shared" si="2147"/>
        <v>12Go Link</v>
      </c>
      <c r="E10174" s="2" t="s">
        <v>3409</v>
      </c>
    </row>
    <row r="10175">
      <c r="A10175" s="2" t="s">
        <v>4947</v>
      </c>
      <c r="B10175" s="2" t="s">
        <v>5003</v>
      </c>
      <c r="C10175" s="2" t="s">
        <v>5801</v>
      </c>
      <c r="D10175" s="3" t="str">
        <f t="shared" ref="D10175:D10177" si="2148">HYPERLINK("https://12go.asia/en/travel/Dambulla/Nilaveli", "12Go Link")</f>
        <v>12Go Link</v>
      </c>
      <c r="E10175" s="2" t="s">
        <v>286</v>
      </c>
    </row>
    <row r="10176">
      <c r="A10176" s="2" t="s">
        <v>4947</v>
      </c>
      <c r="B10176" s="2" t="s">
        <v>5003</v>
      </c>
      <c r="C10176" s="2" t="s">
        <v>5801</v>
      </c>
      <c r="D10176" s="3" t="str">
        <f t="shared" si="2148"/>
        <v>12Go Link</v>
      </c>
      <c r="E10176" s="2" t="s">
        <v>4139</v>
      </c>
    </row>
    <row r="10177">
      <c r="A10177" s="2" t="s">
        <v>4947</v>
      </c>
      <c r="B10177" s="2" t="s">
        <v>5003</v>
      </c>
      <c r="C10177" s="2" t="s">
        <v>5801</v>
      </c>
      <c r="D10177" s="3" t="str">
        <f t="shared" si="2148"/>
        <v>12Go Link</v>
      </c>
      <c r="E10177" s="2" t="s">
        <v>3409</v>
      </c>
    </row>
    <row r="10178">
      <c r="A10178" s="2" t="s">
        <v>4947</v>
      </c>
      <c r="B10178" s="2" t="s">
        <v>5005</v>
      </c>
      <c r="C10178" s="2" t="s">
        <v>5802</v>
      </c>
      <c r="D10178" s="3" t="str">
        <f t="shared" ref="D10178:D10180" si="2149">HYPERLINK("https://12go.asia/en/travel/Dambulla/Kotmale", "12Go Link")</f>
        <v>12Go Link</v>
      </c>
      <c r="E10178" s="2" t="s">
        <v>286</v>
      </c>
    </row>
    <row r="10179">
      <c r="A10179" s="2" t="s">
        <v>4947</v>
      </c>
      <c r="B10179" s="2" t="s">
        <v>5005</v>
      </c>
      <c r="C10179" s="2" t="s">
        <v>5802</v>
      </c>
      <c r="D10179" s="3" t="str">
        <f t="shared" si="2149"/>
        <v>12Go Link</v>
      </c>
      <c r="E10179" s="2" t="s">
        <v>4139</v>
      </c>
    </row>
    <row r="10180">
      <c r="A10180" s="2" t="s">
        <v>4947</v>
      </c>
      <c r="B10180" s="2" t="s">
        <v>5005</v>
      </c>
      <c r="C10180" s="2" t="s">
        <v>5802</v>
      </c>
      <c r="D10180" s="3" t="str">
        <f t="shared" si="2149"/>
        <v>12Go Link</v>
      </c>
      <c r="E10180" s="2" t="s">
        <v>3409</v>
      </c>
    </row>
    <row r="10181">
      <c r="A10181" s="2" t="s">
        <v>4947</v>
      </c>
      <c r="B10181" s="2" t="s">
        <v>5007</v>
      </c>
      <c r="C10181" s="2" t="s">
        <v>5803</v>
      </c>
      <c r="D10181" s="3" t="str">
        <f t="shared" ref="D10181:D10183" si="2150">HYPERLINK("https://12go.asia/en/travel/Dambulla/Pasikuda", "12Go Link")</f>
        <v>12Go Link</v>
      </c>
      <c r="E10181" s="2" t="s">
        <v>286</v>
      </c>
    </row>
    <row r="10182">
      <c r="A10182" s="2" t="s">
        <v>4947</v>
      </c>
      <c r="B10182" s="2" t="s">
        <v>5007</v>
      </c>
      <c r="C10182" s="2" t="s">
        <v>5803</v>
      </c>
      <c r="D10182" s="3" t="str">
        <f t="shared" si="2150"/>
        <v>12Go Link</v>
      </c>
      <c r="E10182" s="2" t="s">
        <v>4139</v>
      </c>
    </row>
    <row r="10183">
      <c r="A10183" s="2" t="s">
        <v>4947</v>
      </c>
      <c r="B10183" s="2" t="s">
        <v>5007</v>
      </c>
      <c r="C10183" s="2" t="s">
        <v>5803</v>
      </c>
      <c r="D10183" s="3" t="str">
        <f t="shared" si="2150"/>
        <v>12Go Link</v>
      </c>
      <c r="E10183" s="2" t="s">
        <v>3409</v>
      </c>
    </row>
    <row r="10184">
      <c r="A10184" s="2" t="s">
        <v>4947</v>
      </c>
      <c r="B10184" s="2" t="s">
        <v>5009</v>
      </c>
      <c r="C10184" s="2" t="s">
        <v>5804</v>
      </c>
      <c r="D10184" s="3" t="str">
        <f t="shared" ref="D10184:D10186" si="2151">HYPERLINK("https://12go.asia/en/travel/Dambulla/Galoya", "12Go Link")</f>
        <v>12Go Link</v>
      </c>
      <c r="E10184" s="2" t="s">
        <v>286</v>
      </c>
    </row>
    <row r="10185">
      <c r="A10185" s="2" t="s">
        <v>4947</v>
      </c>
      <c r="B10185" s="2" t="s">
        <v>5009</v>
      </c>
      <c r="C10185" s="2" t="s">
        <v>5804</v>
      </c>
      <c r="D10185" s="3" t="str">
        <f t="shared" si="2151"/>
        <v>12Go Link</v>
      </c>
      <c r="E10185" s="2" t="s">
        <v>4139</v>
      </c>
    </row>
    <row r="10186">
      <c r="A10186" s="2" t="s">
        <v>4947</v>
      </c>
      <c r="B10186" s="2" t="s">
        <v>5009</v>
      </c>
      <c r="C10186" s="2" t="s">
        <v>5804</v>
      </c>
      <c r="D10186" s="3" t="str">
        <f t="shared" si="2151"/>
        <v>12Go Link</v>
      </c>
      <c r="E10186" s="2" t="s">
        <v>3409</v>
      </c>
    </row>
    <row r="10187">
      <c r="A10187" s="2" t="s">
        <v>4947</v>
      </c>
      <c r="B10187" s="2" t="s">
        <v>5011</v>
      </c>
      <c r="C10187" s="2" t="s">
        <v>5805</v>
      </c>
      <c r="D10187" s="3" t="str">
        <f t="shared" ref="D10187:D10189" si="2152">HYPERLINK("https://12go.asia/en/travel/Dambulla/Kalpitiya", "12Go Link")</f>
        <v>12Go Link</v>
      </c>
      <c r="E10187" s="2" t="s">
        <v>286</v>
      </c>
    </row>
    <row r="10188">
      <c r="A10188" s="2" t="s">
        <v>4947</v>
      </c>
      <c r="B10188" s="2" t="s">
        <v>5011</v>
      </c>
      <c r="C10188" s="2" t="s">
        <v>5805</v>
      </c>
      <c r="D10188" s="3" t="str">
        <f t="shared" si="2152"/>
        <v>12Go Link</v>
      </c>
      <c r="E10188" s="2" t="s">
        <v>4139</v>
      </c>
    </row>
    <row r="10189">
      <c r="A10189" s="2" t="s">
        <v>4947</v>
      </c>
      <c r="B10189" s="2" t="s">
        <v>5011</v>
      </c>
      <c r="C10189" s="2" t="s">
        <v>5805</v>
      </c>
      <c r="D10189" s="3" t="str">
        <f t="shared" si="2152"/>
        <v>12Go Link</v>
      </c>
      <c r="E10189" s="2" t="s">
        <v>3409</v>
      </c>
    </row>
    <row r="10190">
      <c r="A10190" s="2" t="s">
        <v>4947</v>
      </c>
      <c r="B10190" s="2" t="s">
        <v>5011</v>
      </c>
      <c r="C10190" s="2" t="s">
        <v>5806</v>
      </c>
      <c r="D10190" s="3" t="str">
        <f t="shared" ref="D10190:D10192" si="2153">HYPERLINK("https://12go.asia/en/travel/Dambulla/Marawila", "12Go Link")</f>
        <v>12Go Link</v>
      </c>
      <c r="E10190" s="2" t="s">
        <v>286</v>
      </c>
    </row>
    <row r="10191">
      <c r="A10191" s="2" t="s">
        <v>4947</v>
      </c>
      <c r="B10191" s="2" t="s">
        <v>5011</v>
      </c>
      <c r="C10191" s="2" t="s">
        <v>5806</v>
      </c>
      <c r="D10191" s="3" t="str">
        <f t="shared" si="2153"/>
        <v>12Go Link</v>
      </c>
      <c r="E10191" s="2" t="s">
        <v>4139</v>
      </c>
    </row>
    <row r="10192">
      <c r="A10192" s="2" t="s">
        <v>4947</v>
      </c>
      <c r="B10192" s="2" t="s">
        <v>5011</v>
      </c>
      <c r="C10192" s="2" t="s">
        <v>5806</v>
      </c>
      <c r="D10192" s="3" t="str">
        <f t="shared" si="2153"/>
        <v>12Go Link</v>
      </c>
      <c r="E10192" s="2" t="s">
        <v>3409</v>
      </c>
    </row>
    <row r="10193">
      <c r="A10193" s="2" t="s">
        <v>4947</v>
      </c>
      <c r="B10193" s="2" t="s">
        <v>5014</v>
      </c>
      <c r="C10193" s="2" t="s">
        <v>5807</v>
      </c>
      <c r="D10193" s="3" t="str">
        <f t="shared" ref="D10193:D10195" si="2154">HYPERLINK("https://12go.asia/en/travel/Dambulla/Kiriella", "12Go Link")</f>
        <v>12Go Link</v>
      </c>
      <c r="E10193" s="2" t="s">
        <v>286</v>
      </c>
    </row>
    <row r="10194">
      <c r="A10194" s="2" t="s">
        <v>4947</v>
      </c>
      <c r="B10194" s="2" t="s">
        <v>5014</v>
      </c>
      <c r="C10194" s="2" t="s">
        <v>5807</v>
      </c>
      <c r="D10194" s="3" t="str">
        <f t="shared" si="2154"/>
        <v>12Go Link</v>
      </c>
      <c r="E10194" s="2" t="s">
        <v>4139</v>
      </c>
    </row>
    <row r="10195">
      <c r="A10195" s="2" t="s">
        <v>4947</v>
      </c>
      <c r="B10195" s="2" t="s">
        <v>5014</v>
      </c>
      <c r="C10195" s="2" t="s">
        <v>5807</v>
      </c>
      <c r="D10195" s="3" t="str">
        <f t="shared" si="2154"/>
        <v>12Go Link</v>
      </c>
      <c r="E10195" s="2" t="s">
        <v>3409</v>
      </c>
    </row>
    <row r="10196">
      <c r="A10196" s="2" t="s">
        <v>4947</v>
      </c>
      <c r="B10196" s="2" t="s">
        <v>5016</v>
      </c>
      <c r="C10196" s="2" t="s">
        <v>5808</v>
      </c>
      <c r="D10196" s="3" t="str">
        <f t="shared" ref="D10196:D10198" si="2155">HYPERLINK("https://12go.asia/en/travel/Dambulla/Pidurangala", "12Go Link")</f>
        <v>12Go Link</v>
      </c>
      <c r="E10196" s="2" t="s">
        <v>286</v>
      </c>
    </row>
    <row r="10197">
      <c r="A10197" s="2" t="s">
        <v>4947</v>
      </c>
      <c r="B10197" s="2" t="s">
        <v>5016</v>
      </c>
      <c r="C10197" s="2" t="s">
        <v>5808</v>
      </c>
      <c r="D10197" s="3" t="str">
        <f t="shared" si="2155"/>
        <v>12Go Link</v>
      </c>
      <c r="E10197" s="2" t="s">
        <v>4139</v>
      </c>
    </row>
    <row r="10198">
      <c r="A10198" s="2" t="s">
        <v>4947</v>
      </c>
      <c r="B10198" s="2" t="s">
        <v>5016</v>
      </c>
      <c r="C10198" s="2" t="s">
        <v>5808</v>
      </c>
      <c r="D10198" s="3" t="str">
        <f t="shared" si="2155"/>
        <v>12Go Link</v>
      </c>
      <c r="E10198" s="2" t="s">
        <v>3409</v>
      </c>
    </row>
    <row r="10199">
      <c r="A10199" s="2" t="s">
        <v>4947</v>
      </c>
      <c r="B10199" s="2" t="s">
        <v>5020</v>
      </c>
      <c r="C10199" s="2" t="s">
        <v>5809</v>
      </c>
      <c r="D10199" s="3" t="str">
        <f t="shared" ref="D10199:D10201" si="2156">HYPERLINK("https://12go.asia/en/travel/Dambulla/Yala-Park", "12Go Link")</f>
        <v>12Go Link</v>
      </c>
      <c r="E10199" s="2" t="s">
        <v>286</v>
      </c>
    </row>
    <row r="10200">
      <c r="A10200" s="2" t="s">
        <v>4947</v>
      </c>
      <c r="B10200" s="2" t="s">
        <v>5020</v>
      </c>
      <c r="C10200" s="2" t="s">
        <v>5809</v>
      </c>
      <c r="D10200" s="3" t="str">
        <f t="shared" si="2156"/>
        <v>12Go Link</v>
      </c>
      <c r="E10200" s="2" t="s">
        <v>4139</v>
      </c>
    </row>
    <row r="10201">
      <c r="A10201" s="2" t="s">
        <v>4947</v>
      </c>
      <c r="B10201" s="2" t="s">
        <v>5020</v>
      </c>
      <c r="C10201" s="2" t="s">
        <v>5809</v>
      </c>
      <c r="D10201" s="3" t="str">
        <f t="shared" si="2156"/>
        <v>12Go Link</v>
      </c>
      <c r="E10201" s="2" t="s">
        <v>3409</v>
      </c>
    </row>
    <row r="10202">
      <c r="A10202" s="2" t="s">
        <v>4947</v>
      </c>
      <c r="B10202" s="2" t="s">
        <v>5023</v>
      </c>
      <c r="C10202" s="2" t="s">
        <v>5810</v>
      </c>
      <c r="D10202" s="3" t="str">
        <f t="shared" ref="D10202:D10204" si="2157">HYPERLINK("https://12go.asia/en/travel/Dambulla/Nilaweli", "12Go Link")</f>
        <v>12Go Link</v>
      </c>
      <c r="E10202" s="2" t="s">
        <v>286</v>
      </c>
    </row>
    <row r="10203">
      <c r="A10203" s="2" t="s">
        <v>4947</v>
      </c>
      <c r="B10203" s="2" t="s">
        <v>5023</v>
      </c>
      <c r="C10203" s="2" t="s">
        <v>5810</v>
      </c>
      <c r="D10203" s="3" t="str">
        <f t="shared" si="2157"/>
        <v>12Go Link</v>
      </c>
      <c r="E10203" s="2" t="s">
        <v>4139</v>
      </c>
    </row>
    <row r="10204">
      <c r="A10204" s="2" t="s">
        <v>4947</v>
      </c>
      <c r="B10204" s="2" t="s">
        <v>5023</v>
      </c>
      <c r="C10204" s="2" t="s">
        <v>5810</v>
      </c>
      <c r="D10204" s="3" t="str">
        <f t="shared" si="2157"/>
        <v>12Go Link</v>
      </c>
      <c r="E10204" s="2" t="s">
        <v>3409</v>
      </c>
    </row>
    <row r="10205">
      <c r="A10205" s="2" t="s">
        <v>4947</v>
      </c>
      <c r="B10205" s="2" t="s">
        <v>5029</v>
      </c>
      <c r="C10205" s="2" t="s">
        <v>5811</v>
      </c>
      <c r="D10205" s="3" t="str">
        <f t="shared" ref="D10205:D10207" si="2158">HYPERLINK("https://12go.asia/en/travel/Dambulla/Attanagalla", "12Go Link")</f>
        <v>12Go Link</v>
      </c>
      <c r="E10205" s="2" t="s">
        <v>286</v>
      </c>
    </row>
    <row r="10206">
      <c r="A10206" s="2" t="s">
        <v>4947</v>
      </c>
      <c r="B10206" s="2" t="s">
        <v>5029</v>
      </c>
      <c r="C10206" s="2" t="s">
        <v>5811</v>
      </c>
      <c r="D10206" s="3" t="str">
        <f t="shared" si="2158"/>
        <v>12Go Link</v>
      </c>
      <c r="E10206" s="2" t="s">
        <v>4139</v>
      </c>
    </row>
    <row r="10207">
      <c r="A10207" s="2" t="s">
        <v>4947</v>
      </c>
      <c r="B10207" s="2" t="s">
        <v>5029</v>
      </c>
      <c r="C10207" s="2" t="s">
        <v>5811</v>
      </c>
      <c r="D10207" s="3" t="str">
        <f t="shared" si="2158"/>
        <v>12Go Link</v>
      </c>
      <c r="E10207" s="2" t="s">
        <v>3409</v>
      </c>
    </row>
    <row r="10208">
      <c r="A10208" s="2" t="s">
        <v>4947</v>
      </c>
      <c r="B10208" s="2" t="s">
        <v>5031</v>
      </c>
      <c r="C10208" s="2" t="s">
        <v>5812</v>
      </c>
      <c r="D10208" s="3" t="str">
        <f t="shared" ref="D10208:D10210" si="2159">HYPERLINK("https://12go.asia/en/travel/Dambulla/Waskaduwa", "12Go Link")</f>
        <v>12Go Link</v>
      </c>
      <c r="E10208" s="2" t="s">
        <v>286</v>
      </c>
    </row>
    <row r="10209">
      <c r="A10209" s="2" t="s">
        <v>4947</v>
      </c>
      <c r="B10209" s="2" t="s">
        <v>5031</v>
      </c>
      <c r="C10209" s="2" t="s">
        <v>5812</v>
      </c>
      <c r="D10209" s="3" t="str">
        <f t="shared" si="2159"/>
        <v>12Go Link</v>
      </c>
      <c r="E10209" s="2" t="s">
        <v>4139</v>
      </c>
    </row>
    <row r="10210">
      <c r="A10210" s="2" t="s">
        <v>4947</v>
      </c>
      <c r="B10210" s="2" t="s">
        <v>5031</v>
      </c>
      <c r="C10210" s="2" t="s">
        <v>5812</v>
      </c>
      <c r="D10210" s="3" t="str">
        <f t="shared" si="2159"/>
        <v>12Go Link</v>
      </c>
      <c r="E10210" s="2" t="s">
        <v>3409</v>
      </c>
    </row>
    <row r="10211">
      <c r="A10211" s="2" t="s">
        <v>4947</v>
      </c>
      <c r="B10211" s="2" t="s">
        <v>5034</v>
      </c>
      <c r="C10211" s="2" t="s">
        <v>5813</v>
      </c>
      <c r="D10211" s="3" t="str">
        <f t="shared" ref="D10211:D10213" si="2160">HYPERLINK("https://12go.asia/en/travel/Dambulla/Weddagala", "12Go Link")</f>
        <v>12Go Link</v>
      </c>
      <c r="E10211" s="2" t="s">
        <v>286</v>
      </c>
    </row>
    <row r="10212">
      <c r="A10212" s="2" t="s">
        <v>4947</v>
      </c>
      <c r="B10212" s="2" t="s">
        <v>5034</v>
      </c>
      <c r="C10212" s="2" t="s">
        <v>5813</v>
      </c>
      <c r="D10212" s="3" t="str">
        <f t="shared" si="2160"/>
        <v>12Go Link</v>
      </c>
      <c r="E10212" s="2" t="s">
        <v>4139</v>
      </c>
    </row>
    <row r="10213">
      <c r="A10213" s="2" t="s">
        <v>4947</v>
      </c>
      <c r="B10213" s="2" t="s">
        <v>5034</v>
      </c>
      <c r="C10213" s="2" t="s">
        <v>5813</v>
      </c>
      <c r="D10213" s="3" t="str">
        <f t="shared" si="2160"/>
        <v>12Go Link</v>
      </c>
      <c r="E10213" s="2" t="s">
        <v>3409</v>
      </c>
    </row>
    <row r="10214">
      <c r="A10214" s="2" t="s">
        <v>4947</v>
      </c>
      <c r="B10214" s="2" t="s">
        <v>5038</v>
      </c>
      <c r="C10214" s="2" t="s">
        <v>5814</v>
      </c>
      <c r="D10214" s="3" t="str">
        <f t="shared" ref="D10214:D10216" si="2161">HYPERLINK("https://12go.asia/en/travel/Dambulla/Akuressa", "12Go Link")</f>
        <v>12Go Link</v>
      </c>
      <c r="E10214" s="2" t="s">
        <v>286</v>
      </c>
    </row>
    <row r="10215">
      <c r="A10215" s="2" t="s">
        <v>4947</v>
      </c>
      <c r="B10215" s="2" t="s">
        <v>5038</v>
      </c>
      <c r="C10215" s="2" t="s">
        <v>5814</v>
      </c>
      <c r="D10215" s="3" t="str">
        <f t="shared" si="2161"/>
        <v>12Go Link</v>
      </c>
      <c r="E10215" s="2" t="s">
        <v>4139</v>
      </c>
    </row>
    <row r="10216">
      <c r="A10216" s="2" t="s">
        <v>4947</v>
      </c>
      <c r="B10216" s="2" t="s">
        <v>5038</v>
      </c>
      <c r="C10216" s="2" t="s">
        <v>5814</v>
      </c>
      <c r="D10216" s="3" t="str">
        <f t="shared" si="2161"/>
        <v>12Go Link</v>
      </c>
      <c r="E10216" s="2" t="s">
        <v>3409</v>
      </c>
    </row>
    <row r="10217">
      <c r="A10217" s="2" t="s">
        <v>4947</v>
      </c>
      <c r="B10217" s="2" t="s">
        <v>5040</v>
      </c>
      <c r="C10217" s="2" t="s">
        <v>5815</v>
      </c>
      <c r="D10217" s="3" t="str">
        <f t="shared" ref="D10217:D10219" si="2162">HYPERLINK("https://12go.asia/en/travel/Dambulla/Wilpattu", "12Go Link")</f>
        <v>12Go Link</v>
      </c>
      <c r="E10217" s="2" t="s">
        <v>286</v>
      </c>
    </row>
    <row r="10218">
      <c r="A10218" s="2" t="s">
        <v>4947</v>
      </c>
      <c r="B10218" s="2" t="s">
        <v>5040</v>
      </c>
      <c r="C10218" s="2" t="s">
        <v>5815</v>
      </c>
      <c r="D10218" s="3" t="str">
        <f t="shared" si="2162"/>
        <v>12Go Link</v>
      </c>
      <c r="E10218" s="2" t="s">
        <v>4139</v>
      </c>
    </row>
    <row r="10219">
      <c r="A10219" s="2" t="s">
        <v>4947</v>
      </c>
      <c r="B10219" s="2" t="s">
        <v>5040</v>
      </c>
      <c r="C10219" s="2" t="s">
        <v>5815</v>
      </c>
      <c r="D10219" s="3" t="str">
        <f t="shared" si="2162"/>
        <v>12Go Link</v>
      </c>
      <c r="E10219" s="2" t="s">
        <v>3409</v>
      </c>
    </row>
    <row r="10220">
      <c r="A10220" s="2" t="s">
        <v>4949</v>
      </c>
      <c r="B10220" s="2" t="s">
        <v>4918</v>
      </c>
      <c r="C10220" s="2" t="s">
        <v>5816</v>
      </c>
      <c r="D10220" s="3" t="str">
        <f t="shared" ref="D10220:D10222" si="2163">HYPERLINK("https://12go.asia/en/travel/Deniyaya/Adams-Peak", "12Go Link")</f>
        <v>12Go Link</v>
      </c>
      <c r="E10220" s="2" t="s">
        <v>286</v>
      </c>
    </row>
    <row r="10221">
      <c r="A10221" s="2" t="s">
        <v>4949</v>
      </c>
      <c r="B10221" s="2" t="s">
        <v>4918</v>
      </c>
      <c r="C10221" s="2" t="s">
        <v>5816</v>
      </c>
      <c r="D10221" s="3" t="str">
        <f t="shared" si="2163"/>
        <v>12Go Link</v>
      </c>
      <c r="E10221" s="2" t="s">
        <v>4139</v>
      </c>
    </row>
    <row r="10222">
      <c r="A10222" s="2" t="s">
        <v>4949</v>
      </c>
      <c r="B10222" s="2" t="s">
        <v>4918</v>
      </c>
      <c r="C10222" s="2" t="s">
        <v>5816</v>
      </c>
      <c r="D10222" s="3" t="str">
        <f t="shared" si="2163"/>
        <v>12Go Link</v>
      </c>
      <c r="E10222" s="2" t="s">
        <v>3409</v>
      </c>
    </row>
    <row r="10223">
      <c r="A10223" s="2" t="s">
        <v>4949</v>
      </c>
      <c r="B10223" s="2" t="s">
        <v>4919</v>
      </c>
      <c r="C10223" s="2" t="s">
        <v>5817</v>
      </c>
      <c r="D10223" s="3" t="str">
        <f t="shared" ref="D10223:D10225" si="2164">HYPERLINK("https://12go.asia/en/travel/Deniyaya/Ahangama", "12Go Link")</f>
        <v>12Go Link</v>
      </c>
      <c r="E10223" s="2" t="s">
        <v>286</v>
      </c>
    </row>
    <row r="10224">
      <c r="A10224" s="2" t="s">
        <v>4949</v>
      </c>
      <c r="B10224" s="2" t="s">
        <v>4919</v>
      </c>
      <c r="C10224" s="2" t="s">
        <v>5817</v>
      </c>
      <c r="D10224" s="3" t="str">
        <f t="shared" si="2164"/>
        <v>12Go Link</v>
      </c>
      <c r="E10224" s="2" t="s">
        <v>4139</v>
      </c>
    </row>
    <row r="10225">
      <c r="A10225" s="2" t="s">
        <v>4949</v>
      </c>
      <c r="B10225" s="2" t="s">
        <v>4919</v>
      </c>
      <c r="C10225" s="2" t="s">
        <v>5817</v>
      </c>
      <c r="D10225" s="3" t="str">
        <f t="shared" si="2164"/>
        <v>12Go Link</v>
      </c>
      <c r="E10225" s="2" t="s">
        <v>3409</v>
      </c>
    </row>
    <row r="10226">
      <c r="A10226" s="2" t="s">
        <v>4949</v>
      </c>
      <c r="B10226" s="2" t="s">
        <v>4921</v>
      </c>
      <c r="C10226" s="2" t="s">
        <v>5818</v>
      </c>
      <c r="D10226" s="3" t="str">
        <f t="shared" ref="D10226:D10228" si="2165">HYPERLINK("https://12go.asia/en/travel/Deniyaya/Ahungalla", "12Go Link")</f>
        <v>12Go Link</v>
      </c>
      <c r="E10226" s="2" t="s">
        <v>286</v>
      </c>
    </row>
    <row r="10227">
      <c r="A10227" s="2" t="s">
        <v>4949</v>
      </c>
      <c r="B10227" s="2" t="s">
        <v>4921</v>
      </c>
      <c r="C10227" s="2" t="s">
        <v>5818</v>
      </c>
      <c r="D10227" s="3" t="str">
        <f t="shared" si="2165"/>
        <v>12Go Link</v>
      </c>
      <c r="E10227" s="2" t="s">
        <v>4139</v>
      </c>
    </row>
    <row r="10228">
      <c r="A10228" s="2" t="s">
        <v>4949</v>
      </c>
      <c r="B10228" s="2" t="s">
        <v>4921</v>
      </c>
      <c r="C10228" s="2" t="s">
        <v>5818</v>
      </c>
      <c r="D10228" s="3" t="str">
        <f t="shared" si="2165"/>
        <v>12Go Link</v>
      </c>
      <c r="E10228" s="2" t="s">
        <v>3409</v>
      </c>
    </row>
    <row r="10229">
      <c r="A10229" s="2" t="s">
        <v>4949</v>
      </c>
      <c r="B10229" s="2" t="s">
        <v>4923</v>
      </c>
      <c r="C10229" s="2" t="s">
        <v>5819</v>
      </c>
      <c r="D10229" s="3" t="str">
        <f t="shared" ref="D10229:D10231" si="2166">HYPERLINK("https://12go.asia/en/travel/Deniyaya/Aluthgama", "12Go Link")</f>
        <v>12Go Link</v>
      </c>
      <c r="E10229" s="2" t="s">
        <v>286</v>
      </c>
    </row>
    <row r="10230">
      <c r="A10230" s="2" t="s">
        <v>4949</v>
      </c>
      <c r="B10230" s="2" t="s">
        <v>4923</v>
      </c>
      <c r="C10230" s="2" t="s">
        <v>5819</v>
      </c>
      <c r="D10230" s="3" t="str">
        <f t="shared" si="2166"/>
        <v>12Go Link</v>
      </c>
      <c r="E10230" s="2" t="s">
        <v>4139</v>
      </c>
    </row>
    <row r="10231">
      <c r="A10231" s="2" t="s">
        <v>4949</v>
      </c>
      <c r="B10231" s="2" t="s">
        <v>4923</v>
      </c>
      <c r="C10231" s="2" t="s">
        <v>5819</v>
      </c>
      <c r="D10231" s="3" t="str">
        <f t="shared" si="2166"/>
        <v>12Go Link</v>
      </c>
      <c r="E10231" s="2" t="s">
        <v>3409</v>
      </c>
    </row>
    <row r="10232">
      <c r="A10232" s="2" t="s">
        <v>4949</v>
      </c>
      <c r="B10232" s="2" t="s">
        <v>4925</v>
      </c>
      <c r="C10232" s="2" t="s">
        <v>5820</v>
      </c>
      <c r="D10232" s="3" t="str">
        <f t="shared" ref="D10232:D10234" si="2167">HYPERLINK("https://12go.asia/en/travel/Deniyaya/Ambalangoda", "12Go Link")</f>
        <v>12Go Link</v>
      </c>
      <c r="E10232" s="2" t="s">
        <v>286</v>
      </c>
    </row>
    <row r="10233">
      <c r="A10233" s="2" t="s">
        <v>4949</v>
      </c>
      <c r="B10233" s="2" t="s">
        <v>4925</v>
      </c>
      <c r="C10233" s="2" t="s">
        <v>5820</v>
      </c>
      <c r="D10233" s="3" t="str">
        <f t="shared" si="2167"/>
        <v>12Go Link</v>
      </c>
      <c r="E10233" s="2" t="s">
        <v>4139</v>
      </c>
    </row>
    <row r="10234">
      <c r="A10234" s="2" t="s">
        <v>4949</v>
      </c>
      <c r="B10234" s="2" t="s">
        <v>4925</v>
      </c>
      <c r="C10234" s="2" t="s">
        <v>5820</v>
      </c>
      <c r="D10234" s="3" t="str">
        <f t="shared" si="2167"/>
        <v>12Go Link</v>
      </c>
      <c r="E10234" s="2" t="s">
        <v>3409</v>
      </c>
    </row>
    <row r="10235">
      <c r="A10235" s="2" t="s">
        <v>4949</v>
      </c>
      <c r="B10235" s="2" t="s">
        <v>4927</v>
      </c>
      <c r="C10235" s="2" t="s">
        <v>5821</v>
      </c>
      <c r="D10235" s="3" t="str">
        <f t="shared" ref="D10235:D10237" si="2168">HYPERLINK("https://12go.asia/en/travel/Deniyaya/Ambalantota", "12Go Link")</f>
        <v>12Go Link</v>
      </c>
      <c r="E10235" s="2" t="s">
        <v>286</v>
      </c>
    </row>
    <row r="10236">
      <c r="A10236" s="2" t="s">
        <v>4949</v>
      </c>
      <c r="B10236" s="2" t="s">
        <v>4927</v>
      </c>
      <c r="C10236" s="2" t="s">
        <v>5821</v>
      </c>
      <c r="D10236" s="3" t="str">
        <f t="shared" si="2168"/>
        <v>12Go Link</v>
      </c>
      <c r="E10236" s="2" t="s">
        <v>4139</v>
      </c>
    </row>
    <row r="10237">
      <c r="A10237" s="2" t="s">
        <v>4949</v>
      </c>
      <c r="B10237" s="2" t="s">
        <v>4927</v>
      </c>
      <c r="C10237" s="2" t="s">
        <v>5821</v>
      </c>
      <c r="D10237" s="3" t="str">
        <f t="shared" si="2168"/>
        <v>12Go Link</v>
      </c>
      <c r="E10237" s="2" t="s">
        <v>3409</v>
      </c>
    </row>
    <row r="10238">
      <c r="A10238" s="2" t="s">
        <v>4949</v>
      </c>
      <c r="B10238" s="2" t="s">
        <v>4929</v>
      </c>
      <c r="C10238" s="2" t="s">
        <v>5822</v>
      </c>
      <c r="D10238" s="3" t="str">
        <f t="shared" ref="D10238:D10240" si="2169">HYPERLINK("https://12go.asia/en/travel/Deniyaya/Anuradhapura", "12Go Link")</f>
        <v>12Go Link</v>
      </c>
      <c r="E10238" s="2" t="s">
        <v>286</v>
      </c>
    </row>
    <row r="10239">
      <c r="A10239" s="2" t="s">
        <v>4949</v>
      </c>
      <c r="B10239" s="2" t="s">
        <v>4929</v>
      </c>
      <c r="C10239" s="2" t="s">
        <v>5822</v>
      </c>
      <c r="D10239" s="3" t="str">
        <f t="shared" si="2169"/>
        <v>12Go Link</v>
      </c>
      <c r="E10239" s="2" t="s">
        <v>4139</v>
      </c>
    </row>
    <row r="10240">
      <c r="A10240" s="2" t="s">
        <v>4949</v>
      </c>
      <c r="B10240" s="2" t="s">
        <v>4929</v>
      </c>
      <c r="C10240" s="2" t="s">
        <v>5822</v>
      </c>
      <c r="D10240" s="3" t="str">
        <f t="shared" si="2169"/>
        <v>12Go Link</v>
      </c>
      <c r="E10240" s="2" t="s">
        <v>3409</v>
      </c>
    </row>
    <row r="10241">
      <c r="A10241" s="2" t="s">
        <v>4949</v>
      </c>
      <c r="B10241" s="2" t="s">
        <v>4931</v>
      </c>
      <c r="C10241" s="2" t="s">
        <v>5823</v>
      </c>
      <c r="D10241" s="3" t="str">
        <f t="shared" ref="D10241:D10243" si="2170">HYPERLINK("https://12go.asia/en/travel/Deniyaya/Arugam-bay", "12Go Link")</f>
        <v>12Go Link</v>
      </c>
      <c r="E10241" s="2" t="s">
        <v>286</v>
      </c>
    </row>
    <row r="10242">
      <c r="A10242" s="2" t="s">
        <v>4949</v>
      </c>
      <c r="B10242" s="2" t="s">
        <v>4931</v>
      </c>
      <c r="C10242" s="2" t="s">
        <v>5823</v>
      </c>
      <c r="D10242" s="3" t="str">
        <f t="shared" si="2170"/>
        <v>12Go Link</v>
      </c>
      <c r="E10242" s="2" t="s">
        <v>4139</v>
      </c>
    </row>
    <row r="10243">
      <c r="A10243" s="2" t="s">
        <v>4949</v>
      </c>
      <c r="B10243" s="2" t="s">
        <v>4931</v>
      </c>
      <c r="C10243" s="2" t="s">
        <v>5823</v>
      </c>
      <c r="D10243" s="3" t="str">
        <f t="shared" si="2170"/>
        <v>12Go Link</v>
      </c>
      <c r="E10243" s="2" t="s">
        <v>3409</v>
      </c>
    </row>
    <row r="10244">
      <c r="A10244" s="2" t="s">
        <v>4949</v>
      </c>
      <c r="B10244" s="2" t="s">
        <v>4933</v>
      </c>
      <c r="C10244" s="2" t="s">
        <v>5824</v>
      </c>
      <c r="D10244" s="3" t="str">
        <f t="shared" ref="D10244:D10246" si="2171">HYPERLINK("https://12go.asia/en/travel/Deniyaya/balapitiya", "12Go Link")</f>
        <v>12Go Link</v>
      </c>
      <c r="E10244" s="2" t="s">
        <v>286</v>
      </c>
    </row>
    <row r="10245">
      <c r="A10245" s="2" t="s">
        <v>4949</v>
      </c>
      <c r="B10245" s="2" t="s">
        <v>4933</v>
      </c>
      <c r="C10245" s="2" t="s">
        <v>5824</v>
      </c>
      <c r="D10245" s="3" t="str">
        <f t="shared" si="2171"/>
        <v>12Go Link</v>
      </c>
      <c r="E10245" s="2" t="s">
        <v>4139</v>
      </c>
    </row>
    <row r="10246">
      <c r="A10246" s="2" t="s">
        <v>4949</v>
      </c>
      <c r="B10246" s="2" t="s">
        <v>4933</v>
      </c>
      <c r="C10246" s="2" t="s">
        <v>5824</v>
      </c>
      <c r="D10246" s="3" t="str">
        <f t="shared" si="2171"/>
        <v>12Go Link</v>
      </c>
      <c r="E10246" s="2" t="s">
        <v>3409</v>
      </c>
    </row>
    <row r="10247">
      <c r="A10247" s="2" t="s">
        <v>4949</v>
      </c>
      <c r="B10247" s="2" t="s">
        <v>4935</v>
      </c>
      <c r="C10247" s="2" t="s">
        <v>5825</v>
      </c>
      <c r="D10247" s="3" t="str">
        <f t="shared" ref="D10247:D10249" si="2172">HYPERLINK("https://12go.asia/en/travel/Deniyaya/Batticaloa", "12Go Link")</f>
        <v>12Go Link</v>
      </c>
      <c r="E10247" s="2" t="s">
        <v>286</v>
      </c>
    </row>
    <row r="10248">
      <c r="A10248" s="2" t="s">
        <v>4949</v>
      </c>
      <c r="B10248" s="2" t="s">
        <v>4935</v>
      </c>
      <c r="C10248" s="2" t="s">
        <v>5825</v>
      </c>
      <c r="D10248" s="3" t="str">
        <f t="shared" si="2172"/>
        <v>12Go Link</v>
      </c>
      <c r="E10248" s="2" t="s">
        <v>4139</v>
      </c>
    </row>
    <row r="10249">
      <c r="A10249" s="2" t="s">
        <v>4949</v>
      </c>
      <c r="B10249" s="2" t="s">
        <v>4935</v>
      </c>
      <c r="C10249" s="2" t="s">
        <v>5825</v>
      </c>
      <c r="D10249" s="3" t="str">
        <f t="shared" si="2172"/>
        <v>12Go Link</v>
      </c>
      <c r="E10249" s="2" t="s">
        <v>3409</v>
      </c>
    </row>
    <row r="10250">
      <c r="A10250" s="2" t="s">
        <v>4949</v>
      </c>
      <c r="B10250" s="2" t="s">
        <v>4937</v>
      </c>
      <c r="C10250" s="2" t="s">
        <v>5826</v>
      </c>
      <c r="D10250" s="3" t="str">
        <f t="shared" ref="D10250:D10252" si="2173">HYPERLINK("https://12go.asia/en/travel/Deniyaya/Bentota", "12Go Link")</f>
        <v>12Go Link</v>
      </c>
      <c r="E10250" s="2" t="s">
        <v>286</v>
      </c>
    </row>
    <row r="10251">
      <c r="A10251" s="2" t="s">
        <v>4949</v>
      </c>
      <c r="B10251" s="2" t="s">
        <v>4937</v>
      </c>
      <c r="C10251" s="2" t="s">
        <v>5826</v>
      </c>
      <c r="D10251" s="3" t="str">
        <f t="shared" si="2173"/>
        <v>12Go Link</v>
      </c>
      <c r="E10251" s="2" t="s">
        <v>4139</v>
      </c>
    </row>
    <row r="10252">
      <c r="A10252" s="2" t="s">
        <v>4949</v>
      </c>
      <c r="B10252" s="2" t="s">
        <v>4937</v>
      </c>
      <c r="C10252" s="2" t="s">
        <v>5826</v>
      </c>
      <c r="D10252" s="3" t="str">
        <f t="shared" si="2173"/>
        <v>12Go Link</v>
      </c>
      <c r="E10252" s="2" t="s">
        <v>3409</v>
      </c>
    </row>
    <row r="10253">
      <c r="A10253" s="2" t="s">
        <v>4949</v>
      </c>
      <c r="B10253" s="2" t="s">
        <v>4939</v>
      </c>
      <c r="C10253" s="2" t="s">
        <v>5827</v>
      </c>
      <c r="D10253" s="3" t="str">
        <f t="shared" ref="D10253:D10255" si="2174">HYPERLINK("https://12go.asia/en/travel/Deniyaya/Beruwala", "12Go Link")</f>
        <v>12Go Link</v>
      </c>
      <c r="E10253" s="2" t="s">
        <v>286</v>
      </c>
    </row>
    <row r="10254">
      <c r="A10254" s="2" t="s">
        <v>4949</v>
      </c>
      <c r="B10254" s="2" t="s">
        <v>4939</v>
      </c>
      <c r="C10254" s="2" t="s">
        <v>5827</v>
      </c>
      <c r="D10254" s="3" t="str">
        <f t="shared" si="2174"/>
        <v>12Go Link</v>
      </c>
      <c r="E10254" s="2" t="s">
        <v>4139</v>
      </c>
    </row>
    <row r="10255">
      <c r="A10255" s="2" t="s">
        <v>4949</v>
      </c>
      <c r="B10255" s="2" t="s">
        <v>4939</v>
      </c>
      <c r="C10255" s="2" t="s">
        <v>5827</v>
      </c>
      <c r="D10255" s="3" t="str">
        <f t="shared" si="2174"/>
        <v>12Go Link</v>
      </c>
      <c r="E10255" s="2" t="s">
        <v>3409</v>
      </c>
    </row>
    <row r="10256">
      <c r="A10256" s="2" t="s">
        <v>4949</v>
      </c>
      <c r="B10256" s="2" t="s">
        <v>4941</v>
      </c>
      <c r="C10256" s="2" t="s">
        <v>5828</v>
      </c>
      <c r="D10256" s="3" t="str">
        <f t="shared" ref="D10256:D10258" si="2175">HYPERLINK("https://12go.asia/en/travel/Deniyaya/Bundala", "12Go Link")</f>
        <v>12Go Link</v>
      </c>
      <c r="E10256" s="2" t="s">
        <v>286</v>
      </c>
    </row>
    <row r="10257">
      <c r="A10257" s="2" t="s">
        <v>4949</v>
      </c>
      <c r="B10257" s="2" t="s">
        <v>4941</v>
      </c>
      <c r="C10257" s="2" t="s">
        <v>5828</v>
      </c>
      <c r="D10257" s="3" t="str">
        <f t="shared" si="2175"/>
        <v>12Go Link</v>
      </c>
      <c r="E10257" s="2" t="s">
        <v>4139</v>
      </c>
    </row>
    <row r="10258">
      <c r="A10258" s="2" t="s">
        <v>4949</v>
      </c>
      <c r="B10258" s="2" t="s">
        <v>4941</v>
      </c>
      <c r="C10258" s="2" t="s">
        <v>5828</v>
      </c>
      <c r="D10258" s="3" t="str">
        <f t="shared" si="2175"/>
        <v>12Go Link</v>
      </c>
      <c r="E10258" s="2" t="s">
        <v>3409</v>
      </c>
    </row>
    <row r="10259">
      <c r="A10259" s="2" t="s">
        <v>4949</v>
      </c>
      <c r="B10259" s="2" t="s">
        <v>4943</v>
      </c>
      <c r="C10259" s="2" t="s">
        <v>5829</v>
      </c>
      <c r="D10259" s="3" t="str">
        <f t="shared" ref="D10259:D10261" si="2176">HYPERLINK("https://12go.asia/en/travel/Deniyaya/Bambalapitiya", "12Go Link")</f>
        <v>12Go Link</v>
      </c>
      <c r="E10259" s="2" t="s">
        <v>286</v>
      </c>
    </row>
    <row r="10260">
      <c r="A10260" s="2" t="s">
        <v>4949</v>
      </c>
      <c r="B10260" s="2" t="s">
        <v>4943</v>
      </c>
      <c r="C10260" s="2" t="s">
        <v>5829</v>
      </c>
      <c r="D10260" s="3" t="str">
        <f t="shared" si="2176"/>
        <v>12Go Link</v>
      </c>
      <c r="E10260" s="2" t="s">
        <v>4139</v>
      </c>
    </row>
    <row r="10261">
      <c r="A10261" s="2" t="s">
        <v>4949</v>
      </c>
      <c r="B10261" s="2" t="s">
        <v>4943</v>
      </c>
      <c r="C10261" s="2" t="s">
        <v>5829</v>
      </c>
      <c r="D10261" s="3" t="str">
        <f t="shared" si="2176"/>
        <v>12Go Link</v>
      </c>
      <c r="E10261" s="2" t="s">
        <v>3409</v>
      </c>
    </row>
    <row r="10262">
      <c r="A10262" s="2" t="s">
        <v>4949</v>
      </c>
      <c r="B10262" s="2" t="s">
        <v>4945</v>
      </c>
      <c r="C10262" s="2" t="s">
        <v>5830</v>
      </c>
      <c r="D10262" s="3" t="str">
        <f t="shared" ref="D10262:D10264" si="2177">HYPERLINK("https://12go.asia/en/travel/Deniyaya/Bandaranaike-Airport", "12Go Link")</f>
        <v>12Go Link</v>
      </c>
      <c r="E10262" s="2" t="s">
        <v>286</v>
      </c>
    </row>
    <row r="10263">
      <c r="A10263" s="2" t="s">
        <v>4949</v>
      </c>
      <c r="B10263" s="2" t="s">
        <v>4945</v>
      </c>
      <c r="C10263" s="2" t="s">
        <v>5830</v>
      </c>
      <c r="D10263" s="3" t="str">
        <f t="shared" si="2177"/>
        <v>12Go Link</v>
      </c>
      <c r="E10263" s="2" t="s">
        <v>4139</v>
      </c>
    </row>
    <row r="10264">
      <c r="A10264" s="2" t="s">
        <v>4949</v>
      </c>
      <c r="B10264" s="2" t="s">
        <v>4945</v>
      </c>
      <c r="C10264" s="2" t="s">
        <v>5830</v>
      </c>
      <c r="D10264" s="3" t="str">
        <f t="shared" si="2177"/>
        <v>12Go Link</v>
      </c>
      <c r="E10264" s="2" t="s">
        <v>3409</v>
      </c>
    </row>
    <row r="10265">
      <c r="A10265" s="2" t="s">
        <v>4949</v>
      </c>
      <c r="B10265" s="2" t="s">
        <v>4947</v>
      </c>
      <c r="C10265" s="2" t="s">
        <v>5831</v>
      </c>
      <c r="D10265" s="3" t="str">
        <f t="shared" ref="D10265:D10267" si="2178">HYPERLINK("https://12go.asia/en/travel/Deniyaya/Dambulla", "12Go Link")</f>
        <v>12Go Link</v>
      </c>
      <c r="E10265" s="2" t="s">
        <v>286</v>
      </c>
    </row>
    <row r="10266">
      <c r="A10266" s="2" t="s">
        <v>4949</v>
      </c>
      <c r="B10266" s="2" t="s">
        <v>4947</v>
      </c>
      <c r="C10266" s="2" t="s">
        <v>5831</v>
      </c>
      <c r="D10266" s="3" t="str">
        <f t="shared" si="2178"/>
        <v>12Go Link</v>
      </c>
      <c r="E10266" s="2" t="s">
        <v>4139</v>
      </c>
    </row>
    <row r="10267">
      <c r="A10267" s="2" t="s">
        <v>4949</v>
      </c>
      <c r="B10267" s="2" t="s">
        <v>4947</v>
      </c>
      <c r="C10267" s="2" t="s">
        <v>5831</v>
      </c>
      <c r="D10267" s="3" t="str">
        <f t="shared" si="2178"/>
        <v>12Go Link</v>
      </c>
      <c r="E10267" s="2" t="s">
        <v>3409</v>
      </c>
    </row>
    <row r="10268">
      <c r="A10268" s="2" t="s">
        <v>4949</v>
      </c>
      <c r="B10268" s="2" t="s">
        <v>4951</v>
      </c>
      <c r="C10268" s="2" t="s">
        <v>5832</v>
      </c>
      <c r="D10268" s="3" t="str">
        <f t="shared" ref="D10268:D10270" si="2179">HYPERLINK("https://12go.asia/en/travel/Deniyaya/Dickwella", "12Go Link")</f>
        <v>12Go Link</v>
      </c>
      <c r="E10268" s="2" t="s">
        <v>286</v>
      </c>
    </row>
    <row r="10269">
      <c r="A10269" s="2" t="s">
        <v>4949</v>
      </c>
      <c r="B10269" s="2" t="s">
        <v>4951</v>
      </c>
      <c r="C10269" s="2" t="s">
        <v>5832</v>
      </c>
      <c r="D10269" s="3" t="str">
        <f t="shared" si="2179"/>
        <v>12Go Link</v>
      </c>
      <c r="E10269" s="2" t="s">
        <v>4139</v>
      </c>
    </row>
    <row r="10270">
      <c r="A10270" s="2" t="s">
        <v>4949</v>
      </c>
      <c r="B10270" s="2" t="s">
        <v>4951</v>
      </c>
      <c r="C10270" s="2" t="s">
        <v>5832</v>
      </c>
      <c r="D10270" s="3" t="str">
        <f t="shared" si="2179"/>
        <v>12Go Link</v>
      </c>
      <c r="E10270" s="2" t="s">
        <v>3409</v>
      </c>
    </row>
    <row r="10271">
      <c r="A10271" s="2" t="s">
        <v>4949</v>
      </c>
      <c r="B10271" s="2" t="s">
        <v>4951</v>
      </c>
      <c r="C10271" s="2" t="s">
        <v>5833</v>
      </c>
      <c r="D10271" s="3" t="str">
        <f t="shared" ref="D10271:D10273" si="2180">HYPERLINK("https://12go.asia/en/travel/Deniyaya/Hiriketiya-beach", "12Go Link")</f>
        <v>12Go Link</v>
      </c>
      <c r="E10271" s="2" t="s">
        <v>286</v>
      </c>
    </row>
    <row r="10272">
      <c r="A10272" s="2" t="s">
        <v>4949</v>
      </c>
      <c r="B10272" s="2" t="s">
        <v>4951</v>
      </c>
      <c r="C10272" s="2" t="s">
        <v>5833</v>
      </c>
      <c r="D10272" s="3" t="str">
        <f t="shared" si="2180"/>
        <v>12Go Link</v>
      </c>
      <c r="E10272" s="2" t="s">
        <v>4139</v>
      </c>
    </row>
    <row r="10273">
      <c r="A10273" s="2" t="s">
        <v>4949</v>
      </c>
      <c r="B10273" s="2" t="s">
        <v>4951</v>
      </c>
      <c r="C10273" s="2" t="s">
        <v>5833</v>
      </c>
      <c r="D10273" s="3" t="str">
        <f t="shared" si="2180"/>
        <v>12Go Link</v>
      </c>
      <c r="E10273" s="2" t="s">
        <v>3409</v>
      </c>
    </row>
    <row r="10274">
      <c r="A10274" s="2" t="s">
        <v>4949</v>
      </c>
      <c r="B10274" s="2" t="s">
        <v>4954</v>
      </c>
      <c r="C10274" s="2" t="s">
        <v>5834</v>
      </c>
      <c r="D10274" s="3" t="str">
        <f t="shared" ref="D10274:D10276" si="2181">HYPERLINK("https://12go.asia/en/travel/Deniyaya/Galle", "12Go Link")</f>
        <v>12Go Link</v>
      </c>
      <c r="E10274" s="2" t="s">
        <v>286</v>
      </c>
    </row>
    <row r="10275">
      <c r="A10275" s="2" t="s">
        <v>4949</v>
      </c>
      <c r="B10275" s="2" t="s">
        <v>4954</v>
      </c>
      <c r="C10275" s="2" t="s">
        <v>5834</v>
      </c>
      <c r="D10275" s="3" t="str">
        <f t="shared" si="2181"/>
        <v>12Go Link</v>
      </c>
      <c r="E10275" s="2" t="s">
        <v>4139</v>
      </c>
    </row>
    <row r="10276">
      <c r="A10276" s="2" t="s">
        <v>4949</v>
      </c>
      <c r="B10276" s="2" t="s">
        <v>4954</v>
      </c>
      <c r="C10276" s="2" t="s">
        <v>5834</v>
      </c>
      <c r="D10276" s="3" t="str">
        <f t="shared" si="2181"/>
        <v>12Go Link</v>
      </c>
      <c r="E10276" s="2" t="s">
        <v>3409</v>
      </c>
    </row>
    <row r="10277">
      <c r="A10277" s="2" t="s">
        <v>4949</v>
      </c>
      <c r="B10277" s="2" t="s">
        <v>4954</v>
      </c>
      <c r="C10277" s="2" t="s">
        <v>5835</v>
      </c>
      <c r="D10277" s="3" t="str">
        <f t="shared" ref="D10277:D10279" si="2182">HYPERLINK("https://12go.asia/en/travel/Deniyaya/Talpe", "12Go Link")</f>
        <v>12Go Link</v>
      </c>
      <c r="E10277" s="2" t="s">
        <v>286</v>
      </c>
    </row>
    <row r="10278">
      <c r="A10278" s="2" t="s">
        <v>4949</v>
      </c>
      <c r="B10278" s="2" t="s">
        <v>4954</v>
      </c>
      <c r="C10278" s="2" t="s">
        <v>5835</v>
      </c>
      <c r="D10278" s="3" t="str">
        <f t="shared" si="2182"/>
        <v>12Go Link</v>
      </c>
      <c r="E10278" s="2" t="s">
        <v>4139</v>
      </c>
    </row>
    <row r="10279">
      <c r="A10279" s="2" t="s">
        <v>4949</v>
      </c>
      <c r="B10279" s="2" t="s">
        <v>4954</v>
      </c>
      <c r="C10279" s="2" t="s">
        <v>5835</v>
      </c>
      <c r="D10279" s="3" t="str">
        <f t="shared" si="2182"/>
        <v>12Go Link</v>
      </c>
      <c r="E10279" s="2" t="s">
        <v>3409</v>
      </c>
    </row>
    <row r="10280">
      <c r="A10280" s="2" t="s">
        <v>4949</v>
      </c>
      <c r="B10280" s="2" t="s">
        <v>4957</v>
      </c>
      <c r="C10280" s="2" t="s">
        <v>5836</v>
      </c>
      <c r="D10280" s="3" t="str">
        <f t="shared" ref="D10280:D10282" si="2183">HYPERLINK("https://12go.asia/en/travel/Deniyaya/Habarana", "12Go Link")</f>
        <v>12Go Link</v>
      </c>
      <c r="E10280" s="2" t="s">
        <v>286</v>
      </c>
    </row>
    <row r="10281">
      <c r="A10281" s="2" t="s">
        <v>4949</v>
      </c>
      <c r="B10281" s="2" t="s">
        <v>4957</v>
      </c>
      <c r="C10281" s="2" t="s">
        <v>5836</v>
      </c>
      <c r="D10281" s="3" t="str">
        <f t="shared" si="2183"/>
        <v>12Go Link</v>
      </c>
      <c r="E10281" s="2" t="s">
        <v>4139</v>
      </c>
    </row>
    <row r="10282">
      <c r="A10282" s="2" t="s">
        <v>4949</v>
      </c>
      <c r="B10282" s="2" t="s">
        <v>4957</v>
      </c>
      <c r="C10282" s="2" t="s">
        <v>5836</v>
      </c>
      <c r="D10282" s="3" t="str">
        <f t="shared" si="2183"/>
        <v>12Go Link</v>
      </c>
      <c r="E10282" s="2" t="s">
        <v>3409</v>
      </c>
    </row>
    <row r="10283">
      <c r="A10283" s="2" t="s">
        <v>4949</v>
      </c>
      <c r="B10283" s="2" t="s">
        <v>4959</v>
      </c>
      <c r="C10283" s="2" t="s">
        <v>5837</v>
      </c>
      <c r="D10283" s="3" t="str">
        <f t="shared" ref="D10283:D10285" si="2184">HYPERLINK("https://12go.asia/en/travel/Deniyaya/Ella", "12Go Link")</f>
        <v>12Go Link</v>
      </c>
      <c r="E10283" s="2" t="s">
        <v>286</v>
      </c>
    </row>
    <row r="10284">
      <c r="A10284" s="2" t="s">
        <v>4949</v>
      </c>
      <c r="B10284" s="2" t="s">
        <v>4959</v>
      </c>
      <c r="C10284" s="2" t="s">
        <v>5837</v>
      </c>
      <c r="D10284" s="3" t="str">
        <f t="shared" si="2184"/>
        <v>12Go Link</v>
      </c>
      <c r="E10284" s="2" t="s">
        <v>4139</v>
      </c>
    </row>
    <row r="10285">
      <c r="A10285" s="2" t="s">
        <v>4949</v>
      </c>
      <c r="B10285" s="2" t="s">
        <v>4959</v>
      </c>
      <c r="C10285" s="2" t="s">
        <v>5837</v>
      </c>
      <c r="D10285" s="3" t="str">
        <f t="shared" si="2184"/>
        <v>12Go Link</v>
      </c>
      <c r="E10285" s="2" t="s">
        <v>3409</v>
      </c>
    </row>
    <row r="10286">
      <c r="A10286" s="2" t="s">
        <v>4949</v>
      </c>
      <c r="B10286" s="2" t="s">
        <v>4961</v>
      </c>
      <c r="C10286" s="2" t="s">
        <v>5838</v>
      </c>
      <c r="D10286" s="3" t="str">
        <f t="shared" ref="D10286:D10288" si="2185">HYPERLINK("https://12go.asia/en/travel/Deniyaya/Beragala", "12Go Link")</f>
        <v>12Go Link</v>
      </c>
      <c r="E10286" s="2" t="s">
        <v>286</v>
      </c>
    </row>
    <row r="10287">
      <c r="A10287" s="2" t="s">
        <v>4949</v>
      </c>
      <c r="B10287" s="2" t="s">
        <v>4961</v>
      </c>
      <c r="C10287" s="2" t="s">
        <v>5838</v>
      </c>
      <c r="D10287" s="3" t="str">
        <f t="shared" si="2185"/>
        <v>12Go Link</v>
      </c>
      <c r="E10287" s="2" t="s">
        <v>4139</v>
      </c>
    </row>
    <row r="10288">
      <c r="A10288" s="2" t="s">
        <v>4949</v>
      </c>
      <c r="B10288" s="2" t="s">
        <v>4961</v>
      </c>
      <c r="C10288" s="2" t="s">
        <v>5838</v>
      </c>
      <c r="D10288" s="3" t="str">
        <f t="shared" si="2185"/>
        <v>12Go Link</v>
      </c>
      <c r="E10288" s="2" t="s">
        <v>3409</v>
      </c>
    </row>
    <row r="10289">
      <c r="A10289" s="2" t="s">
        <v>4949</v>
      </c>
      <c r="B10289" s="2" t="s">
        <v>4963</v>
      </c>
      <c r="C10289" s="2" t="s">
        <v>5839</v>
      </c>
      <c r="D10289" s="3" t="str">
        <f t="shared" ref="D10289:D10291" si="2186">HYPERLINK("https://12go.asia/en/travel/Deniyaya/Dick-oya", "12Go Link")</f>
        <v>12Go Link</v>
      </c>
      <c r="E10289" s="2" t="s">
        <v>286</v>
      </c>
    </row>
    <row r="10290">
      <c r="A10290" s="2" t="s">
        <v>4949</v>
      </c>
      <c r="B10290" s="2" t="s">
        <v>4963</v>
      </c>
      <c r="C10290" s="2" t="s">
        <v>5839</v>
      </c>
      <c r="D10290" s="3" t="str">
        <f t="shared" si="2186"/>
        <v>12Go Link</v>
      </c>
      <c r="E10290" s="2" t="s">
        <v>4139</v>
      </c>
    </row>
    <row r="10291">
      <c r="A10291" s="2" t="s">
        <v>4949</v>
      </c>
      <c r="B10291" s="2" t="s">
        <v>4963</v>
      </c>
      <c r="C10291" s="2" t="s">
        <v>5839</v>
      </c>
      <c r="D10291" s="3" t="str">
        <f t="shared" si="2186"/>
        <v>12Go Link</v>
      </c>
      <c r="E10291" s="2" t="s">
        <v>3409</v>
      </c>
    </row>
    <row r="10292">
      <c r="A10292" s="2" t="s">
        <v>4949</v>
      </c>
      <c r="B10292" s="2" t="s">
        <v>4965</v>
      </c>
      <c r="C10292" s="2" t="s">
        <v>5840</v>
      </c>
      <c r="D10292" s="3" t="str">
        <f t="shared" ref="D10292:D10294" si="2187">HYPERLINK("https://12go.asia/en/travel/Deniyaya/Dodanduwa", "12Go Link")</f>
        <v>12Go Link</v>
      </c>
      <c r="E10292" s="2" t="s">
        <v>286</v>
      </c>
    </row>
    <row r="10293">
      <c r="A10293" s="2" t="s">
        <v>4949</v>
      </c>
      <c r="B10293" s="2" t="s">
        <v>4965</v>
      </c>
      <c r="C10293" s="2" t="s">
        <v>5840</v>
      </c>
      <c r="D10293" s="3" t="str">
        <f t="shared" si="2187"/>
        <v>12Go Link</v>
      </c>
      <c r="E10293" s="2" t="s">
        <v>4139</v>
      </c>
    </row>
    <row r="10294">
      <c r="A10294" s="2" t="s">
        <v>4949</v>
      </c>
      <c r="B10294" s="2" t="s">
        <v>4965</v>
      </c>
      <c r="C10294" s="2" t="s">
        <v>5840</v>
      </c>
      <c r="D10294" s="3" t="str">
        <f t="shared" si="2187"/>
        <v>12Go Link</v>
      </c>
      <c r="E10294" s="2" t="s">
        <v>3409</v>
      </c>
    </row>
    <row r="10295">
      <c r="A10295" s="2" t="s">
        <v>4949</v>
      </c>
      <c r="B10295" s="2" t="s">
        <v>4967</v>
      </c>
      <c r="C10295" s="2" t="s">
        <v>5841</v>
      </c>
      <c r="D10295" s="3" t="str">
        <f t="shared" ref="D10295:D10297" si="2188">HYPERLINK("https://12go.asia/en/travel/Deniyaya/Induruwa", "12Go Link")</f>
        <v>12Go Link</v>
      </c>
      <c r="E10295" s="2" t="s">
        <v>286</v>
      </c>
    </row>
    <row r="10296">
      <c r="A10296" s="2" t="s">
        <v>4949</v>
      </c>
      <c r="B10296" s="2" t="s">
        <v>4967</v>
      </c>
      <c r="C10296" s="2" t="s">
        <v>5841</v>
      </c>
      <c r="D10296" s="3" t="str">
        <f t="shared" si="2188"/>
        <v>12Go Link</v>
      </c>
      <c r="E10296" s="2" t="s">
        <v>4139</v>
      </c>
    </row>
    <row r="10297">
      <c r="A10297" s="2" t="s">
        <v>4949</v>
      </c>
      <c r="B10297" s="2" t="s">
        <v>4967</v>
      </c>
      <c r="C10297" s="2" t="s">
        <v>5841</v>
      </c>
      <c r="D10297" s="3" t="str">
        <f t="shared" si="2188"/>
        <v>12Go Link</v>
      </c>
      <c r="E10297" s="2" t="s">
        <v>3409</v>
      </c>
    </row>
    <row r="10298">
      <c r="A10298" s="2" t="s">
        <v>4949</v>
      </c>
      <c r="B10298" s="2" t="s">
        <v>4969</v>
      </c>
      <c r="C10298" s="2" t="s">
        <v>5842</v>
      </c>
      <c r="D10298" s="3" t="str">
        <f t="shared" ref="D10298:D10300" si="2189">HYPERLINK("https://12go.asia/en/travel/Deniyaya/Jaffna", "12Go Link")</f>
        <v>12Go Link</v>
      </c>
      <c r="E10298" s="2" t="s">
        <v>286</v>
      </c>
    </row>
    <row r="10299">
      <c r="A10299" s="2" t="s">
        <v>4949</v>
      </c>
      <c r="B10299" s="2" t="s">
        <v>4969</v>
      </c>
      <c r="C10299" s="2" t="s">
        <v>5842</v>
      </c>
      <c r="D10299" s="3" t="str">
        <f t="shared" si="2189"/>
        <v>12Go Link</v>
      </c>
      <c r="E10299" s="2" t="s">
        <v>4139</v>
      </c>
    </row>
    <row r="10300">
      <c r="A10300" s="2" t="s">
        <v>4949</v>
      </c>
      <c r="B10300" s="2" t="s">
        <v>4969</v>
      </c>
      <c r="C10300" s="2" t="s">
        <v>5842</v>
      </c>
      <c r="D10300" s="3" t="str">
        <f t="shared" si="2189"/>
        <v>12Go Link</v>
      </c>
      <c r="E10300" s="2" t="s">
        <v>3409</v>
      </c>
    </row>
    <row r="10301">
      <c r="A10301" s="2" t="s">
        <v>4949</v>
      </c>
      <c r="B10301" s="2" t="s">
        <v>4971</v>
      </c>
      <c r="C10301" s="2" t="s">
        <v>5843</v>
      </c>
      <c r="D10301" s="3" t="str">
        <f t="shared" ref="D10301:D10303" si="2190">HYPERLINK("https://12go.asia/en/travel/Deniyaya/Kalapuwa", "12Go Link")</f>
        <v>12Go Link</v>
      </c>
      <c r="E10301" s="2" t="s">
        <v>286</v>
      </c>
    </row>
    <row r="10302">
      <c r="A10302" s="2" t="s">
        <v>4949</v>
      </c>
      <c r="B10302" s="2" t="s">
        <v>4971</v>
      </c>
      <c r="C10302" s="2" t="s">
        <v>5843</v>
      </c>
      <c r="D10302" s="3" t="str">
        <f t="shared" si="2190"/>
        <v>12Go Link</v>
      </c>
      <c r="E10302" s="2" t="s">
        <v>4139</v>
      </c>
    </row>
    <row r="10303">
      <c r="A10303" s="2" t="s">
        <v>4949</v>
      </c>
      <c r="B10303" s="2" t="s">
        <v>4971</v>
      </c>
      <c r="C10303" s="2" t="s">
        <v>5843</v>
      </c>
      <c r="D10303" s="3" t="str">
        <f t="shared" si="2190"/>
        <v>12Go Link</v>
      </c>
      <c r="E10303" s="2" t="s">
        <v>3409</v>
      </c>
    </row>
    <row r="10304">
      <c r="A10304" s="2" t="s">
        <v>4949</v>
      </c>
      <c r="B10304" s="2" t="s">
        <v>4973</v>
      </c>
      <c r="C10304" s="2" t="s">
        <v>5844</v>
      </c>
      <c r="D10304" s="3" t="str">
        <f t="shared" ref="D10304:D10306" si="2191">HYPERLINK("https://12go.asia/en/travel/Deniyaya/Ampitiya", "12Go Link")</f>
        <v>12Go Link</v>
      </c>
      <c r="E10304" s="2" t="s">
        <v>286</v>
      </c>
    </row>
    <row r="10305">
      <c r="A10305" s="2" t="s">
        <v>4949</v>
      </c>
      <c r="B10305" s="2" t="s">
        <v>4973</v>
      </c>
      <c r="C10305" s="2" t="s">
        <v>5844</v>
      </c>
      <c r="D10305" s="3" t="str">
        <f t="shared" si="2191"/>
        <v>12Go Link</v>
      </c>
      <c r="E10305" s="2" t="s">
        <v>4139</v>
      </c>
    </row>
    <row r="10306">
      <c r="A10306" s="2" t="s">
        <v>4949</v>
      </c>
      <c r="B10306" s="2" t="s">
        <v>4973</v>
      </c>
      <c r="C10306" s="2" t="s">
        <v>5844</v>
      </c>
      <c r="D10306" s="3" t="str">
        <f t="shared" si="2191"/>
        <v>12Go Link</v>
      </c>
      <c r="E10306" s="2" t="s">
        <v>3409</v>
      </c>
    </row>
    <row r="10307">
      <c r="A10307" s="2" t="s">
        <v>4949</v>
      </c>
      <c r="B10307" s="2" t="s">
        <v>4973</v>
      </c>
      <c r="C10307" s="2" t="s">
        <v>5845</v>
      </c>
      <c r="D10307" s="3" t="str">
        <f t="shared" ref="D10307:D10309" si="2192">HYPERLINK("https://12go.asia/en/travel/Deniyaya/Digana", "12Go Link")</f>
        <v>12Go Link</v>
      </c>
      <c r="E10307" s="2" t="s">
        <v>286</v>
      </c>
    </row>
    <row r="10308">
      <c r="A10308" s="2" t="s">
        <v>4949</v>
      </c>
      <c r="B10308" s="2" t="s">
        <v>4973</v>
      </c>
      <c r="C10308" s="2" t="s">
        <v>5845</v>
      </c>
      <c r="D10308" s="3" t="str">
        <f t="shared" si="2192"/>
        <v>12Go Link</v>
      </c>
      <c r="E10308" s="2" t="s">
        <v>4139</v>
      </c>
    </row>
    <row r="10309">
      <c r="A10309" s="2" t="s">
        <v>4949</v>
      </c>
      <c r="B10309" s="2" t="s">
        <v>4973</v>
      </c>
      <c r="C10309" s="2" t="s">
        <v>5845</v>
      </c>
      <c r="D10309" s="3" t="str">
        <f t="shared" si="2192"/>
        <v>12Go Link</v>
      </c>
      <c r="E10309" s="2" t="s">
        <v>3409</v>
      </c>
    </row>
    <row r="10310">
      <c r="A10310" s="2" t="s">
        <v>4949</v>
      </c>
      <c r="B10310" s="2" t="s">
        <v>4976</v>
      </c>
      <c r="C10310" s="2" t="s">
        <v>5846</v>
      </c>
      <c r="D10310" s="3" t="str">
        <f t="shared" ref="D10310:D10312" si="2193">HYPERLINK("https://12go.asia/en/travel/Deniyaya/Kataragama", "12Go Link")</f>
        <v>12Go Link</v>
      </c>
      <c r="E10310" s="2" t="s">
        <v>286</v>
      </c>
    </row>
    <row r="10311">
      <c r="A10311" s="2" t="s">
        <v>4949</v>
      </c>
      <c r="B10311" s="2" t="s">
        <v>4976</v>
      </c>
      <c r="C10311" s="2" t="s">
        <v>5846</v>
      </c>
      <c r="D10311" s="3" t="str">
        <f t="shared" si="2193"/>
        <v>12Go Link</v>
      </c>
      <c r="E10311" s="2" t="s">
        <v>4139</v>
      </c>
    </row>
    <row r="10312">
      <c r="A10312" s="2" t="s">
        <v>4949</v>
      </c>
      <c r="B10312" s="2" t="s">
        <v>4976</v>
      </c>
      <c r="C10312" s="2" t="s">
        <v>5846</v>
      </c>
      <c r="D10312" s="3" t="str">
        <f t="shared" si="2193"/>
        <v>12Go Link</v>
      </c>
      <c r="E10312" s="2" t="s">
        <v>3409</v>
      </c>
    </row>
    <row r="10313">
      <c r="A10313" s="2" t="s">
        <v>4949</v>
      </c>
      <c r="B10313" s="2" t="s">
        <v>4978</v>
      </c>
      <c r="C10313" s="2" t="s">
        <v>5847</v>
      </c>
      <c r="D10313" s="3" t="str">
        <f t="shared" ref="D10313:D10315" si="2194">HYPERLINK("https://12go.asia/en/travel/Deniyaya/Alawathupitiya", "12Go Link")</f>
        <v>12Go Link</v>
      </c>
      <c r="E10313" s="2" t="s">
        <v>286</v>
      </c>
    </row>
    <row r="10314">
      <c r="A10314" s="2" t="s">
        <v>4949</v>
      </c>
      <c r="B10314" s="2" t="s">
        <v>4978</v>
      </c>
      <c r="C10314" s="2" t="s">
        <v>5847</v>
      </c>
      <c r="D10314" s="3" t="str">
        <f t="shared" si="2194"/>
        <v>12Go Link</v>
      </c>
      <c r="E10314" s="2" t="s">
        <v>4139</v>
      </c>
    </row>
    <row r="10315">
      <c r="A10315" s="2" t="s">
        <v>4949</v>
      </c>
      <c r="B10315" s="2" t="s">
        <v>4978</v>
      </c>
      <c r="C10315" s="2" t="s">
        <v>5847</v>
      </c>
      <c r="D10315" s="3" t="str">
        <f t="shared" si="2194"/>
        <v>12Go Link</v>
      </c>
      <c r="E10315" s="2" t="s">
        <v>3409</v>
      </c>
    </row>
    <row r="10316">
      <c r="A10316" s="2" t="s">
        <v>4949</v>
      </c>
      <c r="B10316" s="2" t="s">
        <v>4980</v>
      </c>
      <c r="C10316" s="2" t="s">
        <v>5848</v>
      </c>
      <c r="D10316" s="3" t="str">
        <f t="shared" ref="D10316:D10318" si="2195">HYPERLINK("https://12go.asia/en/travel/Deniyaya/Pinnawala", "12Go Link")</f>
        <v>12Go Link</v>
      </c>
      <c r="E10316" s="2" t="s">
        <v>286</v>
      </c>
    </row>
    <row r="10317">
      <c r="A10317" s="2" t="s">
        <v>4949</v>
      </c>
      <c r="B10317" s="2" t="s">
        <v>4980</v>
      </c>
      <c r="C10317" s="2" t="s">
        <v>5848</v>
      </c>
      <c r="D10317" s="3" t="str">
        <f t="shared" si="2195"/>
        <v>12Go Link</v>
      </c>
      <c r="E10317" s="2" t="s">
        <v>4139</v>
      </c>
    </row>
    <row r="10318">
      <c r="A10318" s="2" t="s">
        <v>4949</v>
      </c>
      <c r="B10318" s="2" t="s">
        <v>4980</v>
      </c>
      <c r="C10318" s="2" t="s">
        <v>5848</v>
      </c>
      <c r="D10318" s="3" t="str">
        <f t="shared" si="2195"/>
        <v>12Go Link</v>
      </c>
      <c r="E10318" s="2" t="s">
        <v>3409</v>
      </c>
    </row>
    <row r="10319">
      <c r="A10319" s="2" t="s">
        <v>4949</v>
      </c>
      <c r="B10319" s="2" t="s">
        <v>4982</v>
      </c>
      <c r="C10319" s="2" t="s">
        <v>5849</v>
      </c>
      <c r="D10319" s="3" t="str">
        <f t="shared" ref="D10319:D10321" si="2196">HYPERLINK("https://12go.asia/en/travel/Deniyaya/Kitulgala", "12Go Link")</f>
        <v>12Go Link</v>
      </c>
      <c r="E10319" s="2" t="s">
        <v>286</v>
      </c>
    </row>
    <row r="10320">
      <c r="A10320" s="2" t="s">
        <v>4949</v>
      </c>
      <c r="B10320" s="2" t="s">
        <v>4982</v>
      </c>
      <c r="C10320" s="2" t="s">
        <v>5849</v>
      </c>
      <c r="D10320" s="3" t="str">
        <f t="shared" si="2196"/>
        <v>12Go Link</v>
      </c>
      <c r="E10320" s="2" t="s">
        <v>4139</v>
      </c>
    </row>
    <row r="10321">
      <c r="A10321" s="2" t="s">
        <v>4949</v>
      </c>
      <c r="B10321" s="2" t="s">
        <v>4982</v>
      </c>
      <c r="C10321" s="2" t="s">
        <v>5849</v>
      </c>
      <c r="D10321" s="3" t="str">
        <f t="shared" si="2196"/>
        <v>12Go Link</v>
      </c>
      <c r="E10321" s="2" t="s">
        <v>3409</v>
      </c>
    </row>
    <row r="10322">
      <c r="A10322" s="2" t="s">
        <v>4949</v>
      </c>
      <c r="B10322" s="2" t="s">
        <v>4984</v>
      </c>
      <c r="C10322" s="2" t="s">
        <v>5850</v>
      </c>
      <c r="D10322" s="3" t="str">
        <f t="shared" ref="D10322:D10324" si="2197">HYPERLINK("https://12go.asia/en/travel/Deniyaya/Habaraduwa", "12Go Link")</f>
        <v>12Go Link</v>
      </c>
      <c r="E10322" s="2" t="s">
        <v>286</v>
      </c>
    </row>
    <row r="10323">
      <c r="A10323" s="2" t="s">
        <v>4949</v>
      </c>
      <c r="B10323" s="2" t="s">
        <v>4984</v>
      </c>
      <c r="C10323" s="2" t="s">
        <v>5850</v>
      </c>
      <c r="D10323" s="3" t="str">
        <f t="shared" si="2197"/>
        <v>12Go Link</v>
      </c>
      <c r="E10323" s="2" t="s">
        <v>4139</v>
      </c>
    </row>
    <row r="10324">
      <c r="A10324" s="2" t="s">
        <v>4949</v>
      </c>
      <c r="B10324" s="2" t="s">
        <v>4984</v>
      </c>
      <c r="C10324" s="2" t="s">
        <v>5850</v>
      </c>
      <c r="D10324" s="3" t="str">
        <f t="shared" si="2197"/>
        <v>12Go Link</v>
      </c>
      <c r="E10324" s="2" t="s">
        <v>3409</v>
      </c>
    </row>
    <row r="10325">
      <c r="A10325" s="2" t="s">
        <v>4949</v>
      </c>
      <c r="B10325" s="2" t="s">
        <v>4986</v>
      </c>
      <c r="C10325" s="2" t="s">
        <v>5851</v>
      </c>
      <c r="D10325" s="3" t="str">
        <f t="shared" ref="D10325:D10327" si="2198">HYPERLINK("https://12go.asia/en/travel/Deniyaya/Kosgoda", "12Go Link")</f>
        <v>12Go Link</v>
      </c>
      <c r="E10325" s="2" t="s">
        <v>286</v>
      </c>
    </row>
    <row r="10326">
      <c r="A10326" s="2" t="s">
        <v>4949</v>
      </c>
      <c r="B10326" s="2" t="s">
        <v>4986</v>
      </c>
      <c r="C10326" s="2" t="s">
        <v>5851</v>
      </c>
      <c r="D10326" s="3" t="str">
        <f t="shared" si="2198"/>
        <v>12Go Link</v>
      </c>
      <c r="E10326" s="2" t="s">
        <v>4139</v>
      </c>
    </row>
    <row r="10327">
      <c r="A10327" s="2" t="s">
        <v>4949</v>
      </c>
      <c r="B10327" s="2" t="s">
        <v>4986</v>
      </c>
      <c r="C10327" s="2" t="s">
        <v>5851</v>
      </c>
      <c r="D10327" s="3" t="str">
        <f t="shared" si="2198"/>
        <v>12Go Link</v>
      </c>
      <c r="E10327" s="2" t="s">
        <v>3409</v>
      </c>
    </row>
    <row r="10328">
      <c r="A10328" s="2" t="s">
        <v>4949</v>
      </c>
      <c r="B10328" s="2" t="s">
        <v>4988</v>
      </c>
      <c r="C10328" s="2" t="s">
        <v>5852</v>
      </c>
      <c r="D10328" s="3" t="str">
        <f t="shared" ref="D10328:D10330" si="2199">HYPERLINK("https://12go.asia/en/travel/Deniyaya/Kuchchaveli", "12Go Link")</f>
        <v>12Go Link</v>
      </c>
      <c r="E10328" s="2" t="s">
        <v>286</v>
      </c>
    </row>
    <row r="10329">
      <c r="A10329" s="2" t="s">
        <v>4949</v>
      </c>
      <c r="B10329" s="2" t="s">
        <v>4988</v>
      </c>
      <c r="C10329" s="2" t="s">
        <v>5852</v>
      </c>
      <c r="D10329" s="3" t="str">
        <f t="shared" si="2199"/>
        <v>12Go Link</v>
      </c>
      <c r="E10329" s="2" t="s">
        <v>4139</v>
      </c>
    </row>
    <row r="10330">
      <c r="A10330" s="2" t="s">
        <v>4949</v>
      </c>
      <c r="B10330" s="2" t="s">
        <v>4988</v>
      </c>
      <c r="C10330" s="2" t="s">
        <v>5852</v>
      </c>
      <c r="D10330" s="3" t="str">
        <f t="shared" si="2199"/>
        <v>12Go Link</v>
      </c>
      <c r="E10330" s="2" t="s">
        <v>3409</v>
      </c>
    </row>
    <row r="10331">
      <c r="A10331" s="2" t="s">
        <v>4949</v>
      </c>
      <c r="B10331" s="2" t="s">
        <v>4990</v>
      </c>
      <c r="C10331" s="2" t="s">
        <v>5853</v>
      </c>
      <c r="D10331" s="3" t="str">
        <f t="shared" ref="D10331:D10333" si="2200">HYPERLINK("https://12go.asia/en/travel/Deniyaya/Mannar", "12Go Link")</f>
        <v>12Go Link</v>
      </c>
      <c r="E10331" s="2" t="s">
        <v>286</v>
      </c>
    </row>
    <row r="10332">
      <c r="A10332" s="2" t="s">
        <v>4949</v>
      </c>
      <c r="B10332" s="2" t="s">
        <v>4990</v>
      </c>
      <c r="C10332" s="2" t="s">
        <v>5853</v>
      </c>
      <c r="D10332" s="3" t="str">
        <f t="shared" si="2200"/>
        <v>12Go Link</v>
      </c>
      <c r="E10332" s="2" t="s">
        <v>4139</v>
      </c>
    </row>
    <row r="10333">
      <c r="A10333" s="2" t="s">
        <v>4949</v>
      </c>
      <c r="B10333" s="2" t="s">
        <v>4990</v>
      </c>
      <c r="C10333" s="2" t="s">
        <v>5853</v>
      </c>
      <c r="D10333" s="3" t="str">
        <f t="shared" si="2200"/>
        <v>12Go Link</v>
      </c>
      <c r="E10333" s="2" t="s">
        <v>3409</v>
      </c>
    </row>
    <row r="10334">
      <c r="A10334" s="2" t="s">
        <v>4949</v>
      </c>
      <c r="B10334" s="2" t="s">
        <v>4992</v>
      </c>
      <c r="C10334" s="2" t="s">
        <v>5854</v>
      </c>
      <c r="D10334" s="3" t="str">
        <f t="shared" ref="D10334:D10336" si="2201">HYPERLINK("https://12go.asia/en/travel/Deniyaya/Kinigama", "12Go Link")</f>
        <v>12Go Link</v>
      </c>
      <c r="E10334" s="2" t="s">
        <v>286</v>
      </c>
    </row>
    <row r="10335">
      <c r="A10335" s="2" t="s">
        <v>4949</v>
      </c>
      <c r="B10335" s="2" t="s">
        <v>4992</v>
      </c>
      <c r="C10335" s="2" t="s">
        <v>5854</v>
      </c>
      <c r="D10335" s="3" t="str">
        <f t="shared" si="2201"/>
        <v>12Go Link</v>
      </c>
      <c r="E10335" s="2" t="s">
        <v>4139</v>
      </c>
    </row>
    <row r="10336">
      <c r="A10336" s="2" t="s">
        <v>4949</v>
      </c>
      <c r="B10336" s="2" t="s">
        <v>4992</v>
      </c>
      <c r="C10336" s="2" t="s">
        <v>5854</v>
      </c>
      <c r="D10336" s="3" t="str">
        <f t="shared" si="2201"/>
        <v>12Go Link</v>
      </c>
      <c r="E10336" s="2" t="s">
        <v>3409</v>
      </c>
    </row>
    <row r="10337">
      <c r="A10337" s="2" t="s">
        <v>4949</v>
      </c>
      <c r="B10337" s="2" t="s">
        <v>4994</v>
      </c>
      <c r="C10337" s="2" t="s">
        <v>5855</v>
      </c>
      <c r="D10337" s="3" t="str">
        <f t="shared" ref="D10337:D10339" si="2202">HYPERLINK("https://12go.asia/en/travel/Deniyaya/Kalamatiya", "12Go Link")</f>
        <v>12Go Link</v>
      </c>
      <c r="E10337" s="2" t="s">
        <v>286</v>
      </c>
    </row>
    <row r="10338">
      <c r="A10338" s="2" t="s">
        <v>4949</v>
      </c>
      <c r="B10338" s="2" t="s">
        <v>4994</v>
      </c>
      <c r="C10338" s="2" t="s">
        <v>5855</v>
      </c>
      <c r="D10338" s="3" t="str">
        <f t="shared" si="2202"/>
        <v>12Go Link</v>
      </c>
      <c r="E10338" s="2" t="s">
        <v>4139</v>
      </c>
    </row>
    <row r="10339">
      <c r="A10339" s="2" t="s">
        <v>4949</v>
      </c>
      <c r="B10339" s="2" t="s">
        <v>4994</v>
      </c>
      <c r="C10339" s="2" t="s">
        <v>5855</v>
      </c>
      <c r="D10339" s="3" t="str">
        <f t="shared" si="2202"/>
        <v>12Go Link</v>
      </c>
      <c r="E10339" s="2" t="s">
        <v>3409</v>
      </c>
    </row>
    <row r="10340">
      <c r="A10340" s="2" t="s">
        <v>4949</v>
      </c>
      <c r="B10340" s="2" t="s">
        <v>4996</v>
      </c>
      <c r="C10340" s="2" t="s">
        <v>5856</v>
      </c>
      <c r="D10340" s="3" t="str">
        <f t="shared" ref="D10340:D10342" si="2203">HYPERLINK("https://12go.asia/en/travel/Deniyaya/mirissa", "12Go Link")</f>
        <v>12Go Link</v>
      </c>
      <c r="E10340" s="2" t="s">
        <v>286</v>
      </c>
    </row>
    <row r="10341">
      <c r="A10341" s="2" t="s">
        <v>4949</v>
      </c>
      <c r="B10341" s="2" t="s">
        <v>4996</v>
      </c>
      <c r="C10341" s="2" t="s">
        <v>5856</v>
      </c>
      <c r="D10341" s="3" t="str">
        <f t="shared" si="2203"/>
        <v>12Go Link</v>
      </c>
      <c r="E10341" s="2" t="s">
        <v>4139</v>
      </c>
    </row>
    <row r="10342">
      <c r="A10342" s="2" t="s">
        <v>4949</v>
      </c>
      <c r="B10342" s="2" t="s">
        <v>4996</v>
      </c>
      <c r="C10342" s="2" t="s">
        <v>5856</v>
      </c>
      <c r="D10342" s="3" t="str">
        <f t="shared" si="2203"/>
        <v>12Go Link</v>
      </c>
      <c r="E10342" s="2" t="s">
        <v>3409</v>
      </c>
    </row>
    <row r="10343">
      <c r="A10343" s="2" t="s">
        <v>4949</v>
      </c>
      <c r="B10343" s="2" t="s">
        <v>4998</v>
      </c>
      <c r="C10343" s="2" t="s">
        <v>5857</v>
      </c>
      <c r="D10343" s="3" t="str">
        <f t="shared" ref="D10343:D10345" si="2204">HYPERLINK("https://12go.asia/en/travel/Deniyaya/Nanu-Oya", "12Go Link")</f>
        <v>12Go Link</v>
      </c>
      <c r="E10343" s="2" t="s">
        <v>286</v>
      </c>
    </row>
    <row r="10344">
      <c r="A10344" s="2" t="s">
        <v>4949</v>
      </c>
      <c r="B10344" s="2" t="s">
        <v>4998</v>
      </c>
      <c r="C10344" s="2" t="s">
        <v>5857</v>
      </c>
      <c r="D10344" s="3" t="str">
        <f t="shared" si="2204"/>
        <v>12Go Link</v>
      </c>
      <c r="E10344" s="2" t="s">
        <v>4139</v>
      </c>
    </row>
    <row r="10345">
      <c r="A10345" s="2" t="s">
        <v>4949</v>
      </c>
      <c r="B10345" s="2" t="s">
        <v>4998</v>
      </c>
      <c r="C10345" s="2" t="s">
        <v>5857</v>
      </c>
      <c r="D10345" s="3" t="str">
        <f t="shared" si="2204"/>
        <v>12Go Link</v>
      </c>
      <c r="E10345" s="2" t="s">
        <v>3409</v>
      </c>
    </row>
    <row r="10346">
      <c r="A10346" s="2" t="s">
        <v>4949</v>
      </c>
      <c r="B10346" s="2" t="s">
        <v>5000</v>
      </c>
      <c r="C10346" s="2" t="s">
        <v>5858</v>
      </c>
      <c r="D10346" s="3" t="str">
        <f t="shared" ref="D10346:D10348" si="2205">HYPERLINK("https://12go.asia/en/travel/Deniyaya/Dalupotha", "12Go Link")</f>
        <v>12Go Link</v>
      </c>
      <c r="E10346" s="2" t="s">
        <v>286</v>
      </c>
    </row>
    <row r="10347">
      <c r="A10347" s="2" t="s">
        <v>4949</v>
      </c>
      <c r="B10347" s="2" t="s">
        <v>5000</v>
      </c>
      <c r="C10347" s="2" t="s">
        <v>5858</v>
      </c>
      <c r="D10347" s="3" t="str">
        <f t="shared" si="2205"/>
        <v>12Go Link</v>
      </c>
      <c r="E10347" s="2" t="s">
        <v>4139</v>
      </c>
    </row>
    <row r="10348">
      <c r="A10348" s="2" t="s">
        <v>4949</v>
      </c>
      <c r="B10348" s="2" t="s">
        <v>5000</v>
      </c>
      <c r="C10348" s="2" t="s">
        <v>5858</v>
      </c>
      <c r="D10348" s="3" t="str">
        <f t="shared" si="2205"/>
        <v>12Go Link</v>
      </c>
      <c r="E10348" s="2" t="s">
        <v>3409</v>
      </c>
    </row>
    <row r="10349">
      <c r="A10349" s="2" t="s">
        <v>4949</v>
      </c>
      <c r="B10349" s="2" t="s">
        <v>5000</v>
      </c>
      <c r="C10349" s="2" t="s">
        <v>5859</v>
      </c>
      <c r="D10349" s="3" t="str">
        <f t="shared" ref="D10349:D10351" si="2206">HYPERLINK("https://12go.asia/en/travel/Deniyaya/Waikkal", "12Go Link")</f>
        <v>12Go Link</v>
      </c>
      <c r="E10349" s="2" t="s">
        <v>286</v>
      </c>
    </row>
    <row r="10350">
      <c r="A10350" s="2" t="s">
        <v>4949</v>
      </c>
      <c r="B10350" s="2" t="s">
        <v>5000</v>
      </c>
      <c r="C10350" s="2" t="s">
        <v>5859</v>
      </c>
      <c r="D10350" s="3" t="str">
        <f t="shared" si="2206"/>
        <v>12Go Link</v>
      </c>
      <c r="E10350" s="2" t="s">
        <v>4139</v>
      </c>
    </row>
    <row r="10351">
      <c r="A10351" s="2" t="s">
        <v>4949</v>
      </c>
      <c r="B10351" s="2" t="s">
        <v>5000</v>
      </c>
      <c r="C10351" s="2" t="s">
        <v>5859</v>
      </c>
      <c r="D10351" s="3" t="str">
        <f t="shared" si="2206"/>
        <v>12Go Link</v>
      </c>
      <c r="E10351" s="2" t="s">
        <v>3409</v>
      </c>
    </row>
    <row r="10352">
      <c r="A10352" s="2" t="s">
        <v>4949</v>
      </c>
      <c r="B10352" s="2" t="s">
        <v>5003</v>
      </c>
      <c r="C10352" s="2" t="s">
        <v>5860</v>
      </c>
      <c r="D10352" s="3" t="str">
        <f t="shared" ref="D10352:D10354" si="2207">HYPERLINK("https://12go.asia/en/travel/Deniyaya/Nilaveli", "12Go Link")</f>
        <v>12Go Link</v>
      </c>
      <c r="E10352" s="2" t="s">
        <v>286</v>
      </c>
    </row>
    <row r="10353">
      <c r="A10353" s="2" t="s">
        <v>4949</v>
      </c>
      <c r="B10353" s="2" t="s">
        <v>5003</v>
      </c>
      <c r="C10353" s="2" t="s">
        <v>5860</v>
      </c>
      <c r="D10353" s="3" t="str">
        <f t="shared" si="2207"/>
        <v>12Go Link</v>
      </c>
      <c r="E10353" s="2" t="s">
        <v>4139</v>
      </c>
    </row>
    <row r="10354">
      <c r="A10354" s="2" t="s">
        <v>4949</v>
      </c>
      <c r="B10354" s="2" t="s">
        <v>5003</v>
      </c>
      <c r="C10354" s="2" t="s">
        <v>5860</v>
      </c>
      <c r="D10354" s="3" t="str">
        <f t="shared" si="2207"/>
        <v>12Go Link</v>
      </c>
      <c r="E10354" s="2" t="s">
        <v>3409</v>
      </c>
    </row>
    <row r="10355">
      <c r="A10355" s="2" t="s">
        <v>4949</v>
      </c>
      <c r="B10355" s="2" t="s">
        <v>5005</v>
      </c>
      <c r="C10355" s="2" t="s">
        <v>5861</v>
      </c>
      <c r="D10355" s="3" t="str">
        <f t="shared" ref="D10355:D10357" si="2208">HYPERLINK("https://12go.asia/en/travel/Deniyaya/Kotmale", "12Go Link")</f>
        <v>12Go Link</v>
      </c>
      <c r="E10355" s="2" t="s">
        <v>286</v>
      </c>
    </row>
    <row r="10356">
      <c r="A10356" s="2" t="s">
        <v>4949</v>
      </c>
      <c r="B10356" s="2" t="s">
        <v>5005</v>
      </c>
      <c r="C10356" s="2" t="s">
        <v>5861</v>
      </c>
      <c r="D10356" s="3" t="str">
        <f t="shared" si="2208"/>
        <v>12Go Link</v>
      </c>
      <c r="E10356" s="2" t="s">
        <v>4139</v>
      </c>
    </row>
    <row r="10357">
      <c r="A10357" s="2" t="s">
        <v>4949</v>
      </c>
      <c r="B10357" s="2" t="s">
        <v>5005</v>
      </c>
      <c r="C10357" s="2" t="s">
        <v>5861</v>
      </c>
      <c r="D10357" s="3" t="str">
        <f t="shared" si="2208"/>
        <v>12Go Link</v>
      </c>
      <c r="E10357" s="2" t="s">
        <v>3409</v>
      </c>
    </row>
    <row r="10358">
      <c r="A10358" s="2" t="s">
        <v>4949</v>
      </c>
      <c r="B10358" s="2" t="s">
        <v>5007</v>
      </c>
      <c r="C10358" s="2" t="s">
        <v>5862</v>
      </c>
      <c r="D10358" s="3" t="str">
        <f t="shared" ref="D10358:D10360" si="2209">HYPERLINK("https://12go.asia/en/travel/Deniyaya/Pasikuda", "12Go Link")</f>
        <v>12Go Link</v>
      </c>
      <c r="E10358" s="2" t="s">
        <v>286</v>
      </c>
    </row>
    <row r="10359">
      <c r="A10359" s="2" t="s">
        <v>4949</v>
      </c>
      <c r="B10359" s="2" t="s">
        <v>5007</v>
      </c>
      <c r="C10359" s="2" t="s">
        <v>5862</v>
      </c>
      <c r="D10359" s="3" t="str">
        <f t="shared" si="2209"/>
        <v>12Go Link</v>
      </c>
      <c r="E10359" s="2" t="s">
        <v>4139</v>
      </c>
    </row>
    <row r="10360">
      <c r="A10360" s="2" t="s">
        <v>4949</v>
      </c>
      <c r="B10360" s="2" t="s">
        <v>5007</v>
      </c>
      <c r="C10360" s="2" t="s">
        <v>5862</v>
      </c>
      <c r="D10360" s="3" t="str">
        <f t="shared" si="2209"/>
        <v>12Go Link</v>
      </c>
      <c r="E10360" s="2" t="s">
        <v>3409</v>
      </c>
    </row>
    <row r="10361">
      <c r="A10361" s="2" t="s">
        <v>4949</v>
      </c>
      <c r="B10361" s="2" t="s">
        <v>5009</v>
      </c>
      <c r="C10361" s="2" t="s">
        <v>5863</v>
      </c>
      <c r="D10361" s="3" t="str">
        <f t="shared" ref="D10361:D10363" si="2210">HYPERLINK("https://12go.asia/en/travel/Deniyaya/Galoya", "12Go Link")</f>
        <v>12Go Link</v>
      </c>
      <c r="E10361" s="2" t="s">
        <v>286</v>
      </c>
    </row>
    <row r="10362">
      <c r="A10362" s="2" t="s">
        <v>4949</v>
      </c>
      <c r="B10362" s="2" t="s">
        <v>5009</v>
      </c>
      <c r="C10362" s="2" t="s">
        <v>5863</v>
      </c>
      <c r="D10362" s="3" t="str">
        <f t="shared" si="2210"/>
        <v>12Go Link</v>
      </c>
      <c r="E10362" s="2" t="s">
        <v>4139</v>
      </c>
    </row>
    <row r="10363">
      <c r="A10363" s="2" t="s">
        <v>4949</v>
      </c>
      <c r="B10363" s="2" t="s">
        <v>5009</v>
      </c>
      <c r="C10363" s="2" t="s">
        <v>5863</v>
      </c>
      <c r="D10363" s="3" t="str">
        <f t="shared" si="2210"/>
        <v>12Go Link</v>
      </c>
      <c r="E10363" s="2" t="s">
        <v>3409</v>
      </c>
    </row>
    <row r="10364">
      <c r="A10364" s="2" t="s">
        <v>4949</v>
      </c>
      <c r="B10364" s="2" t="s">
        <v>5011</v>
      </c>
      <c r="C10364" s="2" t="s">
        <v>5864</v>
      </c>
      <c r="D10364" s="3" t="str">
        <f t="shared" ref="D10364:D10366" si="2211">HYPERLINK("https://12go.asia/en/travel/Deniyaya/Kalpitiya", "12Go Link")</f>
        <v>12Go Link</v>
      </c>
      <c r="E10364" s="2" t="s">
        <v>286</v>
      </c>
    </row>
    <row r="10365">
      <c r="A10365" s="2" t="s">
        <v>4949</v>
      </c>
      <c r="B10365" s="2" t="s">
        <v>5011</v>
      </c>
      <c r="C10365" s="2" t="s">
        <v>5864</v>
      </c>
      <c r="D10365" s="3" t="str">
        <f t="shared" si="2211"/>
        <v>12Go Link</v>
      </c>
      <c r="E10365" s="2" t="s">
        <v>4139</v>
      </c>
    </row>
    <row r="10366">
      <c r="A10366" s="2" t="s">
        <v>4949</v>
      </c>
      <c r="B10366" s="2" t="s">
        <v>5011</v>
      </c>
      <c r="C10366" s="2" t="s">
        <v>5864</v>
      </c>
      <c r="D10366" s="3" t="str">
        <f t="shared" si="2211"/>
        <v>12Go Link</v>
      </c>
      <c r="E10366" s="2" t="s">
        <v>3409</v>
      </c>
    </row>
    <row r="10367">
      <c r="A10367" s="2" t="s">
        <v>4949</v>
      </c>
      <c r="B10367" s="2" t="s">
        <v>5011</v>
      </c>
      <c r="C10367" s="2" t="s">
        <v>5865</v>
      </c>
      <c r="D10367" s="3" t="str">
        <f t="shared" ref="D10367:D10369" si="2212">HYPERLINK("https://12go.asia/en/travel/Deniyaya/Marawila", "12Go Link")</f>
        <v>12Go Link</v>
      </c>
      <c r="E10367" s="2" t="s">
        <v>286</v>
      </c>
    </row>
    <row r="10368">
      <c r="A10368" s="2" t="s">
        <v>4949</v>
      </c>
      <c r="B10368" s="2" t="s">
        <v>5011</v>
      </c>
      <c r="C10368" s="2" t="s">
        <v>5865</v>
      </c>
      <c r="D10368" s="3" t="str">
        <f t="shared" si="2212"/>
        <v>12Go Link</v>
      </c>
      <c r="E10368" s="2" t="s">
        <v>4139</v>
      </c>
    </row>
    <row r="10369">
      <c r="A10369" s="2" t="s">
        <v>4949</v>
      </c>
      <c r="B10369" s="2" t="s">
        <v>5011</v>
      </c>
      <c r="C10369" s="2" t="s">
        <v>5865</v>
      </c>
      <c r="D10369" s="3" t="str">
        <f t="shared" si="2212"/>
        <v>12Go Link</v>
      </c>
      <c r="E10369" s="2" t="s">
        <v>3409</v>
      </c>
    </row>
    <row r="10370">
      <c r="A10370" s="2" t="s">
        <v>4949</v>
      </c>
      <c r="B10370" s="2" t="s">
        <v>5014</v>
      </c>
      <c r="C10370" s="2" t="s">
        <v>5866</v>
      </c>
      <c r="D10370" s="3" t="str">
        <f t="shared" ref="D10370:D10372" si="2213">HYPERLINK("https://12go.asia/en/travel/Deniyaya/Kiriella", "12Go Link")</f>
        <v>12Go Link</v>
      </c>
      <c r="E10370" s="2" t="s">
        <v>286</v>
      </c>
    </row>
    <row r="10371">
      <c r="A10371" s="2" t="s">
        <v>4949</v>
      </c>
      <c r="B10371" s="2" t="s">
        <v>5014</v>
      </c>
      <c r="C10371" s="2" t="s">
        <v>5866</v>
      </c>
      <c r="D10371" s="3" t="str">
        <f t="shared" si="2213"/>
        <v>12Go Link</v>
      </c>
      <c r="E10371" s="2" t="s">
        <v>4139</v>
      </c>
    </row>
    <row r="10372">
      <c r="A10372" s="2" t="s">
        <v>4949</v>
      </c>
      <c r="B10372" s="2" t="s">
        <v>5014</v>
      </c>
      <c r="C10372" s="2" t="s">
        <v>5866</v>
      </c>
      <c r="D10372" s="3" t="str">
        <f t="shared" si="2213"/>
        <v>12Go Link</v>
      </c>
      <c r="E10372" s="2" t="s">
        <v>3409</v>
      </c>
    </row>
    <row r="10373">
      <c r="A10373" s="2" t="s">
        <v>4949</v>
      </c>
      <c r="B10373" s="2" t="s">
        <v>5016</v>
      </c>
      <c r="C10373" s="2" t="s">
        <v>5867</v>
      </c>
      <c r="D10373" s="3" t="str">
        <f t="shared" ref="D10373:D10375" si="2214">HYPERLINK("https://12go.asia/en/travel/Deniyaya/Pidurangala", "12Go Link")</f>
        <v>12Go Link</v>
      </c>
      <c r="E10373" s="2" t="s">
        <v>286</v>
      </c>
    </row>
    <row r="10374">
      <c r="A10374" s="2" t="s">
        <v>4949</v>
      </c>
      <c r="B10374" s="2" t="s">
        <v>5016</v>
      </c>
      <c r="C10374" s="2" t="s">
        <v>5867</v>
      </c>
      <c r="D10374" s="3" t="str">
        <f t="shared" si="2214"/>
        <v>12Go Link</v>
      </c>
      <c r="E10374" s="2" t="s">
        <v>4139</v>
      </c>
    </row>
    <row r="10375">
      <c r="A10375" s="2" t="s">
        <v>4949</v>
      </c>
      <c r="B10375" s="2" t="s">
        <v>5016</v>
      </c>
      <c r="C10375" s="2" t="s">
        <v>5867</v>
      </c>
      <c r="D10375" s="3" t="str">
        <f t="shared" si="2214"/>
        <v>12Go Link</v>
      </c>
      <c r="E10375" s="2" t="s">
        <v>3409</v>
      </c>
    </row>
    <row r="10376">
      <c r="A10376" s="2" t="s">
        <v>4949</v>
      </c>
      <c r="B10376" s="2" t="s">
        <v>5018</v>
      </c>
      <c r="C10376" s="2" t="s">
        <v>5868</v>
      </c>
      <c r="D10376" s="3" t="str">
        <f t="shared" ref="D10376:D10378" si="2215">HYPERLINK("https://12go.asia/en/travel/Deniyaya/Rekawa", "12Go Link")</f>
        <v>12Go Link</v>
      </c>
      <c r="E10376" s="2" t="s">
        <v>286</v>
      </c>
    </row>
    <row r="10377">
      <c r="A10377" s="2" t="s">
        <v>4949</v>
      </c>
      <c r="B10377" s="2" t="s">
        <v>5018</v>
      </c>
      <c r="C10377" s="2" t="s">
        <v>5868</v>
      </c>
      <c r="D10377" s="3" t="str">
        <f t="shared" si="2215"/>
        <v>12Go Link</v>
      </c>
      <c r="E10377" s="2" t="s">
        <v>4139</v>
      </c>
    </row>
    <row r="10378">
      <c r="A10378" s="2" t="s">
        <v>4949</v>
      </c>
      <c r="B10378" s="2" t="s">
        <v>5018</v>
      </c>
      <c r="C10378" s="2" t="s">
        <v>5868</v>
      </c>
      <c r="D10378" s="3" t="str">
        <f t="shared" si="2215"/>
        <v>12Go Link</v>
      </c>
      <c r="E10378" s="2" t="s">
        <v>3409</v>
      </c>
    </row>
    <row r="10379">
      <c r="A10379" s="2" t="s">
        <v>4949</v>
      </c>
      <c r="B10379" s="2" t="s">
        <v>5020</v>
      </c>
      <c r="C10379" s="2" t="s">
        <v>5869</v>
      </c>
      <c r="D10379" s="3" t="str">
        <f t="shared" ref="D10379:D10381" si="2216">HYPERLINK("https://12go.asia/en/travel/Deniyaya/Tissamaharama", "12Go Link")</f>
        <v>12Go Link</v>
      </c>
      <c r="E10379" s="2" t="s">
        <v>286</v>
      </c>
    </row>
    <row r="10380">
      <c r="A10380" s="2" t="s">
        <v>4949</v>
      </c>
      <c r="B10380" s="2" t="s">
        <v>5020</v>
      </c>
      <c r="C10380" s="2" t="s">
        <v>5869</v>
      </c>
      <c r="D10380" s="3" t="str">
        <f t="shared" si="2216"/>
        <v>12Go Link</v>
      </c>
      <c r="E10380" s="2" t="s">
        <v>4139</v>
      </c>
    </row>
    <row r="10381">
      <c r="A10381" s="2" t="s">
        <v>4949</v>
      </c>
      <c r="B10381" s="2" t="s">
        <v>5020</v>
      </c>
      <c r="C10381" s="2" t="s">
        <v>5869</v>
      </c>
      <c r="D10381" s="3" t="str">
        <f t="shared" si="2216"/>
        <v>12Go Link</v>
      </c>
      <c r="E10381" s="2" t="s">
        <v>3409</v>
      </c>
    </row>
    <row r="10382">
      <c r="A10382" s="2" t="s">
        <v>4949</v>
      </c>
      <c r="B10382" s="2" t="s">
        <v>5020</v>
      </c>
      <c r="C10382" s="2" t="s">
        <v>5870</v>
      </c>
      <c r="D10382" s="3" t="str">
        <f t="shared" ref="D10382:D10384" si="2217">HYPERLINK("https://12go.asia/en/travel/Deniyaya/Yala-Park", "12Go Link")</f>
        <v>12Go Link</v>
      </c>
      <c r="E10382" s="2" t="s">
        <v>286</v>
      </c>
    </row>
    <row r="10383">
      <c r="A10383" s="2" t="s">
        <v>4949</v>
      </c>
      <c r="B10383" s="2" t="s">
        <v>5020</v>
      </c>
      <c r="C10383" s="2" t="s">
        <v>5870</v>
      </c>
      <c r="D10383" s="3" t="str">
        <f t="shared" si="2217"/>
        <v>12Go Link</v>
      </c>
      <c r="E10383" s="2" t="s">
        <v>4139</v>
      </c>
    </row>
    <row r="10384">
      <c r="A10384" s="2" t="s">
        <v>4949</v>
      </c>
      <c r="B10384" s="2" t="s">
        <v>5020</v>
      </c>
      <c r="C10384" s="2" t="s">
        <v>5870</v>
      </c>
      <c r="D10384" s="3" t="str">
        <f t="shared" si="2217"/>
        <v>12Go Link</v>
      </c>
      <c r="E10384" s="2" t="s">
        <v>3409</v>
      </c>
    </row>
    <row r="10385">
      <c r="A10385" s="2" t="s">
        <v>4949</v>
      </c>
      <c r="B10385" s="2" t="s">
        <v>5023</v>
      </c>
      <c r="C10385" s="2" t="s">
        <v>5871</v>
      </c>
      <c r="D10385" s="3" t="str">
        <f t="shared" ref="D10385:D10387" si="2218">HYPERLINK("https://12go.asia/en/travel/Deniyaya/Nilaweli", "12Go Link")</f>
        <v>12Go Link</v>
      </c>
      <c r="E10385" s="2" t="s">
        <v>286</v>
      </c>
    </row>
    <row r="10386">
      <c r="A10386" s="2" t="s">
        <v>4949</v>
      </c>
      <c r="B10386" s="2" t="s">
        <v>5023</v>
      </c>
      <c r="C10386" s="2" t="s">
        <v>5871</v>
      </c>
      <c r="D10386" s="3" t="str">
        <f t="shared" si="2218"/>
        <v>12Go Link</v>
      </c>
      <c r="E10386" s="2" t="s">
        <v>4139</v>
      </c>
    </row>
    <row r="10387">
      <c r="A10387" s="2" t="s">
        <v>4949</v>
      </c>
      <c r="B10387" s="2" t="s">
        <v>5023</v>
      </c>
      <c r="C10387" s="2" t="s">
        <v>5871</v>
      </c>
      <c r="D10387" s="3" t="str">
        <f t="shared" si="2218"/>
        <v>12Go Link</v>
      </c>
      <c r="E10387" s="2" t="s">
        <v>3409</v>
      </c>
    </row>
    <row r="10388">
      <c r="A10388" s="2" t="s">
        <v>4949</v>
      </c>
      <c r="B10388" s="2" t="s">
        <v>5025</v>
      </c>
      <c r="C10388" s="2" t="s">
        <v>5872</v>
      </c>
      <c r="D10388" s="3" t="str">
        <f t="shared" ref="D10388:D10390" si="2219">HYPERLINK("https://12go.asia/en/travel/Deniyaya/Udawalawa", "12Go Link")</f>
        <v>12Go Link</v>
      </c>
      <c r="E10388" s="2" t="s">
        <v>286</v>
      </c>
    </row>
    <row r="10389">
      <c r="A10389" s="2" t="s">
        <v>4949</v>
      </c>
      <c r="B10389" s="2" t="s">
        <v>5025</v>
      </c>
      <c r="C10389" s="2" t="s">
        <v>5872</v>
      </c>
      <c r="D10389" s="3" t="str">
        <f t="shared" si="2219"/>
        <v>12Go Link</v>
      </c>
      <c r="E10389" s="2" t="s">
        <v>4139</v>
      </c>
    </row>
    <row r="10390">
      <c r="A10390" s="2" t="s">
        <v>4949</v>
      </c>
      <c r="B10390" s="2" t="s">
        <v>5025</v>
      </c>
      <c r="C10390" s="2" t="s">
        <v>5872</v>
      </c>
      <c r="D10390" s="3" t="str">
        <f t="shared" si="2219"/>
        <v>12Go Link</v>
      </c>
      <c r="E10390" s="2" t="s">
        <v>3409</v>
      </c>
    </row>
    <row r="10391">
      <c r="A10391" s="2" t="s">
        <v>4949</v>
      </c>
      <c r="B10391" s="2" t="s">
        <v>5027</v>
      </c>
      <c r="C10391" s="2" t="s">
        <v>5873</v>
      </c>
      <c r="D10391" s="3" t="str">
        <f t="shared" ref="D10391:D10393" si="2220">HYPERLINK("https://12go.asia/en/travel/Deniyaya/Unawatuna", "12Go Link")</f>
        <v>12Go Link</v>
      </c>
      <c r="E10391" s="2" t="s">
        <v>286</v>
      </c>
    </row>
    <row r="10392">
      <c r="A10392" s="2" t="s">
        <v>4949</v>
      </c>
      <c r="B10392" s="2" t="s">
        <v>5027</v>
      </c>
      <c r="C10392" s="2" t="s">
        <v>5873</v>
      </c>
      <c r="D10392" s="3" t="str">
        <f t="shared" si="2220"/>
        <v>12Go Link</v>
      </c>
      <c r="E10392" s="2" t="s">
        <v>4139</v>
      </c>
    </row>
    <row r="10393">
      <c r="A10393" s="2" t="s">
        <v>4949</v>
      </c>
      <c r="B10393" s="2" t="s">
        <v>5027</v>
      </c>
      <c r="C10393" s="2" t="s">
        <v>5873</v>
      </c>
      <c r="D10393" s="3" t="str">
        <f t="shared" si="2220"/>
        <v>12Go Link</v>
      </c>
      <c r="E10393" s="2" t="s">
        <v>3409</v>
      </c>
    </row>
    <row r="10394">
      <c r="A10394" s="2" t="s">
        <v>4949</v>
      </c>
      <c r="B10394" s="2" t="s">
        <v>5029</v>
      </c>
      <c r="C10394" s="2" t="s">
        <v>5874</v>
      </c>
      <c r="D10394" s="3" t="str">
        <f t="shared" ref="D10394:D10396" si="2221">HYPERLINK("https://12go.asia/en/travel/Deniyaya/Attanagalla", "12Go Link")</f>
        <v>12Go Link</v>
      </c>
      <c r="E10394" s="2" t="s">
        <v>286</v>
      </c>
    </row>
    <row r="10395">
      <c r="A10395" s="2" t="s">
        <v>4949</v>
      </c>
      <c r="B10395" s="2" t="s">
        <v>5029</v>
      </c>
      <c r="C10395" s="2" t="s">
        <v>5874</v>
      </c>
      <c r="D10395" s="3" t="str">
        <f t="shared" si="2221"/>
        <v>12Go Link</v>
      </c>
      <c r="E10395" s="2" t="s">
        <v>4139</v>
      </c>
    </row>
    <row r="10396">
      <c r="A10396" s="2" t="s">
        <v>4949</v>
      </c>
      <c r="B10396" s="2" t="s">
        <v>5029</v>
      </c>
      <c r="C10396" s="2" t="s">
        <v>5874</v>
      </c>
      <c r="D10396" s="3" t="str">
        <f t="shared" si="2221"/>
        <v>12Go Link</v>
      </c>
      <c r="E10396" s="2" t="s">
        <v>3409</v>
      </c>
    </row>
    <row r="10397">
      <c r="A10397" s="2" t="s">
        <v>4949</v>
      </c>
      <c r="B10397" s="2" t="s">
        <v>5031</v>
      </c>
      <c r="C10397" s="2" t="s">
        <v>5875</v>
      </c>
      <c r="D10397" s="3" t="str">
        <f t="shared" ref="D10397:D10399" si="2222">HYPERLINK("https://12go.asia/en/travel/Deniyaya/Moronthuduwa", "12Go Link")</f>
        <v>12Go Link</v>
      </c>
      <c r="E10397" s="2" t="s">
        <v>286</v>
      </c>
    </row>
    <row r="10398">
      <c r="A10398" s="2" t="s">
        <v>4949</v>
      </c>
      <c r="B10398" s="2" t="s">
        <v>5031</v>
      </c>
      <c r="C10398" s="2" t="s">
        <v>5875</v>
      </c>
      <c r="D10398" s="3" t="str">
        <f t="shared" si="2222"/>
        <v>12Go Link</v>
      </c>
      <c r="E10398" s="2" t="s">
        <v>4139</v>
      </c>
    </row>
    <row r="10399">
      <c r="A10399" s="2" t="s">
        <v>4949</v>
      </c>
      <c r="B10399" s="2" t="s">
        <v>5031</v>
      </c>
      <c r="C10399" s="2" t="s">
        <v>5875</v>
      </c>
      <c r="D10399" s="3" t="str">
        <f t="shared" si="2222"/>
        <v>12Go Link</v>
      </c>
      <c r="E10399" s="2" t="s">
        <v>3409</v>
      </c>
    </row>
    <row r="10400">
      <c r="A10400" s="2" t="s">
        <v>4949</v>
      </c>
      <c r="B10400" s="2" t="s">
        <v>5031</v>
      </c>
      <c r="C10400" s="2" t="s">
        <v>5876</v>
      </c>
      <c r="D10400" s="3" t="str">
        <f t="shared" ref="D10400:D10402" si="2223">HYPERLINK("https://12go.asia/en/travel/Deniyaya/Waskaduwa", "12Go Link")</f>
        <v>12Go Link</v>
      </c>
      <c r="E10400" s="2" t="s">
        <v>286</v>
      </c>
    </row>
    <row r="10401">
      <c r="A10401" s="2" t="s">
        <v>4949</v>
      </c>
      <c r="B10401" s="2" t="s">
        <v>5031</v>
      </c>
      <c r="C10401" s="2" t="s">
        <v>5876</v>
      </c>
      <c r="D10401" s="3" t="str">
        <f t="shared" si="2223"/>
        <v>12Go Link</v>
      </c>
      <c r="E10401" s="2" t="s">
        <v>4139</v>
      </c>
    </row>
    <row r="10402">
      <c r="A10402" s="2" t="s">
        <v>4949</v>
      </c>
      <c r="B10402" s="2" t="s">
        <v>5031</v>
      </c>
      <c r="C10402" s="2" t="s">
        <v>5876</v>
      </c>
      <c r="D10402" s="3" t="str">
        <f t="shared" si="2223"/>
        <v>12Go Link</v>
      </c>
      <c r="E10402" s="2" t="s">
        <v>3409</v>
      </c>
    </row>
    <row r="10403">
      <c r="A10403" s="2" t="s">
        <v>4949</v>
      </c>
      <c r="B10403" s="2" t="s">
        <v>5034</v>
      </c>
      <c r="C10403" s="2" t="s">
        <v>5877</v>
      </c>
      <c r="D10403" s="3" t="str">
        <f t="shared" ref="D10403:D10405" si="2224">HYPERLINK("https://12go.asia/en/travel/Deniyaya/Weddagala", "12Go Link")</f>
        <v>12Go Link</v>
      </c>
      <c r="E10403" s="2" t="s">
        <v>286</v>
      </c>
    </row>
    <row r="10404">
      <c r="A10404" s="2" t="s">
        <v>4949</v>
      </c>
      <c r="B10404" s="2" t="s">
        <v>5034</v>
      </c>
      <c r="C10404" s="2" t="s">
        <v>5877</v>
      </c>
      <c r="D10404" s="3" t="str">
        <f t="shared" si="2224"/>
        <v>12Go Link</v>
      </c>
      <c r="E10404" s="2" t="s">
        <v>4139</v>
      </c>
    </row>
    <row r="10405">
      <c r="A10405" s="2" t="s">
        <v>4949</v>
      </c>
      <c r="B10405" s="2" t="s">
        <v>5034</v>
      </c>
      <c r="C10405" s="2" t="s">
        <v>5877</v>
      </c>
      <c r="D10405" s="3" t="str">
        <f t="shared" si="2224"/>
        <v>12Go Link</v>
      </c>
      <c r="E10405" s="2" t="s">
        <v>3409</v>
      </c>
    </row>
    <row r="10406">
      <c r="A10406" s="2" t="s">
        <v>4949</v>
      </c>
      <c r="B10406" s="2" t="s">
        <v>5036</v>
      </c>
      <c r="C10406" s="2" t="s">
        <v>5878</v>
      </c>
      <c r="D10406" s="3" t="str">
        <f t="shared" ref="D10406:D10408" si="2225">HYPERLINK("https://12go.asia/en/travel/Deniyaya/Weligatta", "12Go Link")</f>
        <v>12Go Link</v>
      </c>
      <c r="E10406" s="2" t="s">
        <v>286</v>
      </c>
    </row>
    <row r="10407">
      <c r="A10407" s="2" t="s">
        <v>4949</v>
      </c>
      <c r="B10407" s="2" t="s">
        <v>5036</v>
      </c>
      <c r="C10407" s="2" t="s">
        <v>5878</v>
      </c>
      <c r="D10407" s="3" t="str">
        <f t="shared" si="2225"/>
        <v>12Go Link</v>
      </c>
      <c r="E10407" s="2" t="s">
        <v>4139</v>
      </c>
    </row>
    <row r="10408">
      <c r="A10408" s="2" t="s">
        <v>4949</v>
      </c>
      <c r="B10408" s="2" t="s">
        <v>5036</v>
      </c>
      <c r="C10408" s="2" t="s">
        <v>5878</v>
      </c>
      <c r="D10408" s="3" t="str">
        <f t="shared" si="2225"/>
        <v>12Go Link</v>
      </c>
      <c r="E10408" s="2" t="s">
        <v>3409</v>
      </c>
    </row>
    <row r="10409">
      <c r="A10409" s="2" t="s">
        <v>4949</v>
      </c>
      <c r="B10409" s="2" t="s">
        <v>5038</v>
      </c>
      <c r="C10409" s="2" t="s">
        <v>5879</v>
      </c>
      <c r="D10409" s="3" t="str">
        <f t="shared" ref="D10409:D10411" si="2226">HYPERLINK("https://12go.asia/en/travel/Deniyaya/Akuressa", "12Go Link")</f>
        <v>12Go Link</v>
      </c>
      <c r="E10409" s="2" t="s">
        <v>286</v>
      </c>
    </row>
    <row r="10410">
      <c r="A10410" s="2" t="s">
        <v>4949</v>
      </c>
      <c r="B10410" s="2" t="s">
        <v>5038</v>
      </c>
      <c r="C10410" s="2" t="s">
        <v>5879</v>
      </c>
      <c r="D10410" s="3" t="str">
        <f t="shared" si="2226"/>
        <v>12Go Link</v>
      </c>
      <c r="E10410" s="2" t="s">
        <v>4139</v>
      </c>
    </row>
    <row r="10411">
      <c r="A10411" s="2" t="s">
        <v>4949</v>
      </c>
      <c r="B10411" s="2" t="s">
        <v>5038</v>
      </c>
      <c r="C10411" s="2" t="s">
        <v>5879</v>
      </c>
      <c r="D10411" s="3" t="str">
        <f t="shared" si="2226"/>
        <v>12Go Link</v>
      </c>
      <c r="E10411" s="2" t="s">
        <v>3409</v>
      </c>
    </row>
    <row r="10412">
      <c r="A10412" s="2" t="s">
        <v>4949</v>
      </c>
      <c r="B10412" s="2" t="s">
        <v>5040</v>
      </c>
      <c r="C10412" s="2" t="s">
        <v>5880</v>
      </c>
      <c r="D10412" s="3" t="str">
        <f t="shared" ref="D10412:D10414" si="2227">HYPERLINK("https://12go.asia/en/travel/Deniyaya/Wilpattu", "12Go Link")</f>
        <v>12Go Link</v>
      </c>
      <c r="E10412" s="2" t="s">
        <v>286</v>
      </c>
    </row>
    <row r="10413">
      <c r="A10413" s="2" t="s">
        <v>4949</v>
      </c>
      <c r="B10413" s="2" t="s">
        <v>5040</v>
      </c>
      <c r="C10413" s="2" t="s">
        <v>5880</v>
      </c>
      <c r="D10413" s="3" t="str">
        <f t="shared" si="2227"/>
        <v>12Go Link</v>
      </c>
      <c r="E10413" s="2" t="s">
        <v>4139</v>
      </c>
    </row>
    <row r="10414">
      <c r="A10414" s="2" t="s">
        <v>4949</v>
      </c>
      <c r="B10414" s="2" t="s">
        <v>5040</v>
      </c>
      <c r="C10414" s="2" t="s">
        <v>5880</v>
      </c>
      <c r="D10414" s="3" t="str">
        <f t="shared" si="2227"/>
        <v>12Go Link</v>
      </c>
      <c r="E10414" s="2" t="s">
        <v>3409</v>
      </c>
    </row>
    <row r="10415">
      <c r="A10415" s="2" t="s">
        <v>4951</v>
      </c>
      <c r="B10415" s="2" t="s">
        <v>4918</v>
      </c>
      <c r="C10415" s="2" t="s">
        <v>5881</v>
      </c>
      <c r="D10415" s="3" t="str">
        <f t="shared" ref="D10415:D10417" si="2228">HYPERLINK("https://12go.asia/en/travel/Dickwella/Adams-Peak", "12Go Link")</f>
        <v>12Go Link</v>
      </c>
      <c r="E10415" s="2" t="s">
        <v>286</v>
      </c>
    </row>
    <row r="10416">
      <c r="A10416" s="2" t="s">
        <v>4951</v>
      </c>
      <c r="B10416" s="2" t="s">
        <v>4918</v>
      </c>
      <c r="C10416" s="2" t="s">
        <v>5881</v>
      </c>
      <c r="D10416" s="3" t="str">
        <f t="shared" si="2228"/>
        <v>12Go Link</v>
      </c>
      <c r="E10416" s="2" t="s">
        <v>4139</v>
      </c>
    </row>
    <row r="10417">
      <c r="A10417" s="2" t="s">
        <v>4951</v>
      </c>
      <c r="B10417" s="2" t="s">
        <v>4918</v>
      </c>
      <c r="C10417" s="2" t="s">
        <v>5881</v>
      </c>
      <c r="D10417" s="3" t="str">
        <f t="shared" si="2228"/>
        <v>12Go Link</v>
      </c>
      <c r="E10417" s="2" t="s">
        <v>3409</v>
      </c>
    </row>
    <row r="10418">
      <c r="A10418" s="2" t="s">
        <v>4951</v>
      </c>
      <c r="B10418" s="2" t="s">
        <v>4918</v>
      </c>
      <c r="C10418" s="2" t="s">
        <v>5882</v>
      </c>
      <c r="D10418" s="3" t="str">
        <f t="shared" ref="D10418:D10420" si="2229">HYPERLINK("https://12go.asia/en/travel/Hiriketiya-beach/Adams-Peak", "12Go Link")</f>
        <v>12Go Link</v>
      </c>
      <c r="E10418" s="2" t="s">
        <v>286</v>
      </c>
    </row>
    <row r="10419">
      <c r="A10419" s="2" t="s">
        <v>4951</v>
      </c>
      <c r="B10419" s="2" t="s">
        <v>4918</v>
      </c>
      <c r="C10419" s="2" t="s">
        <v>5882</v>
      </c>
      <c r="D10419" s="3" t="str">
        <f t="shared" si="2229"/>
        <v>12Go Link</v>
      </c>
      <c r="E10419" s="2" t="s">
        <v>4139</v>
      </c>
    </row>
    <row r="10420">
      <c r="A10420" s="2" t="s">
        <v>4951</v>
      </c>
      <c r="B10420" s="2" t="s">
        <v>4918</v>
      </c>
      <c r="C10420" s="2" t="s">
        <v>5882</v>
      </c>
      <c r="D10420" s="3" t="str">
        <f t="shared" si="2229"/>
        <v>12Go Link</v>
      </c>
      <c r="E10420" s="2" t="s">
        <v>3409</v>
      </c>
    </row>
    <row r="10421">
      <c r="A10421" s="2" t="s">
        <v>4951</v>
      </c>
      <c r="B10421" s="2" t="s">
        <v>4919</v>
      </c>
      <c r="C10421" s="2" t="s">
        <v>5883</v>
      </c>
      <c r="D10421" s="3" t="str">
        <f t="shared" ref="D10421:D10423" si="2230">HYPERLINK("https://12go.asia/en/travel/Dickwella/Ahangama", "12Go Link")</f>
        <v>12Go Link</v>
      </c>
      <c r="E10421" s="2" t="s">
        <v>286</v>
      </c>
    </row>
    <row r="10422">
      <c r="A10422" s="2" t="s">
        <v>4951</v>
      </c>
      <c r="B10422" s="2" t="s">
        <v>4919</v>
      </c>
      <c r="C10422" s="2" t="s">
        <v>5883</v>
      </c>
      <c r="D10422" s="3" t="str">
        <f t="shared" si="2230"/>
        <v>12Go Link</v>
      </c>
      <c r="E10422" s="2" t="s">
        <v>4139</v>
      </c>
    </row>
    <row r="10423">
      <c r="A10423" s="2" t="s">
        <v>4951</v>
      </c>
      <c r="B10423" s="2" t="s">
        <v>4919</v>
      </c>
      <c r="C10423" s="2" t="s">
        <v>5883</v>
      </c>
      <c r="D10423" s="3" t="str">
        <f t="shared" si="2230"/>
        <v>12Go Link</v>
      </c>
      <c r="E10423" s="2" t="s">
        <v>3409</v>
      </c>
    </row>
    <row r="10424">
      <c r="A10424" s="2" t="s">
        <v>4951</v>
      </c>
      <c r="B10424" s="2" t="s">
        <v>4919</v>
      </c>
      <c r="C10424" s="2" t="s">
        <v>5884</v>
      </c>
      <c r="D10424" s="3" t="str">
        <f t="shared" ref="D10424:D10426" si="2231">HYPERLINK("https://12go.asia/en/travel/Hiriketiya-beach/Ahangama", "12Go Link")</f>
        <v>12Go Link</v>
      </c>
      <c r="E10424" s="2" t="s">
        <v>286</v>
      </c>
    </row>
    <row r="10425">
      <c r="A10425" s="2" t="s">
        <v>4951</v>
      </c>
      <c r="B10425" s="2" t="s">
        <v>4919</v>
      </c>
      <c r="C10425" s="2" t="s">
        <v>5884</v>
      </c>
      <c r="D10425" s="3" t="str">
        <f t="shared" si="2231"/>
        <v>12Go Link</v>
      </c>
      <c r="E10425" s="2" t="s">
        <v>4139</v>
      </c>
    </row>
    <row r="10426">
      <c r="A10426" s="2" t="s">
        <v>4951</v>
      </c>
      <c r="B10426" s="2" t="s">
        <v>4919</v>
      </c>
      <c r="C10426" s="2" t="s">
        <v>5884</v>
      </c>
      <c r="D10426" s="3" t="str">
        <f t="shared" si="2231"/>
        <v>12Go Link</v>
      </c>
      <c r="E10426" s="2" t="s">
        <v>3409</v>
      </c>
    </row>
    <row r="10427">
      <c r="A10427" s="2" t="s">
        <v>4951</v>
      </c>
      <c r="B10427" s="2" t="s">
        <v>4921</v>
      </c>
      <c r="C10427" s="2" t="s">
        <v>5885</v>
      </c>
      <c r="D10427" s="3" t="str">
        <f t="shared" ref="D10427:D10429" si="2232">HYPERLINK("https://12go.asia/en/travel/Dickwella/Ahungalla", "12Go Link")</f>
        <v>12Go Link</v>
      </c>
      <c r="E10427" s="2" t="s">
        <v>286</v>
      </c>
    </row>
    <row r="10428">
      <c r="A10428" s="2" t="s">
        <v>4951</v>
      </c>
      <c r="B10428" s="2" t="s">
        <v>4921</v>
      </c>
      <c r="C10428" s="2" t="s">
        <v>5885</v>
      </c>
      <c r="D10428" s="3" t="str">
        <f t="shared" si="2232"/>
        <v>12Go Link</v>
      </c>
      <c r="E10428" s="2" t="s">
        <v>4139</v>
      </c>
    </row>
    <row r="10429">
      <c r="A10429" s="2" t="s">
        <v>4951</v>
      </c>
      <c r="B10429" s="2" t="s">
        <v>4921</v>
      </c>
      <c r="C10429" s="2" t="s">
        <v>5885</v>
      </c>
      <c r="D10429" s="3" t="str">
        <f t="shared" si="2232"/>
        <v>12Go Link</v>
      </c>
      <c r="E10429" s="2" t="s">
        <v>3409</v>
      </c>
    </row>
    <row r="10430">
      <c r="A10430" s="2" t="s">
        <v>4951</v>
      </c>
      <c r="B10430" s="2" t="s">
        <v>4921</v>
      </c>
      <c r="C10430" s="2" t="s">
        <v>5886</v>
      </c>
      <c r="D10430" s="3" t="str">
        <f t="shared" ref="D10430:D10432" si="2233">HYPERLINK("https://12go.asia/en/travel/Hiriketiya-beach/Ahungalla", "12Go Link")</f>
        <v>12Go Link</v>
      </c>
      <c r="E10430" s="2" t="s">
        <v>286</v>
      </c>
    </row>
    <row r="10431">
      <c r="A10431" s="2" t="s">
        <v>4951</v>
      </c>
      <c r="B10431" s="2" t="s">
        <v>4921</v>
      </c>
      <c r="C10431" s="2" t="s">
        <v>5886</v>
      </c>
      <c r="D10431" s="3" t="str">
        <f t="shared" si="2233"/>
        <v>12Go Link</v>
      </c>
      <c r="E10431" s="2" t="s">
        <v>4139</v>
      </c>
    </row>
    <row r="10432">
      <c r="A10432" s="2" t="s">
        <v>4951</v>
      </c>
      <c r="B10432" s="2" t="s">
        <v>4921</v>
      </c>
      <c r="C10432" s="2" t="s">
        <v>5886</v>
      </c>
      <c r="D10432" s="3" t="str">
        <f t="shared" si="2233"/>
        <v>12Go Link</v>
      </c>
      <c r="E10432" s="2" t="s">
        <v>3409</v>
      </c>
    </row>
    <row r="10433">
      <c r="A10433" s="2" t="s">
        <v>4951</v>
      </c>
      <c r="B10433" s="2" t="s">
        <v>4923</v>
      </c>
      <c r="C10433" s="2" t="s">
        <v>5887</v>
      </c>
      <c r="D10433" s="3" t="str">
        <f t="shared" ref="D10433:D10435" si="2234">HYPERLINK("https://12go.asia/en/travel/Dickwella/Aluthgama", "12Go Link")</f>
        <v>12Go Link</v>
      </c>
      <c r="E10433" s="2" t="s">
        <v>286</v>
      </c>
    </row>
    <row r="10434">
      <c r="A10434" s="2" t="s">
        <v>4951</v>
      </c>
      <c r="B10434" s="2" t="s">
        <v>4923</v>
      </c>
      <c r="C10434" s="2" t="s">
        <v>5887</v>
      </c>
      <c r="D10434" s="3" t="str">
        <f t="shared" si="2234"/>
        <v>12Go Link</v>
      </c>
      <c r="E10434" s="2" t="s">
        <v>4139</v>
      </c>
    </row>
    <row r="10435">
      <c r="A10435" s="2" t="s">
        <v>4951</v>
      </c>
      <c r="B10435" s="2" t="s">
        <v>4923</v>
      </c>
      <c r="C10435" s="2" t="s">
        <v>5887</v>
      </c>
      <c r="D10435" s="3" t="str">
        <f t="shared" si="2234"/>
        <v>12Go Link</v>
      </c>
      <c r="E10435" s="2" t="s">
        <v>3409</v>
      </c>
    </row>
    <row r="10436">
      <c r="A10436" s="2" t="s">
        <v>4951</v>
      </c>
      <c r="B10436" s="2" t="s">
        <v>4923</v>
      </c>
      <c r="C10436" s="2" t="s">
        <v>5888</v>
      </c>
      <c r="D10436" s="3" t="str">
        <f t="shared" ref="D10436:D10438" si="2235">HYPERLINK("https://12go.asia/en/travel/Hiriketiya-beach/Aluthgama", "12Go Link")</f>
        <v>12Go Link</v>
      </c>
      <c r="E10436" s="2" t="s">
        <v>286</v>
      </c>
    </row>
    <row r="10437">
      <c r="A10437" s="2" t="s">
        <v>4951</v>
      </c>
      <c r="B10437" s="2" t="s">
        <v>4923</v>
      </c>
      <c r="C10437" s="2" t="s">
        <v>5888</v>
      </c>
      <c r="D10437" s="3" t="str">
        <f t="shared" si="2235"/>
        <v>12Go Link</v>
      </c>
      <c r="E10437" s="2" t="s">
        <v>4139</v>
      </c>
    </row>
    <row r="10438">
      <c r="A10438" s="2" t="s">
        <v>4951</v>
      </c>
      <c r="B10438" s="2" t="s">
        <v>4923</v>
      </c>
      <c r="C10438" s="2" t="s">
        <v>5888</v>
      </c>
      <c r="D10438" s="3" t="str">
        <f t="shared" si="2235"/>
        <v>12Go Link</v>
      </c>
      <c r="E10438" s="2" t="s">
        <v>3409</v>
      </c>
    </row>
    <row r="10439">
      <c r="A10439" s="2" t="s">
        <v>4951</v>
      </c>
      <c r="B10439" s="2" t="s">
        <v>4925</v>
      </c>
      <c r="C10439" s="2" t="s">
        <v>5889</v>
      </c>
      <c r="D10439" s="3" t="str">
        <f t="shared" ref="D10439:D10441" si="2236">HYPERLINK("https://12go.asia/en/travel/Dickwella/Ambalangoda", "12Go Link")</f>
        <v>12Go Link</v>
      </c>
      <c r="E10439" s="2" t="s">
        <v>286</v>
      </c>
    </row>
    <row r="10440">
      <c r="A10440" s="2" t="s">
        <v>4951</v>
      </c>
      <c r="B10440" s="2" t="s">
        <v>4925</v>
      </c>
      <c r="C10440" s="2" t="s">
        <v>5889</v>
      </c>
      <c r="D10440" s="3" t="str">
        <f t="shared" si="2236"/>
        <v>12Go Link</v>
      </c>
      <c r="E10440" s="2" t="s">
        <v>4139</v>
      </c>
    </row>
    <row r="10441">
      <c r="A10441" s="2" t="s">
        <v>4951</v>
      </c>
      <c r="B10441" s="2" t="s">
        <v>4925</v>
      </c>
      <c r="C10441" s="2" t="s">
        <v>5889</v>
      </c>
      <c r="D10441" s="3" t="str">
        <f t="shared" si="2236"/>
        <v>12Go Link</v>
      </c>
      <c r="E10441" s="2" t="s">
        <v>3409</v>
      </c>
    </row>
    <row r="10442">
      <c r="A10442" s="2" t="s">
        <v>4951</v>
      </c>
      <c r="B10442" s="2" t="s">
        <v>4925</v>
      </c>
      <c r="C10442" s="2" t="s">
        <v>5890</v>
      </c>
      <c r="D10442" s="3" t="str">
        <f t="shared" ref="D10442:D10444" si="2237">HYPERLINK("https://12go.asia/en/travel/Hiriketiya-beach/Ambalangoda", "12Go Link")</f>
        <v>12Go Link</v>
      </c>
      <c r="E10442" s="2" t="s">
        <v>286</v>
      </c>
    </row>
    <row r="10443">
      <c r="A10443" s="2" t="s">
        <v>4951</v>
      </c>
      <c r="B10443" s="2" t="s">
        <v>4925</v>
      </c>
      <c r="C10443" s="2" t="s">
        <v>5890</v>
      </c>
      <c r="D10443" s="3" t="str">
        <f t="shared" si="2237"/>
        <v>12Go Link</v>
      </c>
      <c r="E10443" s="2" t="s">
        <v>4139</v>
      </c>
    </row>
    <row r="10444">
      <c r="A10444" s="2" t="s">
        <v>4951</v>
      </c>
      <c r="B10444" s="2" t="s">
        <v>4925</v>
      </c>
      <c r="C10444" s="2" t="s">
        <v>5890</v>
      </c>
      <c r="D10444" s="3" t="str">
        <f t="shared" si="2237"/>
        <v>12Go Link</v>
      </c>
      <c r="E10444" s="2" t="s">
        <v>3409</v>
      </c>
    </row>
    <row r="10445">
      <c r="A10445" s="2" t="s">
        <v>4951</v>
      </c>
      <c r="B10445" s="2" t="s">
        <v>4927</v>
      </c>
      <c r="C10445" s="2" t="s">
        <v>5891</v>
      </c>
      <c r="D10445" s="3" t="str">
        <f t="shared" ref="D10445:D10447" si="2238">HYPERLINK("https://12go.asia/en/travel/Dickwella/Ambalantota", "12Go Link")</f>
        <v>12Go Link</v>
      </c>
      <c r="E10445" s="2" t="s">
        <v>286</v>
      </c>
    </row>
    <row r="10446">
      <c r="A10446" s="2" t="s">
        <v>4951</v>
      </c>
      <c r="B10446" s="2" t="s">
        <v>4927</v>
      </c>
      <c r="C10446" s="2" t="s">
        <v>5891</v>
      </c>
      <c r="D10446" s="3" t="str">
        <f t="shared" si="2238"/>
        <v>12Go Link</v>
      </c>
      <c r="E10446" s="2" t="s">
        <v>4139</v>
      </c>
    </row>
    <row r="10447">
      <c r="A10447" s="2" t="s">
        <v>4951</v>
      </c>
      <c r="B10447" s="2" t="s">
        <v>4927</v>
      </c>
      <c r="C10447" s="2" t="s">
        <v>5891</v>
      </c>
      <c r="D10447" s="3" t="str">
        <f t="shared" si="2238"/>
        <v>12Go Link</v>
      </c>
      <c r="E10447" s="2" t="s">
        <v>3409</v>
      </c>
    </row>
    <row r="10448">
      <c r="A10448" s="2" t="s">
        <v>4951</v>
      </c>
      <c r="B10448" s="2" t="s">
        <v>4927</v>
      </c>
      <c r="C10448" s="2" t="s">
        <v>5892</v>
      </c>
      <c r="D10448" s="3" t="str">
        <f t="shared" ref="D10448:D10450" si="2239">HYPERLINK("https://12go.asia/en/travel/Hiriketiya-beach/Ambalantota", "12Go Link")</f>
        <v>12Go Link</v>
      </c>
      <c r="E10448" s="2" t="s">
        <v>286</v>
      </c>
    </row>
    <row r="10449">
      <c r="A10449" s="2" t="s">
        <v>4951</v>
      </c>
      <c r="B10449" s="2" t="s">
        <v>4927</v>
      </c>
      <c r="C10449" s="2" t="s">
        <v>5892</v>
      </c>
      <c r="D10449" s="3" t="str">
        <f t="shared" si="2239"/>
        <v>12Go Link</v>
      </c>
      <c r="E10449" s="2" t="s">
        <v>4139</v>
      </c>
    </row>
    <row r="10450">
      <c r="A10450" s="2" t="s">
        <v>4951</v>
      </c>
      <c r="B10450" s="2" t="s">
        <v>4927</v>
      </c>
      <c r="C10450" s="2" t="s">
        <v>5892</v>
      </c>
      <c r="D10450" s="3" t="str">
        <f t="shared" si="2239"/>
        <v>12Go Link</v>
      </c>
      <c r="E10450" s="2" t="s">
        <v>3409</v>
      </c>
    </row>
    <row r="10451">
      <c r="A10451" s="2" t="s">
        <v>4951</v>
      </c>
      <c r="B10451" s="2" t="s">
        <v>4929</v>
      </c>
      <c r="C10451" s="2" t="s">
        <v>5893</v>
      </c>
      <c r="D10451" s="3" t="str">
        <f t="shared" ref="D10451:D10453" si="2240">HYPERLINK("https://12go.asia/en/travel/Dickwella/Anuradhapura", "12Go Link")</f>
        <v>12Go Link</v>
      </c>
      <c r="E10451" s="2" t="s">
        <v>286</v>
      </c>
    </row>
    <row r="10452">
      <c r="A10452" s="2" t="s">
        <v>4951</v>
      </c>
      <c r="B10452" s="2" t="s">
        <v>4929</v>
      </c>
      <c r="C10452" s="2" t="s">
        <v>5893</v>
      </c>
      <c r="D10452" s="3" t="str">
        <f t="shared" si="2240"/>
        <v>12Go Link</v>
      </c>
      <c r="E10452" s="2" t="s">
        <v>4139</v>
      </c>
    </row>
    <row r="10453">
      <c r="A10453" s="2" t="s">
        <v>4951</v>
      </c>
      <c r="B10453" s="2" t="s">
        <v>4929</v>
      </c>
      <c r="C10453" s="2" t="s">
        <v>5893</v>
      </c>
      <c r="D10453" s="3" t="str">
        <f t="shared" si="2240"/>
        <v>12Go Link</v>
      </c>
      <c r="E10453" s="2" t="s">
        <v>3409</v>
      </c>
    </row>
    <row r="10454">
      <c r="A10454" s="2" t="s">
        <v>4951</v>
      </c>
      <c r="B10454" s="2" t="s">
        <v>4929</v>
      </c>
      <c r="C10454" s="2" t="s">
        <v>5894</v>
      </c>
      <c r="D10454" s="3" t="str">
        <f t="shared" ref="D10454:D10456" si="2241">HYPERLINK("https://12go.asia/en/travel/Hiriketiya-beach/Anuradhapura", "12Go Link")</f>
        <v>12Go Link</v>
      </c>
      <c r="E10454" s="2" t="s">
        <v>286</v>
      </c>
    </row>
    <row r="10455">
      <c r="A10455" s="2" t="s">
        <v>4951</v>
      </c>
      <c r="B10455" s="2" t="s">
        <v>4929</v>
      </c>
      <c r="C10455" s="2" t="s">
        <v>5894</v>
      </c>
      <c r="D10455" s="3" t="str">
        <f t="shared" si="2241"/>
        <v>12Go Link</v>
      </c>
      <c r="E10455" s="2" t="s">
        <v>4139</v>
      </c>
    </row>
    <row r="10456">
      <c r="A10456" s="2" t="s">
        <v>4951</v>
      </c>
      <c r="B10456" s="2" t="s">
        <v>4929</v>
      </c>
      <c r="C10456" s="2" t="s">
        <v>5894</v>
      </c>
      <c r="D10456" s="3" t="str">
        <f t="shared" si="2241"/>
        <v>12Go Link</v>
      </c>
      <c r="E10456" s="2" t="s">
        <v>3409</v>
      </c>
    </row>
    <row r="10457">
      <c r="A10457" s="2" t="s">
        <v>4951</v>
      </c>
      <c r="B10457" s="2" t="s">
        <v>4931</v>
      </c>
      <c r="C10457" s="2" t="s">
        <v>5895</v>
      </c>
      <c r="D10457" s="3" t="str">
        <f t="shared" ref="D10457:D10459" si="2242">HYPERLINK("https://12go.asia/en/travel/Dickwella/Arugam-bay", "12Go Link")</f>
        <v>12Go Link</v>
      </c>
      <c r="E10457" s="2" t="s">
        <v>286</v>
      </c>
    </row>
    <row r="10458">
      <c r="A10458" s="2" t="s">
        <v>4951</v>
      </c>
      <c r="B10458" s="2" t="s">
        <v>4931</v>
      </c>
      <c r="C10458" s="2" t="s">
        <v>5895</v>
      </c>
      <c r="D10458" s="3" t="str">
        <f t="shared" si="2242"/>
        <v>12Go Link</v>
      </c>
      <c r="E10458" s="2" t="s">
        <v>4139</v>
      </c>
    </row>
    <row r="10459">
      <c r="A10459" s="2" t="s">
        <v>4951</v>
      </c>
      <c r="B10459" s="2" t="s">
        <v>4931</v>
      </c>
      <c r="C10459" s="2" t="s">
        <v>5895</v>
      </c>
      <c r="D10459" s="3" t="str">
        <f t="shared" si="2242"/>
        <v>12Go Link</v>
      </c>
      <c r="E10459" s="2" t="s">
        <v>3409</v>
      </c>
    </row>
    <row r="10460">
      <c r="A10460" s="2" t="s">
        <v>4951</v>
      </c>
      <c r="B10460" s="2" t="s">
        <v>4931</v>
      </c>
      <c r="C10460" s="2" t="s">
        <v>5896</v>
      </c>
      <c r="D10460" s="3" t="str">
        <f t="shared" ref="D10460:D10462" si="2243">HYPERLINK("https://12go.asia/en/travel/Hiriketiya-beach/Arugam-bay", "12Go Link")</f>
        <v>12Go Link</v>
      </c>
      <c r="E10460" s="2" t="s">
        <v>286</v>
      </c>
    </row>
    <row r="10461">
      <c r="A10461" s="2" t="s">
        <v>4951</v>
      </c>
      <c r="B10461" s="2" t="s">
        <v>4931</v>
      </c>
      <c r="C10461" s="2" t="s">
        <v>5896</v>
      </c>
      <c r="D10461" s="3" t="str">
        <f t="shared" si="2243"/>
        <v>12Go Link</v>
      </c>
      <c r="E10461" s="2" t="s">
        <v>4139</v>
      </c>
    </row>
    <row r="10462">
      <c r="A10462" s="2" t="s">
        <v>4951</v>
      </c>
      <c r="B10462" s="2" t="s">
        <v>4931</v>
      </c>
      <c r="C10462" s="2" t="s">
        <v>5896</v>
      </c>
      <c r="D10462" s="3" t="str">
        <f t="shared" si="2243"/>
        <v>12Go Link</v>
      </c>
      <c r="E10462" s="2" t="s">
        <v>3409</v>
      </c>
    </row>
    <row r="10463">
      <c r="A10463" s="2" t="s">
        <v>4951</v>
      </c>
      <c r="B10463" s="2" t="s">
        <v>4933</v>
      </c>
      <c r="C10463" s="2" t="s">
        <v>5897</v>
      </c>
      <c r="D10463" s="3" t="str">
        <f t="shared" ref="D10463:D10465" si="2244">HYPERLINK("https://12go.asia/en/travel/Dickwella/balapitiya", "12Go Link")</f>
        <v>12Go Link</v>
      </c>
      <c r="E10463" s="2" t="s">
        <v>286</v>
      </c>
    </row>
    <row r="10464">
      <c r="A10464" s="2" t="s">
        <v>4951</v>
      </c>
      <c r="B10464" s="2" t="s">
        <v>4933</v>
      </c>
      <c r="C10464" s="2" t="s">
        <v>5897</v>
      </c>
      <c r="D10464" s="3" t="str">
        <f t="shared" si="2244"/>
        <v>12Go Link</v>
      </c>
      <c r="E10464" s="2" t="s">
        <v>4139</v>
      </c>
    </row>
    <row r="10465">
      <c r="A10465" s="2" t="s">
        <v>4951</v>
      </c>
      <c r="B10465" s="2" t="s">
        <v>4933</v>
      </c>
      <c r="C10465" s="2" t="s">
        <v>5897</v>
      </c>
      <c r="D10465" s="3" t="str">
        <f t="shared" si="2244"/>
        <v>12Go Link</v>
      </c>
      <c r="E10465" s="2" t="s">
        <v>3409</v>
      </c>
    </row>
    <row r="10466">
      <c r="A10466" s="2" t="s">
        <v>4951</v>
      </c>
      <c r="B10466" s="2" t="s">
        <v>4933</v>
      </c>
      <c r="C10466" s="2" t="s">
        <v>5898</v>
      </c>
      <c r="D10466" s="3" t="str">
        <f t="shared" ref="D10466:D10468" si="2245">HYPERLINK("https://12go.asia/en/travel/Hiriketiya-beach/balapitiya", "12Go Link")</f>
        <v>12Go Link</v>
      </c>
      <c r="E10466" s="2" t="s">
        <v>286</v>
      </c>
    </row>
    <row r="10467">
      <c r="A10467" s="2" t="s">
        <v>4951</v>
      </c>
      <c r="B10467" s="2" t="s">
        <v>4933</v>
      </c>
      <c r="C10467" s="2" t="s">
        <v>5898</v>
      </c>
      <c r="D10467" s="3" t="str">
        <f t="shared" si="2245"/>
        <v>12Go Link</v>
      </c>
      <c r="E10467" s="2" t="s">
        <v>4139</v>
      </c>
    </row>
    <row r="10468">
      <c r="A10468" s="2" t="s">
        <v>4951</v>
      </c>
      <c r="B10468" s="2" t="s">
        <v>4933</v>
      </c>
      <c r="C10468" s="2" t="s">
        <v>5898</v>
      </c>
      <c r="D10468" s="3" t="str">
        <f t="shared" si="2245"/>
        <v>12Go Link</v>
      </c>
      <c r="E10468" s="2" t="s">
        <v>3409</v>
      </c>
    </row>
    <row r="10469">
      <c r="A10469" s="2" t="s">
        <v>4951</v>
      </c>
      <c r="B10469" s="2" t="s">
        <v>4935</v>
      </c>
      <c r="C10469" s="2" t="s">
        <v>5899</v>
      </c>
      <c r="D10469" s="3" t="str">
        <f t="shared" ref="D10469:D10471" si="2246">HYPERLINK("https://12go.asia/en/travel/Dickwella/Batticaloa", "12Go Link")</f>
        <v>12Go Link</v>
      </c>
      <c r="E10469" s="2" t="s">
        <v>286</v>
      </c>
    </row>
    <row r="10470">
      <c r="A10470" s="2" t="s">
        <v>4951</v>
      </c>
      <c r="B10470" s="2" t="s">
        <v>4935</v>
      </c>
      <c r="C10470" s="2" t="s">
        <v>5899</v>
      </c>
      <c r="D10470" s="3" t="str">
        <f t="shared" si="2246"/>
        <v>12Go Link</v>
      </c>
      <c r="E10470" s="2" t="s">
        <v>4139</v>
      </c>
    </row>
    <row r="10471">
      <c r="A10471" s="2" t="s">
        <v>4951</v>
      </c>
      <c r="B10471" s="2" t="s">
        <v>4935</v>
      </c>
      <c r="C10471" s="2" t="s">
        <v>5899</v>
      </c>
      <c r="D10471" s="3" t="str">
        <f t="shared" si="2246"/>
        <v>12Go Link</v>
      </c>
      <c r="E10471" s="2" t="s">
        <v>3409</v>
      </c>
    </row>
    <row r="10472">
      <c r="A10472" s="2" t="s">
        <v>4951</v>
      </c>
      <c r="B10472" s="2" t="s">
        <v>4935</v>
      </c>
      <c r="C10472" s="2" t="s">
        <v>5900</v>
      </c>
      <c r="D10472" s="3" t="str">
        <f t="shared" ref="D10472:D10474" si="2247">HYPERLINK("https://12go.asia/en/travel/Hiriketiya-beach/Batticaloa", "12Go Link")</f>
        <v>12Go Link</v>
      </c>
      <c r="E10472" s="2" t="s">
        <v>286</v>
      </c>
    </row>
    <row r="10473">
      <c r="A10473" s="2" t="s">
        <v>4951</v>
      </c>
      <c r="B10473" s="2" t="s">
        <v>4935</v>
      </c>
      <c r="C10473" s="2" t="s">
        <v>5900</v>
      </c>
      <c r="D10473" s="3" t="str">
        <f t="shared" si="2247"/>
        <v>12Go Link</v>
      </c>
      <c r="E10473" s="2" t="s">
        <v>4139</v>
      </c>
    </row>
    <row r="10474">
      <c r="A10474" s="2" t="s">
        <v>4951</v>
      </c>
      <c r="B10474" s="2" t="s">
        <v>4935</v>
      </c>
      <c r="C10474" s="2" t="s">
        <v>5900</v>
      </c>
      <c r="D10474" s="3" t="str">
        <f t="shared" si="2247"/>
        <v>12Go Link</v>
      </c>
      <c r="E10474" s="2" t="s">
        <v>3409</v>
      </c>
    </row>
    <row r="10475">
      <c r="A10475" s="2" t="s">
        <v>4951</v>
      </c>
      <c r="B10475" s="2" t="s">
        <v>4937</v>
      </c>
      <c r="C10475" s="2" t="s">
        <v>5901</v>
      </c>
      <c r="D10475" s="3" t="str">
        <f t="shared" ref="D10475:D10477" si="2248">HYPERLINK("https://12go.asia/en/travel/Dickwella/Bentota", "12Go Link")</f>
        <v>12Go Link</v>
      </c>
      <c r="E10475" s="2" t="s">
        <v>286</v>
      </c>
    </row>
    <row r="10476">
      <c r="A10476" s="2" t="s">
        <v>4951</v>
      </c>
      <c r="B10476" s="2" t="s">
        <v>4937</v>
      </c>
      <c r="C10476" s="2" t="s">
        <v>5901</v>
      </c>
      <c r="D10476" s="3" t="str">
        <f t="shared" si="2248"/>
        <v>12Go Link</v>
      </c>
      <c r="E10476" s="2" t="s">
        <v>4139</v>
      </c>
    </row>
    <row r="10477">
      <c r="A10477" s="2" t="s">
        <v>4951</v>
      </c>
      <c r="B10477" s="2" t="s">
        <v>4937</v>
      </c>
      <c r="C10477" s="2" t="s">
        <v>5901</v>
      </c>
      <c r="D10477" s="3" t="str">
        <f t="shared" si="2248"/>
        <v>12Go Link</v>
      </c>
      <c r="E10477" s="2" t="s">
        <v>3409</v>
      </c>
    </row>
    <row r="10478">
      <c r="A10478" s="2" t="s">
        <v>4951</v>
      </c>
      <c r="B10478" s="2" t="s">
        <v>4937</v>
      </c>
      <c r="C10478" s="2" t="s">
        <v>5902</v>
      </c>
      <c r="D10478" s="3" t="str">
        <f t="shared" ref="D10478:D10480" si="2249">HYPERLINK("https://12go.asia/en/travel/Hiriketiya-beach/Bentota", "12Go Link")</f>
        <v>12Go Link</v>
      </c>
      <c r="E10478" s="2" t="s">
        <v>286</v>
      </c>
    </row>
    <row r="10479">
      <c r="A10479" s="2" t="s">
        <v>4951</v>
      </c>
      <c r="B10479" s="2" t="s">
        <v>4937</v>
      </c>
      <c r="C10479" s="2" t="s">
        <v>5902</v>
      </c>
      <c r="D10479" s="3" t="str">
        <f t="shared" si="2249"/>
        <v>12Go Link</v>
      </c>
      <c r="E10479" s="2" t="s">
        <v>4139</v>
      </c>
    </row>
    <row r="10480">
      <c r="A10480" s="2" t="s">
        <v>4951</v>
      </c>
      <c r="B10480" s="2" t="s">
        <v>4937</v>
      </c>
      <c r="C10480" s="2" t="s">
        <v>5902</v>
      </c>
      <c r="D10480" s="3" t="str">
        <f t="shared" si="2249"/>
        <v>12Go Link</v>
      </c>
      <c r="E10480" s="2" t="s">
        <v>3409</v>
      </c>
    </row>
    <row r="10481">
      <c r="A10481" s="2" t="s">
        <v>4951</v>
      </c>
      <c r="B10481" s="2" t="s">
        <v>4939</v>
      </c>
      <c r="C10481" s="2" t="s">
        <v>5903</v>
      </c>
      <c r="D10481" s="3" t="str">
        <f t="shared" ref="D10481:D10483" si="2250">HYPERLINK("https://12go.asia/en/travel/Dickwella/Beruwala", "12Go Link")</f>
        <v>12Go Link</v>
      </c>
      <c r="E10481" s="2" t="s">
        <v>286</v>
      </c>
    </row>
    <row r="10482">
      <c r="A10482" s="2" t="s">
        <v>4951</v>
      </c>
      <c r="B10482" s="2" t="s">
        <v>4939</v>
      </c>
      <c r="C10482" s="2" t="s">
        <v>5903</v>
      </c>
      <c r="D10482" s="3" t="str">
        <f t="shared" si="2250"/>
        <v>12Go Link</v>
      </c>
      <c r="E10482" s="2" t="s">
        <v>4139</v>
      </c>
    </row>
    <row r="10483">
      <c r="A10483" s="2" t="s">
        <v>4951</v>
      </c>
      <c r="B10483" s="2" t="s">
        <v>4939</v>
      </c>
      <c r="C10483" s="2" t="s">
        <v>5903</v>
      </c>
      <c r="D10483" s="3" t="str">
        <f t="shared" si="2250"/>
        <v>12Go Link</v>
      </c>
      <c r="E10483" s="2" t="s">
        <v>3409</v>
      </c>
    </row>
    <row r="10484">
      <c r="A10484" s="2" t="s">
        <v>4951</v>
      </c>
      <c r="B10484" s="2" t="s">
        <v>4939</v>
      </c>
      <c r="C10484" s="2" t="s">
        <v>5904</v>
      </c>
      <c r="D10484" s="3" t="str">
        <f t="shared" ref="D10484:D10486" si="2251">HYPERLINK("https://12go.asia/en/travel/Hiriketiya-beach/Beruwala", "12Go Link")</f>
        <v>12Go Link</v>
      </c>
      <c r="E10484" s="2" t="s">
        <v>286</v>
      </c>
    </row>
    <row r="10485">
      <c r="A10485" s="2" t="s">
        <v>4951</v>
      </c>
      <c r="B10485" s="2" t="s">
        <v>4939</v>
      </c>
      <c r="C10485" s="2" t="s">
        <v>5904</v>
      </c>
      <c r="D10485" s="3" t="str">
        <f t="shared" si="2251"/>
        <v>12Go Link</v>
      </c>
      <c r="E10485" s="2" t="s">
        <v>4139</v>
      </c>
    </row>
    <row r="10486">
      <c r="A10486" s="2" t="s">
        <v>4951</v>
      </c>
      <c r="B10486" s="2" t="s">
        <v>4939</v>
      </c>
      <c r="C10486" s="2" t="s">
        <v>5904</v>
      </c>
      <c r="D10486" s="3" t="str">
        <f t="shared" si="2251"/>
        <v>12Go Link</v>
      </c>
      <c r="E10486" s="2" t="s">
        <v>3409</v>
      </c>
    </row>
    <row r="10487">
      <c r="A10487" s="2" t="s">
        <v>4951</v>
      </c>
      <c r="B10487" s="2" t="s">
        <v>4941</v>
      </c>
      <c r="C10487" s="2" t="s">
        <v>5905</v>
      </c>
      <c r="D10487" s="3" t="str">
        <f t="shared" ref="D10487:D10489" si="2252">HYPERLINK("https://12go.asia/en/travel/Dickwella/Bundala", "12Go Link")</f>
        <v>12Go Link</v>
      </c>
      <c r="E10487" s="2" t="s">
        <v>286</v>
      </c>
    </row>
    <row r="10488">
      <c r="A10488" s="2" t="s">
        <v>4951</v>
      </c>
      <c r="B10488" s="2" t="s">
        <v>4941</v>
      </c>
      <c r="C10488" s="2" t="s">
        <v>5905</v>
      </c>
      <c r="D10488" s="3" t="str">
        <f t="shared" si="2252"/>
        <v>12Go Link</v>
      </c>
      <c r="E10488" s="2" t="s">
        <v>4139</v>
      </c>
    </row>
    <row r="10489">
      <c r="A10489" s="2" t="s">
        <v>4951</v>
      </c>
      <c r="B10489" s="2" t="s">
        <v>4941</v>
      </c>
      <c r="C10489" s="2" t="s">
        <v>5905</v>
      </c>
      <c r="D10489" s="3" t="str">
        <f t="shared" si="2252"/>
        <v>12Go Link</v>
      </c>
      <c r="E10489" s="2" t="s">
        <v>3409</v>
      </c>
    </row>
    <row r="10490">
      <c r="A10490" s="2" t="s">
        <v>4951</v>
      </c>
      <c r="B10490" s="2" t="s">
        <v>4941</v>
      </c>
      <c r="C10490" s="2" t="s">
        <v>5906</v>
      </c>
      <c r="D10490" s="3" t="str">
        <f t="shared" ref="D10490:D10492" si="2253">HYPERLINK("https://12go.asia/en/travel/Hiriketiya-beach/Bundala", "12Go Link")</f>
        <v>12Go Link</v>
      </c>
      <c r="E10490" s="2" t="s">
        <v>286</v>
      </c>
    </row>
    <row r="10491">
      <c r="A10491" s="2" t="s">
        <v>4951</v>
      </c>
      <c r="B10491" s="2" t="s">
        <v>4941</v>
      </c>
      <c r="C10491" s="2" t="s">
        <v>5906</v>
      </c>
      <c r="D10491" s="3" t="str">
        <f t="shared" si="2253"/>
        <v>12Go Link</v>
      </c>
      <c r="E10491" s="2" t="s">
        <v>4139</v>
      </c>
    </row>
    <row r="10492">
      <c r="A10492" s="2" t="s">
        <v>4951</v>
      </c>
      <c r="B10492" s="2" t="s">
        <v>4941</v>
      </c>
      <c r="C10492" s="2" t="s">
        <v>5906</v>
      </c>
      <c r="D10492" s="3" t="str">
        <f t="shared" si="2253"/>
        <v>12Go Link</v>
      </c>
      <c r="E10492" s="2" t="s">
        <v>3409</v>
      </c>
    </row>
    <row r="10493">
      <c r="A10493" s="2" t="s">
        <v>4951</v>
      </c>
      <c r="B10493" s="2" t="s">
        <v>4943</v>
      </c>
      <c r="C10493" s="2" t="s">
        <v>5907</v>
      </c>
      <c r="D10493" s="3" t="str">
        <f t="shared" ref="D10493:D10495" si="2254">HYPERLINK("https://12go.asia/en/travel/Dickwella/Bambalapitiya", "12Go Link")</f>
        <v>12Go Link</v>
      </c>
      <c r="E10493" s="2" t="s">
        <v>286</v>
      </c>
    </row>
    <row r="10494">
      <c r="A10494" s="2" t="s">
        <v>4951</v>
      </c>
      <c r="B10494" s="2" t="s">
        <v>4943</v>
      </c>
      <c r="C10494" s="2" t="s">
        <v>5907</v>
      </c>
      <c r="D10494" s="3" t="str">
        <f t="shared" si="2254"/>
        <v>12Go Link</v>
      </c>
      <c r="E10494" s="2" t="s">
        <v>4139</v>
      </c>
    </row>
    <row r="10495">
      <c r="A10495" s="2" t="s">
        <v>4951</v>
      </c>
      <c r="B10495" s="2" t="s">
        <v>4943</v>
      </c>
      <c r="C10495" s="2" t="s">
        <v>5907</v>
      </c>
      <c r="D10495" s="3" t="str">
        <f t="shared" si="2254"/>
        <v>12Go Link</v>
      </c>
      <c r="E10495" s="2" t="s">
        <v>3409</v>
      </c>
    </row>
    <row r="10496">
      <c r="A10496" s="2" t="s">
        <v>4951</v>
      </c>
      <c r="B10496" s="2" t="s">
        <v>4943</v>
      </c>
      <c r="C10496" s="2" t="s">
        <v>5908</v>
      </c>
      <c r="D10496" s="3" t="str">
        <f t="shared" ref="D10496:D10498" si="2255">HYPERLINK("https://12go.asia/en/travel/Hiriketiya-beach/Bambalapitiya", "12Go Link")</f>
        <v>12Go Link</v>
      </c>
      <c r="E10496" s="2" t="s">
        <v>286</v>
      </c>
    </row>
    <row r="10497">
      <c r="A10497" s="2" t="s">
        <v>4951</v>
      </c>
      <c r="B10497" s="2" t="s">
        <v>4943</v>
      </c>
      <c r="C10497" s="2" t="s">
        <v>5908</v>
      </c>
      <c r="D10497" s="3" t="str">
        <f t="shared" si="2255"/>
        <v>12Go Link</v>
      </c>
      <c r="E10497" s="2" t="s">
        <v>4139</v>
      </c>
    </row>
    <row r="10498">
      <c r="A10498" s="2" t="s">
        <v>4951</v>
      </c>
      <c r="B10498" s="2" t="s">
        <v>4943</v>
      </c>
      <c r="C10498" s="2" t="s">
        <v>5908</v>
      </c>
      <c r="D10498" s="3" t="str">
        <f t="shared" si="2255"/>
        <v>12Go Link</v>
      </c>
      <c r="E10498" s="2" t="s">
        <v>3409</v>
      </c>
    </row>
    <row r="10499">
      <c r="A10499" s="2" t="s">
        <v>4951</v>
      </c>
      <c r="B10499" s="2" t="s">
        <v>4945</v>
      </c>
      <c r="C10499" s="2" t="s">
        <v>5909</v>
      </c>
      <c r="D10499" s="3" t="str">
        <f t="shared" ref="D10499:D10501" si="2256">HYPERLINK("https://12go.asia/en/travel/Dickwella/Bandaranaike-Airport", "12Go Link")</f>
        <v>12Go Link</v>
      </c>
      <c r="E10499" s="2" t="s">
        <v>286</v>
      </c>
    </row>
    <row r="10500">
      <c r="A10500" s="2" t="s">
        <v>4951</v>
      </c>
      <c r="B10500" s="2" t="s">
        <v>4945</v>
      </c>
      <c r="C10500" s="2" t="s">
        <v>5909</v>
      </c>
      <c r="D10500" s="3" t="str">
        <f t="shared" si="2256"/>
        <v>12Go Link</v>
      </c>
      <c r="E10500" s="2" t="s">
        <v>4139</v>
      </c>
    </row>
    <row r="10501">
      <c r="A10501" s="2" t="s">
        <v>4951</v>
      </c>
      <c r="B10501" s="2" t="s">
        <v>4945</v>
      </c>
      <c r="C10501" s="2" t="s">
        <v>5909</v>
      </c>
      <c r="D10501" s="3" t="str">
        <f t="shared" si="2256"/>
        <v>12Go Link</v>
      </c>
      <c r="E10501" s="2" t="s">
        <v>3409</v>
      </c>
    </row>
    <row r="10502">
      <c r="A10502" s="2" t="s">
        <v>4951</v>
      </c>
      <c r="B10502" s="2" t="s">
        <v>4945</v>
      </c>
      <c r="C10502" s="2" t="s">
        <v>5910</v>
      </c>
      <c r="D10502" s="3" t="str">
        <f t="shared" ref="D10502:D10504" si="2257">HYPERLINK("https://12go.asia/en/travel/Hiriketiya-beach/Bandaranaike-Airport", "12Go Link")</f>
        <v>12Go Link</v>
      </c>
      <c r="E10502" s="2" t="s">
        <v>286</v>
      </c>
    </row>
    <row r="10503">
      <c r="A10503" s="2" t="s">
        <v>4951</v>
      </c>
      <c r="B10503" s="2" t="s">
        <v>4945</v>
      </c>
      <c r="C10503" s="2" t="s">
        <v>5910</v>
      </c>
      <c r="D10503" s="3" t="str">
        <f t="shared" si="2257"/>
        <v>12Go Link</v>
      </c>
      <c r="E10503" s="2" t="s">
        <v>4139</v>
      </c>
    </row>
    <row r="10504">
      <c r="A10504" s="2" t="s">
        <v>4951</v>
      </c>
      <c r="B10504" s="2" t="s">
        <v>4945</v>
      </c>
      <c r="C10504" s="2" t="s">
        <v>5910</v>
      </c>
      <c r="D10504" s="3" t="str">
        <f t="shared" si="2257"/>
        <v>12Go Link</v>
      </c>
      <c r="E10504" s="2" t="s">
        <v>3409</v>
      </c>
    </row>
    <row r="10505">
      <c r="A10505" s="2" t="s">
        <v>4951</v>
      </c>
      <c r="B10505" s="2" t="s">
        <v>4947</v>
      </c>
      <c r="C10505" s="2" t="s">
        <v>5911</v>
      </c>
      <c r="D10505" s="3" t="str">
        <f t="shared" ref="D10505:D10507" si="2258">HYPERLINK("https://12go.asia/en/travel/Dickwella/Dambulla", "12Go Link")</f>
        <v>12Go Link</v>
      </c>
      <c r="E10505" s="2" t="s">
        <v>286</v>
      </c>
    </row>
    <row r="10506">
      <c r="A10506" s="2" t="s">
        <v>4951</v>
      </c>
      <c r="B10506" s="2" t="s">
        <v>4947</v>
      </c>
      <c r="C10506" s="2" t="s">
        <v>5911</v>
      </c>
      <c r="D10506" s="3" t="str">
        <f t="shared" si="2258"/>
        <v>12Go Link</v>
      </c>
      <c r="E10506" s="2" t="s">
        <v>4139</v>
      </c>
    </row>
    <row r="10507">
      <c r="A10507" s="2" t="s">
        <v>4951</v>
      </c>
      <c r="B10507" s="2" t="s">
        <v>4947</v>
      </c>
      <c r="C10507" s="2" t="s">
        <v>5911</v>
      </c>
      <c r="D10507" s="3" t="str">
        <f t="shared" si="2258"/>
        <v>12Go Link</v>
      </c>
      <c r="E10507" s="2" t="s">
        <v>3409</v>
      </c>
    </row>
    <row r="10508">
      <c r="A10508" s="2" t="s">
        <v>4951</v>
      </c>
      <c r="B10508" s="2" t="s">
        <v>4947</v>
      </c>
      <c r="C10508" s="2" t="s">
        <v>5912</v>
      </c>
      <c r="D10508" s="3" t="str">
        <f t="shared" ref="D10508:D10510" si="2259">HYPERLINK("https://12go.asia/en/travel/Hiriketiya-beach/Dambulla", "12Go Link")</f>
        <v>12Go Link</v>
      </c>
      <c r="E10508" s="2" t="s">
        <v>286</v>
      </c>
    </row>
    <row r="10509">
      <c r="A10509" s="2" t="s">
        <v>4951</v>
      </c>
      <c r="B10509" s="2" t="s">
        <v>4947</v>
      </c>
      <c r="C10509" s="2" t="s">
        <v>5912</v>
      </c>
      <c r="D10509" s="3" t="str">
        <f t="shared" si="2259"/>
        <v>12Go Link</v>
      </c>
      <c r="E10509" s="2" t="s">
        <v>4139</v>
      </c>
    </row>
    <row r="10510">
      <c r="A10510" s="2" t="s">
        <v>4951</v>
      </c>
      <c r="B10510" s="2" t="s">
        <v>4947</v>
      </c>
      <c r="C10510" s="2" t="s">
        <v>5912</v>
      </c>
      <c r="D10510" s="3" t="str">
        <f t="shared" si="2259"/>
        <v>12Go Link</v>
      </c>
      <c r="E10510" s="2" t="s">
        <v>3409</v>
      </c>
    </row>
    <row r="10511">
      <c r="A10511" s="2" t="s">
        <v>4951</v>
      </c>
      <c r="B10511" s="2" t="s">
        <v>4949</v>
      </c>
      <c r="C10511" s="2" t="s">
        <v>5913</v>
      </c>
      <c r="D10511" s="3" t="str">
        <f t="shared" ref="D10511:D10513" si="2260">HYPERLINK("https://12go.asia/en/travel/Dickwella/Deniyaya", "12Go Link")</f>
        <v>12Go Link</v>
      </c>
      <c r="E10511" s="2" t="s">
        <v>286</v>
      </c>
    </row>
    <row r="10512">
      <c r="A10512" s="2" t="s">
        <v>4951</v>
      </c>
      <c r="B10512" s="2" t="s">
        <v>4949</v>
      </c>
      <c r="C10512" s="2" t="s">
        <v>5913</v>
      </c>
      <c r="D10512" s="3" t="str">
        <f t="shared" si="2260"/>
        <v>12Go Link</v>
      </c>
      <c r="E10512" s="2" t="s">
        <v>4139</v>
      </c>
    </row>
    <row r="10513">
      <c r="A10513" s="2" t="s">
        <v>4951</v>
      </c>
      <c r="B10513" s="2" t="s">
        <v>4949</v>
      </c>
      <c r="C10513" s="2" t="s">
        <v>5913</v>
      </c>
      <c r="D10513" s="3" t="str">
        <f t="shared" si="2260"/>
        <v>12Go Link</v>
      </c>
      <c r="E10513" s="2" t="s">
        <v>3409</v>
      </c>
    </row>
    <row r="10514">
      <c r="A10514" s="2" t="s">
        <v>4951</v>
      </c>
      <c r="B10514" s="2" t="s">
        <v>4949</v>
      </c>
      <c r="C10514" s="2" t="s">
        <v>5914</v>
      </c>
      <c r="D10514" s="3" t="str">
        <f t="shared" ref="D10514:D10516" si="2261">HYPERLINK("https://12go.asia/en/travel/Hiriketiya-beach/Deniyaya", "12Go Link")</f>
        <v>12Go Link</v>
      </c>
      <c r="E10514" s="2" t="s">
        <v>286</v>
      </c>
    </row>
    <row r="10515">
      <c r="A10515" s="2" t="s">
        <v>4951</v>
      </c>
      <c r="B10515" s="2" t="s">
        <v>4949</v>
      </c>
      <c r="C10515" s="2" t="s">
        <v>5914</v>
      </c>
      <c r="D10515" s="3" t="str">
        <f t="shared" si="2261"/>
        <v>12Go Link</v>
      </c>
      <c r="E10515" s="2" t="s">
        <v>4139</v>
      </c>
    </row>
    <row r="10516">
      <c r="A10516" s="2" t="s">
        <v>4951</v>
      </c>
      <c r="B10516" s="2" t="s">
        <v>4949</v>
      </c>
      <c r="C10516" s="2" t="s">
        <v>5914</v>
      </c>
      <c r="D10516" s="3" t="str">
        <f t="shared" si="2261"/>
        <v>12Go Link</v>
      </c>
      <c r="E10516" s="2" t="s">
        <v>3409</v>
      </c>
    </row>
    <row r="10517">
      <c r="A10517" s="2" t="s">
        <v>4951</v>
      </c>
      <c r="B10517" s="2" t="s">
        <v>4951</v>
      </c>
      <c r="C10517" s="2" t="s">
        <v>5915</v>
      </c>
      <c r="D10517" s="3" t="str">
        <f t="shared" ref="D10517:D10519" si="2262">HYPERLINK("https://12go.asia/en/travel/Dickwella/Hiriketiya-beach", "12Go Link")</f>
        <v>12Go Link</v>
      </c>
      <c r="E10517" s="2" t="s">
        <v>286</v>
      </c>
    </row>
    <row r="10518">
      <c r="A10518" s="2" t="s">
        <v>4951</v>
      </c>
      <c r="B10518" s="2" t="s">
        <v>4951</v>
      </c>
      <c r="C10518" s="2" t="s">
        <v>5915</v>
      </c>
      <c r="D10518" s="3" t="str">
        <f t="shared" si="2262"/>
        <v>12Go Link</v>
      </c>
      <c r="E10518" s="2" t="s">
        <v>4139</v>
      </c>
    </row>
    <row r="10519">
      <c r="A10519" s="2" t="s">
        <v>4951</v>
      </c>
      <c r="B10519" s="2" t="s">
        <v>4951</v>
      </c>
      <c r="C10519" s="2" t="s">
        <v>5915</v>
      </c>
      <c r="D10519" s="3" t="str">
        <f t="shared" si="2262"/>
        <v>12Go Link</v>
      </c>
      <c r="E10519" s="2" t="s">
        <v>3409</v>
      </c>
    </row>
    <row r="10520">
      <c r="A10520" s="2" t="s">
        <v>4951</v>
      </c>
      <c r="B10520" s="2" t="s">
        <v>4951</v>
      </c>
      <c r="C10520" s="2" t="s">
        <v>5916</v>
      </c>
      <c r="D10520" s="3" t="str">
        <f t="shared" ref="D10520:D10522" si="2263">HYPERLINK("https://12go.asia/en/travel/Hiriketiya-beach/Dickwella", "12Go Link")</f>
        <v>12Go Link</v>
      </c>
      <c r="E10520" s="2" t="s">
        <v>286</v>
      </c>
    </row>
    <row r="10521">
      <c r="A10521" s="2" t="s">
        <v>4951</v>
      </c>
      <c r="B10521" s="2" t="s">
        <v>4951</v>
      </c>
      <c r="C10521" s="2" t="s">
        <v>5916</v>
      </c>
      <c r="D10521" s="3" t="str">
        <f t="shared" si="2263"/>
        <v>12Go Link</v>
      </c>
      <c r="E10521" s="2" t="s">
        <v>4139</v>
      </c>
    </row>
    <row r="10522">
      <c r="A10522" s="2" t="s">
        <v>4951</v>
      </c>
      <c r="B10522" s="2" t="s">
        <v>4951</v>
      </c>
      <c r="C10522" s="2" t="s">
        <v>5916</v>
      </c>
      <c r="D10522" s="3" t="str">
        <f t="shared" si="2263"/>
        <v>12Go Link</v>
      </c>
      <c r="E10522" s="2" t="s">
        <v>3409</v>
      </c>
    </row>
    <row r="10523">
      <c r="A10523" s="2" t="s">
        <v>4951</v>
      </c>
      <c r="B10523" s="2" t="s">
        <v>4954</v>
      </c>
      <c r="C10523" s="2" t="s">
        <v>5917</v>
      </c>
      <c r="D10523" s="3" t="str">
        <f t="shared" ref="D10523:D10525" si="2264">HYPERLINK("https://12go.asia/en/travel/Dickwella/Galle", "12Go Link")</f>
        <v>12Go Link</v>
      </c>
      <c r="E10523" s="2" t="s">
        <v>286</v>
      </c>
    </row>
    <row r="10524">
      <c r="A10524" s="2" t="s">
        <v>4951</v>
      </c>
      <c r="B10524" s="2" t="s">
        <v>4954</v>
      </c>
      <c r="C10524" s="2" t="s">
        <v>5917</v>
      </c>
      <c r="D10524" s="3" t="str">
        <f t="shared" si="2264"/>
        <v>12Go Link</v>
      </c>
      <c r="E10524" s="2" t="s">
        <v>4139</v>
      </c>
    </row>
    <row r="10525">
      <c r="A10525" s="2" t="s">
        <v>4951</v>
      </c>
      <c r="B10525" s="2" t="s">
        <v>4954</v>
      </c>
      <c r="C10525" s="2" t="s">
        <v>5917</v>
      </c>
      <c r="D10525" s="3" t="str">
        <f t="shared" si="2264"/>
        <v>12Go Link</v>
      </c>
      <c r="E10525" s="2" t="s">
        <v>3409</v>
      </c>
    </row>
    <row r="10526">
      <c r="A10526" s="2" t="s">
        <v>4951</v>
      </c>
      <c r="B10526" s="2" t="s">
        <v>4954</v>
      </c>
      <c r="C10526" s="2" t="s">
        <v>5918</v>
      </c>
      <c r="D10526" s="3" t="str">
        <f t="shared" ref="D10526:D10528" si="2265">HYPERLINK("https://12go.asia/en/travel/Dickwella/Talpe", "12Go Link")</f>
        <v>12Go Link</v>
      </c>
      <c r="E10526" s="2" t="s">
        <v>286</v>
      </c>
    </row>
    <row r="10527">
      <c r="A10527" s="2" t="s">
        <v>4951</v>
      </c>
      <c r="B10527" s="2" t="s">
        <v>4954</v>
      </c>
      <c r="C10527" s="2" t="s">
        <v>5918</v>
      </c>
      <c r="D10527" s="3" t="str">
        <f t="shared" si="2265"/>
        <v>12Go Link</v>
      </c>
      <c r="E10527" s="2" t="s">
        <v>4139</v>
      </c>
    </row>
    <row r="10528">
      <c r="A10528" s="2" t="s">
        <v>4951</v>
      </c>
      <c r="B10528" s="2" t="s">
        <v>4954</v>
      </c>
      <c r="C10528" s="2" t="s">
        <v>5918</v>
      </c>
      <c r="D10528" s="3" t="str">
        <f t="shared" si="2265"/>
        <v>12Go Link</v>
      </c>
      <c r="E10528" s="2" t="s">
        <v>3409</v>
      </c>
    </row>
    <row r="10529">
      <c r="A10529" s="2" t="s">
        <v>4951</v>
      </c>
      <c r="B10529" s="2" t="s">
        <v>4954</v>
      </c>
      <c r="C10529" s="2" t="s">
        <v>5919</v>
      </c>
      <c r="D10529" s="3" t="str">
        <f t="shared" ref="D10529:D10531" si="2266">HYPERLINK("https://12go.asia/en/travel/Hiriketiya-beach/Galle", "12Go Link")</f>
        <v>12Go Link</v>
      </c>
      <c r="E10529" s="2" t="s">
        <v>286</v>
      </c>
    </row>
    <row r="10530">
      <c r="A10530" s="2" t="s">
        <v>4951</v>
      </c>
      <c r="B10530" s="2" t="s">
        <v>4954</v>
      </c>
      <c r="C10530" s="2" t="s">
        <v>5919</v>
      </c>
      <c r="D10530" s="3" t="str">
        <f t="shared" si="2266"/>
        <v>12Go Link</v>
      </c>
      <c r="E10530" s="2" t="s">
        <v>4139</v>
      </c>
    </row>
    <row r="10531">
      <c r="A10531" s="2" t="s">
        <v>4951</v>
      </c>
      <c r="B10531" s="2" t="s">
        <v>4954</v>
      </c>
      <c r="C10531" s="2" t="s">
        <v>5919</v>
      </c>
      <c r="D10531" s="3" t="str">
        <f t="shared" si="2266"/>
        <v>12Go Link</v>
      </c>
      <c r="E10531" s="2" t="s">
        <v>3409</v>
      </c>
    </row>
    <row r="10532">
      <c r="A10532" s="2" t="s">
        <v>4951</v>
      </c>
      <c r="B10532" s="2" t="s">
        <v>4954</v>
      </c>
      <c r="C10532" s="2" t="s">
        <v>5920</v>
      </c>
      <c r="D10532" s="3" t="str">
        <f t="shared" ref="D10532:D10534" si="2267">HYPERLINK("https://12go.asia/en/travel/Hiriketiya-beach/Talpe", "12Go Link")</f>
        <v>12Go Link</v>
      </c>
      <c r="E10532" s="2" t="s">
        <v>286</v>
      </c>
    </row>
    <row r="10533">
      <c r="A10533" s="2" t="s">
        <v>4951</v>
      </c>
      <c r="B10533" s="2" t="s">
        <v>4954</v>
      </c>
      <c r="C10533" s="2" t="s">
        <v>5920</v>
      </c>
      <c r="D10533" s="3" t="str">
        <f t="shared" si="2267"/>
        <v>12Go Link</v>
      </c>
      <c r="E10533" s="2" t="s">
        <v>4139</v>
      </c>
    </row>
    <row r="10534">
      <c r="A10534" s="2" t="s">
        <v>4951</v>
      </c>
      <c r="B10534" s="2" t="s">
        <v>4954</v>
      </c>
      <c r="C10534" s="2" t="s">
        <v>5920</v>
      </c>
      <c r="D10534" s="3" t="str">
        <f t="shared" si="2267"/>
        <v>12Go Link</v>
      </c>
      <c r="E10534" s="2" t="s">
        <v>3409</v>
      </c>
    </row>
    <row r="10535">
      <c r="A10535" s="2" t="s">
        <v>4951</v>
      </c>
      <c r="B10535" s="2" t="s">
        <v>4957</v>
      </c>
      <c r="C10535" s="2" t="s">
        <v>5921</v>
      </c>
      <c r="D10535" s="3" t="str">
        <f t="shared" ref="D10535:D10537" si="2268">HYPERLINK("https://12go.asia/en/travel/Dickwella/Habarana", "12Go Link")</f>
        <v>12Go Link</v>
      </c>
      <c r="E10535" s="2" t="s">
        <v>286</v>
      </c>
    </row>
    <row r="10536">
      <c r="A10536" s="2" t="s">
        <v>4951</v>
      </c>
      <c r="B10536" s="2" t="s">
        <v>4957</v>
      </c>
      <c r="C10536" s="2" t="s">
        <v>5921</v>
      </c>
      <c r="D10536" s="3" t="str">
        <f t="shared" si="2268"/>
        <v>12Go Link</v>
      </c>
      <c r="E10536" s="2" t="s">
        <v>4139</v>
      </c>
    </row>
    <row r="10537">
      <c r="A10537" s="2" t="s">
        <v>4951</v>
      </c>
      <c r="B10537" s="2" t="s">
        <v>4957</v>
      </c>
      <c r="C10537" s="2" t="s">
        <v>5921</v>
      </c>
      <c r="D10537" s="3" t="str">
        <f t="shared" si="2268"/>
        <v>12Go Link</v>
      </c>
      <c r="E10537" s="2" t="s">
        <v>3409</v>
      </c>
    </row>
    <row r="10538">
      <c r="A10538" s="2" t="s">
        <v>4951</v>
      </c>
      <c r="B10538" s="2" t="s">
        <v>4957</v>
      </c>
      <c r="C10538" s="2" t="s">
        <v>5922</v>
      </c>
      <c r="D10538" s="3" t="str">
        <f t="shared" ref="D10538:D10540" si="2269">HYPERLINK("https://12go.asia/en/travel/Hiriketiya-beach/Habarana", "12Go Link")</f>
        <v>12Go Link</v>
      </c>
      <c r="E10538" s="2" t="s">
        <v>286</v>
      </c>
    </row>
    <row r="10539">
      <c r="A10539" s="2" t="s">
        <v>4951</v>
      </c>
      <c r="B10539" s="2" t="s">
        <v>4957</v>
      </c>
      <c r="C10539" s="2" t="s">
        <v>5922</v>
      </c>
      <c r="D10539" s="3" t="str">
        <f t="shared" si="2269"/>
        <v>12Go Link</v>
      </c>
      <c r="E10539" s="2" t="s">
        <v>4139</v>
      </c>
    </row>
    <row r="10540">
      <c r="A10540" s="2" t="s">
        <v>4951</v>
      </c>
      <c r="B10540" s="2" t="s">
        <v>4957</v>
      </c>
      <c r="C10540" s="2" t="s">
        <v>5922</v>
      </c>
      <c r="D10540" s="3" t="str">
        <f t="shared" si="2269"/>
        <v>12Go Link</v>
      </c>
      <c r="E10540" s="2" t="s">
        <v>3409</v>
      </c>
    </row>
    <row r="10541">
      <c r="A10541" s="2" t="s">
        <v>4951</v>
      </c>
      <c r="B10541" s="2" t="s">
        <v>4959</v>
      </c>
      <c r="C10541" s="2" t="s">
        <v>5923</v>
      </c>
      <c r="D10541" s="3" t="str">
        <f t="shared" ref="D10541:D10543" si="2270">HYPERLINK("https://12go.asia/en/travel/Dickwella/Ella", "12Go Link")</f>
        <v>12Go Link</v>
      </c>
      <c r="E10541" s="2" t="s">
        <v>286</v>
      </c>
    </row>
    <row r="10542">
      <c r="A10542" s="2" t="s">
        <v>4951</v>
      </c>
      <c r="B10542" s="2" t="s">
        <v>4959</v>
      </c>
      <c r="C10542" s="2" t="s">
        <v>5923</v>
      </c>
      <c r="D10542" s="3" t="str">
        <f t="shared" si="2270"/>
        <v>12Go Link</v>
      </c>
      <c r="E10542" s="2" t="s">
        <v>4139</v>
      </c>
    </row>
    <row r="10543">
      <c r="A10543" s="2" t="s">
        <v>4951</v>
      </c>
      <c r="B10543" s="2" t="s">
        <v>4959</v>
      </c>
      <c r="C10543" s="2" t="s">
        <v>5923</v>
      </c>
      <c r="D10543" s="3" t="str">
        <f t="shared" si="2270"/>
        <v>12Go Link</v>
      </c>
      <c r="E10543" s="2" t="s">
        <v>3409</v>
      </c>
    </row>
    <row r="10544">
      <c r="A10544" s="2" t="s">
        <v>4951</v>
      </c>
      <c r="B10544" s="2" t="s">
        <v>4959</v>
      </c>
      <c r="C10544" s="2" t="s">
        <v>5924</v>
      </c>
      <c r="D10544" s="3" t="str">
        <f t="shared" ref="D10544:D10546" si="2271">HYPERLINK("https://12go.asia/en/travel/Hiriketiya-beach/Ella", "12Go Link")</f>
        <v>12Go Link</v>
      </c>
      <c r="E10544" s="2" t="s">
        <v>286</v>
      </c>
    </row>
    <row r="10545">
      <c r="A10545" s="2" t="s">
        <v>4951</v>
      </c>
      <c r="B10545" s="2" t="s">
        <v>4959</v>
      </c>
      <c r="C10545" s="2" t="s">
        <v>5924</v>
      </c>
      <c r="D10545" s="3" t="str">
        <f t="shared" si="2271"/>
        <v>12Go Link</v>
      </c>
      <c r="E10545" s="2" t="s">
        <v>4139</v>
      </c>
    </row>
    <row r="10546">
      <c r="A10546" s="2" t="s">
        <v>4951</v>
      </c>
      <c r="B10546" s="2" t="s">
        <v>4959</v>
      </c>
      <c r="C10546" s="2" t="s">
        <v>5924</v>
      </c>
      <c r="D10546" s="3" t="str">
        <f t="shared" si="2271"/>
        <v>12Go Link</v>
      </c>
      <c r="E10546" s="2" t="s">
        <v>3409</v>
      </c>
    </row>
    <row r="10547">
      <c r="A10547" s="2" t="s">
        <v>4951</v>
      </c>
      <c r="B10547" s="2" t="s">
        <v>4961</v>
      </c>
      <c r="C10547" s="2" t="s">
        <v>5925</v>
      </c>
      <c r="D10547" s="3" t="str">
        <f t="shared" ref="D10547:D10549" si="2272">HYPERLINK("https://12go.asia/en/travel/Dickwella/Beragala", "12Go Link")</f>
        <v>12Go Link</v>
      </c>
      <c r="E10547" s="2" t="s">
        <v>286</v>
      </c>
    </row>
    <row r="10548">
      <c r="A10548" s="2" t="s">
        <v>4951</v>
      </c>
      <c r="B10548" s="2" t="s">
        <v>4961</v>
      </c>
      <c r="C10548" s="2" t="s">
        <v>5925</v>
      </c>
      <c r="D10548" s="3" t="str">
        <f t="shared" si="2272"/>
        <v>12Go Link</v>
      </c>
      <c r="E10548" s="2" t="s">
        <v>4139</v>
      </c>
    </row>
    <row r="10549">
      <c r="A10549" s="2" t="s">
        <v>4951</v>
      </c>
      <c r="B10549" s="2" t="s">
        <v>4961</v>
      </c>
      <c r="C10549" s="2" t="s">
        <v>5925</v>
      </c>
      <c r="D10549" s="3" t="str">
        <f t="shared" si="2272"/>
        <v>12Go Link</v>
      </c>
      <c r="E10549" s="2" t="s">
        <v>3409</v>
      </c>
    </row>
    <row r="10550">
      <c r="A10550" s="2" t="s">
        <v>4951</v>
      </c>
      <c r="B10550" s="2" t="s">
        <v>4961</v>
      </c>
      <c r="C10550" s="2" t="s">
        <v>5926</v>
      </c>
      <c r="D10550" s="3" t="str">
        <f t="shared" ref="D10550:D10552" si="2273">HYPERLINK("https://12go.asia/en/travel/Hiriketiya-beach/Beragala", "12Go Link")</f>
        <v>12Go Link</v>
      </c>
      <c r="E10550" s="2" t="s">
        <v>286</v>
      </c>
    </row>
    <row r="10551">
      <c r="A10551" s="2" t="s">
        <v>4951</v>
      </c>
      <c r="B10551" s="2" t="s">
        <v>4961</v>
      </c>
      <c r="C10551" s="2" t="s">
        <v>5926</v>
      </c>
      <c r="D10551" s="3" t="str">
        <f t="shared" si="2273"/>
        <v>12Go Link</v>
      </c>
      <c r="E10551" s="2" t="s">
        <v>4139</v>
      </c>
    </row>
    <row r="10552">
      <c r="A10552" s="2" t="s">
        <v>4951</v>
      </c>
      <c r="B10552" s="2" t="s">
        <v>4961</v>
      </c>
      <c r="C10552" s="2" t="s">
        <v>5926</v>
      </c>
      <c r="D10552" s="3" t="str">
        <f t="shared" si="2273"/>
        <v>12Go Link</v>
      </c>
      <c r="E10552" s="2" t="s">
        <v>3409</v>
      </c>
    </row>
    <row r="10553">
      <c r="A10553" s="2" t="s">
        <v>4951</v>
      </c>
      <c r="B10553" s="2" t="s">
        <v>4963</v>
      </c>
      <c r="C10553" s="2" t="s">
        <v>5927</v>
      </c>
      <c r="D10553" s="3" t="str">
        <f t="shared" ref="D10553:D10555" si="2274">HYPERLINK("https://12go.asia/en/travel/Dickwella/Dick-oya", "12Go Link")</f>
        <v>12Go Link</v>
      </c>
      <c r="E10553" s="2" t="s">
        <v>286</v>
      </c>
    </row>
    <row r="10554">
      <c r="A10554" s="2" t="s">
        <v>4951</v>
      </c>
      <c r="B10554" s="2" t="s">
        <v>4963</v>
      </c>
      <c r="C10554" s="2" t="s">
        <v>5927</v>
      </c>
      <c r="D10554" s="3" t="str">
        <f t="shared" si="2274"/>
        <v>12Go Link</v>
      </c>
      <c r="E10554" s="2" t="s">
        <v>4139</v>
      </c>
    </row>
    <row r="10555">
      <c r="A10555" s="2" t="s">
        <v>4951</v>
      </c>
      <c r="B10555" s="2" t="s">
        <v>4963</v>
      </c>
      <c r="C10555" s="2" t="s">
        <v>5927</v>
      </c>
      <c r="D10555" s="3" t="str">
        <f t="shared" si="2274"/>
        <v>12Go Link</v>
      </c>
      <c r="E10555" s="2" t="s">
        <v>3409</v>
      </c>
    </row>
    <row r="10556">
      <c r="A10556" s="2" t="s">
        <v>4951</v>
      </c>
      <c r="B10556" s="2" t="s">
        <v>4963</v>
      </c>
      <c r="C10556" s="2" t="s">
        <v>5928</v>
      </c>
      <c r="D10556" s="3" t="str">
        <f t="shared" ref="D10556:D10558" si="2275">HYPERLINK("https://12go.asia/en/travel/Hiriketiya-beach/Dick-oya", "12Go Link")</f>
        <v>12Go Link</v>
      </c>
      <c r="E10556" s="2" t="s">
        <v>286</v>
      </c>
    </row>
    <row r="10557">
      <c r="A10557" s="2" t="s">
        <v>4951</v>
      </c>
      <c r="B10557" s="2" t="s">
        <v>4963</v>
      </c>
      <c r="C10557" s="2" t="s">
        <v>5928</v>
      </c>
      <c r="D10557" s="3" t="str">
        <f t="shared" si="2275"/>
        <v>12Go Link</v>
      </c>
      <c r="E10557" s="2" t="s">
        <v>4139</v>
      </c>
    </row>
    <row r="10558">
      <c r="A10558" s="2" t="s">
        <v>4951</v>
      </c>
      <c r="B10558" s="2" t="s">
        <v>4963</v>
      </c>
      <c r="C10558" s="2" t="s">
        <v>5928</v>
      </c>
      <c r="D10558" s="3" t="str">
        <f t="shared" si="2275"/>
        <v>12Go Link</v>
      </c>
      <c r="E10558" s="2" t="s">
        <v>3409</v>
      </c>
    </row>
    <row r="10559">
      <c r="A10559" s="2" t="s">
        <v>4951</v>
      </c>
      <c r="B10559" s="2" t="s">
        <v>4965</v>
      </c>
      <c r="C10559" s="2" t="s">
        <v>5929</v>
      </c>
      <c r="D10559" s="3" t="str">
        <f t="shared" ref="D10559:D10561" si="2276">HYPERLINK("https://12go.asia/en/travel/Dickwella/Dodanduwa", "12Go Link")</f>
        <v>12Go Link</v>
      </c>
      <c r="E10559" s="2" t="s">
        <v>286</v>
      </c>
    </row>
    <row r="10560">
      <c r="A10560" s="2" t="s">
        <v>4951</v>
      </c>
      <c r="B10560" s="2" t="s">
        <v>4965</v>
      </c>
      <c r="C10560" s="2" t="s">
        <v>5929</v>
      </c>
      <c r="D10560" s="3" t="str">
        <f t="shared" si="2276"/>
        <v>12Go Link</v>
      </c>
      <c r="E10560" s="2" t="s">
        <v>4139</v>
      </c>
    </row>
    <row r="10561">
      <c r="A10561" s="2" t="s">
        <v>4951</v>
      </c>
      <c r="B10561" s="2" t="s">
        <v>4965</v>
      </c>
      <c r="C10561" s="2" t="s">
        <v>5929</v>
      </c>
      <c r="D10561" s="3" t="str">
        <f t="shared" si="2276"/>
        <v>12Go Link</v>
      </c>
      <c r="E10561" s="2" t="s">
        <v>3409</v>
      </c>
    </row>
    <row r="10562">
      <c r="A10562" s="2" t="s">
        <v>4951</v>
      </c>
      <c r="B10562" s="2" t="s">
        <v>4965</v>
      </c>
      <c r="C10562" s="2" t="s">
        <v>5930</v>
      </c>
      <c r="D10562" s="3" t="str">
        <f t="shared" ref="D10562:D10564" si="2277">HYPERLINK("https://12go.asia/en/travel/Hiriketiya-beach/Dodanduwa", "12Go Link")</f>
        <v>12Go Link</v>
      </c>
      <c r="E10562" s="2" t="s">
        <v>286</v>
      </c>
    </row>
    <row r="10563">
      <c r="A10563" s="2" t="s">
        <v>4951</v>
      </c>
      <c r="B10563" s="2" t="s">
        <v>4965</v>
      </c>
      <c r="C10563" s="2" t="s">
        <v>5930</v>
      </c>
      <c r="D10563" s="3" t="str">
        <f t="shared" si="2277"/>
        <v>12Go Link</v>
      </c>
      <c r="E10563" s="2" t="s">
        <v>4139</v>
      </c>
    </row>
    <row r="10564">
      <c r="A10564" s="2" t="s">
        <v>4951</v>
      </c>
      <c r="B10564" s="2" t="s">
        <v>4965</v>
      </c>
      <c r="C10564" s="2" t="s">
        <v>5930</v>
      </c>
      <c r="D10564" s="3" t="str">
        <f t="shared" si="2277"/>
        <v>12Go Link</v>
      </c>
      <c r="E10564" s="2" t="s">
        <v>3409</v>
      </c>
    </row>
    <row r="10565">
      <c r="A10565" s="2" t="s">
        <v>4951</v>
      </c>
      <c r="B10565" s="2" t="s">
        <v>4967</v>
      </c>
      <c r="C10565" s="2" t="s">
        <v>5931</v>
      </c>
      <c r="D10565" s="3" t="str">
        <f t="shared" ref="D10565:D10567" si="2278">HYPERLINK("https://12go.asia/en/travel/Dickwella/Induruwa", "12Go Link")</f>
        <v>12Go Link</v>
      </c>
      <c r="E10565" s="2" t="s">
        <v>286</v>
      </c>
    </row>
    <row r="10566">
      <c r="A10566" s="2" t="s">
        <v>4951</v>
      </c>
      <c r="B10566" s="2" t="s">
        <v>4967</v>
      </c>
      <c r="C10566" s="2" t="s">
        <v>5931</v>
      </c>
      <c r="D10566" s="3" t="str">
        <f t="shared" si="2278"/>
        <v>12Go Link</v>
      </c>
      <c r="E10566" s="2" t="s">
        <v>4139</v>
      </c>
    </row>
    <row r="10567">
      <c r="A10567" s="2" t="s">
        <v>4951</v>
      </c>
      <c r="B10567" s="2" t="s">
        <v>4967</v>
      </c>
      <c r="C10567" s="2" t="s">
        <v>5931</v>
      </c>
      <c r="D10567" s="3" t="str">
        <f t="shared" si="2278"/>
        <v>12Go Link</v>
      </c>
      <c r="E10567" s="2" t="s">
        <v>3409</v>
      </c>
    </row>
    <row r="10568">
      <c r="A10568" s="2" t="s">
        <v>4951</v>
      </c>
      <c r="B10568" s="2" t="s">
        <v>4967</v>
      </c>
      <c r="C10568" s="2" t="s">
        <v>5932</v>
      </c>
      <c r="D10568" s="3" t="str">
        <f t="shared" ref="D10568:D10570" si="2279">HYPERLINK("https://12go.asia/en/travel/Hiriketiya-beach/Induruwa", "12Go Link")</f>
        <v>12Go Link</v>
      </c>
      <c r="E10568" s="2" t="s">
        <v>286</v>
      </c>
    </row>
    <row r="10569">
      <c r="A10569" s="2" t="s">
        <v>4951</v>
      </c>
      <c r="B10569" s="2" t="s">
        <v>4967</v>
      </c>
      <c r="C10569" s="2" t="s">
        <v>5932</v>
      </c>
      <c r="D10569" s="3" t="str">
        <f t="shared" si="2279"/>
        <v>12Go Link</v>
      </c>
      <c r="E10569" s="2" t="s">
        <v>4139</v>
      </c>
    </row>
    <row r="10570">
      <c r="A10570" s="2" t="s">
        <v>4951</v>
      </c>
      <c r="B10570" s="2" t="s">
        <v>4967</v>
      </c>
      <c r="C10570" s="2" t="s">
        <v>5932</v>
      </c>
      <c r="D10570" s="3" t="str">
        <f t="shared" si="2279"/>
        <v>12Go Link</v>
      </c>
      <c r="E10570" s="2" t="s">
        <v>3409</v>
      </c>
    </row>
    <row r="10571">
      <c r="A10571" s="2" t="s">
        <v>4951</v>
      </c>
      <c r="B10571" s="2" t="s">
        <v>4969</v>
      </c>
      <c r="C10571" s="2" t="s">
        <v>5933</v>
      </c>
      <c r="D10571" s="3" t="str">
        <f t="shared" ref="D10571:D10573" si="2280">HYPERLINK("https://12go.asia/en/travel/Dickwella/Jaffna", "12Go Link")</f>
        <v>12Go Link</v>
      </c>
      <c r="E10571" s="2" t="s">
        <v>286</v>
      </c>
    </row>
    <row r="10572">
      <c r="A10572" s="2" t="s">
        <v>4951</v>
      </c>
      <c r="B10572" s="2" t="s">
        <v>4969</v>
      </c>
      <c r="C10572" s="2" t="s">
        <v>5933</v>
      </c>
      <c r="D10572" s="3" t="str">
        <f t="shared" si="2280"/>
        <v>12Go Link</v>
      </c>
      <c r="E10572" s="2" t="s">
        <v>4139</v>
      </c>
    </row>
    <row r="10573">
      <c r="A10573" s="2" t="s">
        <v>4951</v>
      </c>
      <c r="B10573" s="2" t="s">
        <v>4969</v>
      </c>
      <c r="C10573" s="2" t="s">
        <v>5933</v>
      </c>
      <c r="D10573" s="3" t="str">
        <f t="shared" si="2280"/>
        <v>12Go Link</v>
      </c>
      <c r="E10573" s="2" t="s">
        <v>3409</v>
      </c>
    </row>
    <row r="10574">
      <c r="A10574" s="2" t="s">
        <v>4951</v>
      </c>
      <c r="B10574" s="2" t="s">
        <v>4969</v>
      </c>
      <c r="C10574" s="2" t="s">
        <v>5934</v>
      </c>
      <c r="D10574" s="3" t="str">
        <f t="shared" ref="D10574:D10576" si="2281">HYPERLINK("https://12go.asia/en/travel/Hiriketiya-beach/Jaffna", "12Go Link")</f>
        <v>12Go Link</v>
      </c>
      <c r="E10574" s="2" t="s">
        <v>286</v>
      </c>
    </row>
    <row r="10575">
      <c r="A10575" s="2" t="s">
        <v>4951</v>
      </c>
      <c r="B10575" s="2" t="s">
        <v>4969</v>
      </c>
      <c r="C10575" s="2" t="s">
        <v>5934</v>
      </c>
      <c r="D10575" s="3" t="str">
        <f t="shared" si="2281"/>
        <v>12Go Link</v>
      </c>
      <c r="E10575" s="2" t="s">
        <v>4139</v>
      </c>
    </row>
    <row r="10576">
      <c r="A10576" s="2" t="s">
        <v>4951</v>
      </c>
      <c r="B10576" s="2" t="s">
        <v>4969</v>
      </c>
      <c r="C10576" s="2" t="s">
        <v>5934</v>
      </c>
      <c r="D10576" s="3" t="str">
        <f t="shared" si="2281"/>
        <v>12Go Link</v>
      </c>
      <c r="E10576" s="2" t="s">
        <v>3409</v>
      </c>
    </row>
    <row r="10577">
      <c r="A10577" s="2" t="s">
        <v>4951</v>
      </c>
      <c r="B10577" s="2" t="s">
        <v>4971</v>
      </c>
      <c r="C10577" s="2" t="s">
        <v>5935</v>
      </c>
      <c r="D10577" s="3" t="str">
        <f t="shared" ref="D10577:D10579" si="2282">HYPERLINK("https://12go.asia/en/travel/Dickwella/Kalapuwa", "12Go Link")</f>
        <v>12Go Link</v>
      </c>
      <c r="E10577" s="2" t="s">
        <v>286</v>
      </c>
    </row>
    <row r="10578">
      <c r="A10578" s="2" t="s">
        <v>4951</v>
      </c>
      <c r="B10578" s="2" t="s">
        <v>4971</v>
      </c>
      <c r="C10578" s="2" t="s">
        <v>5935</v>
      </c>
      <c r="D10578" s="3" t="str">
        <f t="shared" si="2282"/>
        <v>12Go Link</v>
      </c>
      <c r="E10578" s="2" t="s">
        <v>4139</v>
      </c>
    </row>
    <row r="10579">
      <c r="A10579" s="2" t="s">
        <v>4951</v>
      </c>
      <c r="B10579" s="2" t="s">
        <v>4971</v>
      </c>
      <c r="C10579" s="2" t="s">
        <v>5935</v>
      </c>
      <c r="D10579" s="3" t="str">
        <f t="shared" si="2282"/>
        <v>12Go Link</v>
      </c>
      <c r="E10579" s="2" t="s">
        <v>3409</v>
      </c>
    </row>
    <row r="10580">
      <c r="A10580" s="2" t="s">
        <v>4951</v>
      </c>
      <c r="B10580" s="2" t="s">
        <v>4971</v>
      </c>
      <c r="C10580" s="2" t="s">
        <v>5936</v>
      </c>
      <c r="D10580" s="3" t="str">
        <f t="shared" ref="D10580:D10582" si="2283">HYPERLINK("https://12go.asia/en/travel/Hiriketiya-beach/Kalapuwa", "12Go Link")</f>
        <v>12Go Link</v>
      </c>
      <c r="E10580" s="2" t="s">
        <v>286</v>
      </c>
    </row>
    <row r="10581">
      <c r="A10581" s="2" t="s">
        <v>4951</v>
      </c>
      <c r="B10581" s="2" t="s">
        <v>4971</v>
      </c>
      <c r="C10581" s="2" t="s">
        <v>5936</v>
      </c>
      <c r="D10581" s="3" t="str">
        <f t="shared" si="2283"/>
        <v>12Go Link</v>
      </c>
      <c r="E10581" s="2" t="s">
        <v>4139</v>
      </c>
    </row>
    <row r="10582">
      <c r="A10582" s="2" t="s">
        <v>4951</v>
      </c>
      <c r="B10582" s="2" t="s">
        <v>4971</v>
      </c>
      <c r="C10582" s="2" t="s">
        <v>5936</v>
      </c>
      <c r="D10582" s="3" t="str">
        <f t="shared" si="2283"/>
        <v>12Go Link</v>
      </c>
      <c r="E10582" s="2" t="s">
        <v>3409</v>
      </c>
    </row>
    <row r="10583">
      <c r="A10583" s="2" t="s">
        <v>4951</v>
      </c>
      <c r="B10583" s="2" t="s">
        <v>4973</v>
      </c>
      <c r="C10583" s="2" t="s">
        <v>5937</v>
      </c>
      <c r="D10583" s="3" t="str">
        <f t="shared" ref="D10583:D10585" si="2284">HYPERLINK("https://12go.asia/en/travel/Dickwella/Ampitiya", "12Go Link")</f>
        <v>12Go Link</v>
      </c>
      <c r="E10583" s="2" t="s">
        <v>286</v>
      </c>
    </row>
    <row r="10584">
      <c r="A10584" s="2" t="s">
        <v>4951</v>
      </c>
      <c r="B10584" s="2" t="s">
        <v>4973</v>
      </c>
      <c r="C10584" s="2" t="s">
        <v>5937</v>
      </c>
      <c r="D10584" s="3" t="str">
        <f t="shared" si="2284"/>
        <v>12Go Link</v>
      </c>
      <c r="E10584" s="2" t="s">
        <v>4139</v>
      </c>
    </row>
    <row r="10585">
      <c r="A10585" s="2" t="s">
        <v>4951</v>
      </c>
      <c r="B10585" s="2" t="s">
        <v>4973</v>
      </c>
      <c r="C10585" s="2" t="s">
        <v>5937</v>
      </c>
      <c r="D10585" s="3" t="str">
        <f t="shared" si="2284"/>
        <v>12Go Link</v>
      </c>
      <c r="E10585" s="2" t="s">
        <v>3409</v>
      </c>
    </row>
    <row r="10586">
      <c r="A10586" s="2" t="s">
        <v>4951</v>
      </c>
      <c r="B10586" s="2" t="s">
        <v>4973</v>
      </c>
      <c r="C10586" s="2" t="s">
        <v>5938</v>
      </c>
      <c r="D10586" s="3" t="str">
        <f t="shared" ref="D10586:D10588" si="2285">HYPERLINK("https://12go.asia/en/travel/Dickwella/Digana", "12Go Link")</f>
        <v>12Go Link</v>
      </c>
      <c r="E10586" s="2" t="s">
        <v>286</v>
      </c>
    </row>
    <row r="10587">
      <c r="A10587" s="2" t="s">
        <v>4951</v>
      </c>
      <c r="B10587" s="2" t="s">
        <v>4973</v>
      </c>
      <c r="C10587" s="2" t="s">
        <v>5938</v>
      </c>
      <c r="D10587" s="3" t="str">
        <f t="shared" si="2285"/>
        <v>12Go Link</v>
      </c>
      <c r="E10587" s="2" t="s">
        <v>4139</v>
      </c>
    </row>
    <row r="10588">
      <c r="A10588" s="2" t="s">
        <v>4951</v>
      </c>
      <c r="B10588" s="2" t="s">
        <v>4973</v>
      </c>
      <c r="C10588" s="2" t="s">
        <v>5938</v>
      </c>
      <c r="D10588" s="3" t="str">
        <f t="shared" si="2285"/>
        <v>12Go Link</v>
      </c>
      <c r="E10588" s="2" t="s">
        <v>3409</v>
      </c>
    </row>
    <row r="10589">
      <c r="A10589" s="2" t="s">
        <v>4951</v>
      </c>
      <c r="B10589" s="2" t="s">
        <v>4973</v>
      </c>
      <c r="C10589" s="2" t="s">
        <v>5939</v>
      </c>
      <c r="D10589" s="3" t="str">
        <f t="shared" ref="D10589:D10591" si="2286">HYPERLINK("https://12go.asia/en/travel/Hiriketiya-beach/Ampitiya", "12Go Link")</f>
        <v>12Go Link</v>
      </c>
      <c r="E10589" s="2" t="s">
        <v>286</v>
      </c>
    </row>
    <row r="10590">
      <c r="A10590" s="2" t="s">
        <v>4951</v>
      </c>
      <c r="B10590" s="2" t="s">
        <v>4973</v>
      </c>
      <c r="C10590" s="2" t="s">
        <v>5939</v>
      </c>
      <c r="D10590" s="3" t="str">
        <f t="shared" si="2286"/>
        <v>12Go Link</v>
      </c>
      <c r="E10590" s="2" t="s">
        <v>4139</v>
      </c>
    </row>
    <row r="10591">
      <c r="A10591" s="2" t="s">
        <v>4951</v>
      </c>
      <c r="B10591" s="2" t="s">
        <v>4973</v>
      </c>
      <c r="C10591" s="2" t="s">
        <v>5939</v>
      </c>
      <c r="D10591" s="3" t="str">
        <f t="shared" si="2286"/>
        <v>12Go Link</v>
      </c>
      <c r="E10591" s="2" t="s">
        <v>3409</v>
      </c>
    </row>
    <row r="10592">
      <c r="A10592" s="2" t="s">
        <v>4951</v>
      </c>
      <c r="B10592" s="2" t="s">
        <v>4973</v>
      </c>
      <c r="C10592" s="2" t="s">
        <v>5940</v>
      </c>
      <c r="D10592" s="3" t="str">
        <f t="shared" ref="D10592:D10594" si="2287">HYPERLINK("https://12go.asia/en/travel/Hiriketiya-beach/Digana", "12Go Link")</f>
        <v>12Go Link</v>
      </c>
      <c r="E10592" s="2" t="s">
        <v>286</v>
      </c>
    </row>
    <row r="10593">
      <c r="A10593" s="2" t="s">
        <v>4951</v>
      </c>
      <c r="B10593" s="2" t="s">
        <v>4973</v>
      </c>
      <c r="C10593" s="2" t="s">
        <v>5940</v>
      </c>
      <c r="D10593" s="3" t="str">
        <f t="shared" si="2287"/>
        <v>12Go Link</v>
      </c>
      <c r="E10593" s="2" t="s">
        <v>4139</v>
      </c>
    </row>
    <row r="10594">
      <c r="A10594" s="2" t="s">
        <v>4951</v>
      </c>
      <c r="B10594" s="2" t="s">
        <v>4973</v>
      </c>
      <c r="C10594" s="2" t="s">
        <v>5940</v>
      </c>
      <c r="D10594" s="3" t="str">
        <f t="shared" si="2287"/>
        <v>12Go Link</v>
      </c>
      <c r="E10594" s="2" t="s">
        <v>3409</v>
      </c>
    </row>
    <row r="10595">
      <c r="A10595" s="2" t="s">
        <v>4951</v>
      </c>
      <c r="B10595" s="2" t="s">
        <v>4976</v>
      </c>
      <c r="C10595" s="2" t="s">
        <v>5941</v>
      </c>
      <c r="D10595" s="3" t="str">
        <f t="shared" ref="D10595:D10597" si="2288">HYPERLINK("https://12go.asia/en/travel/Dickwella/Kataragama", "12Go Link")</f>
        <v>12Go Link</v>
      </c>
      <c r="E10595" s="2" t="s">
        <v>286</v>
      </c>
    </row>
    <row r="10596">
      <c r="A10596" s="2" t="s">
        <v>4951</v>
      </c>
      <c r="B10596" s="2" t="s">
        <v>4976</v>
      </c>
      <c r="C10596" s="2" t="s">
        <v>5941</v>
      </c>
      <c r="D10596" s="3" t="str">
        <f t="shared" si="2288"/>
        <v>12Go Link</v>
      </c>
      <c r="E10596" s="2" t="s">
        <v>4139</v>
      </c>
    </row>
    <row r="10597">
      <c r="A10597" s="2" t="s">
        <v>4951</v>
      </c>
      <c r="B10597" s="2" t="s">
        <v>4976</v>
      </c>
      <c r="C10597" s="2" t="s">
        <v>5941</v>
      </c>
      <c r="D10597" s="3" t="str">
        <f t="shared" si="2288"/>
        <v>12Go Link</v>
      </c>
      <c r="E10597" s="2" t="s">
        <v>3409</v>
      </c>
    </row>
    <row r="10598">
      <c r="A10598" s="2" t="s">
        <v>4951</v>
      </c>
      <c r="B10598" s="2" t="s">
        <v>4976</v>
      </c>
      <c r="C10598" s="2" t="s">
        <v>5942</v>
      </c>
      <c r="D10598" s="3" t="str">
        <f t="shared" ref="D10598:D10600" si="2289">HYPERLINK("https://12go.asia/en/travel/Hiriketiya-beach/Kataragama", "12Go Link")</f>
        <v>12Go Link</v>
      </c>
      <c r="E10598" s="2" t="s">
        <v>286</v>
      </c>
    </row>
    <row r="10599">
      <c r="A10599" s="2" t="s">
        <v>4951</v>
      </c>
      <c r="B10599" s="2" t="s">
        <v>4976</v>
      </c>
      <c r="C10599" s="2" t="s">
        <v>5942</v>
      </c>
      <c r="D10599" s="3" t="str">
        <f t="shared" si="2289"/>
        <v>12Go Link</v>
      </c>
      <c r="E10599" s="2" t="s">
        <v>4139</v>
      </c>
    </row>
    <row r="10600">
      <c r="A10600" s="2" t="s">
        <v>4951</v>
      </c>
      <c r="B10600" s="2" t="s">
        <v>4976</v>
      </c>
      <c r="C10600" s="2" t="s">
        <v>5942</v>
      </c>
      <c r="D10600" s="3" t="str">
        <f t="shared" si="2289"/>
        <v>12Go Link</v>
      </c>
      <c r="E10600" s="2" t="s">
        <v>3409</v>
      </c>
    </row>
    <row r="10601">
      <c r="A10601" s="2" t="s">
        <v>4951</v>
      </c>
      <c r="B10601" s="2" t="s">
        <v>4978</v>
      </c>
      <c r="C10601" s="2" t="s">
        <v>5943</v>
      </c>
      <c r="D10601" s="3" t="str">
        <f t="shared" ref="D10601:D10603" si="2290">HYPERLINK("https://12go.asia/en/travel/Dickwella/Alawathupitiya", "12Go Link")</f>
        <v>12Go Link</v>
      </c>
      <c r="E10601" s="2" t="s">
        <v>286</v>
      </c>
    </row>
    <row r="10602">
      <c r="A10602" s="2" t="s">
        <v>4951</v>
      </c>
      <c r="B10602" s="2" t="s">
        <v>4978</v>
      </c>
      <c r="C10602" s="2" t="s">
        <v>5943</v>
      </c>
      <c r="D10602" s="3" t="str">
        <f t="shared" si="2290"/>
        <v>12Go Link</v>
      </c>
      <c r="E10602" s="2" t="s">
        <v>4139</v>
      </c>
    </row>
    <row r="10603">
      <c r="A10603" s="2" t="s">
        <v>4951</v>
      </c>
      <c r="B10603" s="2" t="s">
        <v>4978</v>
      </c>
      <c r="C10603" s="2" t="s">
        <v>5943</v>
      </c>
      <c r="D10603" s="3" t="str">
        <f t="shared" si="2290"/>
        <v>12Go Link</v>
      </c>
      <c r="E10603" s="2" t="s">
        <v>3409</v>
      </c>
    </row>
    <row r="10604">
      <c r="A10604" s="2" t="s">
        <v>4951</v>
      </c>
      <c r="B10604" s="2" t="s">
        <v>4978</v>
      </c>
      <c r="C10604" s="2" t="s">
        <v>5944</v>
      </c>
      <c r="D10604" s="3" t="str">
        <f t="shared" ref="D10604:D10606" si="2291">HYPERLINK("https://12go.asia/en/travel/Hiriketiya-beach/Alawathupitiya", "12Go Link")</f>
        <v>12Go Link</v>
      </c>
      <c r="E10604" s="2" t="s">
        <v>286</v>
      </c>
    </row>
    <row r="10605">
      <c r="A10605" s="2" t="s">
        <v>4951</v>
      </c>
      <c r="B10605" s="2" t="s">
        <v>4978</v>
      </c>
      <c r="C10605" s="2" t="s">
        <v>5944</v>
      </c>
      <c r="D10605" s="3" t="str">
        <f t="shared" si="2291"/>
        <v>12Go Link</v>
      </c>
      <c r="E10605" s="2" t="s">
        <v>4139</v>
      </c>
    </row>
    <row r="10606">
      <c r="A10606" s="2" t="s">
        <v>4951</v>
      </c>
      <c r="B10606" s="2" t="s">
        <v>4978</v>
      </c>
      <c r="C10606" s="2" t="s">
        <v>5944</v>
      </c>
      <c r="D10606" s="3" t="str">
        <f t="shared" si="2291"/>
        <v>12Go Link</v>
      </c>
      <c r="E10606" s="2" t="s">
        <v>3409</v>
      </c>
    </row>
    <row r="10607">
      <c r="A10607" s="2" t="s">
        <v>4951</v>
      </c>
      <c r="B10607" s="2" t="s">
        <v>4980</v>
      </c>
      <c r="C10607" s="2" t="s">
        <v>5945</v>
      </c>
      <c r="D10607" s="3" t="str">
        <f t="shared" ref="D10607:D10609" si="2292">HYPERLINK("https://12go.asia/en/travel/Dickwella/Pinnawala", "12Go Link")</f>
        <v>12Go Link</v>
      </c>
      <c r="E10607" s="2" t="s">
        <v>286</v>
      </c>
    </row>
    <row r="10608">
      <c r="A10608" s="2" t="s">
        <v>4951</v>
      </c>
      <c r="B10608" s="2" t="s">
        <v>4980</v>
      </c>
      <c r="C10608" s="2" t="s">
        <v>5945</v>
      </c>
      <c r="D10608" s="3" t="str">
        <f t="shared" si="2292"/>
        <v>12Go Link</v>
      </c>
      <c r="E10608" s="2" t="s">
        <v>4139</v>
      </c>
    </row>
    <row r="10609">
      <c r="A10609" s="2" t="s">
        <v>4951</v>
      </c>
      <c r="B10609" s="2" t="s">
        <v>4980</v>
      </c>
      <c r="C10609" s="2" t="s">
        <v>5945</v>
      </c>
      <c r="D10609" s="3" t="str">
        <f t="shared" si="2292"/>
        <v>12Go Link</v>
      </c>
      <c r="E10609" s="2" t="s">
        <v>3409</v>
      </c>
    </row>
    <row r="10610">
      <c r="A10610" s="2" t="s">
        <v>4951</v>
      </c>
      <c r="B10610" s="2" t="s">
        <v>4980</v>
      </c>
      <c r="C10610" s="2" t="s">
        <v>5946</v>
      </c>
      <c r="D10610" s="3" t="str">
        <f t="shared" ref="D10610:D10612" si="2293">HYPERLINK("https://12go.asia/en/travel/Hiriketiya-beach/Pinnawala", "12Go Link")</f>
        <v>12Go Link</v>
      </c>
      <c r="E10610" s="2" t="s">
        <v>286</v>
      </c>
    </row>
    <row r="10611">
      <c r="A10611" s="2" t="s">
        <v>4951</v>
      </c>
      <c r="B10611" s="2" t="s">
        <v>4980</v>
      </c>
      <c r="C10611" s="2" t="s">
        <v>5946</v>
      </c>
      <c r="D10611" s="3" t="str">
        <f t="shared" si="2293"/>
        <v>12Go Link</v>
      </c>
      <c r="E10611" s="2" t="s">
        <v>4139</v>
      </c>
    </row>
    <row r="10612">
      <c r="A10612" s="2" t="s">
        <v>4951</v>
      </c>
      <c r="B10612" s="2" t="s">
        <v>4980</v>
      </c>
      <c r="C10612" s="2" t="s">
        <v>5946</v>
      </c>
      <c r="D10612" s="3" t="str">
        <f t="shared" si="2293"/>
        <v>12Go Link</v>
      </c>
      <c r="E10612" s="2" t="s">
        <v>3409</v>
      </c>
    </row>
    <row r="10613">
      <c r="A10613" s="2" t="s">
        <v>4951</v>
      </c>
      <c r="B10613" s="2" t="s">
        <v>4982</v>
      </c>
      <c r="C10613" s="2" t="s">
        <v>5947</v>
      </c>
      <c r="D10613" s="3" t="str">
        <f t="shared" ref="D10613:D10615" si="2294">HYPERLINK("https://12go.asia/en/travel/Dickwella/Kitulgala", "12Go Link")</f>
        <v>12Go Link</v>
      </c>
      <c r="E10613" s="2" t="s">
        <v>286</v>
      </c>
    </row>
    <row r="10614">
      <c r="A10614" s="2" t="s">
        <v>4951</v>
      </c>
      <c r="B10614" s="2" t="s">
        <v>4982</v>
      </c>
      <c r="C10614" s="2" t="s">
        <v>5947</v>
      </c>
      <c r="D10614" s="3" t="str">
        <f t="shared" si="2294"/>
        <v>12Go Link</v>
      </c>
      <c r="E10614" s="2" t="s">
        <v>4139</v>
      </c>
    </row>
    <row r="10615">
      <c r="A10615" s="2" t="s">
        <v>4951</v>
      </c>
      <c r="B10615" s="2" t="s">
        <v>4982</v>
      </c>
      <c r="C10615" s="2" t="s">
        <v>5947</v>
      </c>
      <c r="D10615" s="3" t="str">
        <f t="shared" si="2294"/>
        <v>12Go Link</v>
      </c>
      <c r="E10615" s="2" t="s">
        <v>3409</v>
      </c>
    </row>
    <row r="10616">
      <c r="A10616" s="2" t="s">
        <v>4951</v>
      </c>
      <c r="B10616" s="2" t="s">
        <v>4982</v>
      </c>
      <c r="C10616" s="2" t="s">
        <v>5948</v>
      </c>
      <c r="D10616" s="3" t="str">
        <f t="shared" ref="D10616:D10618" si="2295">HYPERLINK("https://12go.asia/en/travel/Hiriketiya-beach/Kitulgala", "12Go Link")</f>
        <v>12Go Link</v>
      </c>
      <c r="E10616" s="2" t="s">
        <v>286</v>
      </c>
    </row>
    <row r="10617">
      <c r="A10617" s="2" t="s">
        <v>4951</v>
      </c>
      <c r="B10617" s="2" t="s">
        <v>4982</v>
      </c>
      <c r="C10617" s="2" t="s">
        <v>5948</v>
      </c>
      <c r="D10617" s="3" t="str">
        <f t="shared" si="2295"/>
        <v>12Go Link</v>
      </c>
      <c r="E10617" s="2" t="s">
        <v>4139</v>
      </c>
    </row>
    <row r="10618">
      <c r="A10618" s="2" t="s">
        <v>4951</v>
      </c>
      <c r="B10618" s="2" t="s">
        <v>4982</v>
      </c>
      <c r="C10618" s="2" t="s">
        <v>5948</v>
      </c>
      <c r="D10618" s="3" t="str">
        <f t="shared" si="2295"/>
        <v>12Go Link</v>
      </c>
      <c r="E10618" s="2" t="s">
        <v>3409</v>
      </c>
    </row>
    <row r="10619">
      <c r="A10619" s="2" t="s">
        <v>4951</v>
      </c>
      <c r="B10619" s="2" t="s">
        <v>4984</v>
      </c>
      <c r="C10619" s="2" t="s">
        <v>5949</v>
      </c>
      <c r="D10619" s="3" t="str">
        <f t="shared" ref="D10619:D10621" si="2296">HYPERLINK("https://12go.asia/en/travel/Dickwella/Habaraduwa", "12Go Link")</f>
        <v>12Go Link</v>
      </c>
      <c r="E10619" s="2" t="s">
        <v>286</v>
      </c>
    </row>
    <row r="10620">
      <c r="A10620" s="2" t="s">
        <v>4951</v>
      </c>
      <c r="B10620" s="2" t="s">
        <v>4984</v>
      </c>
      <c r="C10620" s="2" t="s">
        <v>5949</v>
      </c>
      <c r="D10620" s="3" t="str">
        <f t="shared" si="2296"/>
        <v>12Go Link</v>
      </c>
      <c r="E10620" s="2" t="s">
        <v>4139</v>
      </c>
    </row>
    <row r="10621">
      <c r="A10621" s="2" t="s">
        <v>4951</v>
      </c>
      <c r="B10621" s="2" t="s">
        <v>4984</v>
      </c>
      <c r="C10621" s="2" t="s">
        <v>5949</v>
      </c>
      <c r="D10621" s="3" t="str">
        <f t="shared" si="2296"/>
        <v>12Go Link</v>
      </c>
      <c r="E10621" s="2" t="s">
        <v>3409</v>
      </c>
    </row>
    <row r="10622">
      <c r="A10622" s="2" t="s">
        <v>4951</v>
      </c>
      <c r="B10622" s="2" t="s">
        <v>4984</v>
      </c>
      <c r="C10622" s="2" t="s">
        <v>5950</v>
      </c>
      <c r="D10622" s="3" t="str">
        <f t="shared" ref="D10622:D10624" si="2297">HYPERLINK("https://12go.asia/en/travel/Hiriketiya-beach/Habaraduwa", "12Go Link")</f>
        <v>12Go Link</v>
      </c>
      <c r="E10622" s="2" t="s">
        <v>286</v>
      </c>
    </row>
    <row r="10623">
      <c r="A10623" s="2" t="s">
        <v>4951</v>
      </c>
      <c r="B10623" s="2" t="s">
        <v>4984</v>
      </c>
      <c r="C10623" s="2" t="s">
        <v>5950</v>
      </c>
      <c r="D10623" s="3" t="str">
        <f t="shared" si="2297"/>
        <v>12Go Link</v>
      </c>
      <c r="E10623" s="2" t="s">
        <v>4139</v>
      </c>
    </row>
    <row r="10624">
      <c r="A10624" s="2" t="s">
        <v>4951</v>
      </c>
      <c r="B10624" s="2" t="s">
        <v>4984</v>
      </c>
      <c r="C10624" s="2" t="s">
        <v>5950</v>
      </c>
      <c r="D10624" s="3" t="str">
        <f t="shared" si="2297"/>
        <v>12Go Link</v>
      </c>
      <c r="E10624" s="2" t="s">
        <v>3409</v>
      </c>
    </row>
    <row r="10625">
      <c r="A10625" s="2" t="s">
        <v>4951</v>
      </c>
      <c r="B10625" s="2" t="s">
        <v>4986</v>
      </c>
      <c r="C10625" s="2" t="s">
        <v>5951</v>
      </c>
      <c r="D10625" s="3" t="str">
        <f t="shared" ref="D10625:D10627" si="2298">HYPERLINK("https://12go.asia/en/travel/Dickwella/Kosgoda", "12Go Link")</f>
        <v>12Go Link</v>
      </c>
      <c r="E10625" s="2" t="s">
        <v>286</v>
      </c>
    </row>
    <row r="10626">
      <c r="A10626" s="2" t="s">
        <v>4951</v>
      </c>
      <c r="B10626" s="2" t="s">
        <v>4986</v>
      </c>
      <c r="C10626" s="2" t="s">
        <v>5951</v>
      </c>
      <c r="D10626" s="3" t="str">
        <f t="shared" si="2298"/>
        <v>12Go Link</v>
      </c>
      <c r="E10626" s="2" t="s">
        <v>4139</v>
      </c>
    </row>
    <row r="10627">
      <c r="A10627" s="2" t="s">
        <v>4951</v>
      </c>
      <c r="B10627" s="2" t="s">
        <v>4986</v>
      </c>
      <c r="C10627" s="2" t="s">
        <v>5951</v>
      </c>
      <c r="D10627" s="3" t="str">
        <f t="shared" si="2298"/>
        <v>12Go Link</v>
      </c>
      <c r="E10627" s="2" t="s">
        <v>3409</v>
      </c>
    </row>
    <row r="10628">
      <c r="A10628" s="2" t="s">
        <v>4951</v>
      </c>
      <c r="B10628" s="2" t="s">
        <v>4986</v>
      </c>
      <c r="C10628" s="2" t="s">
        <v>5952</v>
      </c>
      <c r="D10628" s="3" t="str">
        <f t="shared" ref="D10628:D10630" si="2299">HYPERLINK("https://12go.asia/en/travel/Hiriketiya-beach/Kosgoda", "12Go Link")</f>
        <v>12Go Link</v>
      </c>
      <c r="E10628" s="2" t="s">
        <v>286</v>
      </c>
    </row>
    <row r="10629">
      <c r="A10629" s="2" t="s">
        <v>4951</v>
      </c>
      <c r="B10629" s="2" t="s">
        <v>4986</v>
      </c>
      <c r="C10629" s="2" t="s">
        <v>5952</v>
      </c>
      <c r="D10629" s="3" t="str">
        <f t="shared" si="2299"/>
        <v>12Go Link</v>
      </c>
      <c r="E10629" s="2" t="s">
        <v>4139</v>
      </c>
    </row>
    <row r="10630">
      <c r="A10630" s="2" t="s">
        <v>4951</v>
      </c>
      <c r="B10630" s="2" t="s">
        <v>4986</v>
      </c>
      <c r="C10630" s="2" t="s">
        <v>5952</v>
      </c>
      <c r="D10630" s="3" t="str">
        <f t="shared" si="2299"/>
        <v>12Go Link</v>
      </c>
      <c r="E10630" s="2" t="s">
        <v>3409</v>
      </c>
    </row>
    <row r="10631">
      <c r="A10631" s="2" t="s">
        <v>4951</v>
      </c>
      <c r="B10631" s="2" t="s">
        <v>4988</v>
      </c>
      <c r="C10631" s="2" t="s">
        <v>5953</v>
      </c>
      <c r="D10631" s="3" t="str">
        <f t="shared" ref="D10631:D10633" si="2300">HYPERLINK("https://12go.asia/en/travel/Dickwella/Kuchchaveli", "12Go Link")</f>
        <v>12Go Link</v>
      </c>
      <c r="E10631" s="2" t="s">
        <v>286</v>
      </c>
    </row>
    <row r="10632">
      <c r="A10632" s="2" t="s">
        <v>4951</v>
      </c>
      <c r="B10632" s="2" t="s">
        <v>4988</v>
      </c>
      <c r="C10632" s="2" t="s">
        <v>5953</v>
      </c>
      <c r="D10632" s="3" t="str">
        <f t="shared" si="2300"/>
        <v>12Go Link</v>
      </c>
      <c r="E10632" s="2" t="s">
        <v>4139</v>
      </c>
    </row>
    <row r="10633">
      <c r="A10633" s="2" t="s">
        <v>4951</v>
      </c>
      <c r="B10633" s="2" t="s">
        <v>4988</v>
      </c>
      <c r="C10633" s="2" t="s">
        <v>5953</v>
      </c>
      <c r="D10633" s="3" t="str">
        <f t="shared" si="2300"/>
        <v>12Go Link</v>
      </c>
      <c r="E10633" s="2" t="s">
        <v>3409</v>
      </c>
    </row>
    <row r="10634">
      <c r="A10634" s="2" t="s">
        <v>4951</v>
      </c>
      <c r="B10634" s="2" t="s">
        <v>4988</v>
      </c>
      <c r="C10634" s="2" t="s">
        <v>5954</v>
      </c>
      <c r="D10634" s="3" t="str">
        <f t="shared" ref="D10634:D10636" si="2301">HYPERLINK("https://12go.asia/en/travel/Hiriketiya-beach/Kuchchaveli", "12Go Link")</f>
        <v>12Go Link</v>
      </c>
      <c r="E10634" s="2" t="s">
        <v>286</v>
      </c>
    </row>
    <row r="10635">
      <c r="A10635" s="2" t="s">
        <v>4951</v>
      </c>
      <c r="B10635" s="2" t="s">
        <v>4988</v>
      </c>
      <c r="C10635" s="2" t="s">
        <v>5954</v>
      </c>
      <c r="D10635" s="3" t="str">
        <f t="shared" si="2301"/>
        <v>12Go Link</v>
      </c>
      <c r="E10635" s="2" t="s">
        <v>4139</v>
      </c>
    </row>
    <row r="10636">
      <c r="A10636" s="2" t="s">
        <v>4951</v>
      </c>
      <c r="B10636" s="2" t="s">
        <v>4988</v>
      </c>
      <c r="C10636" s="2" t="s">
        <v>5954</v>
      </c>
      <c r="D10636" s="3" t="str">
        <f t="shared" si="2301"/>
        <v>12Go Link</v>
      </c>
      <c r="E10636" s="2" t="s">
        <v>3409</v>
      </c>
    </row>
    <row r="10637">
      <c r="A10637" s="2" t="s">
        <v>4951</v>
      </c>
      <c r="B10637" s="2" t="s">
        <v>4990</v>
      </c>
      <c r="C10637" s="2" t="s">
        <v>5955</v>
      </c>
      <c r="D10637" s="3" t="str">
        <f t="shared" ref="D10637:D10639" si="2302">HYPERLINK("https://12go.asia/en/travel/Dickwella/Mannar", "12Go Link")</f>
        <v>12Go Link</v>
      </c>
      <c r="E10637" s="2" t="s">
        <v>286</v>
      </c>
    </row>
    <row r="10638">
      <c r="A10638" s="2" t="s">
        <v>4951</v>
      </c>
      <c r="B10638" s="2" t="s">
        <v>4990</v>
      </c>
      <c r="C10638" s="2" t="s">
        <v>5955</v>
      </c>
      <c r="D10638" s="3" t="str">
        <f t="shared" si="2302"/>
        <v>12Go Link</v>
      </c>
      <c r="E10638" s="2" t="s">
        <v>4139</v>
      </c>
    </row>
    <row r="10639">
      <c r="A10639" s="2" t="s">
        <v>4951</v>
      </c>
      <c r="B10639" s="2" t="s">
        <v>4990</v>
      </c>
      <c r="C10639" s="2" t="s">
        <v>5955</v>
      </c>
      <c r="D10639" s="3" t="str">
        <f t="shared" si="2302"/>
        <v>12Go Link</v>
      </c>
      <c r="E10639" s="2" t="s">
        <v>3409</v>
      </c>
    </row>
    <row r="10640">
      <c r="A10640" s="2" t="s">
        <v>4951</v>
      </c>
      <c r="B10640" s="2" t="s">
        <v>4990</v>
      </c>
      <c r="C10640" s="2" t="s">
        <v>5956</v>
      </c>
      <c r="D10640" s="3" t="str">
        <f t="shared" ref="D10640:D10642" si="2303">HYPERLINK("https://12go.asia/en/travel/Hiriketiya-beach/Mannar", "12Go Link")</f>
        <v>12Go Link</v>
      </c>
      <c r="E10640" s="2" t="s">
        <v>286</v>
      </c>
    </row>
    <row r="10641">
      <c r="A10641" s="2" t="s">
        <v>4951</v>
      </c>
      <c r="B10641" s="2" t="s">
        <v>4990</v>
      </c>
      <c r="C10641" s="2" t="s">
        <v>5956</v>
      </c>
      <c r="D10641" s="3" t="str">
        <f t="shared" si="2303"/>
        <v>12Go Link</v>
      </c>
      <c r="E10641" s="2" t="s">
        <v>4139</v>
      </c>
    </row>
    <row r="10642">
      <c r="A10642" s="2" t="s">
        <v>4951</v>
      </c>
      <c r="B10642" s="2" t="s">
        <v>4990</v>
      </c>
      <c r="C10642" s="2" t="s">
        <v>5956</v>
      </c>
      <c r="D10642" s="3" t="str">
        <f t="shared" si="2303"/>
        <v>12Go Link</v>
      </c>
      <c r="E10642" s="2" t="s">
        <v>3409</v>
      </c>
    </row>
    <row r="10643">
      <c r="A10643" s="2" t="s">
        <v>4951</v>
      </c>
      <c r="B10643" s="2" t="s">
        <v>4992</v>
      </c>
      <c r="C10643" s="2" t="s">
        <v>5957</v>
      </c>
      <c r="D10643" s="3" t="str">
        <f t="shared" ref="D10643:D10645" si="2304">HYPERLINK("https://12go.asia/en/travel/Dickwella/Kinigama", "12Go Link")</f>
        <v>12Go Link</v>
      </c>
      <c r="E10643" s="2" t="s">
        <v>286</v>
      </c>
    </row>
    <row r="10644">
      <c r="A10644" s="2" t="s">
        <v>4951</v>
      </c>
      <c r="B10644" s="2" t="s">
        <v>4992</v>
      </c>
      <c r="C10644" s="2" t="s">
        <v>5957</v>
      </c>
      <c r="D10644" s="3" t="str">
        <f t="shared" si="2304"/>
        <v>12Go Link</v>
      </c>
      <c r="E10644" s="2" t="s">
        <v>4139</v>
      </c>
    </row>
    <row r="10645">
      <c r="A10645" s="2" t="s">
        <v>4951</v>
      </c>
      <c r="B10645" s="2" t="s">
        <v>4992</v>
      </c>
      <c r="C10645" s="2" t="s">
        <v>5957</v>
      </c>
      <c r="D10645" s="3" t="str">
        <f t="shared" si="2304"/>
        <v>12Go Link</v>
      </c>
      <c r="E10645" s="2" t="s">
        <v>3409</v>
      </c>
    </row>
    <row r="10646">
      <c r="A10646" s="2" t="s">
        <v>4951</v>
      </c>
      <c r="B10646" s="2" t="s">
        <v>4992</v>
      </c>
      <c r="C10646" s="2" t="s">
        <v>5958</v>
      </c>
      <c r="D10646" s="3" t="str">
        <f t="shared" ref="D10646:D10648" si="2305">HYPERLINK("https://12go.asia/en/travel/Hiriketiya-beach/Kinigama", "12Go Link")</f>
        <v>12Go Link</v>
      </c>
      <c r="E10646" s="2" t="s">
        <v>286</v>
      </c>
    </row>
    <row r="10647">
      <c r="A10647" s="2" t="s">
        <v>4951</v>
      </c>
      <c r="B10647" s="2" t="s">
        <v>4992</v>
      </c>
      <c r="C10647" s="2" t="s">
        <v>5958</v>
      </c>
      <c r="D10647" s="3" t="str">
        <f t="shared" si="2305"/>
        <v>12Go Link</v>
      </c>
      <c r="E10647" s="2" t="s">
        <v>4139</v>
      </c>
    </row>
    <row r="10648">
      <c r="A10648" s="2" t="s">
        <v>4951</v>
      </c>
      <c r="B10648" s="2" t="s">
        <v>4992</v>
      </c>
      <c r="C10648" s="2" t="s">
        <v>5958</v>
      </c>
      <c r="D10648" s="3" t="str">
        <f t="shared" si="2305"/>
        <v>12Go Link</v>
      </c>
      <c r="E10648" s="2" t="s">
        <v>3409</v>
      </c>
    </row>
    <row r="10649">
      <c r="A10649" s="2" t="s">
        <v>4951</v>
      </c>
      <c r="B10649" s="2" t="s">
        <v>4994</v>
      </c>
      <c r="C10649" s="2" t="s">
        <v>5959</v>
      </c>
      <c r="D10649" s="3" t="str">
        <f t="shared" ref="D10649:D10651" si="2306">HYPERLINK("https://12go.asia/en/travel/Dickwella/Kalamatiya", "12Go Link")</f>
        <v>12Go Link</v>
      </c>
      <c r="E10649" s="2" t="s">
        <v>286</v>
      </c>
    </row>
    <row r="10650">
      <c r="A10650" s="2" t="s">
        <v>4951</v>
      </c>
      <c r="B10650" s="2" t="s">
        <v>4994</v>
      </c>
      <c r="C10650" s="2" t="s">
        <v>5959</v>
      </c>
      <c r="D10650" s="3" t="str">
        <f t="shared" si="2306"/>
        <v>12Go Link</v>
      </c>
      <c r="E10650" s="2" t="s">
        <v>4139</v>
      </c>
    </row>
    <row r="10651">
      <c r="A10651" s="2" t="s">
        <v>4951</v>
      </c>
      <c r="B10651" s="2" t="s">
        <v>4994</v>
      </c>
      <c r="C10651" s="2" t="s">
        <v>5959</v>
      </c>
      <c r="D10651" s="3" t="str">
        <f t="shared" si="2306"/>
        <v>12Go Link</v>
      </c>
      <c r="E10651" s="2" t="s">
        <v>3409</v>
      </c>
    </row>
    <row r="10652">
      <c r="A10652" s="2" t="s">
        <v>4951</v>
      </c>
      <c r="B10652" s="2" t="s">
        <v>4994</v>
      </c>
      <c r="C10652" s="2" t="s">
        <v>5960</v>
      </c>
      <c r="D10652" s="3" t="str">
        <f t="shared" ref="D10652:D10654" si="2307">HYPERLINK("https://12go.asia/en/travel/Hiriketiya-beach/Kalamatiya", "12Go Link")</f>
        <v>12Go Link</v>
      </c>
      <c r="E10652" s="2" t="s">
        <v>286</v>
      </c>
    </row>
    <row r="10653">
      <c r="A10653" s="2" t="s">
        <v>4951</v>
      </c>
      <c r="B10653" s="2" t="s">
        <v>4994</v>
      </c>
      <c r="C10653" s="2" t="s">
        <v>5960</v>
      </c>
      <c r="D10653" s="3" t="str">
        <f t="shared" si="2307"/>
        <v>12Go Link</v>
      </c>
      <c r="E10653" s="2" t="s">
        <v>4139</v>
      </c>
    </row>
    <row r="10654">
      <c r="A10654" s="2" t="s">
        <v>4951</v>
      </c>
      <c r="B10654" s="2" t="s">
        <v>4994</v>
      </c>
      <c r="C10654" s="2" t="s">
        <v>5960</v>
      </c>
      <c r="D10654" s="3" t="str">
        <f t="shared" si="2307"/>
        <v>12Go Link</v>
      </c>
      <c r="E10654" s="2" t="s">
        <v>3409</v>
      </c>
    </row>
    <row r="10655">
      <c r="A10655" s="2" t="s">
        <v>4951</v>
      </c>
      <c r="B10655" s="2" t="s">
        <v>4996</v>
      </c>
      <c r="C10655" s="2" t="s">
        <v>5961</v>
      </c>
      <c r="D10655" s="3" t="str">
        <f t="shared" ref="D10655:D10657" si="2308">HYPERLINK("https://12go.asia/en/travel/Dickwella/mirissa", "12Go Link")</f>
        <v>12Go Link</v>
      </c>
      <c r="E10655" s="2" t="s">
        <v>286</v>
      </c>
    </row>
    <row r="10656">
      <c r="A10656" s="2" t="s">
        <v>4951</v>
      </c>
      <c r="B10656" s="2" t="s">
        <v>4996</v>
      </c>
      <c r="C10656" s="2" t="s">
        <v>5961</v>
      </c>
      <c r="D10656" s="3" t="str">
        <f t="shared" si="2308"/>
        <v>12Go Link</v>
      </c>
      <c r="E10656" s="2" t="s">
        <v>4139</v>
      </c>
    </row>
    <row r="10657">
      <c r="A10657" s="2" t="s">
        <v>4951</v>
      </c>
      <c r="B10657" s="2" t="s">
        <v>4996</v>
      </c>
      <c r="C10657" s="2" t="s">
        <v>5961</v>
      </c>
      <c r="D10657" s="3" t="str">
        <f t="shared" si="2308"/>
        <v>12Go Link</v>
      </c>
      <c r="E10657" s="2" t="s">
        <v>3409</v>
      </c>
    </row>
    <row r="10658">
      <c r="A10658" s="2" t="s">
        <v>4951</v>
      </c>
      <c r="B10658" s="2" t="s">
        <v>4996</v>
      </c>
      <c r="C10658" s="2" t="s">
        <v>5962</v>
      </c>
      <c r="D10658" s="3" t="str">
        <f t="shared" ref="D10658:D10660" si="2309">HYPERLINK("https://12go.asia/en/travel/Hiriketiya-beach/mirissa", "12Go Link")</f>
        <v>12Go Link</v>
      </c>
      <c r="E10658" s="2" t="s">
        <v>286</v>
      </c>
    </row>
    <row r="10659">
      <c r="A10659" s="2" t="s">
        <v>4951</v>
      </c>
      <c r="B10659" s="2" t="s">
        <v>4996</v>
      </c>
      <c r="C10659" s="2" t="s">
        <v>5962</v>
      </c>
      <c r="D10659" s="3" t="str">
        <f t="shared" si="2309"/>
        <v>12Go Link</v>
      </c>
      <c r="E10659" s="2" t="s">
        <v>4139</v>
      </c>
    </row>
    <row r="10660">
      <c r="A10660" s="2" t="s">
        <v>4951</v>
      </c>
      <c r="B10660" s="2" t="s">
        <v>4996</v>
      </c>
      <c r="C10660" s="2" t="s">
        <v>5962</v>
      </c>
      <c r="D10660" s="3" t="str">
        <f t="shared" si="2309"/>
        <v>12Go Link</v>
      </c>
      <c r="E10660" s="2" t="s">
        <v>3409</v>
      </c>
    </row>
    <row r="10661">
      <c r="A10661" s="2" t="s">
        <v>4951</v>
      </c>
      <c r="B10661" s="2" t="s">
        <v>4998</v>
      </c>
      <c r="C10661" s="2" t="s">
        <v>5963</v>
      </c>
      <c r="D10661" s="3" t="str">
        <f t="shared" ref="D10661:D10663" si="2310">HYPERLINK("https://12go.asia/en/travel/Dickwella/Nanu-Oya", "12Go Link")</f>
        <v>12Go Link</v>
      </c>
      <c r="E10661" s="2" t="s">
        <v>286</v>
      </c>
    </row>
    <row r="10662">
      <c r="A10662" s="2" t="s">
        <v>4951</v>
      </c>
      <c r="B10662" s="2" t="s">
        <v>4998</v>
      </c>
      <c r="C10662" s="2" t="s">
        <v>5963</v>
      </c>
      <c r="D10662" s="3" t="str">
        <f t="shared" si="2310"/>
        <v>12Go Link</v>
      </c>
      <c r="E10662" s="2" t="s">
        <v>4139</v>
      </c>
    </row>
    <row r="10663">
      <c r="A10663" s="2" t="s">
        <v>4951</v>
      </c>
      <c r="B10663" s="2" t="s">
        <v>4998</v>
      </c>
      <c r="C10663" s="2" t="s">
        <v>5963</v>
      </c>
      <c r="D10663" s="3" t="str">
        <f t="shared" si="2310"/>
        <v>12Go Link</v>
      </c>
      <c r="E10663" s="2" t="s">
        <v>3409</v>
      </c>
    </row>
    <row r="10664">
      <c r="A10664" s="2" t="s">
        <v>4951</v>
      </c>
      <c r="B10664" s="2" t="s">
        <v>4998</v>
      </c>
      <c r="C10664" s="2" t="s">
        <v>5964</v>
      </c>
      <c r="D10664" s="3" t="str">
        <f t="shared" ref="D10664:D10666" si="2311">HYPERLINK("https://12go.asia/en/travel/Hiriketiya-beach/Nanu-Oya", "12Go Link")</f>
        <v>12Go Link</v>
      </c>
      <c r="E10664" s="2" t="s">
        <v>286</v>
      </c>
    </row>
    <row r="10665">
      <c r="A10665" s="2" t="s">
        <v>4951</v>
      </c>
      <c r="B10665" s="2" t="s">
        <v>4998</v>
      </c>
      <c r="C10665" s="2" t="s">
        <v>5964</v>
      </c>
      <c r="D10665" s="3" t="str">
        <f t="shared" si="2311"/>
        <v>12Go Link</v>
      </c>
      <c r="E10665" s="2" t="s">
        <v>4139</v>
      </c>
    </row>
    <row r="10666">
      <c r="A10666" s="2" t="s">
        <v>4951</v>
      </c>
      <c r="B10666" s="2" t="s">
        <v>4998</v>
      </c>
      <c r="C10666" s="2" t="s">
        <v>5964</v>
      </c>
      <c r="D10666" s="3" t="str">
        <f t="shared" si="2311"/>
        <v>12Go Link</v>
      </c>
      <c r="E10666" s="2" t="s">
        <v>3409</v>
      </c>
    </row>
    <row r="10667">
      <c r="A10667" s="2" t="s">
        <v>4951</v>
      </c>
      <c r="B10667" s="2" t="s">
        <v>5000</v>
      </c>
      <c r="C10667" s="2" t="s">
        <v>5965</v>
      </c>
      <c r="D10667" s="3" t="str">
        <f t="shared" ref="D10667:D10669" si="2312">HYPERLINK("https://12go.asia/en/travel/Dickwella/Dalupotha", "12Go Link")</f>
        <v>12Go Link</v>
      </c>
      <c r="E10667" s="2" t="s">
        <v>286</v>
      </c>
    </row>
    <row r="10668">
      <c r="A10668" s="2" t="s">
        <v>4951</v>
      </c>
      <c r="B10668" s="2" t="s">
        <v>5000</v>
      </c>
      <c r="C10668" s="2" t="s">
        <v>5965</v>
      </c>
      <c r="D10668" s="3" t="str">
        <f t="shared" si="2312"/>
        <v>12Go Link</v>
      </c>
      <c r="E10668" s="2" t="s">
        <v>4139</v>
      </c>
    </row>
    <row r="10669">
      <c r="A10669" s="2" t="s">
        <v>4951</v>
      </c>
      <c r="B10669" s="2" t="s">
        <v>5000</v>
      </c>
      <c r="C10669" s="2" t="s">
        <v>5965</v>
      </c>
      <c r="D10669" s="3" t="str">
        <f t="shared" si="2312"/>
        <v>12Go Link</v>
      </c>
      <c r="E10669" s="2" t="s">
        <v>3409</v>
      </c>
    </row>
    <row r="10670">
      <c r="A10670" s="2" t="s">
        <v>4951</v>
      </c>
      <c r="B10670" s="2" t="s">
        <v>5000</v>
      </c>
      <c r="C10670" s="2" t="s">
        <v>5966</v>
      </c>
      <c r="D10670" s="3" t="str">
        <f t="shared" ref="D10670:D10672" si="2313">HYPERLINK("https://12go.asia/en/travel/Dickwella/Waikkal", "12Go Link")</f>
        <v>12Go Link</v>
      </c>
      <c r="E10670" s="2" t="s">
        <v>286</v>
      </c>
    </row>
    <row r="10671">
      <c r="A10671" s="2" t="s">
        <v>4951</v>
      </c>
      <c r="B10671" s="2" t="s">
        <v>5000</v>
      </c>
      <c r="C10671" s="2" t="s">
        <v>5966</v>
      </c>
      <c r="D10671" s="3" t="str">
        <f t="shared" si="2313"/>
        <v>12Go Link</v>
      </c>
      <c r="E10671" s="2" t="s">
        <v>4139</v>
      </c>
    </row>
    <row r="10672">
      <c r="A10672" s="2" t="s">
        <v>4951</v>
      </c>
      <c r="B10672" s="2" t="s">
        <v>5000</v>
      </c>
      <c r="C10672" s="2" t="s">
        <v>5966</v>
      </c>
      <c r="D10672" s="3" t="str">
        <f t="shared" si="2313"/>
        <v>12Go Link</v>
      </c>
      <c r="E10672" s="2" t="s">
        <v>3409</v>
      </c>
    </row>
    <row r="10673">
      <c r="A10673" s="2" t="s">
        <v>4951</v>
      </c>
      <c r="B10673" s="2" t="s">
        <v>5000</v>
      </c>
      <c r="C10673" s="2" t="s">
        <v>5967</v>
      </c>
      <c r="D10673" s="3" t="str">
        <f t="shared" ref="D10673:D10675" si="2314">HYPERLINK("https://12go.asia/en/travel/Hiriketiya-beach/Dalupotha", "12Go Link")</f>
        <v>12Go Link</v>
      </c>
      <c r="E10673" s="2" t="s">
        <v>286</v>
      </c>
    </row>
    <row r="10674">
      <c r="A10674" s="2" t="s">
        <v>4951</v>
      </c>
      <c r="B10674" s="2" t="s">
        <v>5000</v>
      </c>
      <c r="C10674" s="2" t="s">
        <v>5967</v>
      </c>
      <c r="D10674" s="3" t="str">
        <f t="shared" si="2314"/>
        <v>12Go Link</v>
      </c>
      <c r="E10674" s="2" t="s">
        <v>4139</v>
      </c>
    </row>
    <row r="10675">
      <c r="A10675" s="2" t="s">
        <v>4951</v>
      </c>
      <c r="B10675" s="2" t="s">
        <v>5000</v>
      </c>
      <c r="C10675" s="2" t="s">
        <v>5967</v>
      </c>
      <c r="D10675" s="3" t="str">
        <f t="shared" si="2314"/>
        <v>12Go Link</v>
      </c>
      <c r="E10675" s="2" t="s">
        <v>3409</v>
      </c>
    </row>
    <row r="10676">
      <c r="A10676" s="2" t="s">
        <v>4951</v>
      </c>
      <c r="B10676" s="2" t="s">
        <v>5000</v>
      </c>
      <c r="C10676" s="2" t="s">
        <v>5968</v>
      </c>
      <c r="D10676" s="3" t="str">
        <f t="shared" ref="D10676:D10678" si="2315">HYPERLINK("https://12go.asia/en/travel/Hiriketiya-beach/Waikkal", "12Go Link")</f>
        <v>12Go Link</v>
      </c>
      <c r="E10676" s="2" t="s">
        <v>286</v>
      </c>
    </row>
    <row r="10677">
      <c r="A10677" s="2" t="s">
        <v>4951</v>
      </c>
      <c r="B10677" s="2" t="s">
        <v>5000</v>
      </c>
      <c r="C10677" s="2" t="s">
        <v>5968</v>
      </c>
      <c r="D10677" s="3" t="str">
        <f t="shared" si="2315"/>
        <v>12Go Link</v>
      </c>
      <c r="E10677" s="2" t="s">
        <v>4139</v>
      </c>
    </row>
    <row r="10678">
      <c r="A10678" s="2" t="s">
        <v>4951</v>
      </c>
      <c r="B10678" s="2" t="s">
        <v>5000</v>
      </c>
      <c r="C10678" s="2" t="s">
        <v>5968</v>
      </c>
      <c r="D10678" s="3" t="str">
        <f t="shared" si="2315"/>
        <v>12Go Link</v>
      </c>
      <c r="E10678" s="2" t="s">
        <v>3409</v>
      </c>
    </row>
    <row r="10679">
      <c r="A10679" s="2" t="s">
        <v>4951</v>
      </c>
      <c r="B10679" s="2" t="s">
        <v>5003</v>
      </c>
      <c r="C10679" s="2" t="s">
        <v>5969</v>
      </c>
      <c r="D10679" s="3" t="str">
        <f t="shared" ref="D10679:D10681" si="2316">HYPERLINK("https://12go.asia/en/travel/Dickwella/Nilaveli", "12Go Link")</f>
        <v>12Go Link</v>
      </c>
      <c r="E10679" s="2" t="s">
        <v>286</v>
      </c>
    </row>
    <row r="10680">
      <c r="A10680" s="2" t="s">
        <v>4951</v>
      </c>
      <c r="B10680" s="2" t="s">
        <v>5003</v>
      </c>
      <c r="C10680" s="2" t="s">
        <v>5969</v>
      </c>
      <c r="D10680" s="3" t="str">
        <f t="shared" si="2316"/>
        <v>12Go Link</v>
      </c>
      <c r="E10680" s="2" t="s">
        <v>4139</v>
      </c>
    </row>
    <row r="10681">
      <c r="A10681" s="2" t="s">
        <v>4951</v>
      </c>
      <c r="B10681" s="2" t="s">
        <v>5003</v>
      </c>
      <c r="C10681" s="2" t="s">
        <v>5969</v>
      </c>
      <c r="D10681" s="3" t="str">
        <f t="shared" si="2316"/>
        <v>12Go Link</v>
      </c>
      <c r="E10681" s="2" t="s">
        <v>3409</v>
      </c>
    </row>
    <row r="10682">
      <c r="A10682" s="2" t="s">
        <v>4951</v>
      </c>
      <c r="B10682" s="2" t="s">
        <v>5003</v>
      </c>
      <c r="C10682" s="2" t="s">
        <v>5970</v>
      </c>
      <c r="D10682" s="3" t="str">
        <f t="shared" ref="D10682:D10684" si="2317">HYPERLINK("https://12go.asia/en/travel/Hiriketiya-beach/Nilaveli", "12Go Link")</f>
        <v>12Go Link</v>
      </c>
      <c r="E10682" s="2" t="s">
        <v>286</v>
      </c>
    </row>
    <row r="10683">
      <c r="A10683" s="2" t="s">
        <v>4951</v>
      </c>
      <c r="B10683" s="2" t="s">
        <v>5003</v>
      </c>
      <c r="C10683" s="2" t="s">
        <v>5970</v>
      </c>
      <c r="D10683" s="3" t="str">
        <f t="shared" si="2317"/>
        <v>12Go Link</v>
      </c>
      <c r="E10683" s="2" t="s">
        <v>4139</v>
      </c>
    </row>
    <row r="10684">
      <c r="A10684" s="2" t="s">
        <v>4951</v>
      </c>
      <c r="B10684" s="2" t="s">
        <v>5003</v>
      </c>
      <c r="C10684" s="2" t="s">
        <v>5970</v>
      </c>
      <c r="D10684" s="3" t="str">
        <f t="shared" si="2317"/>
        <v>12Go Link</v>
      </c>
      <c r="E10684" s="2" t="s">
        <v>3409</v>
      </c>
    </row>
    <row r="10685">
      <c r="A10685" s="2" t="s">
        <v>4951</v>
      </c>
      <c r="B10685" s="2" t="s">
        <v>5005</v>
      </c>
      <c r="C10685" s="2" t="s">
        <v>5971</v>
      </c>
      <c r="D10685" s="3" t="str">
        <f t="shared" ref="D10685:D10687" si="2318">HYPERLINK("https://12go.asia/en/travel/Dickwella/Kotmale", "12Go Link")</f>
        <v>12Go Link</v>
      </c>
      <c r="E10685" s="2" t="s">
        <v>286</v>
      </c>
    </row>
    <row r="10686">
      <c r="A10686" s="2" t="s">
        <v>4951</v>
      </c>
      <c r="B10686" s="2" t="s">
        <v>5005</v>
      </c>
      <c r="C10686" s="2" t="s">
        <v>5971</v>
      </c>
      <c r="D10686" s="3" t="str">
        <f t="shared" si="2318"/>
        <v>12Go Link</v>
      </c>
      <c r="E10686" s="2" t="s">
        <v>4139</v>
      </c>
    </row>
    <row r="10687">
      <c r="A10687" s="2" t="s">
        <v>4951</v>
      </c>
      <c r="B10687" s="2" t="s">
        <v>5005</v>
      </c>
      <c r="C10687" s="2" t="s">
        <v>5971</v>
      </c>
      <c r="D10687" s="3" t="str">
        <f t="shared" si="2318"/>
        <v>12Go Link</v>
      </c>
      <c r="E10687" s="2" t="s">
        <v>3409</v>
      </c>
    </row>
    <row r="10688">
      <c r="A10688" s="2" t="s">
        <v>4951</v>
      </c>
      <c r="B10688" s="2" t="s">
        <v>5005</v>
      </c>
      <c r="C10688" s="2" t="s">
        <v>5972</v>
      </c>
      <c r="D10688" s="3" t="str">
        <f t="shared" ref="D10688:D10690" si="2319">HYPERLINK("https://12go.asia/en/travel/Hiriketiya-beach/Kotmale", "12Go Link")</f>
        <v>12Go Link</v>
      </c>
      <c r="E10688" s="2" t="s">
        <v>286</v>
      </c>
    </row>
    <row r="10689">
      <c r="A10689" s="2" t="s">
        <v>4951</v>
      </c>
      <c r="B10689" s="2" t="s">
        <v>5005</v>
      </c>
      <c r="C10689" s="2" t="s">
        <v>5972</v>
      </c>
      <c r="D10689" s="3" t="str">
        <f t="shared" si="2319"/>
        <v>12Go Link</v>
      </c>
      <c r="E10689" s="2" t="s">
        <v>4139</v>
      </c>
    </row>
    <row r="10690">
      <c r="A10690" s="2" t="s">
        <v>4951</v>
      </c>
      <c r="B10690" s="2" t="s">
        <v>5005</v>
      </c>
      <c r="C10690" s="2" t="s">
        <v>5972</v>
      </c>
      <c r="D10690" s="3" t="str">
        <f t="shared" si="2319"/>
        <v>12Go Link</v>
      </c>
      <c r="E10690" s="2" t="s">
        <v>3409</v>
      </c>
    </row>
    <row r="10691">
      <c r="A10691" s="2" t="s">
        <v>4951</v>
      </c>
      <c r="B10691" s="2" t="s">
        <v>5007</v>
      </c>
      <c r="C10691" s="2" t="s">
        <v>5973</v>
      </c>
      <c r="D10691" s="3" t="str">
        <f t="shared" ref="D10691:D10693" si="2320">HYPERLINK("https://12go.asia/en/travel/Dickwella/Pasikuda", "12Go Link")</f>
        <v>12Go Link</v>
      </c>
      <c r="E10691" s="2" t="s">
        <v>286</v>
      </c>
    </row>
    <row r="10692">
      <c r="A10692" s="2" t="s">
        <v>4951</v>
      </c>
      <c r="B10692" s="2" t="s">
        <v>5007</v>
      </c>
      <c r="C10692" s="2" t="s">
        <v>5973</v>
      </c>
      <c r="D10692" s="3" t="str">
        <f t="shared" si="2320"/>
        <v>12Go Link</v>
      </c>
      <c r="E10692" s="2" t="s">
        <v>4139</v>
      </c>
    </row>
    <row r="10693">
      <c r="A10693" s="2" t="s">
        <v>4951</v>
      </c>
      <c r="B10693" s="2" t="s">
        <v>5007</v>
      </c>
      <c r="C10693" s="2" t="s">
        <v>5973</v>
      </c>
      <c r="D10693" s="3" t="str">
        <f t="shared" si="2320"/>
        <v>12Go Link</v>
      </c>
      <c r="E10693" s="2" t="s">
        <v>3409</v>
      </c>
    </row>
    <row r="10694">
      <c r="A10694" s="2" t="s">
        <v>4951</v>
      </c>
      <c r="B10694" s="2" t="s">
        <v>5007</v>
      </c>
      <c r="C10694" s="2" t="s">
        <v>5974</v>
      </c>
      <c r="D10694" s="3" t="str">
        <f t="shared" ref="D10694:D10696" si="2321">HYPERLINK("https://12go.asia/en/travel/Hiriketiya-beach/Pasikuda", "12Go Link")</f>
        <v>12Go Link</v>
      </c>
      <c r="E10694" s="2" t="s">
        <v>286</v>
      </c>
    </row>
    <row r="10695">
      <c r="A10695" s="2" t="s">
        <v>4951</v>
      </c>
      <c r="B10695" s="2" t="s">
        <v>5007</v>
      </c>
      <c r="C10695" s="2" t="s">
        <v>5974</v>
      </c>
      <c r="D10695" s="3" t="str">
        <f t="shared" si="2321"/>
        <v>12Go Link</v>
      </c>
      <c r="E10695" s="2" t="s">
        <v>4139</v>
      </c>
    </row>
    <row r="10696">
      <c r="A10696" s="2" t="s">
        <v>4951</v>
      </c>
      <c r="B10696" s="2" t="s">
        <v>5007</v>
      </c>
      <c r="C10696" s="2" t="s">
        <v>5974</v>
      </c>
      <c r="D10696" s="3" t="str">
        <f t="shared" si="2321"/>
        <v>12Go Link</v>
      </c>
      <c r="E10696" s="2" t="s">
        <v>3409</v>
      </c>
    </row>
    <row r="10697">
      <c r="A10697" s="2" t="s">
        <v>4951</v>
      </c>
      <c r="B10697" s="2" t="s">
        <v>5009</v>
      </c>
      <c r="C10697" s="2" t="s">
        <v>5975</v>
      </c>
      <c r="D10697" s="3" t="str">
        <f t="shared" ref="D10697:D10699" si="2322">HYPERLINK("https://12go.asia/en/travel/Dickwella/Galoya", "12Go Link")</f>
        <v>12Go Link</v>
      </c>
      <c r="E10697" s="2" t="s">
        <v>286</v>
      </c>
    </row>
    <row r="10698">
      <c r="A10698" s="2" t="s">
        <v>4951</v>
      </c>
      <c r="B10698" s="2" t="s">
        <v>5009</v>
      </c>
      <c r="C10698" s="2" t="s">
        <v>5975</v>
      </c>
      <c r="D10698" s="3" t="str">
        <f t="shared" si="2322"/>
        <v>12Go Link</v>
      </c>
      <c r="E10698" s="2" t="s">
        <v>4139</v>
      </c>
    </row>
    <row r="10699">
      <c r="A10699" s="2" t="s">
        <v>4951</v>
      </c>
      <c r="B10699" s="2" t="s">
        <v>5009</v>
      </c>
      <c r="C10699" s="2" t="s">
        <v>5975</v>
      </c>
      <c r="D10699" s="3" t="str">
        <f t="shared" si="2322"/>
        <v>12Go Link</v>
      </c>
      <c r="E10699" s="2" t="s">
        <v>3409</v>
      </c>
    </row>
    <row r="10700">
      <c r="A10700" s="2" t="s">
        <v>4951</v>
      </c>
      <c r="B10700" s="2" t="s">
        <v>5009</v>
      </c>
      <c r="C10700" s="2" t="s">
        <v>5976</v>
      </c>
      <c r="D10700" s="3" t="str">
        <f t="shared" ref="D10700:D10702" si="2323">HYPERLINK("https://12go.asia/en/travel/Hiriketiya-beach/Galoya", "12Go Link")</f>
        <v>12Go Link</v>
      </c>
      <c r="E10700" s="2" t="s">
        <v>286</v>
      </c>
    </row>
    <row r="10701">
      <c r="A10701" s="2" t="s">
        <v>4951</v>
      </c>
      <c r="B10701" s="2" t="s">
        <v>5009</v>
      </c>
      <c r="C10701" s="2" t="s">
        <v>5976</v>
      </c>
      <c r="D10701" s="3" t="str">
        <f t="shared" si="2323"/>
        <v>12Go Link</v>
      </c>
      <c r="E10701" s="2" t="s">
        <v>4139</v>
      </c>
    </row>
    <row r="10702">
      <c r="A10702" s="2" t="s">
        <v>4951</v>
      </c>
      <c r="B10702" s="2" t="s">
        <v>5009</v>
      </c>
      <c r="C10702" s="2" t="s">
        <v>5976</v>
      </c>
      <c r="D10702" s="3" t="str">
        <f t="shared" si="2323"/>
        <v>12Go Link</v>
      </c>
      <c r="E10702" s="2" t="s">
        <v>3409</v>
      </c>
    </row>
    <row r="10703">
      <c r="A10703" s="2" t="s">
        <v>4951</v>
      </c>
      <c r="B10703" s="2" t="s">
        <v>5011</v>
      </c>
      <c r="C10703" s="2" t="s">
        <v>5977</v>
      </c>
      <c r="D10703" s="3" t="str">
        <f t="shared" ref="D10703:D10705" si="2324">HYPERLINK("https://12go.asia/en/travel/Dickwella/Kalpitiya", "12Go Link")</f>
        <v>12Go Link</v>
      </c>
      <c r="E10703" s="2" t="s">
        <v>286</v>
      </c>
    </row>
    <row r="10704">
      <c r="A10704" s="2" t="s">
        <v>4951</v>
      </c>
      <c r="B10704" s="2" t="s">
        <v>5011</v>
      </c>
      <c r="C10704" s="2" t="s">
        <v>5977</v>
      </c>
      <c r="D10704" s="3" t="str">
        <f t="shared" si="2324"/>
        <v>12Go Link</v>
      </c>
      <c r="E10704" s="2" t="s">
        <v>4139</v>
      </c>
    </row>
    <row r="10705">
      <c r="A10705" s="2" t="s">
        <v>4951</v>
      </c>
      <c r="B10705" s="2" t="s">
        <v>5011</v>
      </c>
      <c r="C10705" s="2" t="s">
        <v>5977</v>
      </c>
      <c r="D10705" s="3" t="str">
        <f t="shared" si="2324"/>
        <v>12Go Link</v>
      </c>
      <c r="E10705" s="2" t="s">
        <v>3409</v>
      </c>
    </row>
    <row r="10706">
      <c r="A10706" s="2" t="s">
        <v>4951</v>
      </c>
      <c r="B10706" s="2" t="s">
        <v>5011</v>
      </c>
      <c r="C10706" s="2" t="s">
        <v>5978</v>
      </c>
      <c r="D10706" s="3" t="str">
        <f t="shared" ref="D10706:D10708" si="2325">HYPERLINK("https://12go.asia/en/travel/Dickwella/Marawila", "12Go Link")</f>
        <v>12Go Link</v>
      </c>
      <c r="E10706" s="2" t="s">
        <v>286</v>
      </c>
    </row>
    <row r="10707">
      <c r="A10707" s="2" t="s">
        <v>4951</v>
      </c>
      <c r="B10707" s="2" t="s">
        <v>5011</v>
      </c>
      <c r="C10707" s="2" t="s">
        <v>5978</v>
      </c>
      <c r="D10707" s="3" t="str">
        <f t="shared" si="2325"/>
        <v>12Go Link</v>
      </c>
      <c r="E10707" s="2" t="s">
        <v>4139</v>
      </c>
    </row>
    <row r="10708">
      <c r="A10708" s="2" t="s">
        <v>4951</v>
      </c>
      <c r="B10708" s="2" t="s">
        <v>5011</v>
      </c>
      <c r="C10708" s="2" t="s">
        <v>5978</v>
      </c>
      <c r="D10708" s="3" t="str">
        <f t="shared" si="2325"/>
        <v>12Go Link</v>
      </c>
      <c r="E10708" s="2" t="s">
        <v>3409</v>
      </c>
    </row>
    <row r="10709">
      <c r="A10709" s="2" t="s">
        <v>4951</v>
      </c>
      <c r="B10709" s="2" t="s">
        <v>5011</v>
      </c>
      <c r="C10709" s="2" t="s">
        <v>5979</v>
      </c>
      <c r="D10709" s="3" t="str">
        <f t="shared" ref="D10709:D10711" si="2326">HYPERLINK("https://12go.asia/en/travel/Hiriketiya-beach/Kalpitiya", "12Go Link")</f>
        <v>12Go Link</v>
      </c>
      <c r="E10709" s="2" t="s">
        <v>286</v>
      </c>
    </row>
    <row r="10710">
      <c r="A10710" s="2" t="s">
        <v>4951</v>
      </c>
      <c r="B10710" s="2" t="s">
        <v>5011</v>
      </c>
      <c r="C10710" s="2" t="s">
        <v>5979</v>
      </c>
      <c r="D10710" s="3" t="str">
        <f t="shared" si="2326"/>
        <v>12Go Link</v>
      </c>
      <c r="E10710" s="2" t="s">
        <v>4139</v>
      </c>
    </row>
    <row r="10711">
      <c r="A10711" s="2" t="s">
        <v>4951</v>
      </c>
      <c r="B10711" s="2" t="s">
        <v>5011</v>
      </c>
      <c r="C10711" s="2" t="s">
        <v>5979</v>
      </c>
      <c r="D10711" s="3" t="str">
        <f t="shared" si="2326"/>
        <v>12Go Link</v>
      </c>
      <c r="E10711" s="2" t="s">
        <v>3409</v>
      </c>
    </row>
    <row r="10712">
      <c r="A10712" s="2" t="s">
        <v>4951</v>
      </c>
      <c r="B10712" s="2" t="s">
        <v>5011</v>
      </c>
      <c r="C10712" s="2" t="s">
        <v>5980</v>
      </c>
      <c r="D10712" s="3" t="str">
        <f t="shared" ref="D10712:D10714" si="2327">HYPERLINK("https://12go.asia/en/travel/Hiriketiya-beach/Marawila", "12Go Link")</f>
        <v>12Go Link</v>
      </c>
      <c r="E10712" s="2" t="s">
        <v>286</v>
      </c>
    </row>
    <row r="10713">
      <c r="A10713" s="2" t="s">
        <v>4951</v>
      </c>
      <c r="B10713" s="2" t="s">
        <v>5011</v>
      </c>
      <c r="C10713" s="2" t="s">
        <v>5980</v>
      </c>
      <c r="D10713" s="3" t="str">
        <f t="shared" si="2327"/>
        <v>12Go Link</v>
      </c>
      <c r="E10713" s="2" t="s">
        <v>4139</v>
      </c>
    </row>
    <row r="10714">
      <c r="A10714" s="2" t="s">
        <v>4951</v>
      </c>
      <c r="B10714" s="2" t="s">
        <v>5011</v>
      </c>
      <c r="C10714" s="2" t="s">
        <v>5980</v>
      </c>
      <c r="D10714" s="3" t="str">
        <f t="shared" si="2327"/>
        <v>12Go Link</v>
      </c>
      <c r="E10714" s="2" t="s">
        <v>3409</v>
      </c>
    </row>
    <row r="10715">
      <c r="A10715" s="2" t="s">
        <v>4951</v>
      </c>
      <c r="B10715" s="2" t="s">
        <v>5014</v>
      </c>
      <c r="C10715" s="2" t="s">
        <v>5981</v>
      </c>
      <c r="D10715" s="3" t="str">
        <f t="shared" ref="D10715:D10717" si="2328">HYPERLINK("https://12go.asia/en/travel/Dickwella/Kiriella", "12Go Link")</f>
        <v>12Go Link</v>
      </c>
      <c r="E10715" s="2" t="s">
        <v>286</v>
      </c>
    </row>
    <row r="10716">
      <c r="A10716" s="2" t="s">
        <v>4951</v>
      </c>
      <c r="B10716" s="2" t="s">
        <v>5014</v>
      </c>
      <c r="C10716" s="2" t="s">
        <v>5981</v>
      </c>
      <c r="D10716" s="3" t="str">
        <f t="shared" si="2328"/>
        <v>12Go Link</v>
      </c>
      <c r="E10716" s="2" t="s">
        <v>4139</v>
      </c>
    </row>
    <row r="10717">
      <c r="A10717" s="2" t="s">
        <v>4951</v>
      </c>
      <c r="B10717" s="2" t="s">
        <v>5014</v>
      </c>
      <c r="C10717" s="2" t="s">
        <v>5981</v>
      </c>
      <c r="D10717" s="3" t="str">
        <f t="shared" si="2328"/>
        <v>12Go Link</v>
      </c>
      <c r="E10717" s="2" t="s">
        <v>3409</v>
      </c>
    </row>
    <row r="10718">
      <c r="A10718" s="2" t="s">
        <v>4951</v>
      </c>
      <c r="B10718" s="2" t="s">
        <v>5014</v>
      </c>
      <c r="C10718" s="2" t="s">
        <v>5982</v>
      </c>
      <c r="D10718" s="3" t="str">
        <f t="shared" ref="D10718:D10720" si="2329">HYPERLINK("https://12go.asia/en/travel/Hiriketiya-beach/Kiriella", "12Go Link")</f>
        <v>12Go Link</v>
      </c>
      <c r="E10718" s="2" t="s">
        <v>286</v>
      </c>
    </row>
    <row r="10719">
      <c r="A10719" s="2" t="s">
        <v>4951</v>
      </c>
      <c r="B10719" s="2" t="s">
        <v>5014</v>
      </c>
      <c r="C10719" s="2" t="s">
        <v>5982</v>
      </c>
      <c r="D10719" s="3" t="str">
        <f t="shared" si="2329"/>
        <v>12Go Link</v>
      </c>
      <c r="E10719" s="2" t="s">
        <v>4139</v>
      </c>
    </row>
    <row r="10720">
      <c r="A10720" s="2" t="s">
        <v>4951</v>
      </c>
      <c r="B10720" s="2" t="s">
        <v>5014</v>
      </c>
      <c r="C10720" s="2" t="s">
        <v>5982</v>
      </c>
      <c r="D10720" s="3" t="str">
        <f t="shared" si="2329"/>
        <v>12Go Link</v>
      </c>
      <c r="E10720" s="2" t="s">
        <v>3409</v>
      </c>
    </row>
    <row r="10721">
      <c r="A10721" s="2" t="s">
        <v>4951</v>
      </c>
      <c r="B10721" s="2" t="s">
        <v>5016</v>
      </c>
      <c r="C10721" s="2" t="s">
        <v>5983</v>
      </c>
      <c r="D10721" s="3" t="str">
        <f t="shared" ref="D10721:D10723" si="2330">HYPERLINK("https://12go.asia/en/travel/Dickwella/Pidurangala", "12Go Link")</f>
        <v>12Go Link</v>
      </c>
      <c r="E10721" s="2" t="s">
        <v>286</v>
      </c>
    </row>
    <row r="10722">
      <c r="A10722" s="2" t="s">
        <v>4951</v>
      </c>
      <c r="B10722" s="2" t="s">
        <v>5016</v>
      </c>
      <c r="C10722" s="2" t="s">
        <v>5983</v>
      </c>
      <c r="D10722" s="3" t="str">
        <f t="shared" si="2330"/>
        <v>12Go Link</v>
      </c>
      <c r="E10722" s="2" t="s">
        <v>4139</v>
      </c>
    </row>
    <row r="10723">
      <c r="A10723" s="2" t="s">
        <v>4951</v>
      </c>
      <c r="B10723" s="2" t="s">
        <v>5016</v>
      </c>
      <c r="C10723" s="2" t="s">
        <v>5983</v>
      </c>
      <c r="D10723" s="3" t="str">
        <f t="shared" si="2330"/>
        <v>12Go Link</v>
      </c>
      <c r="E10723" s="2" t="s">
        <v>3409</v>
      </c>
    </row>
    <row r="10724">
      <c r="A10724" s="2" t="s">
        <v>4951</v>
      </c>
      <c r="B10724" s="2" t="s">
        <v>5016</v>
      </c>
      <c r="C10724" s="2" t="s">
        <v>5984</v>
      </c>
      <c r="D10724" s="3" t="str">
        <f t="shared" ref="D10724:D10726" si="2331">HYPERLINK("https://12go.asia/en/travel/Hiriketiya-beach/Pidurangala", "12Go Link")</f>
        <v>12Go Link</v>
      </c>
      <c r="E10724" s="2" t="s">
        <v>286</v>
      </c>
    </row>
    <row r="10725">
      <c r="A10725" s="2" t="s">
        <v>4951</v>
      </c>
      <c r="B10725" s="2" t="s">
        <v>5016</v>
      </c>
      <c r="C10725" s="2" t="s">
        <v>5984</v>
      </c>
      <c r="D10725" s="3" t="str">
        <f t="shared" si="2331"/>
        <v>12Go Link</v>
      </c>
      <c r="E10725" s="2" t="s">
        <v>4139</v>
      </c>
    </row>
    <row r="10726">
      <c r="A10726" s="2" t="s">
        <v>4951</v>
      </c>
      <c r="B10726" s="2" t="s">
        <v>5016</v>
      </c>
      <c r="C10726" s="2" t="s">
        <v>5984</v>
      </c>
      <c r="D10726" s="3" t="str">
        <f t="shared" si="2331"/>
        <v>12Go Link</v>
      </c>
      <c r="E10726" s="2" t="s">
        <v>3409</v>
      </c>
    </row>
    <row r="10727">
      <c r="A10727" s="2" t="s">
        <v>4951</v>
      </c>
      <c r="B10727" s="2" t="s">
        <v>5018</v>
      </c>
      <c r="C10727" s="2" t="s">
        <v>5985</v>
      </c>
      <c r="D10727" s="3" t="str">
        <f t="shared" ref="D10727:D10729" si="2332">HYPERLINK("https://12go.asia/en/travel/Dickwella/Rekawa", "12Go Link")</f>
        <v>12Go Link</v>
      </c>
      <c r="E10727" s="2" t="s">
        <v>286</v>
      </c>
    </row>
    <row r="10728">
      <c r="A10728" s="2" t="s">
        <v>4951</v>
      </c>
      <c r="B10728" s="2" t="s">
        <v>5018</v>
      </c>
      <c r="C10728" s="2" t="s">
        <v>5985</v>
      </c>
      <c r="D10728" s="3" t="str">
        <f t="shared" si="2332"/>
        <v>12Go Link</v>
      </c>
      <c r="E10728" s="2" t="s">
        <v>4139</v>
      </c>
    </row>
    <row r="10729">
      <c r="A10729" s="2" t="s">
        <v>4951</v>
      </c>
      <c r="B10729" s="2" t="s">
        <v>5018</v>
      </c>
      <c r="C10729" s="2" t="s">
        <v>5985</v>
      </c>
      <c r="D10729" s="3" t="str">
        <f t="shared" si="2332"/>
        <v>12Go Link</v>
      </c>
      <c r="E10729" s="2" t="s">
        <v>3409</v>
      </c>
    </row>
    <row r="10730">
      <c r="A10730" s="2" t="s">
        <v>4951</v>
      </c>
      <c r="B10730" s="2" t="s">
        <v>5018</v>
      </c>
      <c r="C10730" s="2" t="s">
        <v>5986</v>
      </c>
      <c r="D10730" s="3" t="str">
        <f t="shared" ref="D10730:D10732" si="2333">HYPERLINK("https://12go.asia/en/travel/Hiriketiya-beach/Rekawa", "12Go Link")</f>
        <v>12Go Link</v>
      </c>
      <c r="E10730" s="2" t="s">
        <v>286</v>
      </c>
    </row>
    <row r="10731">
      <c r="A10731" s="2" t="s">
        <v>4951</v>
      </c>
      <c r="B10731" s="2" t="s">
        <v>5018</v>
      </c>
      <c r="C10731" s="2" t="s">
        <v>5986</v>
      </c>
      <c r="D10731" s="3" t="str">
        <f t="shared" si="2333"/>
        <v>12Go Link</v>
      </c>
      <c r="E10731" s="2" t="s">
        <v>4139</v>
      </c>
    </row>
    <row r="10732">
      <c r="A10732" s="2" t="s">
        <v>4951</v>
      </c>
      <c r="B10732" s="2" t="s">
        <v>5018</v>
      </c>
      <c r="C10732" s="2" t="s">
        <v>5986</v>
      </c>
      <c r="D10732" s="3" t="str">
        <f t="shared" si="2333"/>
        <v>12Go Link</v>
      </c>
      <c r="E10732" s="2" t="s">
        <v>3409</v>
      </c>
    </row>
    <row r="10733">
      <c r="A10733" s="2" t="s">
        <v>4951</v>
      </c>
      <c r="B10733" s="2" t="s">
        <v>5020</v>
      </c>
      <c r="C10733" s="2" t="s">
        <v>5987</v>
      </c>
      <c r="D10733" s="3" t="str">
        <f t="shared" ref="D10733:D10735" si="2334">HYPERLINK("https://12go.asia/en/travel/Dickwella/Tissamaharama", "12Go Link")</f>
        <v>12Go Link</v>
      </c>
      <c r="E10733" s="2" t="s">
        <v>286</v>
      </c>
    </row>
    <row r="10734">
      <c r="A10734" s="2" t="s">
        <v>4951</v>
      </c>
      <c r="B10734" s="2" t="s">
        <v>5020</v>
      </c>
      <c r="C10734" s="2" t="s">
        <v>5987</v>
      </c>
      <c r="D10734" s="3" t="str">
        <f t="shared" si="2334"/>
        <v>12Go Link</v>
      </c>
      <c r="E10734" s="2" t="s">
        <v>4139</v>
      </c>
    </row>
    <row r="10735">
      <c r="A10735" s="2" t="s">
        <v>4951</v>
      </c>
      <c r="B10735" s="2" t="s">
        <v>5020</v>
      </c>
      <c r="C10735" s="2" t="s">
        <v>5987</v>
      </c>
      <c r="D10735" s="3" t="str">
        <f t="shared" si="2334"/>
        <v>12Go Link</v>
      </c>
      <c r="E10735" s="2" t="s">
        <v>3409</v>
      </c>
    </row>
    <row r="10736">
      <c r="A10736" s="2" t="s">
        <v>4951</v>
      </c>
      <c r="B10736" s="2" t="s">
        <v>5020</v>
      </c>
      <c r="C10736" s="2" t="s">
        <v>5988</v>
      </c>
      <c r="D10736" s="3" t="str">
        <f t="shared" ref="D10736:D10738" si="2335">HYPERLINK("https://12go.asia/en/travel/Dickwella/Yala-Park", "12Go Link")</f>
        <v>12Go Link</v>
      </c>
      <c r="E10736" s="2" t="s">
        <v>286</v>
      </c>
    </row>
    <row r="10737">
      <c r="A10737" s="2" t="s">
        <v>4951</v>
      </c>
      <c r="B10737" s="2" t="s">
        <v>5020</v>
      </c>
      <c r="C10737" s="2" t="s">
        <v>5988</v>
      </c>
      <c r="D10737" s="3" t="str">
        <f t="shared" si="2335"/>
        <v>12Go Link</v>
      </c>
      <c r="E10737" s="2" t="s">
        <v>4139</v>
      </c>
    </row>
    <row r="10738">
      <c r="A10738" s="2" t="s">
        <v>4951</v>
      </c>
      <c r="B10738" s="2" t="s">
        <v>5020</v>
      </c>
      <c r="C10738" s="2" t="s">
        <v>5988</v>
      </c>
      <c r="D10738" s="3" t="str">
        <f t="shared" si="2335"/>
        <v>12Go Link</v>
      </c>
      <c r="E10738" s="2" t="s">
        <v>3409</v>
      </c>
    </row>
    <row r="10739">
      <c r="A10739" s="2" t="s">
        <v>4951</v>
      </c>
      <c r="B10739" s="2" t="s">
        <v>5020</v>
      </c>
      <c r="C10739" s="2" t="s">
        <v>5989</v>
      </c>
      <c r="D10739" s="3" t="str">
        <f t="shared" ref="D10739:D10741" si="2336">HYPERLINK("https://12go.asia/en/travel/Hiriketiya-beach/Tissamaharama", "12Go Link")</f>
        <v>12Go Link</v>
      </c>
      <c r="E10739" s="2" t="s">
        <v>286</v>
      </c>
    </row>
    <row r="10740">
      <c r="A10740" s="2" t="s">
        <v>4951</v>
      </c>
      <c r="B10740" s="2" t="s">
        <v>5020</v>
      </c>
      <c r="C10740" s="2" t="s">
        <v>5989</v>
      </c>
      <c r="D10740" s="3" t="str">
        <f t="shared" si="2336"/>
        <v>12Go Link</v>
      </c>
      <c r="E10740" s="2" t="s">
        <v>4139</v>
      </c>
    </row>
    <row r="10741">
      <c r="A10741" s="2" t="s">
        <v>4951</v>
      </c>
      <c r="B10741" s="2" t="s">
        <v>5020</v>
      </c>
      <c r="C10741" s="2" t="s">
        <v>5989</v>
      </c>
      <c r="D10741" s="3" t="str">
        <f t="shared" si="2336"/>
        <v>12Go Link</v>
      </c>
      <c r="E10741" s="2" t="s">
        <v>3409</v>
      </c>
    </row>
    <row r="10742">
      <c r="A10742" s="2" t="s">
        <v>4951</v>
      </c>
      <c r="B10742" s="2" t="s">
        <v>5020</v>
      </c>
      <c r="C10742" s="2" t="s">
        <v>5990</v>
      </c>
      <c r="D10742" s="3" t="str">
        <f t="shared" ref="D10742:D10744" si="2337">HYPERLINK("https://12go.asia/en/travel/Hiriketiya-beach/Yala-Park", "12Go Link")</f>
        <v>12Go Link</v>
      </c>
      <c r="E10742" s="2" t="s">
        <v>286</v>
      </c>
    </row>
    <row r="10743">
      <c r="A10743" s="2" t="s">
        <v>4951</v>
      </c>
      <c r="B10743" s="2" t="s">
        <v>5020</v>
      </c>
      <c r="C10743" s="2" t="s">
        <v>5990</v>
      </c>
      <c r="D10743" s="3" t="str">
        <f t="shared" si="2337"/>
        <v>12Go Link</v>
      </c>
      <c r="E10743" s="2" t="s">
        <v>4139</v>
      </c>
    </row>
    <row r="10744">
      <c r="A10744" s="2" t="s">
        <v>4951</v>
      </c>
      <c r="B10744" s="2" t="s">
        <v>5020</v>
      </c>
      <c r="C10744" s="2" t="s">
        <v>5990</v>
      </c>
      <c r="D10744" s="3" t="str">
        <f t="shared" si="2337"/>
        <v>12Go Link</v>
      </c>
      <c r="E10744" s="2" t="s">
        <v>3409</v>
      </c>
    </row>
    <row r="10745">
      <c r="A10745" s="2" t="s">
        <v>4951</v>
      </c>
      <c r="B10745" s="2" t="s">
        <v>5023</v>
      </c>
      <c r="C10745" s="2" t="s">
        <v>5991</v>
      </c>
      <c r="D10745" s="3" t="str">
        <f t="shared" ref="D10745:D10747" si="2338">HYPERLINK("https://12go.asia/en/travel/Dickwella/Nilaweli", "12Go Link")</f>
        <v>12Go Link</v>
      </c>
      <c r="E10745" s="2" t="s">
        <v>286</v>
      </c>
    </row>
    <row r="10746">
      <c r="A10746" s="2" t="s">
        <v>4951</v>
      </c>
      <c r="B10746" s="2" t="s">
        <v>5023</v>
      </c>
      <c r="C10746" s="2" t="s">
        <v>5991</v>
      </c>
      <c r="D10746" s="3" t="str">
        <f t="shared" si="2338"/>
        <v>12Go Link</v>
      </c>
      <c r="E10746" s="2" t="s">
        <v>4139</v>
      </c>
    </row>
    <row r="10747">
      <c r="A10747" s="2" t="s">
        <v>4951</v>
      </c>
      <c r="B10747" s="2" t="s">
        <v>5023</v>
      </c>
      <c r="C10747" s="2" t="s">
        <v>5991</v>
      </c>
      <c r="D10747" s="3" t="str">
        <f t="shared" si="2338"/>
        <v>12Go Link</v>
      </c>
      <c r="E10747" s="2" t="s">
        <v>3409</v>
      </c>
    </row>
    <row r="10748">
      <c r="A10748" s="2" t="s">
        <v>4951</v>
      </c>
      <c r="B10748" s="2" t="s">
        <v>5023</v>
      </c>
      <c r="C10748" s="2" t="s">
        <v>5992</v>
      </c>
      <c r="D10748" s="3" t="str">
        <f t="shared" ref="D10748:D10750" si="2339">HYPERLINK("https://12go.asia/en/travel/Hiriketiya-beach/Nilaweli", "12Go Link")</f>
        <v>12Go Link</v>
      </c>
      <c r="E10748" s="2" t="s">
        <v>286</v>
      </c>
    </row>
    <row r="10749">
      <c r="A10749" s="2" t="s">
        <v>4951</v>
      </c>
      <c r="B10749" s="2" t="s">
        <v>5023</v>
      </c>
      <c r="C10749" s="2" t="s">
        <v>5992</v>
      </c>
      <c r="D10749" s="3" t="str">
        <f t="shared" si="2339"/>
        <v>12Go Link</v>
      </c>
      <c r="E10749" s="2" t="s">
        <v>4139</v>
      </c>
    </row>
    <row r="10750">
      <c r="A10750" s="2" t="s">
        <v>4951</v>
      </c>
      <c r="B10750" s="2" t="s">
        <v>5023</v>
      </c>
      <c r="C10750" s="2" t="s">
        <v>5992</v>
      </c>
      <c r="D10750" s="3" t="str">
        <f t="shared" si="2339"/>
        <v>12Go Link</v>
      </c>
      <c r="E10750" s="2" t="s">
        <v>3409</v>
      </c>
    </row>
    <row r="10751">
      <c r="A10751" s="2" t="s">
        <v>4951</v>
      </c>
      <c r="B10751" s="2" t="s">
        <v>5025</v>
      </c>
      <c r="C10751" s="2" t="s">
        <v>5993</v>
      </c>
      <c r="D10751" s="3" t="str">
        <f t="shared" ref="D10751:D10753" si="2340">HYPERLINK("https://12go.asia/en/travel/Dickwella/Udawalawa", "12Go Link")</f>
        <v>12Go Link</v>
      </c>
      <c r="E10751" s="2" t="s">
        <v>286</v>
      </c>
    </row>
    <row r="10752">
      <c r="A10752" s="2" t="s">
        <v>4951</v>
      </c>
      <c r="B10752" s="2" t="s">
        <v>5025</v>
      </c>
      <c r="C10752" s="2" t="s">
        <v>5993</v>
      </c>
      <c r="D10752" s="3" t="str">
        <f t="shared" si="2340"/>
        <v>12Go Link</v>
      </c>
      <c r="E10752" s="2" t="s">
        <v>4139</v>
      </c>
    </row>
    <row r="10753">
      <c r="A10753" s="2" t="s">
        <v>4951</v>
      </c>
      <c r="B10753" s="2" t="s">
        <v>5025</v>
      </c>
      <c r="C10753" s="2" t="s">
        <v>5993</v>
      </c>
      <c r="D10753" s="3" t="str">
        <f t="shared" si="2340"/>
        <v>12Go Link</v>
      </c>
      <c r="E10753" s="2" t="s">
        <v>3409</v>
      </c>
    </row>
    <row r="10754">
      <c r="A10754" s="2" t="s">
        <v>4951</v>
      </c>
      <c r="B10754" s="2" t="s">
        <v>5025</v>
      </c>
      <c r="C10754" s="2" t="s">
        <v>5994</v>
      </c>
      <c r="D10754" s="3" t="str">
        <f t="shared" ref="D10754:D10756" si="2341">HYPERLINK("https://12go.asia/en/travel/Hiriketiya-beach/Udawalawa", "12Go Link")</f>
        <v>12Go Link</v>
      </c>
      <c r="E10754" s="2" t="s">
        <v>286</v>
      </c>
    </row>
    <row r="10755">
      <c r="A10755" s="2" t="s">
        <v>4951</v>
      </c>
      <c r="B10755" s="2" t="s">
        <v>5025</v>
      </c>
      <c r="C10755" s="2" t="s">
        <v>5994</v>
      </c>
      <c r="D10755" s="3" t="str">
        <f t="shared" si="2341"/>
        <v>12Go Link</v>
      </c>
      <c r="E10755" s="2" t="s">
        <v>4139</v>
      </c>
    </row>
    <row r="10756">
      <c r="A10756" s="2" t="s">
        <v>4951</v>
      </c>
      <c r="B10756" s="2" t="s">
        <v>5025</v>
      </c>
      <c r="C10756" s="2" t="s">
        <v>5994</v>
      </c>
      <c r="D10756" s="3" t="str">
        <f t="shared" si="2341"/>
        <v>12Go Link</v>
      </c>
      <c r="E10756" s="2" t="s">
        <v>3409</v>
      </c>
    </row>
    <row r="10757">
      <c r="A10757" s="2" t="s">
        <v>4951</v>
      </c>
      <c r="B10757" s="2" t="s">
        <v>5027</v>
      </c>
      <c r="C10757" s="2" t="s">
        <v>5995</v>
      </c>
      <c r="D10757" s="3" t="str">
        <f t="shared" ref="D10757:D10759" si="2342">HYPERLINK("https://12go.asia/en/travel/Dickwella/Unawatuna", "12Go Link")</f>
        <v>12Go Link</v>
      </c>
      <c r="E10757" s="2" t="s">
        <v>286</v>
      </c>
    </row>
    <row r="10758">
      <c r="A10758" s="2" t="s">
        <v>4951</v>
      </c>
      <c r="B10758" s="2" t="s">
        <v>5027</v>
      </c>
      <c r="C10758" s="2" t="s">
        <v>5995</v>
      </c>
      <c r="D10758" s="3" t="str">
        <f t="shared" si="2342"/>
        <v>12Go Link</v>
      </c>
      <c r="E10758" s="2" t="s">
        <v>4139</v>
      </c>
    </row>
    <row r="10759">
      <c r="A10759" s="2" t="s">
        <v>4951</v>
      </c>
      <c r="B10759" s="2" t="s">
        <v>5027</v>
      </c>
      <c r="C10759" s="2" t="s">
        <v>5995</v>
      </c>
      <c r="D10759" s="3" t="str">
        <f t="shared" si="2342"/>
        <v>12Go Link</v>
      </c>
      <c r="E10759" s="2" t="s">
        <v>3409</v>
      </c>
    </row>
    <row r="10760">
      <c r="A10760" s="2" t="s">
        <v>4951</v>
      </c>
      <c r="B10760" s="2" t="s">
        <v>5027</v>
      </c>
      <c r="C10760" s="2" t="s">
        <v>5996</v>
      </c>
      <c r="D10760" s="3" t="str">
        <f t="shared" ref="D10760:D10762" si="2343">HYPERLINK("https://12go.asia/en/travel/Hiriketiya-beach/Unawatuna", "12Go Link")</f>
        <v>12Go Link</v>
      </c>
      <c r="E10760" s="2" t="s">
        <v>286</v>
      </c>
    </row>
    <row r="10761">
      <c r="A10761" s="2" t="s">
        <v>4951</v>
      </c>
      <c r="B10761" s="2" t="s">
        <v>5027</v>
      </c>
      <c r="C10761" s="2" t="s">
        <v>5996</v>
      </c>
      <c r="D10761" s="3" t="str">
        <f t="shared" si="2343"/>
        <v>12Go Link</v>
      </c>
      <c r="E10761" s="2" t="s">
        <v>4139</v>
      </c>
    </row>
    <row r="10762">
      <c r="A10762" s="2" t="s">
        <v>4951</v>
      </c>
      <c r="B10762" s="2" t="s">
        <v>5027</v>
      </c>
      <c r="C10762" s="2" t="s">
        <v>5996</v>
      </c>
      <c r="D10762" s="3" t="str">
        <f t="shared" si="2343"/>
        <v>12Go Link</v>
      </c>
      <c r="E10762" s="2" t="s">
        <v>3409</v>
      </c>
    </row>
    <row r="10763">
      <c r="A10763" s="2" t="s">
        <v>4951</v>
      </c>
      <c r="B10763" s="2" t="s">
        <v>5029</v>
      </c>
      <c r="C10763" s="2" t="s">
        <v>5997</v>
      </c>
      <c r="D10763" s="3" t="str">
        <f t="shared" ref="D10763:D10765" si="2344">HYPERLINK("https://12go.asia/en/travel/Dickwella/Attanagalla", "12Go Link")</f>
        <v>12Go Link</v>
      </c>
      <c r="E10763" s="2" t="s">
        <v>286</v>
      </c>
    </row>
    <row r="10764">
      <c r="A10764" s="2" t="s">
        <v>4951</v>
      </c>
      <c r="B10764" s="2" t="s">
        <v>5029</v>
      </c>
      <c r="C10764" s="2" t="s">
        <v>5997</v>
      </c>
      <c r="D10764" s="3" t="str">
        <f t="shared" si="2344"/>
        <v>12Go Link</v>
      </c>
      <c r="E10764" s="2" t="s">
        <v>4139</v>
      </c>
    </row>
    <row r="10765">
      <c r="A10765" s="2" t="s">
        <v>4951</v>
      </c>
      <c r="B10765" s="2" t="s">
        <v>5029</v>
      </c>
      <c r="C10765" s="2" t="s">
        <v>5997</v>
      </c>
      <c r="D10765" s="3" t="str">
        <f t="shared" si="2344"/>
        <v>12Go Link</v>
      </c>
      <c r="E10765" s="2" t="s">
        <v>3409</v>
      </c>
    </row>
    <row r="10766">
      <c r="A10766" s="2" t="s">
        <v>4951</v>
      </c>
      <c r="B10766" s="2" t="s">
        <v>5029</v>
      </c>
      <c r="C10766" s="2" t="s">
        <v>5998</v>
      </c>
      <c r="D10766" s="3" t="str">
        <f t="shared" ref="D10766:D10768" si="2345">HYPERLINK("https://12go.asia/en/travel/Hiriketiya-beach/Attanagalla", "12Go Link")</f>
        <v>12Go Link</v>
      </c>
      <c r="E10766" s="2" t="s">
        <v>286</v>
      </c>
    </row>
    <row r="10767">
      <c r="A10767" s="2" t="s">
        <v>4951</v>
      </c>
      <c r="B10767" s="2" t="s">
        <v>5029</v>
      </c>
      <c r="C10767" s="2" t="s">
        <v>5998</v>
      </c>
      <c r="D10767" s="3" t="str">
        <f t="shared" si="2345"/>
        <v>12Go Link</v>
      </c>
      <c r="E10767" s="2" t="s">
        <v>4139</v>
      </c>
    </row>
    <row r="10768">
      <c r="A10768" s="2" t="s">
        <v>4951</v>
      </c>
      <c r="B10768" s="2" t="s">
        <v>5029</v>
      </c>
      <c r="C10768" s="2" t="s">
        <v>5998</v>
      </c>
      <c r="D10768" s="3" t="str">
        <f t="shared" si="2345"/>
        <v>12Go Link</v>
      </c>
      <c r="E10768" s="2" t="s">
        <v>3409</v>
      </c>
    </row>
    <row r="10769">
      <c r="A10769" s="2" t="s">
        <v>4951</v>
      </c>
      <c r="B10769" s="2" t="s">
        <v>5031</v>
      </c>
      <c r="C10769" s="2" t="s">
        <v>5999</v>
      </c>
      <c r="D10769" s="3" t="str">
        <f t="shared" ref="D10769:D10771" si="2346">HYPERLINK("https://12go.asia/en/travel/Dickwella/Moronthuduwa", "12Go Link")</f>
        <v>12Go Link</v>
      </c>
      <c r="E10769" s="2" t="s">
        <v>286</v>
      </c>
    </row>
    <row r="10770">
      <c r="A10770" s="2" t="s">
        <v>4951</v>
      </c>
      <c r="B10770" s="2" t="s">
        <v>5031</v>
      </c>
      <c r="C10770" s="2" t="s">
        <v>5999</v>
      </c>
      <c r="D10770" s="3" t="str">
        <f t="shared" si="2346"/>
        <v>12Go Link</v>
      </c>
      <c r="E10770" s="2" t="s">
        <v>4139</v>
      </c>
    </row>
    <row r="10771">
      <c r="A10771" s="2" t="s">
        <v>4951</v>
      </c>
      <c r="B10771" s="2" t="s">
        <v>5031</v>
      </c>
      <c r="C10771" s="2" t="s">
        <v>5999</v>
      </c>
      <c r="D10771" s="3" t="str">
        <f t="shared" si="2346"/>
        <v>12Go Link</v>
      </c>
      <c r="E10771" s="2" t="s">
        <v>3409</v>
      </c>
    </row>
    <row r="10772">
      <c r="A10772" s="2" t="s">
        <v>4951</v>
      </c>
      <c r="B10772" s="2" t="s">
        <v>5031</v>
      </c>
      <c r="C10772" s="2" t="s">
        <v>6000</v>
      </c>
      <c r="D10772" s="3" t="str">
        <f t="shared" ref="D10772:D10774" si="2347">HYPERLINK("https://12go.asia/en/travel/Dickwella/Waskaduwa", "12Go Link")</f>
        <v>12Go Link</v>
      </c>
      <c r="E10772" s="2" t="s">
        <v>286</v>
      </c>
    </row>
    <row r="10773">
      <c r="A10773" s="2" t="s">
        <v>4951</v>
      </c>
      <c r="B10773" s="2" t="s">
        <v>5031</v>
      </c>
      <c r="C10773" s="2" t="s">
        <v>6000</v>
      </c>
      <c r="D10773" s="3" t="str">
        <f t="shared" si="2347"/>
        <v>12Go Link</v>
      </c>
      <c r="E10773" s="2" t="s">
        <v>4139</v>
      </c>
    </row>
    <row r="10774">
      <c r="A10774" s="2" t="s">
        <v>4951</v>
      </c>
      <c r="B10774" s="2" t="s">
        <v>5031</v>
      </c>
      <c r="C10774" s="2" t="s">
        <v>6000</v>
      </c>
      <c r="D10774" s="3" t="str">
        <f t="shared" si="2347"/>
        <v>12Go Link</v>
      </c>
      <c r="E10774" s="2" t="s">
        <v>3409</v>
      </c>
    </row>
    <row r="10775">
      <c r="A10775" s="2" t="s">
        <v>4951</v>
      </c>
      <c r="B10775" s="2" t="s">
        <v>5031</v>
      </c>
      <c r="C10775" s="2" t="s">
        <v>6001</v>
      </c>
      <c r="D10775" s="3" t="str">
        <f t="shared" ref="D10775:D10777" si="2348">HYPERLINK("https://12go.asia/en/travel/Hiriketiya-beach/Moronthuduwa", "12Go Link")</f>
        <v>12Go Link</v>
      </c>
      <c r="E10775" s="2" t="s">
        <v>286</v>
      </c>
    </row>
    <row r="10776">
      <c r="A10776" s="2" t="s">
        <v>4951</v>
      </c>
      <c r="B10776" s="2" t="s">
        <v>5031</v>
      </c>
      <c r="C10776" s="2" t="s">
        <v>6001</v>
      </c>
      <c r="D10776" s="3" t="str">
        <f t="shared" si="2348"/>
        <v>12Go Link</v>
      </c>
      <c r="E10776" s="2" t="s">
        <v>4139</v>
      </c>
    </row>
    <row r="10777">
      <c r="A10777" s="2" t="s">
        <v>4951</v>
      </c>
      <c r="B10777" s="2" t="s">
        <v>5031</v>
      </c>
      <c r="C10777" s="2" t="s">
        <v>6001</v>
      </c>
      <c r="D10777" s="3" t="str">
        <f t="shared" si="2348"/>
        <v>12Go Link</v>
      </c>
      <c r="E10777" s="2" t="s">
        <v>3409</v>
      </c>
    </row>
    <row r="10778">
      <c r="A10778" s="2" t="s">
        <v>4951</v>
      </c>
      <c r="B10778" s="2" t="s">
        <v>5031</v>
      </c>
      <c r="C10778" s="2" t="s">
        <v>6002</v>
      </c>
      <c r="D10778" s="3" t="str">
        <f t="shared" ref="D10778:D10780" si="2349">HYPERLINK("https://12go.asia/en/travel/Hiriketiya-beach/Waskaduwa", "12Go Link")</f>
        <v>12Go Link</v>
      </c>
      <c r="E10778" s="2" t="s">
        <v>286</v>
      </c>
    </row>
    <row r="10779">
      <c r="A10779" s="2" t="s">
        <v>4951</v>
      </c>
      <c r="B10779" s="2" t="s">
        <v>5031</v>
      </c>
      <c r="C10779" s="2" t="s">
        <v>6002</v>
      </c>
      <c r="D10779" s="3" t="str">
        <f t="shared" si="2349"/>
        <v>12Go Link</v>
      </c>
      <c r="E10779" s="2" t="s">
        <v>4139</v>
      </c>
    </row>
    <row r="10780">
      <c r="A10780" s="2" t="s">
        <v>4951</v>
      </c>
      <c r="B10780" s="2" t="s">
        <v>5031</v>
      </c>
      <c r="C10780" s="2" t="s">
        <v>6002</v>
      </c>
      <c r="D10780" s="3" t="str">
        <f t="shared" si="2349"/>
        <v>12Go Link</v>
      </c>
      <c r="E10780" s="2" t="s">
        <v>3409</v>
      </c>
    </row>
    <row r="10781">
      <c r="A10781" s="2" t="s">
        <v>4951</v>
      </c>
      <c r="B10781" s="2" t="s">
        <v>5034</v>
      </c>
      <c r="C10781" s="2" t="s">
        <v>6003</v>
      </c>
      <c r="D10781" s="3" t="str">
        <f t="shared" ref="D10781:D10783" si="2350">HYPERLINK("https://12go.asia/en/travel/Dickwella/Weddagala", "12Go Link")</f>
        <v>12Go Link</v>
      </c>
      <c r="E10781" s="2" t="s">
        <v>286</v>
      </c>
    </row>
    <row r="10782">
      <c r="A10782" s="2" t="s">
        <v>4951</v>
      </c>
      <c r="B10782" s="2" t="s">
        <v>5034</v>
      </c>
      <c r="C10782" s="2" t="s">
        <v>6003</v>
      </c>
      <c r="D10782" s="3" t="str">
        <f t="shared" si="2350"/>
        <v>12Go Link</v>
      </c>
      <c r="E10782" s="2" t="s">
        <v>4139</v>
      </c>
    </row>
    <row r="10783">
      <c r="A10783" s="2" t="s">
        <v>4951</v>
      </c>
      <c r="B10783" s="2" t="s">
        <v>5034</v>
      </c>
      <c r="C10783" s="2" t="s">
        <v>6003</v>
      </c>
      <c r="D10783" s="3" t="str">
        <f t="shared" si="2350"/>
        <v>12Go Link</v>
      </c>
      <c r="E10783" s="2" t="s">
        <v>3409</v>
      </c>
    </row>
    <row r="10784">
      <c r="A10784" s="2" t="s">
        <v>4951</v>
      </c>
      <c r="B10784" s="2" t="s">
        <v>5034</v>
      </c>
      <c r="C10784" s="2" t="s">
        <v>6004</v>
      </c>
      <c r="D10784" s="3" t="str">
        <f t="shared" ref="D10784:D10786" si="2351">HYPERLINK("https://12go.asia/en/travel/Hiriketiya-beach/Weddagala", "12Go Link")</f>
        <v>12Go Link</v>
      </c>
      <c r="E10784" s="2" t="s">
        <v>286</v>
      </c>
    </row>
    <row r="10785">
      <c r="A10785" s="2" t="s">
        <v>4951</v>
      </c>
      <c r="B10785" s="2" t="s">
        <v>5034</v>
      </c>
      <c r="C10785" s="2" t="s">
        <v>6004</v>
      </c>
      <c r="D10785" s="3" t="str">
        <f t="shared" si="2351"/>
        <v>12Go Link</v>
      </c>
      <c r="E10785" s="2" t="s">
        <v>4139</v>
      </c>
    </row>
    <row r="10786">
      <c r="A10786" s="2" t="s">
        <v>4951</v>
      </c>
      <c r="B10786" s="2" t="s">
        <v>5034</v>
      </c>
      <c r="C10786" s="2" t="s">
        <v>6004</v>
      </c>
      <c r="D10786" s="3" t="str">
        <f t="shared" si="2351"/>
        <v>12Go Link</v>
      </c>
      <c r="E10786" s="2" t="s">
        <v>3409</v>
      </c>
    </row>
    <row r="10787">
      <c r="A10787" s="2" t="s">
        <v>4951</v>
      </c>
      <c r="B10787" s="2" t="s">
        <v>5036</v>
      </c>
      <c r="C10787" s="2" t="s">
        <v>6005</v>
      </c>
      <c r="D10787" s="3" t="str">
        <f t="shared" ref="D10787:D10789" si="2352">HYPERLINK("https://12go.asia/en/travel/Dickwella/Weligatta", "12Go Link")</f>
        <v>12Go Link</v>
      </c>
      <c r="E10787" s="2" t="s">
        <v>286</v>
      </c>
    </row>
    <row r="10788">
      <c r="A10788" s="2" t="s">
        <v>4951</v>
      </c>
      <c r="B10788" s="2" t="s">
        <v>5036</v>
      </c>
      <c r="C10788" s="2" t="s">
        <v>6005</v>
      </c>
      <c r="D10788" s="3" t="str">
        <f t="shared" si="2352"/>
        <v>12Go Link</v>
      </c>
      <c r="E10788" s="2" t="s">
        <v>4139</v>
      </c>
    </row>
    <row r="10789">
      <c r="A10789" s="2" t="s">
        <v>4951</v>
      </c>
      <c r="B10789" s="2" t="s">
        <v>5036</v>
      </c>
      <c r="C10789" s="2" t="s">
        <v>6005</v>
      </c>
      <c r="D10789" s="3" t="str">
        <f t="shared" si="2352"/>
        <v>12Go Link</v>
      </c>
      <c r="E10789" s="2" t="s">
        <v>3409</v>
      </c>
    </row>
    <row r="10790">
      <c r="A10790" s="2" t="s">
        <v>4951</v>
      </c>
      <c r="B10790" s="2" t="s">
        <v>5036</v>
      </c>
      <c r="C10790" s="2" t="s">
        <v>6006</v>
      </c>
      <c r="D10790" s="3" t="str">
        <f t="shared" ref="D10790:D10792" si="2353">HYPERLINK("https://12go.asia/en/travel/Hiriketiya-beach/Weligatta", "12Go Link")</f>
        <v>12Go Link</v>
      </c>
      <c r="E10790" s="2" t="s">
        <v>286</v>
      </c>
    </row>
    <row r="10791">
      <c r="A10791" s="2" t="s">
        <v>4951</v>
      </c>
      <c r="B10791" s="2" t="s">
        <v>5036</v>
      </c>
      <c r="C10791" s="2" t="s">
        <v>6006</v>
      </c>
      <c r="D10791" s="3" t="str">
        <f t="shared" si="2353"/>
        <v>12Go Link</v>
      </c>
      <c r="E10791" s="2" t="s">
        <v>4139</v>
      </c>
    </row>
    <row r="10792">
      <c r="A10792" s="2" t="s">
        <v>4951</v>
      </c>
      <c r="B10792" s="2" t="s">
        <v>5036</v>
      </c>
      <c r="C10792" s="2" t="s">
        <v>6006</v>
      </c>
      <c r="D10792" s="3" t="str">
        <f t="shared" si="2353"/>
        <v>12Go Link</v>
      </c>
      <c r="E10792" s="2" t="s">
        <v>3409</v>
      </c>
    </row>
    <row r="10793">
      <c r="A10793" s="2" t="s">
        <v>4951</v>
      </c>
      <c r="B10793" s="2" t="s">
        <v>5038</v>
      </c>
      <c r="C10793" s="2" t="s">
        <v>6007</v>
      </c>
      <c r="D10793" s="3" t="str">
        <f t="shared" ref="D10793:D10795" si="2354">HYPERLINK("https://12go.asia/en/travel/Dickwella/Akuressa", "12Go Link")</f>
        <v>12Go Link</v>
      </c>
      <c r="E10793" s="2" t="s">
        <v>286</v>
      </c>
    </row>
    <row r="10794">
      <c r="A10794" s="2" t="s">
        <v>4951</v>
      </c>
      <c r="B10794" s="2" t="s">
        <v>5038</v>
      </c>
      <c r="C10794" s="2" t="s">
        <v>6007</v>
      </c>
      <c r="D10794" s="3" t="str">
        <f t="shared" si="2354"/>
        <v>12Go Link</v>
      </c>
      <c r="E10794" s="2" t="s">
        <v>4139</v>
      </c>
    </row>
    <row r="10795">
      <c r="A10795" s="2" t="s">
        <v>4951</v>
      </c>
      <c r="B10795" s="2" t="s">
        <v>5038</v>
      </c>
      <c r="C10795" s="2" t="s">
        <v>6007</v>
      </c>
      <c r="D10795" s="3" t="str">
        <f t="shared" si="2354"/>
        <v>12Go Link</v>
      </c>
      <c r="E10795" s="2" t="s">
        <v>3409</v>
      </c>
    </row>
    <row r="10796">
      <c r="A10796" s="2" t="s">
        <v>4951</v>
      </c>
      <c r="B10796" s="2" t="s">
        <v>5038</v>
      </c>
      <c r="C10796" s="2" t="s">
        <v>6008</v>
      </c>
      <c r="D10796" s="3" t="str">
        <f t="shared" ref="D10796:D10798" si="2355">HYPERLINK("https://12go.asia/en/travel/Hiriketiya-beach/Akuressa", "12Go Link")</f>
        <v>12Go Link</v>
      </c>
      <c r="E10796" s="2" t="s">
        <v>286</v>
      </c>
    </row>
    <row r="10797">
      <c r="A10797" s="2" t="s">
        <v>4951</v>
      </c>
      <c r="B10797" s="2" t="s">
        <v>5038</v>
      </c>
      <c r="C10797" s="2" t="s">
        <v>6008</v>
      </c>
      <c r="D10797" s="3" t="str">
        <f t="shared" si="2355"/>
        <v>12Go Link</v>
      </c>
      <c r="E10797" s="2" t="s">
        <v>4139</v>
      </c>
    </row>
    <row r="10798">
      <c r="A10798" s="2" t="s">
        <v>4951</v>
      </c>
      <c r="B10798" s="2" t="s">
        <v>5038</v>
      </c>
      <c r="C10798" s="2" t="s">
        <v>6008</v>
      </c>
      <c r="D10798" s="3" t="str">
        <f t="shared" si="2355"/>
        <v>12Go Link</v>
      </c>
      <c r="E10798" s="2" t="s">
        <v>3409</v>
      </c>
    </row>
    <row r="10799">
      <c r="A10799" s="2" t="s">
        <v>4951</v>
      </c>
      <c r="B10799" s="2" t="s">
        <v>5040</v>
      </c>
      <c r="C10799" s="2" t="s">
        <v>6009</v>
      </c>
      <c r="D10799" s="3" t="str">
        <f t="shared" ref="D10799:D10801" si="2356">HYPERLINK("https://12go.asia/en/travel/Dickwella/Wilpattu", "12Go Link")</f>
        <v>12Go Link</v>
      </c>
      <c r="E10799" s="2" t="s">
        <v>286</v>
      </c>
    </row>
    <row r="10800">
      <c r="A10800" s="2" t="s">
        <v>4951</v>
      </c>
      <c r="B10800" s="2" t="s">
        <v>5040</v>
      </c>
      <c r="C10800" s="2" t="s">
        <v>6009</v>
      </c>
      <c r="D10800" s="3" t="str">
        <f t="shared" si="2356"/>
        <v>12Go Link</v>
      </c>
      <c r="E10800" s="2" t="s">
        <v>4139</v>
      </c>
    </row>
    <row r="10801">
      <c r="A10801" s="2" t="s">
        <v>4951</v>
      </c>
      <c r="B10801" s="2" t="s">
        <v>5040</v>
      </c>
      <c r="C10801" s="2" t="s">
        <v>6009</v>
      </c>
      <c r="D10801" s="3" t="str">
        <f t="shared" si="2356"/>
        <v>12Go Link</v>
      </c>
      <c r="E10801" s="2" t="s">
        <v>3409</v>
      </c>
    </row>
    <row r="10802">
      <c r="A10802" s="2" t="s">
        <v>4951</v>
      </c>
      <c r="B10802" s="2" t="s">
        <v>5040</v>
      </c>
      <c r="C10802" s="2" t="s">
        <v>6010</v>
      </c>
      <c r="D10802" s="3" t="str">
        <f t="shared" ref="D10802:D10804" si="2357">HYPERLINK("https://12go.asia/en/travel/Hiriketiya-beach/Wilpattu", "12Go Link")</f>
        <v>12Go Link</v>
      </c>
      <c r="E10802" s="2" t="s">
        <v>286</v>
      </c>
    </row>
    <row r="10803">
      <c r="A10803" s="2" t="s">
        <v>4951</v>
      </c>
      <c r="B10803" s="2" t="s">
        <v>5040</v>
      </c>
      <c r="C10803" s="2" t="s">
        <v>6010</v>
      </c>
      <c r="D10803" s="3" t="str">
        <f t="shared" si="2357"/>
        <v>12Go Link</v>
      </c>
      <c r="E10803" s="2" t="s">
        <v>4139</v>
      </c>
    </row>
    <row r="10804">
      <c r="A10804" s="2" t="s">
        <v>4951</v>
      </c>
      <c r="B10804" s="2" t="s">
        <v>5040</v>
      </c>
      <c r="C10804" s="2" t="s">
        <v>6010</v>
      </c>
      <c r="D10804" s="3" t="str">
        <f t="shared" si="2357"/>
        <v>12Go Link</v>
      </c>
      <c r="E10804" s="2" t="s">
        <v>3409</v>
      </c>
    </row>
    <row r="10805">
      <c r="A10805" s="2" t="s">
        <v>5779</v>
      </c>
      <c r="B10805" s="2" t="s">
        <v>4947</v>
      </c>
      <c r="C10805" s="2" t="s">
        <v>6011</v>
      </c>
      <c r="D10805" s="3" t="str">
        <f t="shared" ref="D10805:D10807" si="2358">HYPERLINK("https://12go.asia/en/travel/Ella/Dambulla", "12Go Link")</f>
        <v>12Go Link</v>
      </c>
      <c r="E10805" s="2" t="s">
        <v>286</v>
      </c>
    </row>
    <row r="10806">
      <c r="A10806" s="2" t="s">
        <v>5779</v>
      </c>
      <c r="B10806" s="2" t="s">
        <v>4947</v>
      </c>
      <c r="C10806" s="2" t="s">
        <v>6011</v>
      </c>
      <c r="D10806" s="3" t="str">
        <f t="shared" si="2358"/>
        <v>12Go Link</v>
      </c>
      <c r="E10806" s="2" t="s">
        <v>4139</v>
      </c>
    </row>
    <row r="10807">
      <c r="A10807" s="2" t="s">
        <v>5779</v>
      </c>
      <c r="B10807" s="2" t="s">
        <v>4947</v>
      </c>
      <c r="C10807" s="2" t="s">
        <v>6011</v>
      </c>
      <c r="D10807" s="3" t="str">
        <f t="shared" si="2358"/>
        <v>12Go Link</v>
      </c>
      <c r="E10807" s="2" t="s">
        <v>3409</v>
      </c>
    </row>
    <row r="10808">
      <c r="A10808" s="2" t="s">
        <v>5779</v>
      </c>
      <c r="B10808" s="2" t="s">
        <v>5000</v>
      </c>
      <c r="C10808" s="2" t="s">
        <v>6012</v>
      </c>
      <c r="D10808" s="3" t="str">
        <f>HYPERLINK("https://12go.asia/en/travel/Ella/Dalupotha", "12Go Link")</f>
        <v>12Go Link</v>
      </c>
      <c r="E10808" s="2" t="s">
        <v>286</v>
      </c>
    </row>
    <row r="10809">
      <c r="A10809" s="2" t="s">
        <v>5779</v>
      </c>
      <c r="B10809" s="2" t="s">
        <v>5016</v>
      </c>
      <c r="C10809" s="2" t="s">
        <v>6013</v>
      </c>
      <c r="D10809" s="3" t="str">
        <f t="shared" ref="D10809:D10811" si="2359">HYPERLINK("https://12go.asia/en/travel/Ella/Pidurangala", "12Go Link")</f>
        <v>12Go Link</v>
      </c>
      <c r="E10809" s="2" t="s">
        <v>286</v>
      </c>
    </row>
    <row r="10810">
      <c r="A10810" s="2" t="s">
        <v>5779</v>
      </c>
      <c r="B10810" s="2" t="s">
        <v>5016</v>
      </c>
      <c r="C10810" s="2" t="s">
        <v>6013</v>
      </c>
      <c r="D10810" s="3" t="str">
        <f t="shared" si="2359"/>
        <v>12Go Link</v>
      </c>
      <c r="E10810" s="2" t="s">
        <v>4139</v>
      </c>
    </row>
    <row r="10811">
      <c r="A10811" s="2" t="s">
        <v>5779</v>
      </c>
      <c r="B10811" s="2" t="s">
        <v>5016</v>
      </c>
      <c r="C10811" s="2" t="s">
        <v>6013</v>
      </c>
      <c r="D10811" s="3" t="str">
        <f t="shared" si="2359"/>
        <v>12Go Link</v>
      </c>
      <c r="E10811" s="2" t="s">
        <v>3409</v>
      </c>
    </row>
    <row r="10812">
      <c r="A10812" s="2" t="s">
        <v>4954</v>
      </c>
      <c r="B10812" s="2" t="s">
        <v>4918</v>
      </c>
      <c r="C10812" s="2" t="s">
        <v>6014</v>
      </c>
      <c r="D10812" s="3" t="str">
        <f t="shared" ref="D10812:D10814" si="2360">HYPERLINK("https://12go.asia/en/travel/Galle/Adams-Peak", "12Go Link")</f>
        <v>12Go Link</v>
      </c>
      <c r="E10812" s="2" t="s">
        <v>286</v>
      </c>
    </row>
    <row r="10813">
      <c r="A10813" s="2" t="s">
        <v>4954</v>
      </c>
      <c r="B10813" s="2" t="s">
        <v>4918</v>
      </c>
      <c r="C10813" s="2" t="s">
        <v>6014</v>
      </c>
      <c r="D10813" s="3" t="str">
        <f t="shared" si="2360"/>
        <v>12Go Link</v>
      </c>
      <c r="E10813" s="2" t="s">
        <v>4139</v>
      </c>
    </row>
    <row r="10814">
      <c r="A10814" s="2" t="s">
        <v>4954</v>
      </c>
      <c r="B10814" s="2" t="s">
        <v>4918</v>
      </c>
      <c r="C10814" s="2" t="s">
        <v>6014</v>
      </c>
      <c r="D10814" s="3" t="str">
        <f t="shared" si="2360"/>
        <v>12Go Link</v>
      </c>
      <c r="E10814" s="2" t="s">
        <v>3409</v>
      </c>
    </row>
    <row r="10815">
      <c r="A10815" s="2" t="s">
        <v>4954</v>
      </c>
      <c r="B10815" s="2" t="s">
        <v>4918</v>
      </c>
      <c r="C10815" s="2" t="s">
        <v>6015</v>
      </c>
      <c r="D10815" s="3" t="str">
        <f t="shared" ref="D10815:D10817" si="2361">HYPERLINK("https://12go.asia/en/travel/Talpe/Adams-Peak", "12Go Link")</f>
        <v>12Go Link</v>
      </c>
      <c r="E10815" s="2" t="s">
        <v>286</v>
      </c>
    </row>
    <row r="10816">
      <c r="A10816" s="2" t="s">
        <v>4954</v>
      </c>
      <c r="B10816" s="2" t="s">
        <v>4918</v>
      </c>
      <c r="C10816" s="2" t="s">
        <v>6015</v>
      </c>
      <c r="D10816" s="3" t="str">
        <f t="shared" si="2361"/>
        <v>12Go Link</v>
      </c>
      <c r="E10816" s="2" t="s">
        <v>4139</v>
      </c>
    </row>
    <row r="10817">
      <c r="A10817" s="2" t="s">
        <v>4954</v>
      </c>
      <c r="B10817" s="2" t="s">
        <v>4918</v>
      </c>
      <c r="C10817" s="2" t="s">
        <v>6015</v>
      </c>
      <c r="D10817" s="3" t="str">
        <f t="shared" si="2361"/>
        <v>12Go Link</v>
      </c>
      <c r="E10817" s="2" t="s">
        <v>3409</v>
      </c>
    </row>
    <row r="10818">
      <c r="A10818" s="2" t="s">
        <v>4954</v>
      </c>
      <c r="B10818" s="2" t="s">
        <v>4919</v>
      </c>
      <c r="C10818" s="2" t="s">
        <v>6016</v>
      </c>
      <c r="D10818" s="3" t="str">
        <f t="shared" ref="D10818:D10822" si="2362">HYPERLINK("https://12go.asia/en/travel/Galle/Ahangama", "12Go Link")</f>
        <v>12Go Link</v>
      </c>
      <c r="E10818" s="2" t="s">
        <v>286</v>
      </c>
    </row>
    <row r="10819">
      <c r="A10819" s="2" t="s">
        <v>4954</v>
      </c>
      <c r="B10819" s="2" t="s">
        <v>4919</v>
      </c>
      <c r="C10819" s="2" t="s">
        <v>6016</v>
      </c>
      <c r="D10819" s="3" t="str">
        <f t="shared" si="2362"/>
        <v>12Go Link</v>
      </c>
      <c r="E10819" s="2" t="s">
        <v>4139</v>
      </c>
    </row>
    <row r="10820">
      <c r="A10820" s="2" t="s">
        <v>4954</v>
      </c>
      <c r="B10820" s="2" t="s">
        <v>4919</v>
      </c>
      <c r="C10820" s="2" t="s">
        <v>6016</v>
      </c>
      <c r="D10820" s="3" t="str">
        <f t="shared" si="2362"/>
        <v>12Go Link</v>
      </c>
      <c r="E10820" s="2" t="s">
        <v>3409</v>
      </c>
    </row>
    <row r="10821">
      <c r="A10821" s="2" t="s">
        <v>4954</v>
      </c>
      <c r="B10821" s="2" t="s">
        <v>4919</v>
      </c>
      <c r="C10821" s="2" t="s">
        <v>6016</v>
      </c>
      <c r="D10821" s="3" t="str">
        <f t="shared" si="2362"/>
        <v>12Go Link</v>
      </c>
      <c r="E10821" s="2" t="s">
        <v>5080</v>
      </c>
    </row>
    <row r="10822">
      <c r="A10822" s="2" t="s">
        <v>4954</v>
      </c>
      <c r="B10822" s="2" t="s">
        <v>4919</v>
      </c>
      <c r="C10822" s="2" t="s">
        <v>6016</v>
      </c>
      <c r="D10822" s="3" t="str">
        <f t="shared" si="2362"/>
        <v>12Go Link</v>
      </c>
      <c r="E10822" s="2" t="s">
        <v>5081</v>
      </c>
    </row>
    <row r="10823">
      <c r="A10823" s="2" t="s">
        <v>4954</v>
      </c>
      <c r="B10823" s="2" t="s">
        <v>4919</v>
      </c>
      <c r="C10823" s="2" t="s">
        <v>6017</v>
      </c>
      <c r="D10823" s="3" t="str">
        <f t="shared" ref="D10823:D10825" si="2363">HYPERLINK("https://12go.asia/en/travel/Talpe/Ahangama", "12Go Link")</f>
        <v>12Go Link</v>
      </c>
      <c r="E10823" s="2" t="s">
        <v>286</v>
      </c>
    </row>
    <row r="10824">
      <c r="A10824" s="2" t="s">
        <v>4954</v>
      </c>
      <c r="B10824" s="2" t="s">
        <v>4919</v>
      </c>
      <c r="C10824" s="2" t="s">
        <v>6017</v>
      </c>
      <c r="D10824" s="3" t="str">
        <f t="shared" si="2363"/>
        <v>12Go Link</v>
      </c>
      <c r="E10824" s="2" t="s">
        <v>4139</v>
      </c>
    </row>
    <row r="10825">
      <c r="A10825" s="2" t="s">
        <v>4954</v>
      </c>
      <c r="B10825" s="2" t="s">
        <v>4919</v>
      </c>
      <c r="C10825" s="2" t="s">
        <v>6017</v>
      </c>
      <c r="D10825" s="3" t="str">
        <f t="shared" si="2363"/>
        <v>12Go Link</v>
      </c>
      <c r="E10825" s="2" t="s">
        <v>3409</v>
      </c>
    </row>
    <row r="10826">
      <c r="A10826" s="2" t="s">
        <v>4954</v>
      </c>
      <c r="B10826" s="2" t="s">
        <v>4921</v>
      </c>
      <c r="C10826" s="2" t="s">
        <v>6018</v>
      </c>
      <c r="D10826" s="3" t="str">
        <f t="shared" ref="D10826:D10828" si="2364">HYPERLINK("https://12go.asia/en/travel/Galle/Ahungalla", "12Go Link")</f>
        <v>12Go Link</v>
      </c>
      <c r="E10826" s="2" t="s">
        <v>286</v>
      </c>
    </row>
    <row r="10827">
      <c r="A10827" s="2" t="s">
        <v>4954</v>
      </c>
      <c r="B10827" s="2" t="s">
        <v>4921</v>
      </c>
      <c r="C10827" s="2" t="s">
        <v>6018</v>
      </c>
      <c r="D10827" s="3" t="str">
        <f t="shared" si="2364"/>
        <v>12Go Link</v>
      </c>
      <c r="E10827" s="2" t="s">
        <v>4139</v>
      </c>
    </row>
    <row r="10828">
      <c r="A10828" s="2" t="s">
        <v>4954</v>
      </c>
      <c r="B10828" s="2" t="s">
        <v>4921</v>
      </c>
      <c r="C10828" s="2" t="s">
        <v>6018</v>
      </c>
      <c r="D10828" s="3" t="str">
        <f t="shared" si="2364"/>
        <v>12Go Link</v>
      </c>
      <c r="E10828" s="2" t="s">
        <v>3409</v>
      </c>
    </row>
    <row r="10829">
      <c r="A10829" s="2" t="s">
        <v>4954</v>
      </c>
      <c r="B10829" s="2" t="s">
        <v>4921</v>
      </c>
      <c r="C10829" s="2" t="s">
        <v>6019</v>
      </c>
      <c r="D10829" s="3" t="str">
        <f t="shared" ref="D10829:D10831" si="2365">HYPERLINK("https://12go.asia/en/travel/Talpe/Ahungalla", "12Go Link")</f>
        <v>12Go Link</v>
      </c>
      <c r="E10829" s="2" t="s">
        <v>286</v>
      </c>
    </row>
    <row r="10830">
      <c r="A10830" s="2" t="s">
        <v>4954</v>
      </c>
      <c r="B10830" s="2" t="s">
        <v>4921</v>
      </c>
      <c r="C10830" s="2" t="s">
        <v>6019</v>
      </c>
      <c r="D10830" s="3" t="str">
        <f t="shared" si="2365"/>
        <v>12Go Link</v>
      </c>
      <c r="E10830" s="2" t="s">
        <v>4139</v>
      </c>
    </row>
    <row r="10831">
      <c r="A10831" s="2" t="s">
        <v>4954</v>
      </c>
      <c r="B10831" s="2" t="s">
        <v>4921</v>
      </c>
      <c r="C10831" s="2" t="s">
        <v>6019</v>
      </c>
      <c r="D10831" s="3" t="str">
        <f t="shared" si="2365"/>
        <v>12Go Link</v>
      </c>
      <c r="E10831" s="2" t="s">
        <v>3409</v>
      </c>
    </row>
    <row r="10832">
      <c r="A10832" s="2" t="s">
        <v>4954</v>
      </c>
      <c r="B10832" s="2" t="s">
        <v>4923</v>
      </c>
      <c r="C10832" s="2" t="s">
        <v>6020</v>
      </c>
      <c r="D10832" s="3" t="str">
        <f t="shared" ref="D10832:D10835" si="2366">HYPERLINK("https://12go.asia/en/travel/Galle/Aluthgama", "12Go Link")</f>
        <v>12Go Link</v>
      </c>
      <c r="E10832" s="2" t="s">
        <v>286</v>
      </c>
    </row>
    <row r="10833">
      <c r="A10833" s="2" t="s">
        <v>4954</v>
      </c>
      <c r="B10833" s="2" t="s">
        <v>4923</v>
      </c>
      <c r="C10833" s="2" t="s">
        <v>6020</v>
      </c>
      <c r="D10833" s="3" t="str">
        <f t="shared" si="2366"/>
        <v>12Go Link</v>
      </c>
      <c r="E10833" s="2" t="s">
        <v>4139</v>
      </c>
    </row>
    <row r="10834">
      <c r="A10834" s="2" t="s">
        <v>4954</v>
      </c>
      <c r="B10834" s="2" t="s">
        <v>4923</v>
      </c>
      <c r="C10834" s="2" t="s">
        <v>6020</v>
      </c>
      <c r="D10834" s="3" t="str">
        <f t="shared" si="2366"/>
        <v>12Go Link</v>
      </c>
      <c r="E10834" s="2" t="s">
        <v>3409</v>
      </c>
    </row>
    <row r="10835">
      <c r="A10835" s="2" t="s">
        <v>4954</v>
      </c>
      <c r="B10835" s="2" t="s">
        <v>4923</v>
      </c>
      <c r="C10835" s="2" t="s">
        <v>6020</v>
      </c>
      <c r="D10835" s="3" t="str">
        <f t="shared" si="2366"/>
        <v>12Go Link</v>
      </c>
      <c r="E10835" s="2" t="s">
        <v>5206</v>
      </c>
    </row>
    <row r="10836">
      <c r="A10836" s="2" t="s">
        <v>4954</v>
      </c>
      <c r="B10836" s="2" t="s">
        <v>4923</v>
      </c>
      <c r="C10836" s="2" t="s">
        <v>6021</v>
      </c>
      <c r="D10836" s="3" t="str">
        <f t="shared" ref="D10836:D10838" si="2367">HYPERLINK("https://12go.asia/en/travel/Talpe/Aluthgama", "12Go Link")</f>
        <v>12Go Link</v>
      </c>
      <c r="E10836" s="2" t="s">
        <v>286</v>
      </c>
    </row>
    <row r="10837">
      <c r="A10837" s="2" t="s">
        <v>4954</v>
      </c>
      <c r="B10837" s="2" t="s">
        <v>4923</v>
      </c>
      <c r="C10837" s="2" t="s">
        <v>6021</v>
      </c>
      <c r="D10837" s="3" t="str">
        <f t="shared" si="2367"/>
        <v>12Go Link</v>
      </c>
      <c r="E10837" s="2" t="s">
        <v>4139</v>
      </c>
    </row>
    <row r="10838">
      <c r="A10838" s="2" t="s">
        <v>4954</v>
      </c>
      <c r="B10838" s="2" t="s">
        <v>4923</v>
      </c>
      <c r="C10838" s="2" t="s">
        <v>6021</v>
      </c>
      <c r="D10838" s="3" t="str">
        <f t="shared" si="2367"/>
        <v>12Go Link</v>
      </c>
      <c r="E10838" s="2" t="s">
        <v>3409</v>
      </c>
    </row>
    <row r="10839">
      <c r="A10839" s="2" t="s">
        <v>4954</v>
      </c>
      <c r="B10839" s="2" t="s">
        <v>4925</v>
      </c>
      <c r="C10839" s="2" t="s">
        <v>6022</v>
      </c>
      <c r="D10839" s="3" t="str">
        <f t="shared" ref="D10839:D10842" si="2368">HYPERLINK("https://12go.asia/en/travel/Galle/Ambalangoda", "12Go Link")</f>
        <v>12Go Link</v>
      </c>
      <c r="E10839" s="2" t="s">
        <v>286</v>
      </c>
    </row>
    <row r="10840">
      <c r="A10840" s="2" t="s">
        <v>4954</v>
      </c>
      <c r="B10840" s="2" t="s">
        <v>4925</v>
      </c>
      <c r="C10840" s="2" t="s">
        <v>6022</v>
      </c>
      <c r="D10840" s="3" t="str">
        <f t="shared" si="2368"/>
        <v>12Go Link</v>
      </c>
      <c r="E10840" s="2" t="s">
        <v>4139</v>
      </c>
    </row>
    <row r="10841">
      <c r="A10841" s="2" t="s">
        <v>4954</v>
      </c>
      <c r="B10841" s="2" t="s">
        <v>4925</v>
      </c>
      <c r="C10841" s="2" t="s">
        <v>6022</v>
      </c>
      <c r="D10841" s="3" t="str">
        <f t="shared" si="2368"/>
        <v>12Go Link</v>
      </c>
      <c r="E10841" s="2" t="s">
        <v>3409</v>
      </c>
    </row>
    <row r="10842">
      <c r="A10842" s="2" t="s">
        <v>4954</v>
      </c>
      <c r="B10842" s="2" t="s">
        <v>4925</v>
      </c>
      <c r="C10842" s="2" t="s">
        <v>6022</v>
      </c>
      <c r="D10842" s="3" t="str">
        <f t="shared" si="2368"/>
        <v>12Go Link</v>
      </c>
      <c r="E10842" s="2" t="s">
        <v>5206</v>
      </c>
    </row>
    <row r="10843">
      <c r="A10843" s="2" t="s">
        <v>4954</v>
      </c>
      <c r="B10843" s="2" t="s">
        <v>4925</v>
      </c>
      <c r="C10843" s="2" t="s">
        <v>6023</v>
      </c>
      <c r="D10843" s="3" t="str">
        <f t="shared" ref="D10843:D10845" si="2369">HYPERLINK("https://12go.asia/en/travel/Talpe/Ambalangoda", "12Go Link")</f>
        <v>12Go Link</v>
      </c>
      <c r="E10843" s="2" t="s">
        <v>286</v>
      </c>
    </row>
    <row r="10844">
      <c r="A10844" s="2" t="s">
        <v>4954</v>
      </c>
      <c r="B10844" s="2" t="s">
        <v>4925</v>
      </c>
      <c r="C10844" s="2" t="s">
        <v>6023</v>
      </c>
      <c r="D10844" s="3" t="str">
        <f t="shared" si="2369"/>
        <v>12Go Link</v>
      </c>
      <c r="E10844" s="2" t="s">
        <v>4139</v>
      </c>
    </row>
    <row r="10845">
      <c r="A10845" s="2" t="s">
        <v>4954</v>
      </c>
      <c r="B10845" s="2" t="s">
        <v>4925</v>
      </c>
      <c r="C10845" s="2" t="s">
        <v>6023</v>
      </c>
      <c r="D10845" s="3" t="str">
        <f t="shared" si="2369"/>
        <v>12Go Link</v>
      </c>
      <c r="E10845" s="2" t="s">
        <v>3409</v>
      </c>
    </row>
    <row r="10846">
      <c r="A10846" s="2" t="s">
        <v>4954</v>
      </c>
      <c r="B10846" s="2" t="s">
        <v>4927</v>
      </c>
      <c r="C10846" s="2" t="s">
        <v>6024</v>
      </c>
      <c r="D10846" s="3" t="str">
        <f t="shared" ref="D10846:D10848" si="2370">HYPERLINK("https://12go.asia/en/travel/Galle/Ambalantota", "12Go Link")</f>
        <v>12Go Link</v>
      </c>
      <c r="E10846" s="2" t="s">
        <v>286</v>
      </c>
    </row>
    <row r="10847">
      <c r="A10847" s="2" t="s">
        <v>4954</v>
      </c>
      <c r="B10847" s="2" t="s">
        <v>4927</v>
      </c>
      <c r="C10847" s="2" t="s">
        <v>6024</v>
      </c>
      <c r="D10847" s="3" t="str">
        <f t="shared" si="2370"/>
        <v>12Go Link</v>
      </c>
      <c r="E10847" s="2" t="s">
        <v>4139</v>
      </c>
    </row>
    <row r="10848">
      <c r="A10848" s="2" t="s">
        <v>4954</v>
      </c>
      <c r="B10848" s="2" t="s">
        <v>4927</v>
      </c>
      <c r="C10848" s="2" t="s">
        <v>6024</v>
      </c>
      <c r="D10848" s="3" t="str">
        <f t="shared" si="2370"/>
        <v>12Go Link</v>
      </c>
      <c r="E10848" s="2" t="s">
        <v>3409</v>
      </c>
    </row>
    <row r="10849">
      <c r="A10849" s="2" t="s">
        <v>4954</v>
      </c>
      <c r="B10849" s="2" t="s">
        <v>4927</v>
      </c>
      <c r="C10849" s="2" t="s">
        <v>6025</v>
      </c>
      <c r="D10849" s="3" t="str">
        <f t="shared" ref="D10849:D10851" si="2371">HYPERLINK("https://12go.asia/en/travel/Talpe/Ambalantota", "12Go Link")</f>
        <v>12Go Link</v>
      </c>
      <c r="E10849" s="2" t="s">
        <v>286</v>
      </c>
    </row>
    <row r="10850">
      <c r="A10850" s="2" t="s">
        <v>4954</v>
      </c>
      <c r="B10850" s="2" t="s">
        <v>4927</v>
      </c>
      <c r="C10850" s="2" t="s">
        <v>6025</v>
      </c>
      <c r="D10850" s="3" t="str">
        <f t="shared" si="2371"/>
        <v>12Go Link</v>
      </c>
      <c r="E10850" s="2" t="s">
        <v>4139</v>
      </c>
    </row>
    <row r="10851">
      <c r="A10851" s="2" t="s">
        <v>4954</v>
      </c>
      <c r="B10851" s="2" t="s">
        <v>4927</v>
      </c>
      <c r="C10851" s="2" t="s">
        <v>6025</v>
      </c>
      <c r="D10851" s="3" t="str">
        <f t="shared" si="2371"/>
        <v>12Go Link</v>
      </c>
      <c r="E10851" s="2" t="s">
        <v>3409</v>
      </c>
    </row>
    <row r="10852">
      <c r="A10852" s="2" t="s">
        <v>4954</v>
      </c>
      <c r="B10852" s="2" t="s">
        <v>4929</v>
      </c>
      <c r="C10852" s="2" t="s">
        <v>6026</v>
      </c>
      <c r="D10852" s="3" t="str">
        <f t="shared" ref="D10852:D10854" si="2372">HYPERLINK("https://12go.asia/en/travel/Galle/Anuradhapura", "12Go Link")</f>
        <v>12Go Link</v>
      </c>
      <c r="E10852" s="2" t="s">
        <v>286</v>
      </c>
    </row>
    <row r="10853">
      <c r="A10853" s="2" t="s">
        <v>4954</v>
      </c>
      <c r="B10853" s="2" t="s">
        <v>4929</v>
      </c>
      <c r="C10853" s="2" t="s">
        <v>6026</v>
      </c>
      <c r="D10853" s="3" t="str">
        <f t="shared" si="2372"/>
        <v>12Go Link</v>
      </c>
      <c r="E10853" s="2" t="s">
        <v>4139</v>
      </c>
    </row>
    <row r="10854">
      <c r="A10854" s="2" t="s">
        <v>4954</v>
      </c>
      <c r="B10854" s="2" t="s">
        <v>4929</v>
      </c>
      <c r="C10854" s="2" t="s">
        <v>6026</v>
      </c>
      <c r="D10854" s="3" t="str">
        <f t="shared" si="2372"/>
        <v>12Go Link</v>
      </c>
      <c r="E10854" s="2" t="s">
        <v>3409</v>
      </c>
    </row>
    <row r="10855">
      <c r="A10855" s="2" t="s">
        <v>4954</v>
      </c>
      <c r="B10855" s="2" t="s">
        <v>4929</v>
      </c>
      <c r="C10855" s="2" t="s">
        <v>6027</v>
      </c>
      <c r="D10855" s="3" t="str">
        <f t="shared" ref="D10855:D10857" si="2373">HYPERLINK("https://12go.asia/en/travel/Talpe/Anuradhapura", "12Go Link")</f>
        <v>12Go Link</v>
      </c>
      <c r="E10855" s="2" t="s">
        <v>286</v>
      </c>
    </row>
    <row r="10856">
      <c r="A10856" s="2" t="s">
        <v>4954</v>
      </c>
      <c r="B10856" s="2" t="s">
        <v>4929</v>
      </c>
      <c r="C10856" s="2" t="s">
        <v>6027</v>
      </c>
      <c r="D10856" s="3" t="str">
        <f t="shared" si="2373"/>
        <v>12Go Link</v>
      </c>
      <c r="E10856" s="2" t="s">
        <v>4139</v>
      </c>
    </row>
    <row r="10857">
      <c r="A10857" s="2" t="s">
        <v>4954</v>
      </c>
      <c r="B10857" s="2" t="s">
        <v>4929</v>
      </c>
      <c r="C10857" s="2" t="s">
        <v>6027</v>
      </c>
      <c r="D10857" s="3" t="str">
        <f t="shared" si="2373"/>
        <v>12Go Link</v>
      </c>
      <c r="E10857" s="2" t="s">
        <v>3409</v>
      </c>
    </row>
    <row r="10858">
      <c r="A10858" s="2" t="s">
        <v>4954</v>
      </c>
      <c r="B10858" s="2" t="s">
        <v>4931</v>
      </c>
      <c r="C10858" s="2" t="s">
        <v>6028</v>
      </c>
      <c r="D10858" s="3" t="str">
        <f t="shared" ref="D10858:D10860" si="2374">HYPERLINK("https://12go.asia/en/travel/Galle/Arugam-bay", "12Go Link")</f>
        <v>12Go Link</v>
      </c>
      <c r="E10858" s="2" t="s">
        <v>286</v>
      </c>
    </row>
    <row r="10859">
      <c r="A10859" s="2" t="s">
        <v>4954</v>
      </c>
      <c r="B10859" s="2" t="s">
        <v>4931</v>
      </c>
      <c r="C10859" s="2" t="s">
        <v>6028</v>
      </c>
      <c r="D10859" s="3" t="str">
        <f t="shared" si="2374"/>
        <v>12Go Link</v>
      </c>
      <c r="E10859" s="2" t="s">
        <v>4139</v>
      </c>
    </row>
    <row r="10860">
      <c r="A10860" s="2" t="s">
        <v>4954</v>
      </c>
      <c r="B10860" s="2" t="s">
        <v>4931</v>
      </c>
      <c r="C10860" s="2" t="s">
        <v>6028</v>
      </c>
      <c r="D10860" s="3" t="str">
        <f t="shared" si="2374"/>
        <v>12Go Link</v>
      </c>
      <c r="E10860" s="2" t="s">
        <v>3409</v>
      </c>
    </row>
    <row r="10861">
      <c r="A10861" s="2" t="s">
        <v>4954</v>
      </c>
      <c r="B10861" s="2" t="s">
        <v>4931</v>
      </c>
      <c r="C10861" s="2" t="s">
        <v>6029</v>
      </c>
      <c r="D10861" s="3" t="str">
        <f t="shared" ref="D10861:D10863" si="2375">HYPERLINK("https://12go.asia/en/travel/Talpe/Arugam-bay", "12Go Link")</f>
        <v>12Go Link</v>
      </c>
      <c r="E10861" s="2" t="s">
        <v>286</v>
      </c>
    </row>
    <row r="10862">
      <c r="A10862" s="2" t="s">
        <v>4954</v>
      </c>
      <c r="B10862" s="2" t="s">
        <v>4931</v>
      </c>
      <c r="C10862" s="2" t="s">
        <v>6029</v>
      </c>
      <c r="D10862" s="3" t="str">
        <f t="shared" si="2375"/>
        <v>12Go Link</v>
      </c>
      <c r="E10862" s="2" t="s">
        <v>4139</v>
      </c>
    </row>
    <row r="10863">
      <c r="A10863" s="2" t="s">
        <v>4954</v>
      </c>
      <c r="B10863" s="2" t="s">
        <v>4931</v>
      </c>
      <c r="C10863" s="2" t="s">
        <v>6029</v>
      </c>
      <c r="D10863" s="3" t="str">
        <f t="shared" si="2375"/>
        <v>12Go Link</v>
      </c>
      <c r="E10863" s="2" t="s">
        <v>3409</v>
      </c>
    </row>
    <row r="10864">
      <c r="A10864" s="2" t="s">
        <v>4954</v>
      </c>
      <c r="B10864" s="2" t="s">
        <v>4933</v>
      </c>
      <c r="C10864" s="2" t="s">
        <v>6030</v>
      </c>
      <c r="D10864" s="3" t="str">
        <f t="shared" ref="D10864:D10866" si="2376">HYPERLINK("https://12go.asia/en/travel/Galle/balapitiya", "12Go Link")</f>
        <v>12Go Link</v>
      </c>
      <c r="E10864" s="2" t="s">
        <v>286</v>
      </c>
    </row>
    <row r="10865">
      <c r="A10865" s="2" t="s">
        <v>4954</v>
      </c>
      <c r="B10865" s="2" t="s">
        <v>4933</v>
      </c>
      <c r="C10865" s="2" t="s">
        <v>6030</v>
      </c>
      <c r="D10865" s="3" t="str">
        <f t="shared" si="2376"/>
        <v>12Go Link</v>
      </c>
      <c r="E10865" s="2" t="s">
        <v>4139</v>
      </c>
    </row>
    <row r="10866">
      <c r="A10866" s="2" t="s">
        <v>4954</v>
      </c>
      <c r="B10866" s="2" t="s">
        <v>4933</v>
      </c>
      <c r="C10866" s="2" t="s">
        <v>6030</v>
      </c>
      <c r="D10866" s="3" t="str">
        <f t="shared" si="2376"/>
        <v>12Go Link</v>
      </c>
      <c r="E10866" s="2" t="s">
        <v>3409</v>
      </c>
    </row>
    <row r="10867">
      <c r="A10867" s="2" t="s">
        <v>4954</v>
      </c>
      <c r="B10867" s="2" t="s">
        <v>4933</v>
      </c>
      <c r="C10867" s="2" t="s">
        <v>6031</v>
      </c>
      <c r="D10867" s="3" t="str">
        <f t="shared" ref="D10867:D10869" si="2377">HYPERLINK("https://12go.asia/en/travel/Talpe/balapitiya", "12Go Link")</f>
        <v>12Go Link</v>
      </c>
      <c r="E10867" s="2" t="s">
        <v>286</v>
      </c>
    </row>
    <row r="10868">
      <c r="A10868" s="2" t="s">
        <v>4954</v>
      </c>
      <c r="B10868" s="2" t="s">
        <v>4933</v>
      </c>
      <c r="C10868" s="2" t="s">
        <v>6031</v>
      </c>
      <c r="D10868" s="3" t="str">
        <f t="shared" si="2377"/>
        <v>12Go Link</v>
      </c>
      <c r="E10868" s="2" t="s">
        <v>4139</v>
      </c>
    </row>
    <row r="10869">
      <c r="A10869" s="2" t="s">
        <v>4954</v>
      </c>
      <c r="B10869" s="2" t="s">
        <v>4933</v>
      </c>
      <c r="C10869" s="2" t="s">
        <v>6031</v>
      </c>
      <c r="D10869" s="3" t="str">
        <f t="shared" si="2377"/>
        <v>12Go Link</v>
      </c>
      <c r="E10869" s="2" t="s">
        <v>3409</v>
      </c>
    </row>
    <row r="10870">
      <c r="A10870" s="2" t="s">
        <v>4954</v>
      </c>
      <c r="B10870" s="2" t="s">
        <v>4935</v>
      </c>
      <c r="C10870" s="2" t="s">
        <v>6032</v>
      </c>
      <c r="D10870" s="3" t="str">
        <f t="shared" ref="D10870:D10872" si="2378">HYPERLINK("https://12go.asia/en/travel/Galle/Batticaloa", "12Go Link")</f>
        <v>12Go Link</v>
      </c>
      <c r="E10870" s="2" t="s">
        <v>286</v>
      </c>
    </row>
    <row r="10871">
      <c r="A10871" s="2" t="s">
        <v>4954</v>
      </c>
      <c r="B10871" s="2" t="s">
        <v>4935</v>
      </c>
      <c r="C10871" s="2" t="s">
        <v>6032</v>
      </c>
      <c r="D10871" s="3" t="str">
        <f t="shared" si="2378"/>
        <v>12Go Link</v>
      </c>
      <c r="E10871" s="2" t="s">
        <v>4139</v>
      </c>
    </row>
    <row r="10872">
      <c r="A10872" s="2" t="s">
        <v>4954</v>
      </c>
      <c r="B10872" s="2" t="s">
        <v>4935</v>
      </c>
      <c r="C10872" s="2" t="s">
        <v>6032</v>
      </c>
      <c r="D10872" s="3" t="str">
        <f t="shared" si="2378"/>
        <v>12Go Link</v>
      </c>
      <c r="E10872" s="2" t="s">
        <v>3409</v>
      </c>
    </row>
    <row r="10873">
      <c r="A10873" s="2" t="s">
        <v>4954</v>
      </c>
      <c r="B10873" s="2" t="s">
        <v>4935</v>
      </c>
      <c r="C10873" s="2" t="s">
        <v>6033</v>
      </c>
      <c r="D10873" s="3" t="str">
        <f t="shared" ref="D10873:D10875" si="2379">HYPERLINK("https://12go.asia/en/travel/Talpe/Batticaloa", "12Go Link")</f>
        <v>12Go Link</v>
      </c>
      <c r="E10873" s="2" t="s">
        <v>286</v>
      </c>
    </row>
    <row r="10874">
      <c r="A10874" s="2" t="s">
        <v>4954</v>
      </c>
      <c r="B10874" s="2" t="s">
        <v>4935</v>
      </c>
      <c r="C10874" s="2" t="s">
        <v>6033</v>
      </c>
      <c r="D10874" s="3" t="str">
        <f t="shared" si="2379"/>
        <v>12Go Link</v>
      </c>
      <c r="E10874" s="2" t="s">
        <v>4139</v>
      </c>
    </row>
    <row r="10875">
      <c r="A10875" s="2" t="s">
        <v>4954</v>
      </c>
      <c r="B10875" s="2" t="s">
        <v>4935</v>
      </c>
      <c r="C10875" s="2" t="s">
        <v>6033</v>
      </c>
      <c r="D10875" s="3" t="str">
        <f t="shared" si="2379"/>
        <v>12Go Link</v>
      </c>
      <c r="E10875" s="2" t="s">
        <v>3409</v>
      </c>
    </row>
    <row r="10876">
      <c r="A10876" s="2" t="s">
        <v>4954</v>
      </c>
      <c r="B10876" s="2" t="s">
        <v>4937</v>
      </c>
      <c r="C10876" s="2" t="s">
        <v>6034</v>
      </c>
      <c r="D10876" s="3" t="str">
        <f t="shared" ref="D10876:D10879" si="2380">HYPERLINK("https://12go.asia/en/travel/Galle/Bentota", "12Go Link")</f>
        <v>12Go Link</v>
      </c>
      <c r="E10876" s="2" t="s">
        <v>286</v>
      </c>
    </row>
    <row r="10877">
      <c r="A10877" s="2" t="s">
        <v>4954</v>
      </c>
      <c r="B10877" s="2" t="s">
        <v>4937</v>
      </c>
      <c r="C10877" s="2" t="s">
        <v>6034</v>
      </c>
      <c r="D10877" s="3" t="str">
        <f t="shared" si="2380"/>
        <v>12Go Link</v>
      </c>
      <c r="E10877" s="2" t="s">
        <v>4139</v>
      </c>
    </row>
    <row r="10878">
      <c r="A10878" s="2" t="s">
        <v>4954</v>
      </c>
      <c r="B10878" s="2" t="s">
        <v>4937</v>
      </c>
      <c r="C10878" s="2" t="s">
        <v>6034</v>
      </c>
      <c r="D10878" s="3" t="str">
        <f t="shared" si="2380"/>
        <v>12Go Link</v>
      </c>
      <c r="E10878" s="2" t="s">
        <v>3409</v>
      </c>
    </row>
    <row r="10879">
      <c r="A10879" s="2" t="s">
        <v>4954</v>
      </c>
      <c r="B10879" s="2" t="s">
        <v>4937</v>
      </c>
      <c r="C10879" s="2" t="s">
        <v>6034</v>
      </c>
      <c r="D10879" s="3" t="str">
        <f t="shared" si="2380"/>
        <v>12Go Link</v>
      </c>
      <c r="E10879" s="2" t="s">
        <v>5206</v>
      </c>
    </row>
    <row r="10880">
      <c r="A10880" s="2" t="s">
        <v>4954</v>
      </c>
      <c r="B10880" s="2" t="s">
        <v>4937</v>
      </c>
      <c r="C10880" s="2" t="s">
        <v>6035</v>
      </c>
      <c r="D10880" s="3" t="str">
        <f t="shared" ref="D10880:D10882" si="2381">HYPERLINK("https://12go.asia/en/travel/Talpe/Bentota", "12Go Link")</f>
        <v>12Go Link</v>
      </c>
      <c r="E10880" s="2" t="s">
        <v>286</v>
      </c>
    </row>
    <row r="10881">
      <c r="A10881" s="2" t="s">
        <v>4954</v>
      </c>
      <c r="B10881" s="2" t="s">
        <v>4937</v>
      </c>
      <c r="C10881" s="2" t="s">
        <v>6035</v>
      </c>
      <c r="D10881" s="3" t="str">
        <f t="shared" si="2381"/>
        <v>12Go Link</v>
      </c>
      <c r="E10881" s="2" t="s">
        <v>4139</v>
      </c>
    </row>
    <row r="10882">
      <c r="A10882" s="2" t="s">
        <v>4954</v>
      </c>
      <c r="B10882" s="2" t="s">
        <v>4937</v>
      </c>
      <c r="C10882" s="2" t="s">
        <v>6035</v>
      </c>
      <c r="D10882" s="3" t="str">
        <f t="shared" si="2381"/>
        <v>12Go Link</v>
      </c>
      <c r="E10882" s="2" t="s">
        <v>3409</v>
      </c>
    </row>
    <row r="10883">
      <c r="A10883" s="2" t="s">
        <v>4954</v>
      </c>
      <c r="B10883" s="2" t="s">
        <v>4939</v>
      </c>
      <c r="C10883" s="2" t="s">
        <v>6036</v>
      </c>
      <c r="D10883" s="3" t="str">
        <f t="shared" ref="D10883:D10885" si="2382">HYPERLINK("https://12go.asia/en/travel/Galle/Beruwala", "12Go Link")</f>
        <v>12Go Link</v>
      </c>
      <c r="E10883" s="2" t="s">
        <v>286</v>
      </c>
    </row>
    <row r="10884">
      <c r="A10884" s="2" t="s">
        <v>4954</v>
      </c>
      <c r="B10884" s="2" t="s">
        <v>4939</v>
      </c>
      <c r="C10884" s="2" t="s">
        <v>6036</v>
      </c>
      <c r="D10884" s="3" t="str">
        <f t="shared" si="2382"/>
        <v>12Go Link</v>
      </c>
      <c r="E10884" s="2" t="s">
        <v>4139</v>
      </c>
    </row>
    <row r="10885">
      <c r="A10885" s="2" t="s">
        <v>4954</v>
      </c>
      <c r="B10885" s="2" t="s">
        <v>4939</v>
      </c>
      <c r="C10885" s="2" t="s">
        <v>6036</v>
      </c>
      <c r="D10885" s="3" t="str">
        <f t="shared" si="2382"/>
        <v>12Go Link</v>
      </c>
      <c r="E10885" s="2" t="s">
        <v>3409</v>
      </c>
    </row>
    <row r="10886">
      <c r="A10886" s="2" t="s">
        <v>4954</v>
      </c>
      <c r="B10886" s="2" t="s">
        <v>4939</v>
      </c>
      <c r="C10886" s="2" t="s">
        <v>6037</v>
      </c>
      <c r="D10886" s="3" t="str">
        <f t="shared" ref="D10886:D10888" si="2383">HYPERLINK("https://12go.asia/en/travel/Talpe/Beruwala", "12Go Link")</f>
        <v>12Go Link</v>
      </c>
      <c r="E10886" s="2" t="s">
        <v>286</v>
      </c>
    </row>
    <row r="10887">
      <c r="A10887" s="2" t="s">
        <v>4954</v>
      </c>
      <c r="B10887" s="2" t="s">
        <v>4939</v>
      </c>
      <c r="C10887" s="2" t="s">
        <v>6037</v>
      </c>
      <c r="D10887" s="3" t="str">
        <f t="shared" si="2383"/>
        <v>12Go Link</v>
      </c>
      <c r="E10887" s="2" t="s">
        <v>4139</v>
      </c>
    </row>
    <row r="10888">
      <c r="A10888" s="2" t="s">
        <v>4954</v>
      </c>
      <c r="B10888" s="2" t="s">
        <v>4939</v>
      </c>
      <c r="C10888" s="2" t="s">
        <v>6037</v>
      </c>
      <c r="D10888" s="3" t="str">
        <f t="shared" si="2383"/>
        <v>12Go Link</v>
      </c>
      <c r="E10888" s="2" t="s">
        <v>3409</v>
      </c>
    </row>
    <row r="10889">
      <c r="A10889" s="2" t="s">
        <v>4954</v>
      </c>
      <c r="B10889" s="2" t="s">
        <v>4941</v>
      </c>
      <c r="C10889" s="2" t="s">
        <v>6038</v>
      </c>
      <c r="D10889" s="3" t="str">
        <f t="shared" ref="D10889:D10891" si="2384">HYPERLINK("https://12go.asia/en/travel/Galle/Bundala", "12Go Link")</f>
        <v>12Go Link</v>
      </c>
      <c r="E10889" s="2" t="s">
        <v>286</v>
      </c>
    </row>
    <row r="10890">
      <c r="A10890" s="2" t="s">
        <v>4954</v>
      </c>
      <c r="B10890" s="2" t="s">
        <v>4941</v>
      </c>
      <c r="C10890" s="2" t="s">
        <v>6038</v>
      </c>
      <c r="D10890" s="3" t="str">
        <f t="shared" si="2384"/>
        <v>12Go Link</v>
      </c>
      <c r="E10890" s="2" t="s">
        <v>4139</v>
      </c>
    </row>
    <row r="10891">
      <c r="A10891" s="2" t="s">
        <v>4954</v>
      </c>
      <c r="B10891" s="2" t="s">
        <v>4941</v>
      </c>
      <c r="C10891" s="2" t="s">
        <v>6038</v>
      </c>
      <c r="D10891" s="3" t="str">
        <f t="shared" si="2384"/>
        <v>12Go Link</v>
      </c>
      <c r="E10891" s="2" t="s">
        <v>3409</v>
      </c>
    </row>
    <row r="10892">
      <c r="A10892" s="2" t="s">
        <v>4954</v>
      </c>
      <c r="B10892" s="2" t="s">
        <v>4941</v>
      </c>
      <c r="C10892" s="2" t="s">
        <v>6039</v>
      </c>
      <c r="D10892" s="3" t="str">
        <f t="shared" ref="D10892:D10894" si="2385">HYPERLINK("https://12go.asia/en/travel/Talpe/Bundala", "12Go Link")</f>
        <v>12Go Link</v>
      </c>
      <c r="E10892" s="2" t="s">
        <v>286</v>
      </c>
    </row>
    <row r="10893">
      <c r="A10893" s="2" t="s">
        <v>4954</v>
      </c>
      <c r="B10893" s="2" t="s">
        <v>4941</v>
      </c>
      <c r="C10893" s="2" t="s">
        <v>6039</v>
      </c>
      <c r="D10893" s="3" t="str">
        <f t="shared" si="2385"/>
        <v>12Go Link</v>
      </c>
      <c r="E10893" s="2" t="s">
        <v>4139</v>
      </c>
    </row>
    <row r="10894">
      <c r="A10894" s="2" t="s">
        <v>4954</v>
      </c>
      <c r="B10894" s="2" t="s">
        <v>4941</v>
      </c>
      <c r="C10894" s="2" t="s">
        <v>6039</v>
      </c>
      <c r="D10894" s="3" t="str">
        <f t="shared" si="2385"/>
        <v>12Go Link</v>
      </c>
      <c r="E10894" s="2" t="s">
        <v>3409</v>
      </c>
    </row>
    <row r="10895">
      <c r="A10895" s="2" t="s">
        <v>4954</v>
      </c>
      <c r="B10895" s="2" t="s">
        <v>4943</v>
      </c>
      <c r="C10895" s="2" t="s">
        <v>6040</v>
      </c>
      <c r="D10895" s="3" t="str">
        <f t="shared" ref="D10895:D10897" si="2386">HYPERLINK("https://12go.asia/en/travel/Talpe/Bambalapitiya", "12Go Link")</f>
        <v>12Go Link</v>
      </c>
      <c r="E10895" s="2" t="s">
        <v>286</v>
      </c>
    </row>
    <row r="10896">
      <c r="A10896" s="2" t="s">
        <v>4954</v>
      </c>
      <c r="B10896" s="2" t="s">
        <v>4943</v>
      </c>
      <c r="C10896" s="2" t="s">
        <v>6040</v>
      </c>
      <c r="D10896" s="3" t="str">
        <f t="shared" si="2386"/>
        <v>12Go Link</v>
      </c>
      <c r="E10896" s="2" t="s">
        <v>4139</v>
      </c>
    </row>
    <row r="10897">
      <c r="A10897" s="2" t="s">
        <v>4954</v>
      </c>
      <c r="B10897" s="2" t="s">
        <v>4943</v>
      </c>
      <c r="C10897" s="2" t="s">
        <v>6040</v>
      </c>
      <c r="D10897" s="3" t="str">
        <f t="shared" si="2386"/>
        <v>12Go Link</v>
      </c>
      <c r="E10897" s="2" t="s">
        <v>3409</v>
      </c>
    </row>
    <row r="10898">
      <c r="A10898" s="2" t="s">
        <v>4954</v>
      </c>
      <c r="B10898" s="2" t="s">
        <v>4943</v>
      </c>
      <c r="C10898" s="2" t="s">
        <v>6041</v>
      </c>
      <c r="D10898" s="3" t="str">
        <f>HYPERLINK("https://12go.asia/en/travel/Talpe/Colombo-Fort", "12Go Link")</f>
        <v>12Go Link</v>
      </c>
      <c r="E10898" s="2" t="s">
        <v>5206</v>
      </c>
    </row>
    <row r="10899">
      <c r="A10899" s="2" t="s">
        <v>4954</v>
      </c>
      <c r="B10899" s="2" t="s">
        <v>4945</v>
      </c>
      <c r="C10899" s="2" t="s">
        <v>6042</v>
      </c>
      <c r="D10899" s="3" t="str">
        <f t="shared" ref="D10899:D10901" si="2387">HYPERLINK("https://12go.asia/en/travel/Galle/Bandaranaike-Airport", "12Go Link")</f>
        <v>12Go Link</v>
      </c>
      <c r="E10899" s="2" t="s">
        <v>286</v>
      </c>
    </row>
    <row r="10900">
      <c r="A10900" s="2" t="s">
        <v>4954</v>
      </c>
      <c r="B10900" s="2" t="s">
        <v>4945</v>
      </c>
      <c r="C10900" s="2" t="s">
        <v>6042</v>
      </c>
      <c r="D10900" s="3" t="str">
        <f t="shared" si="2387"/>
        <v>12Go Link</v>
      </c>
      <c r="E10900" s="2" t="s">
        <v>4139</v>
      </c>
    </row>
    <row r="10901">
      <c r="A10901" s="2" t="s">
        <v>4954</v>
      </c>
      <c r="B10901" s="2" t="s">
        <v>4945</v>
      </c>
      <c r="C10901" s="2" t="s">
        <v>6042</v>
      </c>
      <c r="D10901" s="3" t="str">
        <f t="shared" si="2387"/>
        <v>12Go Link</v>
      </c>
      <c r="E10901" s="2" t="s">
        <v>3409</v>
      </c>
    </row>
    <row r="10902">
      <c r="A10902" s="2" t="s">
        <v>4954</v>
      </c>
      <c r="B10902" s="2" t="s">
        <v>4945</v>
      </c>
      <c r="C10902" s="2" t="s">
        <v>6043</v>
      </c>
      <c r="D10902" s="3" t="str">
        <f t="shared" ref="D10902:D10904" si="2388">HYPERLINK("https://12go.asia/en/travel/Talpe/Bandaranaike-Airport", "12Go Link")</f>
        <v>12Go Link</v>
      </c>
      <c r="E10902" s="2" t="s">
        <v>286</v>
      </c>
    </row>
    <row r="10903">
      <c r="A10903" s="2" t="s">
        <v>4954</v>
      </c>
      <c r="B10903" s="2" t="s">
        <v>4945</v>
      </c>
      <c r="C10903" s="2" t="s">
        <v>6043</v>
      </c>
      <c r="D10903" s="3" t="str">
        <f t="shared" si="2388"/>
        <v>12Go Link</v>
      </c>
      <c r="E10903" s="2" t="s">
        <v>4139</v>
      </c>
    </row>
    <row r="10904">
      <c r="A10904" s="2" t="s">
        <v>4954</v>
      </c>
      <c r="B10904" s="2" t="s">
        <v>4945</v>
      </c>
      <c r="C10904" s="2" t="s">
        <v>6043</v>
      </c>
      <c r="D10904" s="3" t="str">
        <f t="shared" si="2388"/>
        <v>12Go Link</v>
      </c>
      <c r="E10904" s="2" t="s">
        <v>3409</v>
      </c>
    </row>
    <row r="10905">
      <c r="A10905" s="2" t="s">
        <v>4954</v>
      </c>
      <c r="B10905" s="2" t="s">
        <v>4947</v>
      </c>
      <c r="C10905" s="2" t="s">
        <v>6044</v>
      </c>
      <c r="D10905" s="3" t="str">
        <f t="shared" ref="D10905:D10907" si="2389">HYPERLINK("https://12go.asia/en/travel/Talpe/Dambulla", "12Go Link")</f>
        <v>12Go Link</v>
      </c>
      <c r="E10905" s="2" t="s">
        <v>286</v>
      </c>
    </row>
    <row r="10906">
      <c r="A10906" s="2" t="s">
        <v>4954</v>
      </c>
      <c r="B10906" s="2" t="s">
        <v>4947</v>
      </c>
      <c r="C10906" s="2" t="s">
        <v>6044</v>
      </c>
      <c r="D10906" s="3" t="str">
        <f t="shared" si="2389"/>
        <v>12Go Link</v>
      </c>
      <c r="E10906" s="2" t="s">
        <v>4139</v>
      </c>
    </row>
    <row r="10907">
      <c r="A10907" s="2" t="s">
        <v>4954</v>
      </c>
      <c r="B10907" s="2" t="s">
        <v>4947</v>
      </c>
      <c r="C10907" s="2" t="s">
        <v>6044</v>
      </c>
      <c r="D10907" s="3" t="str">
        <f t="shared" si="2389"/>
        <v>12Go Link</v>
      </c>
      <c r="E10907" s="2" t="s">
        <v>3409</v>
      </c>
    </row>
    <row r="10908">
      <c r="A10908" s="2" t="s">
        <v>4954</v>
      </c>
      <c r="B10908" s="2" t="s">
        <v>4949</v>
      </c>
      <c r="C10908" s="2" t="s">
        <v>6045</v>
      </c>
      <c r="D10908" s="3" t="str">
        <f t="shared" ref="D10908:D10910" si="2390">HYPERLINK("https://12go.asia/en/travel/Galle/Deniyaya", "12Go Link")</f>
        <v>12Go Link</v>
      </c>
      <c r="E10908" s="2" t="s">
        <v>286</v>
      </c>
    </row>
    <row r="10909">
      <c r="A10909" s="2" t="s">
        <v>4954</v>
      </c>
      <c r="B10909" s="2" t="s">
        <v>4949</v>
      </c>
      <c r="C10909" s="2" t="s">
        <v>6045</v>
      </c>
      <c r="D10909" s="3" t="str">
        <f t="shared" si="2390"/>
        <v>12Go Link</v>
      </c>
      <c r="E10909" s="2" t="s">
        <v>4139</v>
      </c>
    </row>
    <row r="10910">
      <c r="A10910" s="2" t="s">
        <v>4954</v>
      </c>
      <c r="B10910" s="2" t="s">
        <v>4949</v>
      </c>
      <c r="C10910" s="2" t="s">
        <v>6045</v>
      </c>
      <c r="D10910" s="3" t="str">
        <f t="shared" si="2390"/>
        <v>12Go Link</v>
      </c>
      <c r="E10910" s="2" t="s">
        <v>3409</v>
      </c>
    </row>
    <row r="10911">
      <c r="A10911" s="2" t="s">
        <v>4954</v>
      </c>
      <c r="B10911" s="2" t="s">
        <v>4949</v>
      </c>
      <c r="C10911" s="2" t="s">
        <v>6046</v>
      </c>
      <c r="D10911" s="3" t="str">
        <f t="shared" ref="D10911:D10913" si="2391">HYPERLINK("https://12go.asia/en/travel/Talpe/Deniyaya", "12Go Link")</f>
        <v>12Go Link</v>
      </c>
      <c r="E10911" s="2" t="s">
        <v>286</v>
      </c>
    </row>
    <row r="10912">
      <c r="A10912" s="2" t="s">
        <v>4954</v>
      </c>
      <c r="B10912" s="2" t="s">
        <v>4949</v>
      </c>
      <c r="C10912" s="2" t="s">
        <v>6046</v>
      </c>
      <c r="D10912" s="3" t="str">
        <f t="shared" si="2391"/>
        <v>12Go Link</v>
      </c>
      <c r="E10912" s="2" t="s">
        <v>4139</v>
      </c>
    </row>
    <row r="10913">
      <c r="A10913" s="2" t="s">
        <v>4954</v>
      </c>
      <c r="B10913" s="2" t="s">
        <v>4949</v>
      </c>
      <c r="C10913" s="2" t="s">
        <v>6046</v>
      </c>
      <c r="D10913" s="3" t="str">
        <f t="shared" si="2391"/>
        <v>12Go Link</v>
      </c>
      <c r="E10913" s="2" t="s">
        <v>3409</v>
      </c>
    </row>
    <row r="10914">
      <c r="A10914" s="2" t="s">
        <v>4954</v>
      </c>
      <c r="B10914" s="2" t="s">
        <v>4951</v>
      </c>
      <c r="C10914" s="2" t="s">
        <v>6047</v>
      </c>
      <c r="D10914" s="3" t="str">
        <f t="shared" ref="D10914:D10916" si="2392">HYPERLINK("https://12go.asia/en/travel/Galle/Dickwella", "12Go Link")</f>
        <v>12Go Link</v>
      </c>
      <c r="E10914" s="2" t="s">
        <v>286</v>
      </c>
    </row>
    <row r="10915">
      <c r="A10915" s="2" t="s">
        <v>4954</v>
      </c>
      <c r="B10915" s="2" t="s">
        <v>4951</v>
      </c>
      <c r="C10915" s="2" t="s">
        <v>6047</v>
      </c>
      <c r="D10915" s="3" t="str">
        <f t="shared" si="2392"/>
        <v>12Go Link</v>
      </c>
      <c r="E10915" s="2" t="s">
        <v>4139</v>
      </c>
    </row>
    <row r="10916">
      <c r="A10916" s="2" t="s">
        <v>4954</v>
      </c>
      <c r="B10916" s="2" t="s">
        <v>4951</v>
      </c>
      <c r="C10916" s="2" t="s">
        <v>6047</v>
      </c>
      <c r="D10916" s="3" t="str">
        <f t="shared" si="2392"/>
        <v>12Go Link</v>
      </c>
      <c r="E10916" s="2" t="s">
        <v>3409</v>
      </c>
    </row>
    <row r="10917">
      <c r="A10917" s="2" t="s">
        <v>4954</v>
      </c>
      <c r="B10917" s="2" t="s">
        <v>4951</v>
      </c>
      <c r="C10917" s="2" t="s">
        <v>6048</v>
      </c>
      <c r="D10917" s="3" t="str">
        <f t="shared" ref="D10917:D10919" si="2393">HYPERLINK("https://12go.asia/en/travel/Galle/Hiriketiya-beach", "12Go Link")</f>
        <v>12Go Link</v>
      </c>
      <c r="E10917" s="2" t="s">
        <v>286</v>
      </c>
    </row>
    <row r="10918">
      <c r="A10918" s="2" t="s">
        <v>4954</v>
      </c>
      <c r="B10918" s="2" t="s">
        <v>4951</v>
      </c>
      <c r="C10918" s="2" t="s">
        <v>6048</v>
      </c>
      <c r="D10918" s="3" t="str">
        <f t="shared" si="2393"/>
        <v>12Go Link</v>
      </c>
      <c r="E10918" s="2" t="s">
        <v>4139</v>
      </c>
    </row>
    <row r="10919">
      <c r="A10919" s="2" t="s">
        <v>4954</v>
      </c>
      <c r="B10919" s="2" t="s">
        <v>4951</v>
      </c>
      <c r="C10919" s="2" t="s">
        <v>6048</v>
      </c>
      <c r="D10919" s="3" t="str">
        <f t="shared" si="2393"/>
        <v>12Go Link</v>
      </c>
      <c r="E10919" s="2" t="s">
        <v>3409</v>
      </c>
    </row>
    <row r="10920">
      <c r="A10920" s="2" t="s">
        <v>4954</v>
      </c>
      <c r="B10920" s="2" t="s">
        <v>4951</v>
      </c>
      <c r="C10920" s="2" t="s">
        <v>6049</v>
      </c>
      <c r="D10920" s="3" t="str">
        <f t="shared" ref="D10920:D10922" si="2394">HYPERLINK("https://12go.asia/en/travel/Talpe/Dickwella", "12Go Link")</f>
        <v>12Go Link</v>
      </c>
      <c r="E10920" s="2" t="s">
        <v>286</v>
      </c>
    </row>
    <row r="10921">
      <c r="A10921" s="2" t="s">
        <v>4954</v>
      </c>
      <c r="B10921" s="2" t="s">
        <v>4951</v>
      </c>
      <c r="C10921" s="2" t="s">
        <v>6049</v>
      </c>
      <c r="D10921" s="3" t="str">
        <f t="shared" si="2394"/>
        <v>12Go Link</v>
      </c>
      <c r="E10921" s="2" t="s">
        <v>4139</v>
      </c>
    </row>
    <row r="10922">
      <c r="A10922" s="2" t="s">
        <v>4954</v>
      </c>
      <c r="B10922" s="2" t="s">
        <v>4951</v>
      </c>
      <c r="C10922" s="2" t="s">
        <v>6049</v>
      </c>
      <c r="D10922" s="3" t="str">
        <f t="shared" si="2394"/>
        <v>12Go Link</v>
      </c>
      <c r="E10922" s="2" t="s">
        <v>3409</v>
      </c>
    </row>
    <row r="10923">
      <c r="A10923" s="2" t="s">
        <v>4954</v>
      </c>
      <c r="B10923" s="2" t="s">
        <v>4951</v>
      </c>
      <c r="C10923" s="2" t="s">
        <v>6050</v>
      </c>
      <c r="D10923" s="3" t="str">
        <f t="shared" ref="D10923:D10925" si="2395">HYPERLINK("https://12go.asia/en/travel/Talpe/Hiriketiya-beach", "12Go Link")</f>
        <v>12Go Link</v>
      </c>
      <c r="E10923" s="2" t="s">
        <v>286</v>
      </c>
    </row>
    <row r="10924">
      <c r="A10924" s="2" t="s">
        <v>4954</v>
      </c>
      <c r="B10924" s="2" t="s">
        <v>4951</v>
      </c>
      <c r="C10924" s="2" t="s">
        <v>6050</v>
      </c>
      <c r="D10924" s="3" t="str">
        <f t="shared" si="2395"/>
        <v>12Go Link</v>
      </c>
      <c r="E10924" s="2" t="s">
        <v>4139</v>
      </c>
    </row>
    <row r="10925">
      <c r="A10925" s="2" t="s">
        <v>4954</v>
      </c>
      <c r="B10925" s="2" t="s">
        <v>4951</v>
      </c>
      <c r="C10925" s="2" t="s">
        <v>6050</v>
      </c>
      <c r="D10925" s="3" t="str">
        <f t="shared" si="2395"/>
        <v>12Go Link</v>
      </c>
      <c r="E10925" s="2" t="s">
        <v>3409</v>
      </c>
    </row>
    <row r="10926">
      <c r="A10926" s="2" t="s">
        <v>4954</v>
      </c>
      <c r="B10926" s="2" t="s">
        <v>4954</v>
      </c>
      <c r="C10926" s="2" t="s">
        <v>6051</v>
      </c>
      <c r="D10926" s="3" t="str">
        <f t="shared" ref="D10926:D10929" si="2396">HYPERLINK("https://12go.asia/en/travel/Galle/Talpe", "12Go Link")</f>
        <v>12Go Link</v>
      </c>
      <c r="E10926" s="2" t="s">
        <v>286</v>
      </c>
    </row>
    <row r="10927">
      <c r="A10927" s="2" t="s">
        <v>4954</v>
      </c>
      <c r="B10927" s="2" t="s">
        <v>4954</v>
      </c>
      <c r="C10927" s="2" t="s">
        <v>6051</v>
      </c>
      <c r="D10927" s="3" t="str">
        <f t="shared" si="2396"/>
        <v>12Go Link</v>
      </c>
      <c r="E10927" s="2" t="s">
        <v>4139</v>
      </c>
    </row>
    <row r="10928">
      <c r="A10928" s="2" t="s">
        <v>4954</v>
      </c>
      <c r="B10928" s="2" t="s">
        <v>4954</v>
      </c>
      <c r="C10928" s="2" t="s">
        <v>6051</v>
      </c>
      <c r="D10928" s="3" t="str">
        <f t="shared" si="2396"/>
        <v>12Go Link</v>
      </c>
      <c r="E10928" s="2" t="s">
        <v>3409</v>
      </c>
    </row>
    <row r="10929">
      <c r="A10929" s="2" t="s">
        <v>4954</v>
      </c>
      <c r="B10929" s="2" t="s">
        <v>4954</v>
      </c>
      <c r="C10929" s="2" t="s">
        <v>6051</v>
      </c>
      <c r="D10929" s="3" t="str">
        <f t="shared" si="2396"/>
        <v>12Go Link</v>
      </c>
      <c r="E10929" s="2" t="s">
        <v>5080</v>
      </c>
    </row>
    <row r="10930">
      <c r="A10930" s="2" t="s">
        <v>4954</v>
      </c>
      <c r="B10930" s="2" t="s">
        <v>4954</v>
      </c>
      <c r="C10930" s="2" t="s">
        <v>6052</v>
      </c>
      <c r="D10930" s="3" t="str">
        <f t="shared" ref="D10930:D10933" si="2397">HYPERLINK("https://12go.asia/en/travel/Talpe/Galle", "12Go Link")</f>
        <v>12Go Link</v>
      </c>
      <c r="E10930" s="2" t="s">
        <v>286</v>
      </c>
    </row>
    <row r="10931">
      <c r="A10931" s="2" t="s">
        <v>4954</v>
      </c>
      <c r="B10931" s="2" t="s">
        <v>4954</v>
      </c>
      <c r="C10931" s="2" t="s">
        <v>6052</v>
      </c>
      <c r="D10931" s="3" t="str">
        <f t="shared" si="2397"/>
        <v>12Go Link</v>
      </c>
      <c r="E10931" s="2" t="s">
        <v>4139</v>
      </c>
    </row>
    <row r="10932">
      <c r="A10932" s="2" t="s">
        <v>4954</v>
      </c>
      <c r="B10932" s="2" t="s">
        <v>4954</v>
      </c>
      <c r="C10932" s="2" t="s">
        <v>6052</v>
      </c>
      <c r="D10932" s="3" t="str">
        <f t="shared" si="2397"/>
        <v>12Go Link</v>
      </c>
      <c r="E10932" s="2" t="s">
        <v>3409</v>
      </c>
    </row>
    <row r="10933">
      <c r="A10933" s="2" t="s">
        <v>4954</v>
      </c>
      <c r="B10933" s="2" t="s">
        <v>4954</v>
      </c>
      <c r="C10933" s="2" t="s">
        <v>6052</v>
      </c>
      <c r="D10933" s="3" t="str">
        <f t="shared" si="2397"/>
        <v>12Go Link</v>
      </c>
      <c r="E10933" s="2" t="s">
        <v>5206</v>
      </c>
    </row>
    <row r="10934">
      <c r="A10934" s="2" t="s">
        <v>4954</v>
      </c>
      <c r="B10934" s="2" t="s">
        <v>4957</v>
      </c>
      <c r="C10934" s="2" t="s">
        <v>6053</v>
      </c>
      <c r="D10934" s="3" t="str">
        <f t="shared" ref="D10934:D10936" si="2398">HYPERLINK("https://12go.asia/en/travel/Talpe/Habarana", "12Go Link")</f>
        <v>12Go Link</v>
      </c>
      <c r="E10934" s="2" t="s">
        <v>286</v>
      </c>
    </row>
    <row r="10935">
      <c r="A10935" s="2" t="s">
        <v>4954</v>
      </c>
      <c r="B10935" s="2" t="s">
        <v>4957</v>
      </c>
      <c r="C10935" s="2" t="s">
        <v>6053</v>
      </c>
      <c r="D10935" s="3" t="str">
        <f t="shared" si="2398"/>
        <v>12Go Link</v>
      </c>
      <c r="E10935" s="2" t="s">
        <v>4139</v>
      </c>
    </row>
    <row r="10936">
      <c r="A10936" s="2" t="s">
        <v>4954</v>
      </c>
      <c r="B10936" s="2" t="s">
        <v>4957</v>
      </c>
      <c r="C10936" s="2" t="s">
        <v>6053</v>
      </c>
      <c r="D10936" s="3" t="str">
        <f t="shared" si="2398"/>
        <v>12Go Link</v>
      </c>
      <c r="E10936" s="2" t="s">
        <v>3409</v>
      </c>
    </row>
    <row r="10937">
      <c r="A10937" s="2" t="s">
        <v>4954</v>
      </c>
      <c r="B10937" s="2" t="s">
        <v>4959</v>
      </c>
      <c r="C10937" s="2" t="s">
        <v>6054</v>
      </c>
      <c r="D10937" s="3" t="str">
        <f t="shared" ref="D10937:D10939" si="2399">HYPERLINK("https://12go.asia/en/travel/Galle/Ella", "12Go Link")</f>
        <v>12Go Link</v>
      </c>
      <c r="E10937" s="2" t="s">
        <v>286</v>
      </c>
    </row>
    <row r="10938">
      <c r="A10938" s="2" t="s">
        <v>4954</v>
      </c>
      <c r="B10938" s="2" t="s">
        <v>4959</v>
      </c>
      <c r="C10938" s="2" t="s">
        <v>6054</v>
      </c>
      <c r="D10938" s="3" t="str">
        <f t="shared" si="2399"/>
        <v>12Go Link</v>
      </c>
      <c r="E10938" s="2" t="s">
        <v>4139</v>
      </c>
    </row>
    <row r="10939">
      <c r="A10939" s="2" t="s">
        <v>4954</v>
      </c>
      <c r="B10939" s="2" t="s">
        <v>4959</v>
      </c>
      <c r="C10939" s="2" t="s">
        <v>6054</v>
      </c>
      <c r="D10939" s="3" t="str">
        <f t="shared" si="2399"/>
        <v>12Go Link</v>
      </c>
      <c r="E10939" s="2" t="s">
        <v>3409</v>
      </c>
    </row>
    <row r="10940">
      <c r="A10940" s="2" t="s">
        <v>4954</v>
      </c>
      <c r="B10940" s="2" t="s">
        <v>4959</v>
      </c>
      <c r="C10940" s="2" t="s">
        <v>6055</v>
      </c>
      <c r="D10940" s="3" t="str">
        <f t="shared" ref="D10940:D10942" si="2400">HYPERLINK("https://12go.asia/en/travel/Talpe/Ella", "12Go Link")</f>
        <v>12Go Link</v>
      </c>
      <c r="E10940" s="2" t="s">
        <v>286</v>
      </c>
    </row>
    <row r="10941">
      <c r="A10941" s="2" t="s">
        <v>4954</v>
      </c>
      <c r="B10941" s="2" t="s">
        <v>4959</v>
      </c>
      <c r="C10941" s="2" t="s">
        <v>6055</v>
      </c>
      <c r="D10941" s="3" t="str">
        <f t="shared" si="2400"/>
        <v>12Go Link</v>
      </c>
      <c r="E10941" s="2" t="s">
        <v>4139</v>
      </c>
    </row>
    <row r="10942">
      <c r="A10942" s="2" t="s">
        <v>4954</v>
      </c>
      <c r="B10942" s="2" t="s">
        <v>4959</v>
      </c>
      <c r="C10942" s="2" t="s">
        <v>6055</v>
      </c>
      <c r="D10942" s="3" t="str">
        <f t="shared" si="2400"/>
        <v>12Go Link</v>
      </c>
      <c r="E10942" s="2" t="s">
        <v>3409</v>
      </c>
    </row>
    <row r="10943">
      <c r="A10943" s="2" t="s">
        <v>4954</v>
      </c>
      <c r="B10943" s="2" t="s">
        <v>4961</v>
      </c>
      <c r="C10943" s="2" t="s">
        <v>6056</v>
      </c>
      <c r="D10943" s="3" t="str">
        <f t="shared" ref="D10943:D10945" si="2401">HYPERLINK("https://12go.asia/en/travel/Galle/Beragala", "12Go Link")</f>
        <v>12Go Link</v>
      </c>
      <c r="E10943" s="2" t="s">
        <v>286</v>
      </c>
    </row>
    <row r="10944">
      <c r="A10944" s="2" t="s">
        <v>4954</v>
      </c>
      <c r="B10944" s="2" t="s">
        <v>4961</v>
      </c>
      <c r="C10944" s="2" t="s">
        <v>6056</v>
      </c>
      <c r="D10944" s="3" t="str">
        <f t="shared" si="2401"/>
        <v>12Go Link</v>
      </c>
      <c r="E10944" s="2" t="s">
        <v>4139</v>
      </c>
    </row>
    <row r="10945">
      <c r="A10945" s="2" t="s">
        <v>4954</v>
      </c>
      <c r="B10945" s="2" t="s">
        <v>4961</v>
      </c>
      <c r="C10945" s="2" t="s">
        <v>6056</v>
      </c>
      <c r="D10945" s="3" t="str">
        <f t="shared" si="2401"/>
        <v>12Go Link</v>
      </c>
      <c r="E10945" s="2" t="s">
        <v>3409</v>
      </c>
    </row>
    <row r="10946">
      <c r="A10946" s="2" t="s">
        <v>4954</v>
      </c>
      <c r="B10946" s="2" t="s">
        <v>4961</v>
      </c>
      <c r="C10946" s="2" t="s">
        <v>6057</v>
      </c>
      <c r="D10946" s="3" t="str">
        <f t="shared" ref="D10946:D10948" si="2402">HYPERLINK("https://12go.asia/en/travel/Talpe/Beragala", "12Go Link")</f>
        <v>12Go Link</v>
      </c>
      <c r="E10946" s="2" t="s">
        <v>286</v>
      </c>
    </row>
    <row r="10947">
      <c r="A10947" s="2" t="s">
        <v>4954</v>
      </c>
      <c r="B10947" s="2" t="s">
        <v>4961</v>
      </c>
      <c r="C10947" s="2" t="s">
        <v>6057</v>
      </c>
      <c r="D10947" s="3" t="str">
        <f t="shared" si="2402"/>
        <v>12Go Link</v>
      </c>
      <c r="E10947" s="2" t="s">
        <v>4139</v>
      </c>
    </row>
    <row r="10948">
      <c r="A10948" s="2" t="s">
        <v>4954</v>
      </c>
      <c r="B10948" s="2" t="s">
        <v>4961</v>
      </c>
      <c r="C10948" s="2" t="s">
        <v>6057</v>
      </c>
      <c r="D10948" s="3" t="str">
        <f t="shared" si="2402"/>
        <v>12Go Link</v>
      </c>
      <c r="E10948" s="2" t="s">
        <v>3409</v>
      </c>
    </row>
    <row r="10949">
      <c r="A10949" s="2" t="s">
        <v>4954</v>
      </c>
      <c r="B10949" s="2" t="s">
        <v>4963</v>
      </c>
      <c r="C10949" s="2" t="s">
        <v>6058</v>
      </c>
      <c r="D10949" s="3" t="str">
        <f t="shared" ref="D10949:D10951" si="2403">HYPERLINK("https://12go.asia/en/travel/Galle/Dick-oya", "12Go Link")</f>
        <v>12Go Link</v>
      </c>
      <c r="E10949" s="2" t="s">
        <v>286</v>
      </c>
    </row>
    <row r="10950">
      <c r="A10950" s="2" t="s">
        <v>4954</v>
      </c>
      <c r="B10950" s="2" t="s">
        <v>4963</v>
      </c>
      <c r="C10950" s="2" t="s">
        <v>6058</v>
      </c>
      <c r="D10950" s="3" t="str">
        <f t="shared" si="2403"/>
        <v>12Go Link</v>
      </c>
      <c r="E10950" s="2" t="s">
        <v>4139</v>
      </c>
    </row>
    <row r="10951">
      <c r="A10951" s="2" t="s">
        <v>4954</v>
      </c>
      <c r="B10951" s="2" t="s">
        <v>4963</v>
      </c>
      <c r="C10951" s="2" t="s">
        <v>6058</v>
      </c>
      <c r="D10951" s="3" t="str">
        <f t="shared" si="2403"/>
        <v>12Go Link</v>
      </c>
      <c r="E10951" s="2" t="s">
        <v>3409</v>
      </c>
    </row>
    <row r="10952">
      <c r="A10952" s="2" t="s">
        <v>4954</v>
      </c>
      <c r="B10952" s="2" t="s">
        <v>4963</v>
      </c>
      <c r="C10952" s="2" t="s">
        <v>6059</v>
      </c>
      <c r="D10952" s="3" t="str">
        <f t="shared" ref="D10952:D10954" si="2404">HYPERLINK("https://12go.asia/en/travel/Talpe/Dick-oya", "12Go Link")</f>
        <v>12Go Link</v>
      </c>
      <c r="E10952" s="2" t="s">
        <v>286</v>
      </c>
    </row>
    <row r="10953">
      <c r="A10953" s="2" t="s">
        <v>4954</v>
      </c>
      <c r="B10953" s="2" t="s">
        <v>4963</v>
      </c>
      <c r="C10953" s="2" t="s">
        <v>6059</v>
      </c>
      <c r="D10953" s="3" t="str">
        <f t="shared" si="2404"/>
        <v>12Go Link</v>
      </c>
      <c r="E10953" s="2" t="s">
        <v>4139</v>
      </c>
    </row>
    <row r="10954">
      <c r="A10954" s="2" t="s">
        <v>4954</v>
      </c>
      <c r="B10954" s="2" t="s">
        <v>4963</v>
      </c>
      <c r="C10954" s="2" t="s">
        <v>6059</v>
      </c>
      <c r="D10954" s="3" t="str">
        <f t="shared" si="2404"/>
        <v>12Go Link</v>
      </c>
      <c r="E10954" s="2" t="s">
        <v>3409</v>
      </c>
    </row>
    <row r="10955">
      <c r="A10955" s="2" t="s">
        <v>4954</v>
      </c>
      <c r="B10955" s="2" t="s">
        <v>4965</v>
      </c>
      <c r="C10955" s="2" t="s">
        <v>6060</v>
      </c>
      <c r="D10955" s="3" t="str">
        <f>HYPERLINK("https://12go.asia/en/travel/Galle/Hikkaduwa", "12Go Link")</f>
        <v>12Go Link</v>
      </c>
      <c r="E10955" s="2" t="s">
        <v>5206</v>
      </c>
    </row>
    <row r="10956">
      <c r="A10956" s="2" t="s">
        <v>4954</v>
      </c>
      <c r="B10956" s="2" t="s">
        <v>4965</v>
      </c>
      <c r="C10956" s="2" t="s">
        <v>6061</v>
      </c>
      <c r="D10956" s="3" t="str">
        <f t="shared" ref="D10956:D10958" si="2405">HYPERLINK("https://12go.asia/en/travel/Talpe/Dodanduwa", "12Go Link")</f>
        <v>12Go Link</v>
      </c>
      <c r="E10956" s="2" t="s">
        <v>286</v>
      </c>
    </row>
    <row r="10957">
      <c r="A10957" s="2" t="s">
        <v>4954</v>
      </c>
      <c r="B10957" s="2" t="s">
        <v>4965</v>
      </c>
      <c r="C10957" s="2" t="s">
        <v>6061</v>
      </c>
      <c r="D10957" s="3" t="str">
        <f t="shared" si="2405"/>
        <v>12Go Link</v>
      </c>
      <c r="E10957" s="2" t="s">
        <v>4139</v>
      </c>
    </row>
    <row r="10958">
      <c r="A10958" s="2" t="s">
        <v>4954</v>
      </c>
      <c r="B10958" s="2" t="s">
        <v>4965</v>
      </c>
      <c r="C10958" s="2" t="s">
        <v>6061</v>
      </c>
      <c r="D10958" s="3" t="str">
        <f t="shared" si="2405"/>
        <v>12Go Link</v>
      </c>
      <c r="E10958" s="2" t="s">
        <v>3409</v>
      </c>
    </row>
    <row r="10959">
      <c r="A10959" s="2" t="s">
        <v>4954</v>
      </c>
      <c r="B10959" s="2" t="s">
        <v>4967</v>
      </c>
      <c r="C10959" s="2" t="s">
        <v>6062</v>
      </c>
      <c r="D10959" s="3" t="str">
        <f t="shared" ref="D10959:D10961" si="2406">HYPERLINK("https://12go.asia/en/travel/Galle/Induruwa", "12Go Link")</f>
        <v>12Go Link</v>
      </c>
      <c r="E10959" s="2" t="s">
        <v>286</v>
      </c>
    </row>
    <row r="10960">
      <c r="A10960" s="2" t="s">
        <v>4954</v>
      </c>
      <c r="B10960" s="2" t="s">
        <v>4967</v>
      </c>
      <c r="C10960" s="2" t="s">
        <v>6062</v>
      </c>
      <c r="D10960" s="3" t="str">
        <f t="shared" si="2406"/>
        <v>12Go Link</v>
      </c>
      <c r="E10960" s="2" t="s">
        <v>4139</v>
      </c>
    </row>
    <row r="10961">
      <c r="A10961" s="2" t="s">
        <v>4954</v>
      </c>
      <c r="B10961" s="2" t="s">
        <v>4967</v>
      </c>
      <c r="C10961" s="2" t="s">
        <v>6062</v>
      </c>
      <c r="D10961" s="3" t="str">
        <f t="shared" si="2406"/>
        <v>12Go Link</v>
      </c>
      <c r="E10961" s="2" t="s">
        <v>3409</v>
      </c>
    </row>
    <row r="10962">
      <c r="A10962" s="2" t="s">
        <v>4954</v>
      </c>
      <c r="B10962" s="2" t="s">
        <v>4967</v>
      </c>
      <c r="C10962" s="2" t="s">
        <v>6063</v>
      </c>
      <c r="D10962" s="3" t="str">
        <f t="shared" ref="D10962:D10964" si="2407">HYPERLINK("https://12go.asia/en/travel/Talpe/Induruwa", "12Go Link")</f>
        <v>12Go Link</v>
      </c>
      <c r="E10962" s="2" t="s">
        <v>286</v>
      </c>
    </row>
    <row r="10963">
      <c r="A10963" s="2" t="s">
        <v>4954</v>
      </c>
      <c r="B10963" s="2" t="s">
        <v>4967</v>
      </c>
      <c r="C10963" s="2" t="s">
        <v>6063</v>
      </c>
      <c r="D10963" s="3" t="str">
        <f t="shared" si="2407"/>
        <v>12Go Link</v>
      </c>
      <c r="E10963" s="2" t="s">
        <v>4139</v>
      </c>
    </row>
    <row r="10964">
      <c r="A10964" s="2" t="s">
        <v>4954</v>
      </c>
      <c r="B10964" s="2" t="s">
        <v>4967</v>
      </c>
      <c r="C10964" s="2" t="s">
        <v>6063</v>
      </c>
      <c r="D10964" s="3" t="str">
        <f t="shared" si="2407"/>
        <v>12Go Link</v>
      </c>
      <c r="E10964" s="2" t="s">
        <v>3409</v>
      </c>
    </row>
    <row r="10965">
      <c r="A10965" s="2" t="s">
        <v>4954</v>
      </c>
      <c r="B10965" s="2" t="s">
        <v>4969</v>
      </c>
      <c r="C10965" s="2" t="s">
        <v>6064</v>
      </c>
      <c r="D10965" s="3" t="str">
        <f t="shared" ref="D10965:D10967" si="2408">HYPERLINK("https://12go.asia/en/travel/Galle/Jaffna", "12Go Link")</f>
        <v>12Go Link</v>
      </c>
      <c r="E10965" s="2" t="s">
        <v>286</v>
      </c>
    </row>
    <row r="10966">
      <c r="A10966" s="2" t="s">
        <v>4954</v>
      </c>
      <c r="B10966" s="2" t="s">
        <v>4969</v>
      </c>
      <c r="C10966" s="2" t="s">
        <v>6064</v>
      </c>
      <c r="D10966" s="3" t="str">
        <f t="shared" si="2408"/>
        <v>12Go Link</v>
      </c>
      <c r="E10966" s="2" t="s">
        <v>4139</v>
      </c>
    </row>
    <row r="10967">
      <c r="A10967" s="2" t="s">
        <v>4954</v>
      </c>
      <c r="B10967" s="2" t="s">
        <v>4969</v>
      </c>
      <c r="C10967" s="2" t="s">
        <v>6064</v>
      </c>
      <c r="D10967" s="3" t="str">
        <f t="shared" si="2408"/>
        <v>12Go Link</v>
      </c>
      <c r="E10967" s="2" t="s">
        <v>3409</v>
      </c>
    </row>
    <row r="10968">
      <c r="A10968" s="2" t="s">
        <v>4954</v>
      </c>
      <c r="B10968" s="2" t="s">
        <v>4969</v>
      </c>
      <c r="C10968" s="2" t="s">
        <v>6065</v>
      </c>
      <c r="D10968" s="3" t="str">
        <f t="shared" ref="D10968:D10970" si="2409">HYPERLINK("https://12go.asia/en/travel/Talpe/Jaffna", "12Go Link")</f>
        <v>12Go Link</v>
      </c>
      <c r="E10968" s="2" t="s">
        <v>286</v>
      </c>
    </row>
    <row r="10969">
      <c r="A10969" s="2" t="s">
        <v>4954</v>
      </c>
      <c r="B10969" s="2" t="s">
        <v>4969</v>
      </c>
      <c r="C10969" s="2" t="s">
        <v>6065</v>
      </c>
      <c r="D10969" s="3" t="str">
        <f t="shared" si="2409"/>
        <v>12Go Link</v>
      </c>
      <c r="E10969" s="2" t="s">
        <v>4139</v>
      </c>
    </row>
    <row r="10970">
      <c r="A10970" s="2" t="s">
        <v>4954</v>
      </c>
      <c r="B10970" s="2" t="s">
        <v>4969</v>
      </c>
      <c r="C10970" s="2" t="s">
        <v>6065</v>
      </c>
      <c r="D10970" s="3" t="str">
        <f t="shared" si="2409"/>
        <v>12Go Link</v>
      </c>
      <c r="E10970" s="2" t="s">
        <v>3409</v>
      </c>
    </row>
    <row r="10971">
      <c r="A10971" s="2" t="s">
        <v>4954</v>
      </c>
      <c r="B10971" s="2" t="s">
        <v>4971</v>
      </c>
      <c r="C10971" s="2" t="s">
        <v>6066</v>
      </c>
      <c r="D10971" s="3" t="str">
        <f t="shared" ref="D10971:D10973" si="2410">HYPERLINK("https://12go.asia/en/travel/Galle/Kalapuwa", "12Go Link")</f>
        <v>12Go Link</v>
      </c>
      <c r="E10971" s="2" t="s">
        <v>286</v>
      </c>
    </row>
    <row r="10972">
      <c r="A10972" s="2" t="s">
        <v>4954</v>
      </c>
      <c r="B10972" s="2" t="s">
        <v>4971</v>
      </c>
      <c r="C10972" s="2" t="s">
        <v>6066</v>
      </c>
      <c r="D10972" s="3" t="str">
        <f t="shared" si="2410"/>
        <v>12Go Link</v>
      </c>
      <c r="E10972" s="2" t="s">
        <v>4139</v>
      </c>
    </row>
    <row r="10973">
      <c r="A10973" s="2" t="s">
        <v>4954</v>
      </c>
      <c r="B10973" s="2" t="s">
        <v>4971</v>
      </c>
      <c r="C10973" s="2" t="s">
        <v>6066</v>
      </c>
      <c r="D10973" s="3" t="str">
        <f t="shared" si="2410"/>
        <v>12Go Link</v>
      </c>
      <c r="E10973" s="2" t="s">
        <v>3409</v>
      </c>
    </row>
    <row r="10974">
      <c r="A10974" s="2" t="s">
        <v>4954</v>
      </c>
      <c r="B10974" s="2" t="s">
        <v>4971</v>
      </c>
      <c r="C10974" s="2" t="s">
        <v>6067</v>
      </c>
      <c r="D10974" s="3" t="str">
        <f>HYPERLINK("https://12go.asia/en/travel/Galle/Kalutara-South", "12Go Link")</f>
        <v>12Go Link</v>
      </c>
      <c r="E10974" s="2" t="s">
        <v>5206</v>
      </c>
    </row>
    <row r="10975">
      <c r="A10975" s="2" t="s">
        <v>4954</v>
      </c>
      <c r="B10975" s="2" t="s">
        <v>4971</v>
      </c>
      <c r="C10975" s="2" t="s">
        <v>6068</v>
      </c>
      <c r="D10975" s="3" t="str">
        <f t="shared" ref="D10975:D10977" si="2411">HYPERLINK("https://12go.asia/en/travel/Talpe/Kalapuwa", "12Go Link")</f>
        <v>12Go Link</v>
      </c>
      <c r="E10975" s="2" t="s">
        <v>286</v>
      </c>
    </row>
    <row r="10976">
      <c r="A10976" s="2" t="s">
        <v>4954</v>
      </c>
      <c r="B10976" s="2" t="s">
        <v>4971</v>
      </c>
      <c r="C10976" s="2" t="s">
        <v>6068</v>
      </c>
      <c r="D10976" s="3" t="str">
        <f t="shared" si="2411"/>
        <v>12Go Link</v>
      </c>
      <c r="E10976" s="2" t="s">
        <v>4139</v>
      </c>
    </row>
    <row r="10977">
      <c r="A10977" s="2" t="s">
        <v>4954</v>
      </c>
      <c r="B10977" s="2" t="s">
        <v>4971</v>
      </c>
      <c r="C10977" s="2" t="s">
        <v>6068</v>
      </c>
      <c r="D10977" s="3" t="str">
        <f t="shared" si="2411"/>
        <v>12Go Link</v>
      </c>
      <c r="E10977" s="2" t="s">
        <v>3409</v>
      </c>
    </row>
    <row r="10978">
      <c r="A10978" s="2" t="s">
        <v>4954</v>
      </c>
      <c r="B10978" s="2" t="s">
        <v>4973</v>
      </c>
      <c r="C10978" s="2" t="s">
        <v>6069</v>
      </c>
      <c r="D10978" s="3" t="str">
        <f t="shared" ref="D10978:D10980" si="2412">HYPERLINK("https://12go.asia/en/travel/Galle/Digana", "12Go Link")</f>
        <v>12Go Link</v>
      </c>
      <c r="E10978" s="2" t="s">
        <v>286</v>
      </c>
    </row>
    <row r="10979">
      <c r="A10979" s="2" t="s">
        <v>4954</v>
      </c>
      <c r="B10979" s="2" t="s">
        <v>4973</v>
      </c>
      <c r="C10979" s="2" t="s">
        <v>6069</v>
      </c>
      <c r="D10979" s="3" t="str">
        <f t="shared" si="2412"/>
        <v>12Go Link</v>
      </c>
      <c r="E10979" s="2" t="s">
        <v>4139</v>
      </c>
    </row>
    <row r="10980">
      <c r="A10980" s="2" t="s">
        <v>4954</v>
      </c>
      <c r="B10980" s="2" t="s">
        <v>4973</v>
      </c>
      <c r="C10980" s="2" t="s">
        <v>6069</v>
      </c>
      <c r="D10980" s="3" t="str">
        <f t="shared" si="2412"/>
        <v>12Go Link</v>
      </c>
      <c r="E10980" s="2" t="s">
        <v>3409</v>
      </c>
    </row>
    <row r="10981">
      <c r="A10981" s="2" t="s">
        <v>4954</v>
      </c>
      <c r="B10981" s="2" t="s">
        <v>4973</v>
      </c>
      <c r="C10981" s="2" t="s">
        <v>6070</v>
      </c>
      <c r="D10981" s="3" t="str">
        <f t="shared" ref="D10981:D10983" si="2413">HYPERLINK("https://12go.asia/en/travel/Talpe/Ampitiya", "12Go Link")</f>
        <v>12Go Link</v>
      </c>
      <c r="E10981" s="2" t="s">
        <v>286</v>
      </c>
    </row>
    <row r="10982">
      <c r="A10982" s="2" t="s">
        <v>4954</v>
      </c>
      <c r="B10982" s="2" t="s">
        <v>4973</v>
      </c>
      <c r="C10982" s="2" t="s">
        <v>6070</v>
      </c>
      <c r="D10982" s="3" t="str">
        <f t="shared" si="2413"/>
        <v>12Go Link</v>
      </c>
      <c r="E10982" s="2" t="s">
        <v>4139</v>
      </c>
    </row>
    <row r="10983">
      <c r="A10983" s="2" t="s">
        <v>4954</v>
      </c>
      <c r="B10983" s="2" t="s">
        <v>4973</v>
      </c>
      <c r="C10983" s="2" t="s">
        <v>6070</v>
      </c>
      <c r="D10983" s="3" t="str">
        <f t="shared" si="2413"/>
        <v>12Go Link</v>
      </c>
      <c r="E10983" s="2" t="s">
        <v>3409</v>
      </c>
    </row>
    <row r="10984">
      <c r="A10984" s="2" t="s">
        <v>4954</v>
      </c>
      <c r="B10984" s="2" t="s">
        <v>4973</v>
      </c>
      <c r="C10984" s="2" t="s">
        <v>6071</v>
      </c>
      <c r="D10984" s="3" t="str">
        <f t="shared" ref="D10984:D10986" si="2414">HYPERLINK("https://12go.asia/en/travel/Talpe/Digana", "12Go Link")</f>
        <v>12Go Link</v>
      </c>
      <c r="E10984" s="2" t="s">
        <v>286</v>
      </c>
    </row>
    <row r="10985">
      <c r="A10985" s="2" t="s">
        <v>4954</v>
      </c>
      <c r="B10985" s="2" t="s">
        <v>4973</v>
      </c>
      <c r="C10985" s="2" t="s">
        <v>6071</v>
      </c>
      <c r="D10985" s="3" t="str">
        <f t="shared" si="2414"/>
        <v>12Go Link</v>
      </c>
      <c r="E10985" s="2" t="s">
        <v>4139</v>
      </c>
    </row>
    <row r="10986">
      <c r="A10986" s="2" t="s">
        <v>4954</v>
      </c>
      <c r="B10986" s="2" t="s">
        <v>4973</v>
      </c>
      <c r="C10986" s="2" t="s">
        <v>6071</v>
      </c>
      <c r="D10986" s="3" t="str">
        <f t="shared" si="2414"/>
        <v>12Go Link</v>
      </c>
      <c r="E10986" s="2" t="s">
        <v>3409</v>
      </c>
    </row>
    <row r="10987">
      <c r="A10987" s="2" t="s">
        <v>4954</v>
      </c>
      <c r="B10987" s="2" t="s">
        <v>4976</v>
      </c>
      <c r="C10987" s="2" t="s">
        <v>6072</v>
      </c>
      <c r="D10987" s="3" t="str">
        <f t="shared" ref="D10987:D10989" si="2415">HYPERLINK("https://12go.asia/en/travel/Talpe/Kataragama", "12Go Link")</f>
        <v>12Go Link</v>
      </c>
      <c r="E10987" s="2" t="s">
        <v>286</v>
      </c>
    </row>
    <row r="10988">
      <c r="A10988" s="2" t="s">
        <v>4954</v>
      </c>
      <c r="B10988" s="2" t="s">
        <v>4976</v>
      </c>
      <c r="C10988" s="2" t="s">
        <v>6072</v>
      </c>
      <c r="D10988" s="3" t="str">
        <f t="shared" si="2415"/>
        <v>12Go Link</v>
      </c>
      <c r="E10988" s="2" t="s">
        <v>4139</v>
      </c>
    </row>
    <row r="10989">
      <c r="A10989" s="2" t="s">
        <v>4954</v>
      </c>
      <c r="B10989" s="2" t="s">
        <v>4976</v>
      </c>
      <c r="C10989" s="2" t="s">
        <v>6072</v>
      </c>
      <c r="D10989" s="3" t="str">
        <f t="shared" si="2415"/>
        <v>12Go Link</v>
      </c>
      <c r="E10989" s="2" t="s">
        <v>3409</v>
      </c>
    </row>
    <row r="10990">
      <c r="A10990" s="2" t="s">
        <v>4954</v>
      </c>
      <c r="B10990" s="2" t="s">
        <v>4978</v>
      </c>
      <c r="C10990" s="2" t="s">
        <v>6073</v>
      </c>
      <c r="D10990" s="3" t="str">
        <f t="shared" ref="D10990:D10992" si="2416">HYPERLINK("https://12go.asia/en/travel/Galle/Alawathupitiya", "12Go Link")</f>
        <v>12Go Link</v>
      </c>
      <c r="E10990" s="2" t="s">
        <v>286</v>
      </c>
    </row>
    <row r="10991">
      <c r="A10991" s="2" t="s">
        <v>4954</v>
      </c>
      <c r="B10991" s="2" t="s">
        <v>4978</v>
      </c>
      <c r="C10991" s="2" t="s">
        <v>6073</v>
      </c>
      <c r="D10991" s="3" t="str">
        <f t="shared" si="2416"/>
        <v>12Go Link</v>
      </c>
      <c r="E10991" s="2" t="s">
        <v>4139</v>
      </c>
    </row>
    <row r="10992">
      <c r="A10992" s="2" t="s">
        <v>4954</v>
      </c>
      <c r="B10992" s="2" t="s">
        <v>4978</v>
      </c>
      <c r="C10992" s="2" t="s">
        <v>6073</v>
      </c>
      <c r="D10992" s="3" t="str">
        <f t="shared" si="2416"/>
        <v>12Go Link</v>
      </c>
      <c r="E10992" s="2" t="s">
        <v>3409</v>
      </c>
    </row>
    <row r="10993">
      <c r="A10993" s="2" t="s">
        <v>4954</v>
      </c>
      <c r="B10993" s="2" t="s">
        <v>4978</v>
      </c>
      <c r="C10993" s="2" t="s">
        <v>6074</v>
      </c>
      <c r="D10993" s="3" t="str">
        <f t="shared" ref="D10993:D10995" si="2417">HYPERLINK("https://12go.asia/en/travel/Talpe/Alawathupitiya", "12Go Link")</f>
        <v>12Go Link</v>
      </c>
      <c r="E10993" s="2" t="s">
        <v>286</v>
      </c>
    </row>
    <row r="10994">
      <c r="A10994" s="2" t="s">
        <v>4954</v>
      </c>
      <c r="B10994" s="2" t="s">
        <v>4978</v>
      </c>
      <c r="C10994" s="2" t="s">
        <v>6074</v>
      </c>
      <c r="D10994" s="3" t="str">
        <f t="shared" si="2417"/>
        <v>12Go Link</v>
      </c>
      <c r="E10994" s="2" t="s">
        <v>4139</v>
      </c>
    </row>
    <row r="10995">
      <c r="A10995" s="2" t="s">
        <v>4954</v>
      </c>
      <c r="B10995" s="2" t="s">
        <v>4978</v>
      </c>
      <c r="C10995" s="2" t="s">
        <v>6074</v>
      </c>
      <c r="D10995" s="3" t="str">
        <f t="shared" si="2417"/>
        <v>12Go Link</v>
      </c>
      <c r="E10995" s="2" t="s">
        <v>3409</v>
      </c>
    </row>
    <row r="10996">
      <c r="A10996" s="2" t="s">
        <v>4954</v>
      </c>
      <c r="B10996" s="2" t="s">
        <v>4980</v>
      </c>
      <c r="C10996" s="2" t="s">
        <v>6075</v>
      </c>
      <c r="D10996" s="3" t="str">
        <f t="shared" ref="D10996:D10998" si="2418">HYPERLINK("https://12go.asia/en/travel/Galle/Pinnawala", "12Go Link")</f>
        <v>12Go Link</v>
      </c>
      <c r="E10996" s="2" t="s">
        <v>286</v>
      </c>
    </row>
    <row r="10997">
      <c r="A10997" s="2" t="s">
        <v>4954</v>
      </c>
      <c r="B10997" s="2" t="s">
        <v>4980</v>
      </c>
      <c r="C10997" s="2" t="s">
        <v>6075</v>
      </c>
      <c r="D10997" s="3" t="str">
        <f t="shared" si="2418"/>
        <v>12Go Link</v>
      </c>
      <c r="E10997" s="2" t="s">
        <v>4139</v>
      </c>
    </row>
    <row r="10998">
      <c r="A10998" s="2" t="s">
        <v>4954</v>
      </c>
      <c r="B10998" s="2" t="s">
        <v>4980</v>
      </c>
      <c r="C10998" s="2" t="s">
        <v>6075</v>
      </c>
      <c r="D10998" s="3" t="str">
        <f t="shared" si="2418"/>
        <v>12Go Link</v>
      </c>
      <c r="E10998" s="2" t="s">
        <v>3409</v>
      </c>
    </row>
    <row r="10999">
      <c r="A10999" s="2" t="s">
        <v>4954</v>
      </c>
      <c r="B10999" s="2" t="s">
        <v>4980</v>
      </c>
      <c r="C10999" s="2" t="s">
        <v>6076</v>
      </c>
      <c r="D10999" s="3" t="str">
        <f t="shared" ref="D10999:D11001" si="2419">HYPERLINK("https://12go.asia/en/travel/Talpe/Pinnawala", "12Go Link")</f>
        <v>12Go Link</v>
      </c>
      <c r="E10999" s="2" t="s">
        <v>286</v>
      </c>
    </row>
    <row r="11000">
      <c r="A11000" s="2" t="s">
        <v>4954</v>
      </c>
      <c r="B11000" s="2" t="s">
        <v>4980</v>
      </c>
      <c r="C11000" s="2" t="s">
        <v>6076</v>
      </c>
      <c r="D11000" s="3" t="str">
        <f t="shared" si="2419"/>
        <v>12Go Link</v>
      </c>
      <c r="E11000" s="2" t="s">
        <v>4139</v>
      </c>
    </row>
    <row r="11001">
      <c r="A11001" s="2" t="s">
        <v>4954</v>
      </c>
      <c r="B11001" s="2" t="s">
        <v>4980</v>
      </c>
      <c r="C11001" s="2" t="s">
        <v>6076</v>
      </c>
      <c r="D11001" s="3" t="str">
        <f t="shared" si="2419"/>
        <v>12Go Link</v>
      </c>
      <c r="E11001" s="2" t="s">
        <v>3409</v>
      </c>
    </row>
    <row r="11002">
      <c r="A11002" s="2" t="s">
        <v>4954</v>
      </c>
      <c r="B11002" s="2" t="s">
        <v>4982</v>
      </c>
      <c r="C11002" s="2" t="s">
        <v>6077</v>
      </c>
      <c r="D11002" s="3" t="str">
        <f t="shared" ref="D11002:D11004" si="2420">HYPERLINK("https://12go.asia/en/travel/Galle/Kitulgala", "12Go Link")</f>
        <v>12Go Link</v>
      </c>
      <c r="E11002" s="2" t="s">
        <v>286</v>
      </c>
    </row>
    <row r="11003">
      <c r="A11003" s="2" t="s">
        <v>4954</v>
      </c>
      <c r="B11003" s="2" t="s">
        <v>4982</v>
      </c>
      <c r="C11003" s="2" t="s">
        <v>6077</v>
      </c>
      <c r="D11003" s="3" t="str">
        <f t="shared" si="2420"/>
        <v>12Go Link</v>
      </c>
      <c r="E11003" s="2" t="s">
        <v>4139</v>
      </c>
    </row>
    <row r="11004">
      <c r="A11004" s="2" t="s">
        <v>4954</v>
      </c>
      <c r="B11004" s="2" t="s">
        <v>4982</v>
      </c>
      <c r="C11004" s="2" t="s">
        <v>6077</v>
      </c>
      <c r="D11004" s="3" t="str">
        <f t="shared" si="2420"/>
        <v>12Go Link</v>
      </c>
      <c r="E11004" s="2" t="s">
        <v>3409</v>
      </c>
    </row>
    <row r="11005">
      <c r="A11005" s="2" t="s">
        <v>4954</v>
      </c>
      <c r="B11005" s="2" t="s">
        <v>4982</v>
      </c>
      <c r="C11005" s="2" t="s">
        <v>6078</v>
      </c>
      <c r="D11005" s="3" t="str">
        <f t="shared" ref="D11005:D11007" si="2421">HYPERLINK("https://12go.asia/en/travel/Talpe/Kitulgala", "12Go Link")</f>
        <v>12Go Link</v>
      </c>
      <c r="E11005" s="2" t="s">
        <v>286</v>
      </c>
    </row>
    <row r="11006">
      <c r="A11006" s="2" t="s">
        <v>4954</v>
      </c>
      <c r="B11006" s="2" t="s">
        <v>4982</v>
      </c>
      <c r="C11006" s="2" t="s">
        <v>6078</v>
      </c>
      <c r="D11006" s="3" t="str">
        <f t="shared" si="2421"/>
        <v>12Go Link</v>
      </c>
      <c r="E11006" s="2" t="s">
        <v>4139</v>
      </c>
    </row>
    <row r="11007">
      <c r="A11007" s="2" t="s">
        <v>4954</v>
      </c>
      <c r="B11007" s="2" t="s">
        <v>4982</v>
      </c>
      <c r="C11007" s="2" t="s">
        <v>6078</v>
      </c>
      <c r="D11007" s="3" t="str">
        <f t="shared" si="2421"/>
        <v>12Go Link</v>
      </c>
      <c r="E11007" s="2" t="s">
        <v>3409</v>
      </c>
    </row>
    <row r="11008">
      <c r="A11008" s="2" t="s">
        <v>4954</v>
      </c>
      <c r="B11008" s="2" t="s">
        <v>4984</v>
      </c>
      <c r="C11008" s="2" t="s">
        <v>6079</v>
      </c>
      <c r="D11008" s="3" t="str">
        <f t="shared" ref="D11008:D11010" si="2422">HYPERLINK("https://12go.asia/en/travel/Galle/Habaraduwa", "12Go Link")</f>
        <v>12Go Link</v>
      </c>
      <c r="E11008" s="2" t="s">
        <v>286</v>
      </c>
    </row>
    <row r="11009">
      <c r="A11009" s="2" t="s">
        <v>4954</v>
      </c>
      <c r="B11009" s="2" t="s">
        <v>4984</v>
      </c>
      <c r="C11009" s="2" t="s">
        <v>6079</v>
      </c>
      <c r="D11009" s="3" t="str">
        <f t="shared" si="2422"/>
        <v>12Go Link</v>
      </c>
      <c r="E11009" s="2" t="s">
        <v>4139</v>
      </c>
    </row>
    <row r="11010">
      <c r="A11010" s="2" t="s">
        <v>4954</v>
      </c>
      <c r="B11010" s="2" t="s">
        <v>4984</v>
      </c>
      <c r="C11010" s="2" t="s">
        <v>6079</v>
      </c>
      <c r="D11010" s="3" t="str">
        <f t="shared" si="2422"/>
        <v>12Go Link</v>
      </c>
      <c r="E11010" s="2" t="s">
        <v>3409</v>
      </c>
    </row>
    <row r="11011">
      <c r="A11011" s="2" t="s">
        <v>4954</v>
      </c>
      <c r="B11011" s="2" t="s">
        <v>4984</v>
      </c>
      <c r="C11011" s="2" t="s">
        <v>6080</v>
      </c>
      <c r="D11011" s="3" t="str">
        <f t="shared" ref="D11011:D11012" si="2423">HYPERLINK("https://12go.asia/en/travel/Galle/Koggala", "12Go Link")</f>
        <v>12Go Link</v>
      </c>
      <c r="E11011" s="2" t="s">
        <v>5080</v>
      </c>
    </row>
    <row r="11012">
      <c r="A11012" s="2" t="s">
        <v>4954</v>
      </c>
      <c r="B11012" s="2" t="s">
        <v>4984</v>
      </c>
      <c r="C11012" s="2" t="s">
        <v>6080</v>
      </c>
      <c r="D11012" s="3" t="str">
        <f t="shared" si="2423"/>
        <v>12Go Link</v>
      </c>
      <c r="E11012" s="2" t="s">
        <v>5081</v>
      </c>
    </row>
    <row r="11013">
      <c r="A11013" s="2" t="s">
        <v>4954</v>
      </c>
      <c r="B11013" s="2" t="s">
        <v>4984</v>
      </c>
      <c r="C11013" s="2" t="s">
        <v>6081</v>
      </c>
      <c r="D11013" s="3" t="str">
        <f t="shared" ref="D11013:D11015" si="2424">HYPERLINK("https://12go.asia/en/travel/Talpe/Habaraduwa", "12Go Link")</f>
        <v>12Go Link</v>
      </c>
      <c r="E11013" s="2" t="s">
        <v>286</v>
      </c>
    </row>
    <row r="11014">
      <c r="A11014" s="2" t="s">
        <v>4954</v>
      </c>
      <c r="B11014" s="2" t="s">
        <v>4984</v>
      </c>
      <c r="C11014" s="2" t="s">
        <v>6081</v>
      </c>
      <c r="D11014" s="3" t="str">
        <f t="shared" si="2424"/>
        <v>12Go Link</v>
      </c>
      <c r="E11014" s="2" t="s">
        <v>4139</v>
      </c>
    </row>
    <row r="11015">
      <c r="A11015" s="2" t="s">
        <v>4954</v>
      </c>
      <c r="B11015" s="2" t="s">
        <v>4984</v>
      </c>
      <c r="C11015" s="2" t="s">
        <v>6081</v>
      </c>
      <c r="D11015" s="3" t="str">
        <f t="shared" si="2424"/>
        <v>12Go Link</v>
      </c>
      <c r="E11015" s="2" t="s">
        <v>3409</v>
      </c>
    </row>
    <row r="11016">
      <c r="A11016" s="2" t="s">
        <v>4954</v>
      </c>
      <c r="B11016" s="2" t="s">
        <v>4986</v>
      </c>
      <c r="C11016" s="2" t="s">
        <v>6082</v>
      </c>
      <c r="D11016" s="3" t="str">
        <f t="shared" ref="D11016:D11018" si="2425">HYPERLINK("https://12go.asia/en/travel/Galle/Kosgoda", "12Go Link")</f>
        <v>12Go Link</v>
      </c>
      <c r="E11016" s="2" t="s">
        <v>286</v>
      </c>
    </row>
    <row r="11017">
      <c r="A11017" s="2" t="s">
        <v>4954</v>
      </c>
      <c r="B11017" s="2" t="s">
        <v>4986</v>
      </c>
      <c r="C11017" s="2" t="s">
        <v>6082</v>
      </c>
      <c r="D11017" s="3" t="str">
        <f t="shared" si="2425"/>
        <v>12Go Link</v>
      </c>
      <c r="E11017" s="2" t="s">
        <v>4139</v>
      </c>
    </row>
    <row r="11018">
      <c r="A11018" s="2" t="s">
        <v>4954</v>
      </c>
      <c r="B11018" s="2" t="s">
        <v>4986</v>
      </c>
      <c r="C11018" s="2" t="s">
        <v>6082</v>
      </c>
      <c r="D11018" s="3" t="str">
        <f t="shared" si="2425"/>
        <v>12Go Link</v>
      </c>
      <c r="E11018" s="2" t="s">
        <v>3409</v>
      </c>
    </row>
    <row r="11019">
      <c r="A11019" s="2" t="s">
        <v>4954</v>
      </c>
      <c r="B11019" s="2" t="s">
        <v>4986</v>
      </c>
      <c r="C11019" s="2" t="s">
        <v>6083</v>
      </c>
      <c r="D11019" s="3" t="str">
        <f t="shared" ref="D11019:D11021" si="2426">HYPERLINK("https://12go.asia/en/travel/Talpe/Kosgoda", "12Go Link")</f>
        <v>12Go Link</v>
      </c>
      <c r="E11019" s="2" t="s">
        <v>286</v>
      </c>
    </row>
    <row r="11020">
      <c r="A11020" s="2" t="s">
        <v>4954</v>
      </c>
      <c r="B11020" s="2" t="s">
        <v>4986</v>
      </c>
      <c r="C11020" s="2" t="s">
        <v>6083</v>
      </c>
      <c r="D11020" s="3" t="str">
        <f t="shared" si="2426"/>
        <v>12Go Link</v>
      </c>
      <c r="E11020" s="2" t="s">
        <v>4139</v>
      </c>
    </row>
    <row r="11021">
      <c r="A11021" s="2" t="s">
        <v>4954</v>
      </c>
      <c r="B11021" s="2" t="s">
        <v>4986</v>
      </c>
      <c r="C11021" s="2" t="s">
        <v>6083</v>
      </c>
      <c r="D11021" s="3" t="str">
        <f t="shared" si="2426"/>
        <v>12Go Link</v>
      </c>
      <c r="E11021" s="2" t="s">
        <v>3409</v>
      </c>
    </row>
    <row r="11022">
      <c r="A11022" s="2" t="s">
        <v>4954</v>
      </c>
      <c r="B11022" s="2" t="s">
        <v>4988</v>
      </c>
      <c r="C11022" s="2" t="s">
        <v>6084</v>
      </c>
      <c r="D11022" s="3" t="str">
        <f t="shared" ref="D11022:D11024" si="2427">HYPERLINK("https://12go.asia/en/travel/Galle/Kuchchaveli", "12Go Link")</f>
        <v>12Go Link</v>
      </c>
      <c r="E11022" s="2" t="s">
        <v>286</v>
      </c>
    </row>
    <row r="11023">
      <c r="A11023" s="2" t="s">
        <v>4954</v>
      </c>
      <c r="B11023" s="2" t="s">
        <v>4988</v>
      </c>
      <c r="C11023" s="2" t="s">
        <v>6084</v>
      </c>
      <c r="D11023" s="3" t="str">
        <f t="shared" si="2427"/>
        <v>12Go Link</v>
      </c>
      <c r="E11023" s="2" t="s">
        <v>4139</v>
      </c>
    </row>
    <row r="11024">
      <c r="A11024" s="2" t="s">
        <v>4954</v>
      </c>
      <c r="B11024" s="2" t="s">
        <v>4988</v>
      </c>
      <c r="C11024" s="2" t="s">
        <v>6084</v>
      </c>
      <c r="D11024" s="3" t="str">
        <f t="shared" si="2427"/>
        <v>12Go Link</v>
      </c>
      <c r="E11024" s="2" t="s">
        <v>3409</v>
      </c>
    </row>
    <row r="11025">
      <c r="A11025" s="2" t="s">
        <v>4954</v>
      </c>
      <c r="B11025" s="2" t="s">
        <v>4988</v>
      </c>
      <c r="C11025" s="2" t="s">
        <v>6085</v>
      </c>
      <c r="D11025" s="3" t="str">
        <f t="shared" ref="D11025:D11027" si="2428">HYPERLINK("https://12go.asia/en/travel/Talpe/Kuchchaveli", "12Go Link")</f>
        <v>12Go Link</v>
      </c>
      <c r="E11025" s="2" t="s">
        <v>286</v>
      </c>
    </row>
    <row r="11026">
      <c r="A11026" s="2" t="s">
        <v>4954</v>
      </c>
      <c r="B11026" s="2" t="s">
        <v>4988</v>
      </c>
      <c r="C11026" s="2" t="s">
        <v>6085</v>
      </c>
      <c r="D11026" s="3" t="str">
        <f t="shared" si="2428"/>
        <v>12Go Link</v>
      </c>
      <c r="E11026" s="2" t="s">
        <v>4139</v>
      </c>
    </row>
    <row r="11027">
      <c r="A11027" s="2" t="s">
        <v>4954</v>
      </c>
      <c r="B11027" s="2" t="s">
        <v>4988</v>
      </c>
      <c r="C11027" s="2" t="s">
        <v>6085</v>
      </c>
      <c r="D11027" s="3" t="str">
        <f t="shared" si="2428"/>
        <v>12Go Link</v>
      </c>
      <c r="E11027" s="2" t="s">
        <v>3409</v>
      </c>
    </row>
    <row r="11028">
      <c r="A11028" s="2" t="s">
        <v>4954</v>
      </c>
      <c r="B11028" s="2" t="s">
        <v>4990</v>
      </c>
      <c r="C11028" s="2" t="s">
        <v>6086</v>
      </c>
      <c r="D11028" s="3" t="str">
        <f t="shared" ref="D11028:D11030" si="2429">HYPERLINK("https://12go.asia/en/travel/Galle/Mannar", "12Go Link")</f>
        <v>12Go Link</v>
      </c>
      <c r="E11028" s="2" t="s">
        <v>286</v>
      </c>
    </row>
    <row r="11029">
      <c r="A11029" s="2" t="s">
        <v>4954</v>
      </c>
      <c r="B11029" s="2" t="s">
        <v>4990</v>
      </c>
      <c r="C11029" s="2" t="s">
        <v>6086</v>
      </c>
      <c r="D11029" s="3" t="str">
        <f t="shared" si="2429"/>
        <v>12Go Link</v>
      </c>
      <c r="E11029" s="2" t="s">
        <v>4139</v>
      </c>
    </row>
    <row r="11030">
      <c r="A11030" s="2" t="s">
        <v>4954</v>
      </c>
      <c r="B11030" s="2" t="s">
        <v>4990</v>
      </c>
      <c r="C11030" s="2" t="s">
        <v>6086</v>
      </c>
      <c r="D11030" s="3" t="str">
        <f t="shared" si="2429"/>
        <v>12Go Link</v>
      </c>
      <c r="E11030" s="2" t="s">
        <v>3409</v>
      </c>
    </row>
    <row r="11031">
      <c r="A11031" s="2" t="s">
        <v>4954</v>
      </c>
      <c r="B11031" s="2" t="s">
        <v>4990</v>
      </c>
      <c r="C11031" s="2" t="s">
        <v>6087</v>
      </c>
      <c r="D11031" s="3" t="str">
        <f t="shared" ref="D11031:D11033" si="2430">HYPERLINK("https://12go.asia/en/travel/Talpe/Mannar", "12Go Link")</f>
        <v>12Go Link</v>
      </c>
      <c r="E11031" s="2" t="s">
        <v>286</v>
      </c>
    </row>
    <row r="11032">
      <c r="A11032" s="2" t="s">
        <v>4954</v>
      </c>
      <c r="B11032" s="2" t="s">
        <v>4990</v>
      </c>
      <c r="C11032" s="2" t="s">
        <v>6087</v>
      </c>
      <c r="D11032" s="3" t="str">
        <f t="shared" si="2430"/>
        <v>12Go Link</v>
      </c>
      <c r="E11032" s="2" t="s">
        <v>4139</v>
      </c>
    </row>
    <row r="11033">
      <c r="A11033" s="2" t="s">
        <v>4954</v>
      </c>
      <c r="B11033" s="2" t="s">
        <v>4990</v>
      </c>
      <c r="C11033" s="2" t="s">
        <v>6087</v>
      </c>
      <c r="D11033" s="3" t="str">
        <f t="shared" si="2430"/>
        <v>12Go Link</v>
      </c>
      <c r="E11033" s="2" t="s">
        <v>3409</v>
      </c>
    </row>
    <row r="11034">
      <c r="A11034" s="2" t="s">
        <v>4954</v>
      </c>
      <c r="B11034" s="2" t="s">
        <v>4992</v>
      </c>
      <c r="C11034" s="2" t="s">
        <v>6088</v>
      </c>
      <c r="D11034" s="3" t="str">
        <f t="shared" ref="D11034:D11036" si="2431">HYPERLINK("https://12go.asia/en/travel/Galle/Kinigama", "12Go Link")</f>
        <v>12Go Link</v>
      </c>
      <c r="E11034" s="2" t="s">
        <v>286</v>
      </c>
    </row>
    <row r="11035">
      <c r="A11035" s="2" t="s">
        <v>4954</v>
      </c>
      <c r="B11035" s="2" t="s">
        <v>4992</v>
      </c>
      <c r="C11035" s="2" t="s">
        <v>6088</v>
      </c>
      <c r="D11035" s="3" t="str">
        <f t="shared" si="2431"/>
        <v>12Go Link</v>
      </c>
      <c r="E11035" s="2" t="s">
        <v>4139</v>
      </c>
    </row>
    <row r="11036">
      <c r="A11036" s="2" t="s">
        <v>4954</v>
      </c>
      <c r="B11036" s="2" t="s">
        <v>4992</v>
      </c>
      <c r="C11036" s="2" t="s">
        <v>6088</v>
      </c>
      <c r="D11036" s="3" t="str">
        <f t="shared" si="2431"/>
        <v>12Go Link</v>
      </c>
      <c r="E11036" s="2" t="s">
        <v>3409</v>
      </c>
    </row>
    <row r="11037">
      <c r="A11037" s="2" t="s">
        <v>4954</v>
      </c>
      <c r="B11037" s="2" t="s">
        <v>4992</v>
      </c>
      <c r="C11037" s="2" t="s">
        <v>6089</v>
      </c>
      <c r="D11037" s="3" t="str">
        <f t="shared" ref="D11037:D11039" si="2432">HYPERLINK("https://12go.asia/en/travel/Talpe/Kinigama", "12Go Link")</f>
        <v>12Go Link</v>
      </c>
      <c r="E11037" s="2" t="s">
        <v>286</v>
      </c>
    </row>
    <row r="11038">
      <c r="A11038" s="2" t="s">
        <v>4954</v>
      </c>
      <c r="B11038" s="2" t="s">
        <v>4992</v>
      </c>
      <c r="C11038" s="2" t="s">
        <v>6089</v>
      </c>
      <c r="D11038" s="3" t="str">
        <f t="shared" si="2432"/>
        <v>12Go Link</v>
      </c>
      <c r="E11038" s="2" t="s">
        <v>4139</v>
      </c>
    </row>
    <row r="11039">
      <c r="A11039" s="2" t="s">
        <v>4954</v>
      </c>
      <c r="B11039" s="2" t="s">
        <v>4992</v>
      </c>
      <c r="C11039" s="2" t="s">
        <v>6089</v>
      </c>
      <c r="D11039" s="3" t="str">
        <f t="shared" si="2432"/>
        <v>12Go Link</v>
      </c>
      <c r="E11039" s="2" t="s">
        <v>3409</v>
      </c>
    </row>
    <row r="11040">
      <c r="A11040" s="2" t="s">
        <v>4954</v>
      </c>
      <c r="B11040" s="2" t="s">
        <v>4994</v>
      </c>
      <c r="C11040" s="2" t="s">
        <v>6090</v>
      </c>
      <c r="D11040" s="3" t="str">
        <f t="shared" ref="D11040:D11042" si="2433">HYPERLINK("https://12go.asia/en/travel/Galle/Kalamatiya", "12Go Link")</f>
        <v>12Go Link</v>
      </c>
      <c r="E11040" s="2" t="s">
        <v>286</v>
      </c>
    </row>
    <row r="11041">
      <c r="A11041" s="2" t="s">
        <v>4954</v>
      </c>
      <c r="B11041" s="2" t="s">
        <v>4994</v>
      </c>
      <c r="C11041" s="2" t="s">
        <v>6090</v>
      </c>
      <c r="D11041" s="3" t="str">
        <f t="shared" si="2433"/>
        <v>12Go Link</v>
      </c>
      <c r="E11041" s="2" t="s">
        <v>4139</v>
      </c>
    </row>
    <row r="11042">
      <c r="A11042" s="2" t="s">
        <v>4954</v>
      </c>
      <c r="B11042" s="2" t="s">
        <v>4994</v>
      </c>
      <c r="C11042" s="2" t="s">
        <v>6090</v>
      </c>
      <c r="D11042" s="3" t="str">
        <f t="shared" si="2433"/>
        <v>12Go Link</v>
      </c>
      <c r="E11042" s="2" t="s">
        <v>3409</v>
      </c>
    </row>
    <row r="11043">
      <c r="A11043" s="2" t="s">
        <v>4954</v>
      </c>
      <c r="B11043" s="2" t="s">
        <v>4994</v>
      </c>
      <c r="C11043" s="2" t="s">
        <v>6091</v>
      </c>
      <c r="D11043" s="3" t="str">
        <f t="shared" ref="D11043:D11044" si="2434">HYPERLINK("https://12go.asia/en/travel/Galle/Matara", "12Go Link")</f>
        <v>12Go Link</v>
      </c>
      <c r="E11043" s="2" t="s">
        <v>5080</v>
      </c>
    </row>
    <row r="11044">
      <c r="A11044" s="2" t="s">
        <v>4954</v>
      </c>
      <c r="B11044" s="2" t="s">
        <v>4994</v>
      </c>
      <c r="C11044" s="2" t="s">
        <v>6091</v>
      </c>
      <c r="D11044" s="3" t="str">
        <f t="shared" si="2434"/>
        <v>12Go Link</v>
      </c>
      <c r="E11044" s="2" t="s">
        <v>5081</v>
      </c>
    </row>
    <row r="11045">
      <c r="A11045" s="2" t="s">
        <v>4954</v>
      </c>
      <c r="B11045" s="2" t="s">
        <v>4994</v>
      </c>
      <c r="C11045" s="2" t="s">
        <v>6092</v>
      </c>
      <c r="D11045" s="3" t="str">
        <f t="shared" ref="D11045:D11047" si="2435">HYPERLINK("https://12go.asia/en/travel/Talpe/Kalamatiya", "12Go Link")</f>
        <v>12Go Link</v>
      </c>
      <c r="E11045" s="2" t="s">
        <v>286</v>
      </c>
    </row>
    <row r="11046">
      <c r="A11046" s="2" t="s">
        <v>4954</v>
      </c>
      <c r="B11046" s="2" t="s">
        <v>4994</v>
      </c>
      <c r="C11046" s="2" t="s">
        <v>6092</v>
      </c>
      <c r="D11046" s="3" t="str">
        <f t="shared" si="2435"/>
        <v>12Go Link</v>
      </c>
      <c r="E11046" s="2" t="s">
        <v>4139</v>
      </c>
    </row>
    <row r="11047">
      <c r="A11047" s="2" t="s">
        <v>4954</v>
      </c>
      <c r="B11047" s="2" t="s">
        <v>4994</v>
      </c>
      <c r="C11047" s="2" t="s">
        <v>6092</v>
      </c>
      <c r="D11047" s="3" t="str">
        <f t="shared" si="2435"/>
        <v>12Go Link</v>
      </c>
      <c r="E11047" s="2" t="s">
        <v>3409</v>
      </c>
    </row>
    <row r="11048">
      <c r="A11048" s="2" t="s">
        <v>4954</v>
      </c>
      <c r="B11048" s="2" t="s">
        <v>4994</v>
      </c>
      <c r="C11048" s="2" t="s">
        <v>6093</v>
      </c>
      <c r="D11048" s="3" t="str">
        <f>HYPERLINK("https://12go.asia/en/travel/Talpe/Matara", "12Go Link")</f>
        <v>12Go Link</v>
      </c>
      <c r="E11048" s="2" t="s">
        <v>5080</v>
      </c>
    </row>
    <row r="11049">
      <c r="A11049" s="2" t="s">
        <v>4954</v>
      </c>
      <c r="B11049" s="2" t="s">
        <v>4996</v>
      </c>
      <c r="C11049" s="2" t="s">
        <v>6094</v>
      </c>
      <c r="D11049" s="3" t="str">
        <f t="shared" ref="D11049:D11051" si="2436">HYPERLINK("https://12go.asia/en/travel/Galle/mirissa", "12Go Link")</f>
        <v>12Go Link</v>
      </c>
      <c r="E11049" s="2" t="s">
        <v>286</v>
      </c>
    </row>
    <row r="11050">
      <c r="A11050" s="2" t="s">
        <v>4954</v>
      </c>
      <c r="B11050" s="2" t="s">
        <v>4996</v>
      </c>
      <c r="C11050" s="2" t="s">
        <v>6094</v>
      </c>
      <c r="D11050" s="3" t="str">
        <f t="shared" si="2436"/>
        <v>12Go Link</v>
      </c>
      <c r="E11050" s="2" t="s">
        <v>4139</v>
      </c>
    </row>
    <row r="11051">
      <c r="A11051" s="2" t="s">
        <v>4954</v>
      </c>
      <c r="B11051" s="2" t="s">
        <v>4996</v>
      </c>
      <c r="C11051" s="2" t="s">
        <v>6094</v>
      </c>
      <c r="D11051" s="3" t="str">
        <f t="shared" si="2436"/>
        <v>12Go Link</v>
      </c>
      <c r="E11051" s="2" t="s">
        <v>3409</v>
      </c>
    </row>
    <row r="11052">
      <c r="A11052" s="2" t="s">
        <v>4954</v>
      </c>
      <c r="B11052" s="2" t="s">
        <v>4996</v>
      </c>
      <c r="C11052" s="2" t="s">
        <v>6095</v>
      </c>
      <c r="D11052" s="3" t="str">
        <f t="shared" ref="D11052:D11053" si="2437">HYPERLINK("https://12go.asia/en/travel/Galle/Mirissa", "12Go Link")</f>
        <v>12Go Link</v>
      </c>
      <c r="E11052" s="2" t="s">
        <v>5080</v>
      </c>
    </row>
    <row r="11053">
      <c r="A11053" s="2" t="s">
        <v>4954</v>
      </c>
      <c r="B11053" s="2" t="s">
        <v>4996</v>
      </c>
      <c r="C11053" s="2" t="s">
        <v>6095</v>
      </c>
      <c r="D11053" s="3" t="str">
        <f t="shared" si="2437"/>
        <v>12Go Link</v>
      </c>
      <c r="E11053" s="2" t="s">
        <v>5081</v>
      </c>
    </row>
    <row r="11054">
      <c r="A11054" s="2" t="s">
        <v>4954</v>
      </c>
      <c r="B11054" s="2" t="s">
        <v>4996</v>
      </c>
      <c r="C11054" s="2" t="s">
        <v>6096</v>
      </c>
      <c r="D11054" s="3" t="str">
        <f t="shared" ref="D11054:D11056" si="2438">HYPERLINK("https://12go.asia/en/travel/Talpe/mirissa", "12Go Link")</f>
        <v>12Go Link</v>
      </c>
      <c r="E11054" s="2" t="s">
        <v>286</v>
      </c>
    </row>
    <row r="11055">
      <c r="A11055" s="2" t="s">
        <v>4954</v>
      </c>
      <c r="B11055" s="2" t="s">
        <v>4996</v>
      </c>
      <c r="C11055" s="2" t="s">
        <v>6096</v>
      </c>
      <c r="D11055" s="3" t="str">
        <f t="shared" si="2438"/>
        <v>12Go Link</v>
      </c>
      <c r="E11055" s="2" t="s">
        <v>4139</v>
      </c>
    </row>
    <row r="11056">
      <c r="A11056" s="2" t="s">
        <v>4954</v>
      </c>
      <c r="B11056" s="2" t="s">
        <v>4996</v>
      </c>
      <c r="C11056" s="2" t="s">
        <v>6096</v>
      </c>
      <c r="D11056" s="3" t="str">
        <f t="shared" si="2438"/>
        <v>12Go Link</v>
      </c>
      <c r="E11056" s="2" t="s">
        <v>3409</v>
      </c>
    </row>
    <row r="11057">
      <c r="A11057" s="2" t="s">
        <v>4954</v>
      </c>
      <c r="B11057" s="2" t="s">
        <v>5204</v>
      </c>
      <c r="C11057" s="2" t="s">
        <v>6097</v>
      </c>
      <c r="D11057" s="3" t="str">
        <f>HYPERLINK("https://12go.asia/en/travel/Galle/Moratuwa", "12Go Link")</f>
        <v>12Go Link</v>
      </c>
      <c r="E11057" s="2" t="s">
        <v>5206</v>
      </c>
    </row>
    <row r="11058">
      <c r="A11058" s="2" t="s">
        <v>4954</v>
      </c>
      <c r="B11058" s="2" t="s">
        <v>5204</v>
      </c>
      <c r="C11058" s="2" t="s">
        <v>6098</v>
      </c>
      <c r="D11058" s="3" t="str">
        <f>HYPERLINK("https://12go.asia/en/travel/Talpe/Moratuwa", "12Go Link")</f>
        <v>12Go Link</v>
      </c>
      <c r="E11058" s="2" t="s">
        <v>5206</v>
      </c>
    </row>
    <row r="11059">
      <c r="A11059" s="2" t="s">
        <v>4954</v>
      </c>
      <c r="B11059" s="2" t="s">
        <v>4998</v>
      </c>
      <c r="C11059" s="2" t="s">
        <v>6099</v>
      </c>
      <c r="D11059" s="3" t="str">
        <f t="shared" ref="D11059:D11061" si="2439">HYPERLINK("https://12go.asia/en/travel/Galle/Nanu-Oya", "12Go Link")</f>
        <v>12Go Link</v>
      </c>
      <c r="E11059" s="2" t="s">
        <v>286</v>
      </c>
    </row>
    <row r="11060">
      <c r="A11060" s="2" t="s">
        <v>4954</v>
      </c>
      <c r="B11060" s="2" t="s">
        <v>4998</v>
      </c>
      <c r="C11060" s="2" t="s">
        <v>6099</v>
      </c>
      <c r="D11060" s="3" t="str">
        <f t="shared" si="2439"/>
        <v>12Go Link</v>
      </c>
      <c r="E11060" s="2" t="s">
        <v>4139</v>
      </c>
    </row>
    <row r="11061">
      <c r="A11061" s="2" t="s">
        <v>4954</v>
      </c>
      <c r="B11061" s="2" t="s">
        <v>4998</v>
      </c>
      <c r="C11061" s="2" t="s">
        <v>6099</v>
      </c>
      <c r="D11061" s="3" t="str">
        <f t="shared" si="2439"/>
        <v>12Go Link</v>
      </c>
      <c r="E11061" s="2" t="s">
        <v>3409</v>
      </c>
    </row>
    <row r="11062">
      <c r="A11062" s="2" t="s">
        <v>4954</v>
      </c>
      <c r="B11062" s="2" t="s">
        <v>4998</v>
      </c>
      <c r="C11062" s="2" t="s">
        <v>6100</v>
      </c>
      <c r="D11062" s="3" t="str">
        <f t="shared" ref="D11062:D11064" si="2440">HYPERLINK("https://12go.asia/en/travel/Talpe/Nanu-Oya", "12Go Link")</f>
        <v>12Go Link</v>
      </c>
      <c r="E11062" s="2" t="s">
        <v>286</v>
      </c>
    </row>
    <row r="11063">
      <c r="A11063" s="2" t="s">
        <v>4954</v>
      </c>
      <c r="B11063" s="2" t="s">
        <v>4998</v>
      </c>
      <c r="C11063" s="2" t="s">
        <v>6100</v>
      </c>
      <c r="D11063" s="3" t="str">
        <f t="shared" si="2440"/>
        <v>12Go Link</v>
      </c>
      <c r="E11063" s="2" t="s">
        <v>4139</v>
      </c>
    </row>
    <row r="11064">
      <c r="A11064" s="2" t="s">
        <v>4954</v>
      </c>
      <c r="B11064" s="2" t="s">
        <v>4998</v>
      </c>
      <c r="C11064" s="2" t="s">
        <v>6100</v>
      </c>
      <c r="D11064" s="3" t="str">
        <f t="shared" si="2440"/>
        <v>12Go Link</v>
      </c>
      <c r="E11064" s="2" t="s">
        <v>3409</v>
      </c>
    </row>
    <row r="11065">
      <c r="A11065" s="2" t="s">
        <v>4954</v>
      </c>
      <c r="B11065" s="2" t="s">
        <v>5000</v>
      </c>
      <c r="C11065" s="2" t="s">
        <v>6101</v>
      </c>
      <c r="D11065" s="3" t="str">
        <f t="shared" ref="D11065:D11067" si="2441">HYPERLINK("https://12go.asia/en/travel/Galle/Waikkal", "12Go Link")</f>
        <v>12Go Link</v>
      </c>
      <c r="E11065" s="2" t="s">
        <v>286</v>
      </c>
    </row>
    <row r="11066">
      <c r="A11066" s="2" t="s">
        <v>4954</v>
      </c>
      <c r="B11066" s="2" t="s">
        <v>5000</v>
      </c>
      <c r="C11066" s="2" t="s">
        <v>6101</v>
      </c>
      <c r="D11066" s="3" t="str">
        <f t="shared" si="2441"/>
        <v>12Go Link</v>
      </c>
      <c r="E11066" s="2" t="s">
        <v>4139</v>
      </c>
    </row>
    <row r="11067">
      <c r="A11067" s="2" t="s">
        <v>4954</v>
      </c>
      <c r="B11067" s="2" t="s">
        <v>5000</v>
      </c>
      <c r="C11067" s="2" t="s">
        <v>6101</v>
      </c>
      <c r="D11067" s="3" t="str">
        <f t="shared" si="2441"/>
        <v>12Go Link</v>
      </c>
      <c r="E11067" s="2" t="s">
        <v>3409</v>
      </c>
    </row>
    <row r="11068">
      <c r="A11068" s="2" t="s">
        <v>4954</v>
      </c>
      <c r="B11068" s="2" t="s">
        <v>5000</v>
      </c>
      <c r="C11068" s="2" t="s">
        <v>6102</v>
      </c>
      <c r="D11068" s="3" t="str">
        <f t="shared" ref="D11068:D11070" si="2442">HYPERLINK("https://12go.asia/en/travel/Talpe/Dalupotha", "12Go Link")</f>
        <v>12Go Link</v>
      </c>
      <c r="E11068" s="2" t="s">
        <v>286</v>
      </c>
    </row>
    <row r="11069">
      <c r="A11069" s="2" t="s">
        <v>4954</v>
      </c>
      <c r="B11069" s="2" t="s">
        <v>5000</v>
      </c>
      <c r="C11069" s="2" t="s">
        <v>6102</v>
      </c>
      <c r="D11069" s="3" t="str">
        <f t="shared" si="2442"/>
        <v>12Go Link</v>
      </c>
      <c r="E11069" s="2" t="s">
        <v>4139</v>
      </c>
    </row>
    <row r="11070">
      <c r="A11070" s="2" t="s">
        <v>4954</v>
      </c>
      <c r="B11070" s="2" t="s">
        <v>5000</v>
      </c>
      <c r="C11070" s="2" t="s">
        <v>6102</v>
      </c>
      <c r="D11070" s="3" t="str">
        <f t="shared" si="2442"/>
        <v>12Go Link</v>
      </c>
      <c r="E11070" s="2" t="s">
        <v>3409</v>
      </c>
    </row>
    <row r="11071">
      <c r="A11071" s="2" t="s">
        <v>4954</v>
      </c>
      <c r="B11071" s="2" t="s">
        <v>5000</v>
      </c>
      <c r="C11071" s="2" t="s">
        <v>6103</v>
      </c>
      <c r="D11071" s="3" t="str">
        <f t="shared" ref="D11071:D11073" si="2443">HYPERLINK("https://12go.asia/en/travel/Talpe/Waikkal", "12Go Link")</f>
        <v>12Go Link</v>
      </c>
      <c r="E11071" s="2" t="s">
        <v>286</v>
      </c>
    </row>
    <row r="11072">
      <c r="A11072" s="2" t="s">
        <v>4954</v>
      </c>
      <c r="B11072" s="2" t="s">
        <v>5000</v>
      </c>
      <c r="C11072" s="2" t="s">
        <v>6103</v>
      </c>
      <c r="D11072" s="3" t="str">
        <f t="shared" si="2443"/>
        <v>12Go Link</v>
      </c>
      <c r="E11072" s="2" t="s">
        <v>4139</v>
      </c>
    </row>
    <row r="11073">
      <c r="A11073" s="2" t="s">
        <v>4954</v>
      </c>
      <c r="B11073" s="2" t="s">
        <v>5000</v>
      </c>
      <c r="C11073" s="2" t="s">
        <v>6103</v>
      </c>
      <c r="D11073" s="3" t="str">
        <f t="shared" si="2443"/>
        <v>12Go Link</v>
      </c>
      <c r="E11073" s="2" t="s">
        <v>3409</v>
      </c>
    </row>
    <row r="11074">
      <c r="A11074" s="2" t="s">
        <v>4954</v>
      </c>
      <c r="B11074" s="2" t="s">
        <v>5003</v>
      </c>
      <c r="C11074" s="2" t="s">
        <v>6104</v>
      </c>
      <c r="D11074" s="3" t="str">
        <f t="shared" ref="D11074:D11076" si="2444">HYPERLINK("https://12go.asia/en/travel/Galle/Nilaveli", "12Go Link")</f>
        <v>12Go Link</v>
      </c>
      <c r="E11074" s="2" t="s">
        <v>286</v>
      </c>
    </row>
    <row r="11075">
      <c r="A11075" s="2" t="s">
        <v>4954</v>
      </c>
      <c r="B11075" s="2" t="s">
        <v>5003</v>
      </c>
      <c r="C11075" s="2" t="s">
        <v>6104</v>
      </c>
      <c r="D11075" s="3" t="str">
        <f t="shared" si="2444"/>
        <v>12Go Link</v>
      </c>
      <c r="E11075" s="2" t="s">
        <v>4139</v>
      </c>
    </row>
    <row r="11076">
      <c r="A11076" s="2" t="s">
        <v>4954</v>
      </c>
      <c r="B11076" s="2" t="s">
        <v>5003</v>
      </c>
      <c r="C11076" s="2" t="s">
        <v>6104</v>
      </c>
      <c r="D11076" s="3" t="str">
        <f t="shared" si="2444"/>
        <v>12Go Link</v>
      </c>
      <c r="E11076" s="2" t="s">
        <v>3409</v>
      </c>
    </row>
    <row r="11077">
      <c r="A11077" s="2" t="s">
        <v>4954</v>
      </c>
      <c r="B11077" s="2" t="s">
        <v>5003</v>
      </c>
      <c r="C11077" s="2" t="s">
        <v>6105</v>
      </c>
      <c r="D11077" s="3" t="str">
        <f t="shared" ref="D11077:D11079" si="2445">HYPERLINK("https://12go.asia/en/travel/Talpe/Nilaveli", "12Go Link")</f>
        <v>12Go Link</v>
      </c>
      <c r="E11077" s="2" t="s">
        <v>286</v>
      </c>
    </row>
    <row r="11078">
      <c r="A11078" s="2" t="s">
        <v>4954</v>
      </c>
      <c r="B11078" s="2" t="s">
        <v>5003</v>
      </c>
      <c r="C11078" s="2" t="s">
        <v>6105</v>
      </c>
      <c r="D11078" s="3" t="str">
        <f t="shared" si="2445"/>
        <v>12Go Link</v>
      </c>
      <c r="E11078" s="2" t="s">
        <v>4139</v>
      </c>
    </row>
    <row r="11079">
      <c r="A11079" s="2" t="s">
        <v>4954</v>
      </c>
      <c r="B11079" s="2" t="s">
        <v>5003</v>
      </c>
      <c r="C11079" s="2" t="s">
        <v>6105</v>
      </c>
      <c r="D11079" s="3" t="str">
        <f t="shared" si="2445"/>
        <v>12Go Link</v>
      </c>
      <c r="E11079" s="2" t="s">
        <v>3409</v>
      </c>
    </row>
    <row r="11080">
      <c r="A11080" s="2" t="s">
        <v>4954</v>
      </c>
      <c r="B11080" s="2" t="s">
        <v>5005</v>
      </c>
      <c r="C11080" s="2" t="s">
        <v>6106</v>
      </c>
      <c r="D11080" s="3" t="str">
        <f t="shared" ref="D11080:D11082" si="2446">HYPERLINK("https://12go.asia/en/travel/Talpe/Kotmale", "12Go Link")</f>
        <v>12Go Link</v>
      </c>
      <c r="E11080" s="2" t="s">
        <v>286</v>
      </c>
    </row>
    <row r="11081">
      <c r="A11081" s="2" t="s">
        <v>4954</v>
      </c>
      <c r="B11081" s="2" t="s">
        <v>5005</v>
      </c>
      <c r="C11081" s="2" t="s">
        <v>6106</v>
      </c>
      <c r="D11081" s="3" t="str">
        <f t="shared" si="2446"/>
        <v>12Go Link</v>
      </c>
      <c r="E11081" s="2" t="s">
        <v>4139</v>
      </c>
    </row>
    <row r="11082">
      <c r="A11082" s="2" t="s">
        <v>4954</v>
      </c>
      <c r="B11082" s="2" t="s">
        <v>5005</v>
      </c>
      <c r="C11082" s="2" t="s">
        <v>6106</v>
      </c>
      <c r="D11082" s="3" t="str">
        <f t="shared" si="2446"/>
        <v>12Go Link</v>
      </c>
      <c r="E11082" s="2" t="s">
        <v>3409</v>
      </c>
    </row>
    <row r="11083">
      <c r="A11083" s="2" t="s">
        <v>4954</v>
      </c>
      <c r="B11083" s="2" t="s">
        <v>5683</v>
      </c>
      <c r="C11083" s="2" t="s">
        <v>6107</v>
      </c>
      <c r="D11083" s="3" t="str">
        <f>HYPERLINK("https://12go.asia/en/travel/Galle/Panadura", "12Go Link")</f>
        <v>12Go Link</v>
      </c>
      <c r="E11083" s="2" t="s">
        <v>5206</v>
      </c>
    </row>
    <row r="11084">
      <c r="A11084" s="2" t="s">
        <v>4954</v>
      </c>
      <c r="B11084" s="2" t="s">
        <v>5007</v>
      </c>
      <c r="C11084" s="2" t="s">
        <v>6108</v>
      </c>
      <c r="D11084" s="3" t="str">
        <f t="shared" ref="D11084:D11086" si="2447">HYPERLINK("https://12go.asia/en/travel/Galle/Pasikuda", "12Go Link")</f>
        <v>12Go Link</v>
      </c>
      <c r="E11084" s="2" t="s">
        <v>286</v>
      </c>
    </row>
    <row r="11085">
      <c r="A11085" s="2" t="s">
        <v>4954</v>
      </c>
      <c r="B11085" s="2" t="s">
        <v>5007</v>
      </c>
      <c r="C11085" s="2" t="s">
        <v>6108</v>
      </c>
      <c r="D11085" s="3" t="str">
        <f t="shared" si="2447"/>
        <v>12Go Link</v>
      </c>
      <c r="E11085" s="2" t="s">
        <v>4139</v>
      </c>
    </row>
    <row r="11086">
      <c r="A11086" s="2" t="s">
        <v>4954</v>
      </c>
      <c r="B11086" s="2" t="s">
        <v>5007</v>
      </c>
      <c r="C11086" s="2" t="s">
        <v>6108</v>
      </c>
      <c r="D11086" s="3" t="str">
        <f t="shared" si="2447"/>
        <v>12Go Link</v>
      </c>
      <c r="E11086" s="2" t="s">
        <v>3409</v>
      </c>
    </row>
    <row r="11087">
      <c r="A11087" s="2" t="s">
        <v>4954</v>
      </c>
      <c r="B11087" s="2" t="s">
        <v>5007</v>
      </c>
      <c r="C11087" s="2" t="s">
        <v>6109</v>
      </c>
      <c r="D11087" s="3" t="str">
        <f t="shared" ref="D11087:D11089" si="2448">HYPERLINK("https://12go.asia/en/travel/Talpe/Pasikuda", "12Go Link")</f>
        <v>12Go Link</v>
      </c>
      <c r="E11087" s="2" t="s">
        <v>286</v>
      </c>
    </row>
    <row r="11088">
      <c r="A11088" s="2" t="s">
        <v>4954</v>
      </c>
      <c r="B11088" s="2" t="s">
        <v>5007</v>
      </c>
      <c r="C11088" s="2" t="s">
        <v>6109</v>
      </c>
      <c r="D11088" s="3" t="str">
        <f t="shared" si="2448"/>
        <v>12Go Link</v>
      </c>
      <c r="E11088" s="2" t="s">
        <v>4139</v>
      </c>
    </row>
    <row r="11089">
      <c r="A11089" s="2" t="s">
        <v>4954</v>
      </c>
      <c r="B11089" s="2" t="s">
        <v>5007</v>
      </c>
      <c r="C11089" s="2" t="s">
        <v>6109</v>
      </c>
      <c r="D11089" s="3" t="str">
        <f t="shared" si="2448"/>
        <v>12Go Link</v>
      </c>
      <c r="E11089" s="2" t="s">
        <v>3409</v>
      </c>
    </row>
    <row r="11090">
      <c r="A11090" s="2" t="s">
        <v>4954</v>
      </c>
      <c r="B11090" s="2" t="s">
        <v>5009</v>
      </c>
      <c r="C11090" s="2" t="s">
        <v>6110</v>
      </c>
      <c r="D11090" s="3" t="str">
        <f t="shared" ref="D11090:D11092" si="2449">HYPERLINK("https://12go.asia/en/travel/Galle/Galoya", "12Go Link")</f>
        <v>12Go Link</v>
      </c>
      <c r="E11090" s="2" t="s">
        <v>286</v>
      </c>
    </row>
    <row r="11091">
      <c r="A11091" s="2" t="s">
        <v>4954</v>
      </c>
      <c r="B11091" s="2" t="s">
        <v>5009</v>
      </c>
      <c r="C11091" s="2" t="s">
        <v>6110</v>
      </c>
      <c r="D11091" s="3" t="str">
        <f t="shared" si="2449"/>
        <v>12Go Link</v>
      </c>
      <c r="E11091" s="2" t="s">
        <v>4139</v>
      </c>
    </row>
    <row r="11092">
      <c r="A11092" s="2" t="s">
        <v>4954</v>
      </c>
      <c r="B11092" s="2" t="s">
        <v>5009</v>
      </c>
      <c r="C11092" s="2" t="s">
        <v>6110</v>
      </c>
      <c r="D11092" s="3" t="str">
        <f t="shared" si="2449"/>
        <v>12Go Link</v>
      </c>
      <c r="E11092" s="2" t="s">
        <v>3409</v>
      </c>
    </row>
    <row r="11093">
      <c r="A11093" s="2" t="s">
        <v>4954</v>
      </c>
      <c r="B11093" s="2" t="s">
        <v>5009</v>
      </c>
      <c r="C11093" s="2" t="s">
        <v>6111</v>
      </c>
      <c r="D11093" s="3" t="str">
        <f t="shared" ref="D11093:D11095" si="2450">HYPERLINK("https://12go.asia/en/travel/Talpe/Galoya", "12Go Link")</f>
        <v>12Go Link</v>
      </c>
      <c r="E11093" s="2" t="s">
        <v>286</v>
      </c>
    </row>
    <row r="11094">
      <c r="A11094" s="2" t="s">
        <v>4954</v>
      </c>
      <c r="B11094" s="2" t="s">
        <v>5009</v>
      </c>
      <c r="C11094" s="2" t="s">
        <v>6111</v>
      </c>
      <c r="D11094" s="3" t="str">
        <f t="shared" si="2450"/>
        <v>12Go Link</v>
      </c>
      <c r="E11094" s="2" t="s">
        <v>4139</v>
      </c>
    </row>
    <row r="11095">
      <c r="A11095" s="2" t="s">
        <v>4954</v>
      </c>
      <c r="B11095" s="2" t="s">
        <v>5009</v>
      </c>
      <c r="C11095" s="2" t="s">
        <v>6111</v>
      </c>
      <c r="D11095" s="3" t="str">
        <f t="shared" si="2450"/>
        <v>12Go Link</v>
      </c>
      <c r="E11095" s="2" t="s">
        <v>3409</v>
      </c>
    </row>
    <row r="11096">
      <c r="A11096" s="2" t="s">
        <v>4954</v>
      </c>
      <c r="B11096" s="2" t="s">
        <v>5011</v>
      </c>
      <c r="C11096" s="2" t="s">
        <v>6112</v>
      </c>
      <c r="D11096" s="3" t="str">
        <f t="shared" ref="D11096:D11098" si="2451">HYPERLINK("https://12go.asia/en/travel/Galle/Kalpitiya", "12Go Link")</f>
        <v>12Go Link</v>
      </c>
      <c r="E11096" s="2" t="s">
        <v>286</v>
      </c>
    </row>
    <row r="11097">
      <c r="A11097" s="2" t="s">
        <v>4954</v>
      </c>
      <c r="B11097" s="2" t="s">
        <v>5011</v>
      </c>
      <c r="C11097" s="2" t="s">
        <v>6112</v>
      </c>
      <c r="D11097" s="3" t="str">
        <f t="shared" si="2451"/>
        <v>12Go Link</v>
      </c>
      <c r="E11097" s="2" t="s">
        <v>4139</v>
      </c>
    </row>
    <row r="11098">
      <c r="A11098" s="2" t="s">
        <v>4954</v>
      </c>
      <c r="B11098" s="2" t="s">
        <v>5011</v>
      </c>
      <c r="C11098" s="2" t="s">
        <v>6112</v>
      </c>
      <c r="D11098" s="3" t="str">
        <f t="shared" si="2451"/>
        <v>12Go Link</v>
      </c>
      <c r="E11098" s="2" t="s">
        <v>3409</v>
      </c>
    </row>
    <row r="11099">
      <c r="A11099" s="2" t="s">
        <v>4954</v>
      </c>
      <c r="B11099" s="2" t="s">
        <v>5011</v>
      </c>
      <c r="C11099" s="2" t="s">
        <v>6113</v>
      </c>
      <c r="D11099" s="3" t="str">
        <f t="shared" ref="D11099:D11101" si="2452">HYPERLINK("https://12go.asia/en/travel/Galle/Marawila", "12Go Link")</f>
        <v>12Go Link</v>
      </c>
      <c r="E11099" s="2" t="s">
        <v>286</v>
      </c>
    </row>
    <row r="11100">
      <c r="A11100" s="2" t="s">
        <v>4954</v>
      </c>
      <c r="B11100" s="2" t="s">
        <v>5011</v>
      </c>
      <c r="C11100" s="2" t="s">
        <v>6113</v>
      </c>
      <c r="D11100" s="3" t="str">
        <f t="shared" si="2452"/>
        <v>12Go Link</v>
      </c>
      <c r="E11100" s="2" t="s">
        <v>4139</v>
      </c>
    </row>
    <row r="11101">
      <c r="A11101" s="2" t="s">
        <v>4954</v>
      </c>
      <c r="B11101" s="2" t="s">
        <v>5011</v>
      </c>
      <c r="C11101" s="2" t="s">
        <v>6113</v>
      </c>
      <c r="D11101" s="3" t="str">
        <f t="shared" si="2452"/>
        <v>12Go Link</v>
      </c>
      <c r="E11101" s="2" t="s">
        <v>3409</v>
      </c>
    </row>
    <row r="11102">
      <c r="A11102" s="2" t="s">
        <v>4954</v>
      </c>
      <c r="B11102" s="2" t="s">
        <v>5011</v>
      </c>
      <c r="C11102" s="2" t="s">
        <v>6114</v>
      </c>
      <c r="D11102" s="3" t="str">
        <f t="shared" ref="D11102:D11104" si="2453">HYPERLINK("https://12go.asia/en/travel/Talpe/Kalpitiya", "12Go Link")</f>
        <v>12Go Link</v>
      </c>
      <c r="E11102" s="2" t="s">
        <v>286</v>
      </c>
    </row>
    <row r="11103">
      <c r="A11103" s="2" t="s">
        <v>4954</v>
      </c>
      <c r="B11103" s="2" t="s">
        <v>5011</v>
      </c>
      <c r="C11103" s="2" t="s">
        <v>6114</v>
      </c>
      <c r="D11103" s="3" t="str">
        <f t="shared" si="2453"/>
        <v>12Go Link</v>
      </c>
      <c r="E11103" s="2" t="s">
        <v>4139</v>
      </c>
    </row>
    <row r="11104">
      <c r="A11104" s="2" t="s">
        <v>4954</v>
      </c>
      <c r="B11104" s="2" t="s">
        <v>5011</v>
      </c>
      <c r="C11104" s="2" t="s">
        <v>6114</v>
      </c>
      <c r="D11104" s="3" t="str">
        <f t="shared" si="2453"/>
        <v>12Go Link</v>
      </c>
      <c r="E11104" s="2" t="s">
        <v>3409</v>
      </c>
    </row>
    <row r="11105">
      <c r="A11105" s="2" t="s">
        <v>4954</v>
      </c>
      <c r="B11105" s="2" t="s">
        <v>5011</v>
      </c>
      <c r="C11105" s="2" t="s">
        <v>6115</v>
      </c>
      <c r="D11105" s="3" t="str">
        <f t="shared" ref="D11105:D11107" si="2454">HYPERLINK("https://12go.asia/en/travel/Talpe/Marawila", "12Go Link")</f>
        <v>12Go Link</v>
      </c>
      <c r="E11105" s="2" t="s">
        <v>286</v>
      </c>
    </row>
    <row r="11106">
      <c r="A11106" s="2" t="s">
        <v>4954</v>
      </c>
      <c r="B11106" s="2" t="s">
        <v>5011</v>
      </c>
      <c r="C11106" s="2" t="s">
        <v>6115</v>
      </c>
      <c r="D11106" s="3" t="str">
        <f t="shared" si="2454"/>
        <v>12Go Link</v>
      </c>
      <c r="E11106" s="2" t="s">
        <v>4139</v>
      </c>
    </row>
    <row r="11107">
      <c r="A11107" s="2" t="s">
        <v>4954</v>
      </c>
      <c r="B11107" s="2" t="s">
        <v>5011</v>
      </c>
      <c r="C11107" s="2" t="s">
        <v>6115</v>
      </c>
      <c r="D11107" s="3" t="str">
        <f t="shared" si="2454"/>
        <v>12Go Link</v>
      </c>
      <c r="E11107" s="2" t="s">
        <v>3409</v>
      </c>
    </row>
    <row r="11108">
      <c r="A11108" s="2" t="s">
        <v>4954</v>
      </c>
      <c r="B11108" s="2" t="s">
        <v>5014</v>
      </c>
      <c r="C11108" s="2" t="s">
        <v>6116</v>
      </c>
      <c r="D11108" s="3" t="str">
        <f t="shared" ref="D11108:D11110" si="2455">HYPERLINK("https://12go.asia/en/travel/Galle/Kiriella", "12Go Link")</f>
        <v>12Go Link</v>
      </c>
      <c r="E11108" s="2" t="s">
        <v>286</v>
      </c>
    </row>
    <row r="11109">
      <c r="A11109" s="2" t="s">
        <v>4954</v>
      </c>
      <c r="B11109" s="2" t="s">
        <v>5014</v>
      </c>
      <c r="C11109" s="2" t="s">
        <v>6116</v>
      </c>
      <c r="D11109" s="3" t="str">
        <f t="shared" si="2455"/>
        <v>12Go Link</v>
      </c>
      <c r="E11109" s="2" t="s">
        <v>4139</v>
      </c>
    </row>
    <row r="11110">
      <c r="A11110" s="2" t="s">
        <v>4954</v>
      </c>
      <c r="B11110" s="2" t="s">
        <v>5014</v>
      </c>
      <c r="C11110" s="2" t="s">
        <v>6116</v>
      </c>
      <c r="D11110" s="3" t="str">
        <f t="shared" si="2455"/>
        <v>12Go Link</v>
      </c>
      <c r="E11110" s="2" t="s">
        <v>3409</v>
      </c>
    </row>
    <row r="11111">
      <c r="A11111" s="2" t="s">
        <v>4954</v>
      </c>
      <c r="B11111" s="2" t="s">
        <v>5014</v>
      </c>
      <c r="C11111" s="2" t="s">
        <v>6117</v>
      </c>
      <c r="D11111" s="3" t="str">
        <f t="shared" ref="D11111:D11113" si="2456">HYPERLINK("https://12go.asia/en/travel/Talpe/Kiriella", "12Go Link")</f>
        <v>12Go Link</v>
      </c>
      <c r="E11111" s="2" t="s">
        <v>286</v>
      </c>
    </row>
    <row r="11112">
      <c r="A11112" s="2" t="s">
        <v>4954</v>
      </c>
      <c r="B11112" s="2" t="s">
        <v>5014</v>
      </c>
      <c r="C11112" s="2" t="s">
        <v>6117</v>
      </c>
      <c r="D11112" s="3" t="str">
        <f t="shared" si="2456"/>
        <v>12Go Link</v>
      </c>
      <c r="E11112" s="2" t="s">
        <v>4139</v>
      </c>
    </row>
    <row r="11113">
      <c r="A11113" s="2" t="s">
        <v>4954</v>
      </c>
      <c r="B11113" s="2" t="s">
        <v>5014</v>
      </c>
      <c r="C11113" s="2" t="s">
        <v>6117</v>
      </c>
      <c r="D11113" s="3" t="str">
        <f t="shared" si="2456"/>
        <v>12Go Link</v>
      </c>
      <c r="E11113" s="2" t="s">
        <v>3409</v>
      </c>
    </row>
    <row r="11114">
      <c r="A11114" s="2" t="s">
        <v>4954</v>
      </c>
      <c r="B11114" s="2" t="s">
        <v>5016</v>
      </c>
      <c r="C11114" s="2" t="s">
        <v>6118</v>
      </c>
      <c r="D11114" s="3" t="str">
        <f t="shared" ref="D11114:D11116" si="2457">HYPERLINK("https://12go.asia/en/travel/Talpe/Pidurangala", "12Go Link")</f>
        <v>12Go Link</v>
      </c>
      <c r="E11114" s="2" t="s">
        <v>286</v>
      </c>
    </row>
    <row r="11115">
      <c r="A11115" s="2" t="s">
        <v>4954</v>
      </c>
      <c r="B11115" s="2" t="s">
        <v>5016</v>
      </c>
      <c r="C11115" s="2" t="s">
        <v>6118</v>
      </c>
      <c r="D11115" s="3" t="str">
        <f t="shared" si="2457"/>
        <v>12Go Link</v>
      </c>
      <c r="E11115" s="2" t="s">
        <v>4139</v>
      </c>
    </row>
    <row r="11116">
      <c r="A11116" s="2" t="s">
        <v>4954</v>
      </c>
      <c r="B11116" s="2" t="s">
        <v>5016</v>
      </c>
      <c r="C11116" s="2" t="s">
        <v>6118</v>
      </c>
      <c r="D11116" s="3" t="str">
        <f t="shared" si="2457"/>
        <v>12Go Link</v>
      </c>
      <c r="E11116" s="2" t="s">
        <v>3409</v>
      </c>
    </row>
    <row r="11117">
      <c r="A11117" s="2" t="s">
        <v>4954</v>
      </c>
      <c r="B11117" s="2" t="s">
        <v>5018</v>
      </c>
      <c r="C11117" s="2" t="s">
        <v>6119</v>
      </c>
      <c r="D11117" s="3" t="str">
        <f t="shared" ref="D11117:D11119" si="2458">HYPERLINK("https://12go.asia/en/travel/Galle/Rekawa", "12Go Link")</f>
        <v>12Go Link</v>
      </c>
      <c r="E11117" s="2" t="s">
        <v>286</v>
      </c>
    </row>
    <row r="11118">
      <c r="A11118" s="2" t="s">
        <v>4954</v>
      </c>
      <c r="B11118" s="2" t="s">
        <v>5018</v>
      </c>
      <c r="C11118" s="2" t="s">
        <v>6119</v>
      </c>
      <c r="D11118" s="3" t="str">
        <f t="shared" si="2458"/>
        <v>12Go Link</v>
      </c>
      <c r="E11118" s="2" t="s">
        <v>4139</v>
      </c>
    </row>
    <row r="11119">
      <c r="A11119" s="2" t="s">
        <v>4954</v>
      </c>
      <c r="B11119" s="2" t="s">
        <v>5018</v>
      </c>
      <c r="C11119" s="2" t="s">
        <v>6119</v>
      </c>
      <c r="D11119" s="3" t="str">
        <f t="shared" si="2458"/>
        <v>12Go Link</v>
      </c>
      <c r="E11119" s="2" t="s">
        <v>3409</v>
      </c>
    </row>
    <row r="11120">
      <c r="A11120" s="2" t="s">
        <v>4954</v>
      </c>
      <c r="B11120" s="2" t="s">
        <v>5018</v>
      </c>
      <c r="C11120" s="2" t="s">
        <v>6120</v>
      </c>
      <c r="D11120" s="3" t="str">
        <f t="shared" ref="D11120:D11122" si="2459">HYPERLINK("https://12go.asia/en/travel/Talpe/Rekawa", "12Go Link")</f>
        <v>12Go Link</v>
      </c>
      <c r="E11120" s="2" t="s">
        <v>286</v>
      </c>
    </row>
    <row r="11121">
      <c r="A11121" s="2" t="s">
        <v>4954</v>
      </c>
      <c r="B11121" s="2" t="s">
        <v>5018</v>
      </c>
      <c r="C11121" s="2" t="s">
        <v>6120</v>
      </c>
      <c r="D11121" s="3" t="str">
        <f t="shared" si="2459"/>
        <v>12Go Link</v>
      </c>
      <c r="E11121" s="2" t="s">
        <v>4139</v>
      </c>
    </row>
    <row r="11122">
      <c r="A11122" s="2" t="s">
        <v>4954</v>
      </c>
      <c r="B11122" s="2" t="s">
        <v>5018</v>
      </c>
      <c r="C11122" s="2" t="s">
        <v>6120</v>
      </c>
      <c r="D11122" s="3" t="str">
        <f t="shared" si="2459"/>
        <v>12Go Link</v>
      </c>
      <c r="E11122" s="2" t="s">
        <v>3409</v>
      </c>
    </row>
    <row r="11123">
      <c r="A11123" s="2" t="s">
        <v>4954</v>
      </c>
      <c r="B11123" s="2" t="s">
        <v>5020</v>
      </c>
      <c r="C11123" s="2" t="s">
        <v>6121</v>
      </c>
      <c r="D11123" s="3" t="str">
        <f t="shared" ref="D11123:D11125" si="2460">HYPERLINK("https://12go.asia/en/travel/Galle/Tissamaharama", "12Go Link")</f>
        <v>12Go Link</v>
      </c>
      <c r="E11123" s="2" t="s">
        <v>286</v>
      </c>
    </row>
    <row r="11124">
      <c r="A11124" s="2" t="s">
        <v>4954</v>
      </c>
      <c r="B11124" s="2" t="s">
        <v>5020</v>
      </c>
      <c r="C11124" s="2" t="s">
        <v>6121</v>
      </c>
      <c r="D11124" s="3" t="str">
        <f t="shared" si="2460"/>
        <v>12Go Link</v>
      </c>
      <c r="E11124" s="2" t="s">
        <v>4139</v>
      </c>
    </row>
    <row r="11125">
      <c r="A11125" s="2" t="s">
        <v>4954</v>
      </c>
      <c r="B11125" s="2" t="s">
        <v>5020</v>
      </c>
      <c r="C11125" s="2" t="s">
        <v>6121</v>
      </c>
      <c r="D11125" s="3" t="str">
        <f t="shared" si="2460"/>
        <v>12Go Link</v>
      </c>
      <c r="E11125" s="2" t="s">
        <v>3409</v>
      </c>
    </row>
    <row r="11126">
      <c r="A11126" s="2" t="s">
        <v>4954</v>
      </c>
      <c r="B11126" s="2" t="s">
        <v>5020</v>
      </c>
      <c r="C11126" s="2" t="s">
        <v>6122</v>
      </c>
      <c r="D11126" s="3" t="str">
        <f t="shared" ref="D11126:D11128" si="2461">HYPERLINK("https://12go.asia/en/travel/Galle/Yala-Park", "12Go Link")</f>
        <v>12Go Link</v>
      </c>
      <c r="E11126" s="2" t="s">
        <v>286</v>
      </c>
    </row>
    <row r="11127">
      <c r="A11127" s="2" t="s">
        <v>4954</v>
      </c>
      <c r="B11127" s="2" t="s">
        <v>5020</v>
      </c>
      <c r="C11127" s="2" t="s">
        <v>6122</v>
      </c>
      <c r="D11127" s="3" t="str">
        <f t="shared" si="2461"/>
        <v>12Go Link</v>
      </c>
      <c r="E11127" s="2" t="s">
        <v>4139</v>
      </c>
    </row>
    <row r="11128">
      <c r="A11128" s="2" t="s">
        <v>4954</v>
      </c>
      <c r="B11128" s="2" t="s">
        <v>5020</v>
      </c>
      <c r="C11128" s="2" t="s">
        <v>6122</v>
      </c>
      <c r="D11128" s="3" t="str">
        <f t="shared" si="2461"/>
        <v>12Go Link</v>
      </c>
      <c r="E11128" s="2" t="s">
        <v>3409</v>
      </c>
    </row>
    <row r="11129">
      <c r="A11129" s="2" t="s">
        <v>4954</v>
      </c>
      <c r="B11129" s="2" t="s">
        <v>5020</v>
      </c>
      <c r="C11129" s="2" t="s">
        <v>6123</v>
      </c>
      <c r="D11129" s="3" t="str">
        <f t="shared" ref="D11129:D11131" si="2462">HYPERLINK("https://12go.asia/en/travel/Talpe/Tissamaharama", "12Go Link")</f>
        <v>12Go Link</v>
      </c>
      <c r="E11129" s="2" t="s">
        <v>286</v>
      </c>
    </row>
    <row r="11130">
      <c r="A11130" s="2" t="s">
        <v>4954</v>
      </c>
      <c r="B11130" s="2" t="s">
        <v>5020</v>
      </c>
      <c r="C11130" s="2" t="s">
        <v>6123</v>
      </c>
      <c r="D11130" s="3" t="str">
        <f t="shared" si="2462"/>
        <v>12Go Link</v>
      </c>
      <c r="E11130" s="2" t="s">
        <v>4139</v>
      </c>
    </row>
    <row r="11131">
      <c r="A11131" s="2" t="s">
        <v>4954</v>
      </c>
      <c r="B11131" s="2" t="s">
        <v>5020</v>
      </c>
      <c r="C11131" s="2" t="s">
        <v>6123</v>
      </c>
      <c r="D11131" s="3" t="str">
        <f t="shared" si="2462"/>
        <v>12Go Link</v>
      </c>
      <c r="E11131" s="2" t="s">
        <v>3409</v>
      </c>
    </row>
    <row r="11132">
      <c r="A11132" s="2" t="s">
        <v>4954</v>
      </c>
      <c r="B11132" s="2" t="s">
        <v>5020</v>
      </c>
      <c r="C11132" s="2" t="s">
        <v>6124</v>
      </c>
      <c r="D11132" s="3" t="str">
        <f t="shared" ref="D11132:D11134" si="2463">HYPERLINK("https://12go.asia/en/travel/Talpe/Yala-Park", "12Go Link")</f>
        <v>12Go Link</v>
      </c>
      <c r="E11132" s="2" t="s">
        <v>286</v>
      </c>
    </row>
    <row r="11133">
      <c r="A11133" s="2" t="s">
        <v>4954</v>
      </c>
      <c r="B11133" s="2" t="s">
        <v>5020</v>
      </c>
      <c r="C11133" s="2" t="s">
        <v>6124</v>
      </c>
      <c r="D11133" s="3" t="str">
        <f t="shared" si="2463"/>
        <v>12Go Link</v>
      </c>
      <c r="E11133" s="2" t="s">
        <v>4139</v>
      </c>
    </row>
    <row r="11134">
      <c r="A11134" s="2" t="s">
        <v>4954</v>
      </c>
      <c r="B11134" s="2" t="s">
        <v>5020</v>
      </c>
      <c r="C11134" s="2" t="s">
        <v>6124</v>
      </c>
      <c r="D11134" s="3" t="str">
        <f t="shared" si="2463"/>
        <v>12Go Link</v>
      </c>
      <c r="E11134" s="2" t="s">
        <v>3409</v>
      </c>
    </row>
    <row r="11135">
      <c r="A11135" s="2" t="s">
        <v>4954</v>
      </c>
      <c r="B11135" s="2" t="s">
        <v>5023</v>
      </c>
      <c r="C11135" s="2" t="s">
        <v>6125</v>
      </c>
      <c r="D11135" s="3" t="str">
        <f t="shared" ref="D11135:D11137" si="2464">HYPERLINK("https://12go.asia/en/travel/Galle/Nilaweli", "12Go Link")</f>
        <v>12Go Link</v>
      </c>
      <c r="E11135" s="2" t="s">
        <v>286</v>
      </c>
    </row>
    <row r="11136">
      <c r="A11136" s="2" t="s">
        <v>4954</v>
      </c>
      <c r="B11136" s="2" t="s">
        <v>5023</v>
      </c>
      <c r="C11136" s="2" t="s">
        <v>6125</v>
      </c>
      <c r="D11136" s="3" t="str">
        <f t="shared" si="2464"/>
        <v>12Go Link</v>
      </c>
      <c r="E11136" s="2" t="s">
        <v>4139</v>
      </c>
    </row>
    <row r="11137">
      <c r="A11137" s="2" t="s">
        <v>4954</v>
      </c>
      <c r="B11137" s="2" t="s">
        <v>5023</v>
      </c>
      <c r="C11137" s="2" t="s">
        <v>6125</v>
      </c>
      <c r="D11137" s="3" t="str">
        <f t="shared" si="2464"/>
        <v>12Go Link</v>
      </c>
      <c r="E11137" s="2" t="s">
        <v>3409</v>
      </c>
    </row>
    <row r="11138">
      <c r="A11138" s="2" t="s">
        <v>4954</v>
      </c>
      <c r="B11138" s="2" t="s">
        <v>5023</v>
      </c>
      <c r="C11138" s="2" t="s">
        <v>6126</v>
      </c>
      <c r="D11138" s="3" t="str">
        <f t="shared" ref="D11138:D11140" si="2465">HYPERLINK("https://12go.asia/en/travel/Talpe/Nilaweli", "12Go Link")</f>
        <v>12Go Link</v>
      </c>
      <c r="E11138" s="2" t="s">
        <v>286</v>
      </c>
    </row>
    <row r="11139">
      <c r="A11139" s="2" t="s">
        <v>4954</v>
      </c>
      <c r="B11139" s="2" t="s">
        <v>5023</v>
      </c>
      <c r="C11139" s="2" t="s">
        <v>6126</v>
      </c>
      <c r="D11139" s="3" t="str">
        <f t="shared" si="2465"/>
        <v>12Go Link</v>
      </c>
      <c r="E11139" s="2" t="s">
        <v>4139</v>
      </c>
    </row>
    <row r="11140">
      <c r="A11140" s="2" t="s">
        <v>4954</v>
      </c>
      <c r="B11140" s="2" t="s">
        <v>5023</v>
      </c>
      <c r="C11140" s="2" t="s">
        <v>6126</v>
      </c>
      <c r="D11140" s="3" t="str">
        <f t="shared" si="2465"/>
        <v>12Go Link</v>
      </c>
      <c r="E11140" s="2" t="s">
        <v>3409</v>
      </c>
    </row>
    <row r="11141">
      <c r="A11141" s="2" t="s">
        <v>4954</v>
      </c>
      <c r="B11141" s="2" t="s">
        <v>5025</v>
      </c>
      <c r="C11141" s="2" t="s">
        <v>6127</v>
      </c>
      <c r="D11141" s="3" t="str">
        <f t="shared" ref="D11141:D11143" si="2466">HYPERLINK("https://12go.asia/en/travel/Galle/Udawalawa", "12Go Link")</f>
        <v>12Go Link</v>
      </c>
      <c r="E11141" s="2" t="s">
        <v>286</v>
      </c>
    </row>
    <row r="11142">
      <c r="A11142" s="2" t="s">
        <v>4954</v>
      </c>
      <c r="B11142" s="2" t="s">
        <v>5025</v>
      </c>
      <c r="C11142" s="2" t="s">
        <v>6127</v>
      </c>
      <c r="D11142" s="3" t="str">
        <f t="shared" si="2466"/>
        <v>12Go Link</v>
      </c>
      <c r="E11142" s="2" t="s">
        <v>4139</v>
      </c>
    </row>
    <row r="11143">
      <c r="A11143" s="2" t="s">
        <v>4954</v>
      </c>
      <c r="B11143" s="2" t="s">
        <v>5025</v>
      </c>
      <c r="C11143" s="2" t="s">
        <v>6127</v>
      </c>
      <c r="D11143" s="3" t="str">
        <f t="shared" si="2466"/>
        <v>12Go Link</v>
      </c>
      <c r="E11143" s="2" t="s">
        <v>3409</v>
      </c>
    </row>
    <row r="11144">
      <c r="A11144" s="2" t="s">
        <v>4954</v>
      </c>
      <c r="B11144" s="2" t="s">
        <v>5025</v>
      </c>
      <c r="C11144" s="2" t="s">
        <v>6128</v>
      </c>
      <c r="D11144" s="3" t="str">
        <f t="shared" ref="D11144:D11146" si="2467">HYPERLINK("https://12go.asia/en/travel/Talpe/Udawalawa", "12Go Link")</f>
        <v>12Go Link</v>
      </c>
      <c r="E11144" s="2" t="s">
        <v>286</v>
      </c>
    </row>
    <row r="11145">
      <c r="A11145" s="2" t="s">
        <v>4954</v>
      </c>
      <c r="B11145" s="2" t="s">
        <v>5025</v>
      </c>
      <c r="C11145" s="2" t="s">
        <v>6128</v>
      </c>
      <c r="D11145" s="3" t="str">
        <f t="shared" si="2467"/>
        <v>12Go Link</v>
      </c>
      <c r="E11145" s="2" t="s">
        <v>4139</v>
      </c>
    </row>
    <row r="11146">
      <c r="A11146" s="2" t="s">
        <v>4954</v>
      </c>
      <c r="B11146" s="2" t="s">
        <v>5025</v>
      </c>
      <c r="C11146" s="2" t="s">
        <v>6128</v>
      </c>
      <c r="D11146" s="3" t="str">
        <f t="shared" si="2467"/>
        <v>12Go Link</v>
      </c>
      <c r="E11146" s="2" t="s">
        <v>3409</v>
      </c>
    </row>
    <row r="11147">
      <c r="A11147" s="2" t="s">
        <v>4954</v>
      </c>
      <c r="B11147" s="2" t="s">
        <v>5027</v>
      </c>
      <c r="C11147" s="2" t="s">
        <v>6129</v>
      </c>
      <c r="D11147" s="3" t="str">
        <f t="shared" ref="D11147:D11149" si="2468">HYPERLINK("https://12go.asia/en/travel/Galle/Unawatuna", "12Go Link")</f>
        <v>12Go Link</v>
      </c>
      <c r="E11147" s="2" t="s">
        <v>286</v>
      </c>
    </row>
    <row r="11148">
      <c r="A11148" s="2" t="s">
        <v>4954</v>
      </c>
      <c r="B11148" s="2" t="s">
        <v>5027</v>
      </c>
      <c r="C11148" s="2" t="s">
        <v>6129</v>
      </c>
      <c r="D11148" s="3" t="str">
        <f t="shared" si="2468"/>
        <v>12Go Link</v>
      </c>
      <c r="E11148" s="2" t="s">
        <v>4139</v>
      </c>
    </row>
    <row r="11149">
      <c r="A11149" s="2" t="s">
        <v>4954</v>
      </c>
      <c r="B11149" s="2" t="s">
        <v>5027</v>
      </c>
      <c r="C11149" s="2" t="s">
        <v>6129</v>
      </c>
      <c r="D11149" s="3" t="str">
        <f t="shared" si="2468"/>
        <v>12Go Link</v>
      </c>
      <c r="E11149" s="2" t="s">
        <v>3409</v>
      </c>
    </row>
    <row r="11150">
      <c r="A11150" s="2" t="s">
        <v>4954</v>
      </c>
      <c r="B11150" s="2" t="s">
        <v>5027</v>
      </c>
      <c r="C11150" s="2" t="s">
        <v>6130</v>
      </c>
      <c r="D11150" s="3" t="str">
        <f t="shared" ref="D11150:D11152" si="2469">HYPERLINK("https://12go.asia/en/travel/Talpe/Unawatuna", "12Go Link")</f>
        <v>12Go Link</v>
      </c>
      <c r="E11150" s="2" t="s">
        <v>286</v>
      </c>
    </row>
    <row r="11151">
      <c r="A11151" s="2" t="s">
        <v>4954</v>
      </c>
      <c r="B11151" s="2" t="s">
        <v>5027</v>
      </c>
      <c r="C11151" s="2" t="s">
        <v>6130</v>
      </c>
      <c r="D11151" s="3" t="str">
        <f t="shared" si="2469"/>
        <v>12Go Link</v>
      </c>
      <c r="E11151" s="2" t="s">
        <v>4139</v>
      </c>
    </row>
    <row r="11152">
      <c r="A11152" s="2" t="s">
        <v>4954</v>
      </c>
      <c r="B11152" s="2" t="s">
        <v>5027</v>
      </c>
      <c r="C11152" s="2" t="s">
        <v>6130</v>
      </c>
      <c r="D11152" s="3" t="str">
        <f t="shared" si="2469"/>
        <v>12Go Link</v>
      </c>
      <c r="E11152" s="2" t="s">
        <v>3409</v>
      </c>
    </row>
    <row r="11153">
      <c r="A11153" s="2" t="s">
        <v>4954</v>
      </c>
      <c r="B11153" s="2" t="s">
        <v>5029</v>
      </c>
      <c r="C11153" s="2" t="s">
        <v>6131</v>
      </c>
      <c r="D11153" s="3" t="str">
        <f t="shared" ref="D11153:D11155" si="2470">HYPERLINK("https://12go.asia/en/travel/Galle/Attanagalla", "12Go Link")</f>
        <v>12Go Link</v>
      </c>
      <c r="E11153" s="2" t="s">
        <v>286</v>
      </c>
    </row>
    <row r="11154">
      <c r="A11154" s="2" t="s">
        <v>4954</v>
      </c>
      <c r="B11154" s="2" t="s">
        <v>5029</v>
      </c>
      <c r="C11154" s="2" t="s">
        <v>6131</v>
      </c>
      <c r="D11154" s="3" t="str">
        <f t="shared" si="2470"/>
        <v>12Go Link</v>
      </c>
      <c r="E11154" s="2" t="s">
        <v>4139</v>
      </c>
    </row>
    <row r="11155">
      <c r="A11155" s="2" t="s">
        <v>4954</v>
      </c>
      <c r="B11155" s="2" t="s">
        <v>5029</v>
      </c>
      <c r="C11155" s="2" t="s">
        <v>6131</v>
      </c>
      <c r="D11155" s="3" t="str">
        <f t="shared" si="2470"/>
        <v>12Go Link</v>
      </c>
      <c r="E11155" s="2" t="s">
        <v>3409</v>
      </c>
    </row>
    <row r="11156">
      <c r="A11156" s="2" t="s">
        <v>4954</v>
      </c>
      <c r="B11156" s="2" t="s">
        <v>5029</v>
      </c>
      <c r="C11156" s="2" t="s">
        <v>6132</v>
      </c>
      <c r="D11156" s="3" t="str">
        <f t="shared" ref="D11156:D11158" si="2471">HYPERLINK("https://12go.asia/en/travel/Talpe/Attanagalla", "12Go Link")</f>
        <v>12Go Link</v>
      </c>
      <c r="E11156" s="2" t="s">
        <v>286</v>
      </c>
    </row>
    <row r="11157">
      <c r="A11157" s="2" t="s">
        <v>4954</v>
      </c>
      <c r="B11157" s="2" t="s">
        <v>5029</v>
      </c>
      <c r="C11157" s="2" t="s">
        <v>6132</v>
      </c>
      <c r="D11157" s="3" t="str">
        <f t="shared" si="2471"/>
        <v>12Go Link</v>
      </c>
      <c r="E11157" s="2" t="s">
        <v>4139</v>
      </c>
    </row>
    <row r="11158">
      <c r="A11158" s="2" t="s">
        <v>4954</v>
      </c>
      <c r="B11158" s="2" t="s">
        <v>5029</v>
      </c>
      <c r="C11158" s="2" t="s">
        <v>6132</v>
      </c>
      <c r="D11158" s="3" t="str">
        <f t="shared" si="2471"/>
        <v>12Go Link</v>
      </c>
      <c r="E11158" s="2" t="s">
        <v>3409</v>
      </c>
    </row>
    <row r="11159">
      <c r="A11159" s="2" t="s">
        <v>4954</v>
      </c>
      <c r="B11159" s="2" t="s">
        <v>5031</v>
      </c>
      <c r="C11159" s="2" t="s">
        <v>6133</v>
      </c>
      <c r="D11159" s="3" t="str">
        <f t="shared" ref="D11159:D11161" si="2472">HYPERLINK("https://12go.asia/en/travel/Galle/Moronthuduwa", "12Go Link")</f>
        <v>12Go Link</v>
      </c>
      <c r="E11159" s="2" t="s">
        <v>286</v>
      </c>
    </row>
    <row r="11160">
      <c r="A11160" s="2" t="s">
        <v>4954</v>
      </c>
      <c r="B11160" s="2" t="s">
        <v>5031</v>
      </c>
      <c r="C11160" s="2" t="s">
        <v>6133</v>
      </c>
      <c r="D11160" s="3" t="str">
        <f t="shared" si="2472"/>
        <v>12Go Link</v>
      </c>
      <c r="E11160" s="2" t="s">
        <v>4139</v>
      </c>
    </row>
    <row r="11161">
      <c r="A11161" s="2" t="s">
        <v>4954</v>
      </c>
      <c r="B11161" s="2" t="s">
        <v>5031</v>
      </c>
      <c r="C11161" s="2" t="s">
        <v>6133</v>
      </c>
      <c r="D11161" s="3" t="str">
        <f t="shared" si="2472"/>
        <v>12Go Link</v>
      </c>
      <c r="E11161" s="2" t="s">
        <v>3409</v>
      </c>
    </row>
    <row r="11162">
      <c r="A11162" s="2" t="s">
        <v>4954</v>
      </c>
      <c r="B11162" s="2" t="s">
        <v>5031</v>
      </c>
      <c r="C11162" s="2" t="s">
        <v>6134</v>
      </c>
      <c r="D11162" s="3" t="str">
        <f t="shared" ref="D11162:D11164" si="2473">HYPERLINK("https://12go.asia/en/travel/Galle/Waskaduwa", "12Go Link")</f>
        <v>12Go Link</v>
      </c>
      <c r="E11162" s="2" t="s">
        <v>286</v>
      </c>
    </row>
    <row r="11163">
      <c r="A11163" s="2" t="s">
        <v>4954</v>
      </c>
      <c r="B11163" s="2" t="s">
        <v>5031</v>
      </c>
      <c r="C11163" s="2" t="s">
        <v>6134</v>
      </c>
      <c r="D11163" s="3" t="str">
        <f t="shared" si="2473"/>
        <v>12Go Link</v>
      </c>
      <c r="E11163" s="2" t="s">
        <v>4139</v>
      </c>
    </row>
    <row r="11164">
      <c r="A11164" s="2" t="s">
        <v>4954</v>
      </c>
      <c r="B11164" s="2" t="s">
        <v>5031</v>
      </c>
      <c r="C11164" s="2" t="s">
        <v>6134</v>
      </c>
      <c r="D11164" s="3" t="str">
        <f t="shared" si="2473"/>
        <v>12Go Link</v>
      </c>
      <c r="E11164" s="2" t="s">
        <v>3409</v>
      </c>
    </row>
    <row r="11165">
      <c r="A11165" s="2" t="s">
        <v>4954</v>
      </c>
      <c r="B11165" s="2" t="s">
        <v>5031</v>
      </c>
      <c r="C11165" s="2" t="s">
        <v>6135</v>
      </c>
      <c r="D11165" s="3" t="str">
        <f t="shared" ref="D11165:D11167" si="2474">HYPERLINK("https://12go.asia/en/travel/Talpe/Moronthuduwa", "12Go Link")</f>
        <v>12Go Link</v>
      </c>
      <c r="E11165" s="2" t="s">
        <v>286</v>
      </c>
    </row>
    <row r="11166">
      <c r="A11166" s="2" t="s">
        <v>4954</v>
      </c>
      <c r="B11166" s="2" t="s">
        <v>5031</v>
      </c>
      <c r="C11166" s="2" t="s">
        <v>6135</v>
      </c>
      <c r="D11166" s="3" t="str">
        <f t="shared" si="2474"/>
        <v>12Go Link</v>
      </c>
      <c r="E11166" s="2" t="s">
        <v>4139</v>
      </c>
    </row>
    <row r="11167">
      <c r="A11167" s="2" t="s">
        <v>4954</v>
      </c>
      <c r="B11167" s="2" t="s">
        <v>5031</v>
      </c>
      <c r="C11167" s="2" t="s">
        <v>6135</v>
      </c>
      <c r="D11167" s="3" t="str">
        <f t="shared" si="2474"/>
        <v>12Go Link</v>
      </c>
      <c r="E11167" s="2" t="s">
        <v>3409</v>
      </c>
    </row>
    <row r="11168">
      <c r="A11168" s="2" t="s">
        <v>4954</v>
      </c>
      <c r="B11168" s="2" t="s">
        <v>5031</v>
      </c>
      <c r="C11168" s="2" t="s">
        <v>6136</v>
      </c>
      <c r="D11168" s="3" t="str">
        <f t="shared" ref="D11168:D11170" si="2475">HYPERLINK("https://12go.asia/en/travel/Talpe/Waskaduwa", "12Go Link")</f>
        <v>12Go Link</v>
      </c>
      <c r="E11168" s="2" t="s">
        <v>286</v>
      </c>
    </row>
    <row r="11169">
      <c r="A11169" s="2" t="s">
        <v>4954</v>
      </c>
      <c r="B11169" s="2" t="s">
        <v>5031</v>
      </c>
      <c r="C11169" s="2" t="s">
        <v>6136</v>
      </c>
      <c r="D11169" s="3" t="str">
        <f t="shared" si="2475"/>
        <v>12Go Link</v>
      </c>
      <c r="E11169" s="2" t="s">
        <v>4139</v>
      </c>
    </row>
    <row r="11170">
      <c r="A11170" s="2" t="s">
        <v>4954</v>
      </c>
      <c r="B11170" s="2" t="s">
        <v>5031</v>
      </c>
      <c r="C11170" s="2" t="s">
        <v>6136</v>
      </c>
      <c r="D11170" s="3" t="str">
        <f t="shared" si="2475"/>
        <v>12Go Link</v>
      </c>
      <c r="E11170" s="2" t="s">
        <v>3409</v>
      </c>
    </row>
    <row r="11171">
      <c r="A11171" s="2" t="s">
        <v>4954</v>
      </c>
      <c r="B11171" s="2" t="s">
        <v>5034</v>
      </c>
      <c r="C11171" s="2" t="s">
        <v>6137</v>
      </c>
      <c r="D11171" s="3" t="str">
        <f t="shared" ref="D11171:D11173" si="2476">HYPERLINK("https://12go.asia/en/travel/Galle/Weddagala", "12Go Link")</f>
        <v>12Go Link</v>
      </c>
      <c r="E11171" s="2" t="s">
        <v>286</v>
      </c>
    </row>
    <row r="11172">
      <c r="A11172" s="2" t="s">
        <v>4954</v>
      </c>
      <c r="B11172" s="2" t="s">
        <v>5034</v>
      </c>
      <c r="C11172" s="2" t="s">
        <v>6137</v>
      </c>
      <c r="D11172" s="3" t="str">
        <f t="shared" si="2476"/>
        <v>12Go Link</v>
      </c>
      <c r="E11172" s="2" t="s">
        <v>4139</v>
      </c>
    </row>
    <row r="11173">
      <c r="A11173" s="2" t="s">
        <v>4954</v>
      </c>
      <c r="B11173" s="2" t="s">
        <v>5034</v>
      </c>
      <c r="C11173" s="2" t="s">
        <v>6137</v>
      </c>
      <c r="D11173" s="3" t="str">
        <f t="shared" si="2476"/>
        <v>12Go Link</v>
      </c>
      <c r="E11173" s="2" t="s">
        <v>3409</v>
      </c>
    </row>
    <row r="11174">
      <c r="A11174" s="2" t="s">
        <v>4954</v>
      </c>
      <c r="B11174" s="2" t="s">
        <v>5034</v>
      </c>
      <c r="C11174" s="2" t="s">
        <v>6138</v>
      </c>
      <c r="D11174" s="3" t="str">
        <f t="shared" ref="D11174:D11176" si="2477">HYPERLINK("https://12go.asia/en/travel/Talpe/Weddagala", "12Go Link")</f>
        <v>12Go Link</v>
      </c>
      <c r="E11174" s="2" t="s">
        <v>286</v>
      </c>
    </row>
    <row r="11175">
      <c r="A11175" s="2" t="s">
        <v>4954</v>
      </c>
      <c r="B11175" s="2" t="s">
        <v>5034</v>
      </c>
      <c r="C11175" s="2" t="s">
        <v>6138</v>
      </c>
      <c r="D11175" s="3" t="str">
        <f t="shared" si="2477"/>
        <v>12Go Link</v>
      </c>
      <c r="E11175" s="2" t="s">
        <v>4139</v>
      </c>
    </row>
    <row r="11176">
      <c r="A11176" s="2" t="s">
        <v>4954</v>
      </c>
      <c r="B11176" s="2" t="s">
        <v>5034</v>
      </c>
      <c r="C11176" s="2" t="s">
        <v>6138</v>
      </c>
      <c r="D11176" s="3" t="str">
        <f t="shared" si="2477"/>
        <v>12Go Link</v>
      </c>
      <c r="E11176" s="2" t="s">
        <v>3409</v>
      </c>
    </row>
    <row r="11177">
      <c r="A11177" s="2" t="s">
        <v>4954</v>
      </c>
      <c r="B11177" s="2" t="s">
        <v>5036</v>
      </c>
      <c r="C11177" s="2" t="s">
        <v>6139</v>
      </c>
      <c r="D11177" s="3" t="str">
        <f t="shared" ref="D11177:D11179" si="2478">HYPERLINK("https://12go.asia/en/travel/Galle/Weligatta", "12Go Link")</f>
        <v>12Go Link</v>
      </c>
      <c r="E11177" s="2" t="s">
        <v>286</v>
      </c>
    </row>
    <row r="11178">
      <c r="A11178" s="2" t="s">
        <v>4954</v>
      </c>
      <c r="B11178" s="2" t="s">
        <v>5036</v>
      </c>
      <c r="C11178" s="2" t="s">
        <v>6139</v>
      </c>
      <c r="D11178" s="3" t="str">
        <f t="shared" si="2478"/>
        <v>12Go Link</v>
      </c>
      <c r="E11178" s="2" t="s">
        <v>4139</v>
      </c>
    </row>
    <row r="11179">
      <c r="A11179" s="2" t="s">
        <v>4954</v>
      </c>
      <c r="B11179" s="2" t="s">
        <v>5036</v>
      </c>
      <c r="C11179" s="2" t="s">
        <v>6139</v>
      </c>
      <c r="D11179" s="3" t="str">
        <f t="shared" si="2478"/>
        <v>12Go Link</v>
      </c>
      <c r="E11179" s="2" t="s">
        <v>3409</v>
      </c>
    </row>
    <row r="11180">
      <c r="A11180" s="2" t="s">
        <v>4954</v>
      </c>
      <c r="B11180" s="2" t="s">
        <v>5036</v>
      </c>
      <c r="C11180" s="2" t="s">
        <v>6140</v>
      </c>
      <c r="D11180" s="3" t="str">
        <f t="shared" ref="D11180:D11182" si="2479">HYPERLINK("https://12go.asia/en/travel/Talpe/Weligatta", "12Go Link")</f>
        <v>12Go Link</v>
      </c>
      <c r="E11180" s="2" t="s">
        <v>286</v>
      </c>
    </row>
    <row r="11181">
      <c r="A11181" s="2" t="s">
        <v>4954</v>
      </c>
      <c r="B11181" s="2" t="s">
        <v>5036</v>
      </c>
      <c r="C11181" s="2" t="s">
        <v>6140</v>
      </c>
      <c r="D11181" s="3" t="str">
        <f t="shared" si="2479"/>
        <v>12Go Link</v>
      </c>
      <c r="E11181" s="2" t="s">
        <v>4139</v>
      </c>
    </row>
    <row r="11182">
      <c r="A11182" s="2" t="s">
        <v>4954</v>
      </c>
      <c r="B11182" s="2" t="s">
        <v>5036</v>
      </c>
      <c r="C11182" s="2" t="s">
        <v>6140</v>
      </c>
      <c r="D11182" s="3" t="str">
        <f t="shared" si="2479"/>
        <v>12Go Link</v>
      </c>
      <c r="E11182" s="2" t="s">
        <v>3409</v>
      </c>
    </row>
    <row r="11183">
      <c r="A11183" s="2" t="s">
        <v>4954</v>
      </c>
      <c r="B11183" s="2" t="s">
        <v>5038</v>
      </c>
      <c r="C11183" s="2" t="s">
        <v>6141</v>
      </c>
      <c r="D11183" s="3" t="str">
        <f t="shared" ref="D11183:D11185" si="2480">HYPERLINK("https://12go.asia/en/travel/Galle/Akuressa", "12Go Link")</f>
        <v>12Go Link</v>
      </c>
      <c r="E11183" s="2" t="s">
        <v>286</v>
      </c>
    </row>
    <row r="11184">
      <c r="A11184" s="2" t="s">
        <v>4954</v>
      </c>
      <c r="B11184" s="2" t="s">
        <v>5038</v>
      </c>
      <c r="C11184" s="2" t="s">
        <v>6141</v>
      </c>
      <c r="D11184" s="3" t="str">
        <f t="shared" si="2480"/>
        <v>12Go Link</v>
      </c>
      <c r="E11184" s="2" t="s">
        <v>4139</v>
      </c>
    </row>
    <row r="11185">
      <c r="A11185" s="2" t="s">
        <v>4954</v>
      </c>
      <c r="B11185" s="2" t="s">
        <v>5038</v>
      </c>
      <c r="C11185" s="2" t="s">
        <v>6141</v>
      </c>
      <c r="D11185" s="3" t="str">
        <f t="shared" si="2480"/>
        <v>12Go Link</v>
      </c>
      <c r="E11185" s="2" t="s">
        <v>3409</v>
      </c>
    </row>
    <row r="11186">
      <c r="A11186" s="2" t="s">
        <v>4954</v>
      </c>
      <c r="B11186" s="2" t="s">
        <v>5038</v>
      </c>
      <c r="C11186" s="2" t="s">
        <v>6142</v>
      </c>
      <c r="D11186" s="3" t="str">
        <f t="shared" ref="D11186:D11187" si="2481">HYPERLINK("https://12go.asia/en/travel/Galle/Weligama", "12Go Link")</f>
        <v>12Go Link</v>
      </c>
      <c r="E11186" s="2" t="s">
        <v>5080</v>
      </c>
    </row>
    <row r="11187">
      <c r="A11187" s="2" t="s">
        <v>4954</v>
      </c>
      <c r="B11187" s="2" t="s">
        <v>5038</v>
      </c>
      <c r="C11187" s="2" t="s">
        <v>6142</v>
      </c>
      <c r="D11187" s="3" t="str">
        <f t="shared" si="2481"/>
        <v>12Go Link</v>
      </c>
      <c r="E11187" s="2" t="s">
        <v>5081</v>
      </c>
    </row>
    <row r="11188">
      <c r="A11188" s="2" t="s">
        <v>4954</v>
      </c>
      <c r="B11188" s="2" t="s">
        <v>5038</v>
      </c>
      <c r="C11188" s="2" t="s">
        <v>6143</v>
      </c>
      <c r="D11188" s="3" t="str">
        <f t="shared" ref="D11188:D11190" si="2482">HYPERLINK("https://12go.asia/en/travel/Talpe/Akuressa", "12Go Link")</f>
        <v>12Go Link</v>
      </c>
      <c r="E11188" s="2" t="s">
        <v>286</v>
      </c>
    </row>
    <row r="11189">
      <c r="A11189" s="2" t="s">
        <v>4954</v>
      </c>
      <c r="B11189" s="2" t="s">
        <v>5038</v>
      </c>
      <c r="C11189" s="2" t="s">
        <v>6143</v>
      </c>
      <c r="D11189" s="3" t="str">
        <f t="shared" si="2482"/>
        <v>12Go Link</v>
      </c>
      <c r="E11189" s="2" t="s">
        <v>4139</v>
      </c>
    </row>
    <row r="11190">
      <c r="A11190" s="2" t="s">
        <v>4954</v>
      </c>
      <c r="B11190" s="2" t="s">
        <v>5038</v>
      </c>
      <c r="C11190" s="2" t="s">
        <v>6143</v>
      </c>
      <c r="D11190" s="3" t="str">
        <f t="shared" si="2482"/>
        <v>12Go Link</v>
      </c>
      <c r="E11190" s="2" t="s">
        <v>3409</v>
      </c>
    </row>
    <row r="11191">
      <c r="A11191" s="2" t="s">
        <v>4954</v>
      </c>
      <c r="B11191" s="2" t="s">
        <v>5040</v>
      </c>
      <c r="C11191" s="2" t="s">
        <v>6144</v>
      </c>
      <c r="D11191" s="3" t="str">
        <f t="shared" ref="D11191:D11193" si="2483">HYPERLINK("https://12go.asia/en/travel/Galle/Wilpattu", "12Go Link")</f>
        <v>12Go Link</v>
      </c>
      <c r="E11191" s="2" t="s">
        <v>286</v>
      </c>
    </row>
    <row r="11192">
      <c r="A11192" s="2" t="s">
        <v>4954</v>
      </c>
      <c r="B11192" s="2" t="s">
        <v>5040</v>
      </c>
      <c r="C11192" s="2" t="s">
        <v>6144</v>
      </c>
      <c r="D11192" s="3" t="str">
        <f t="shared" si="2483"/>
        <v>12Go Link</v>
      </c>
      <c r="E11192" s="2" t="s">
        <v>4139</v>
      </c>
    </row>
    <row r="11193">
      <c r="A11193" s="2" t="s">
        <v>4954</v>
      </c>
      <c r="B11193" s="2" t="s">
        <v>5040</v>
      </c>
      <c r="C11193" s="2" t="s">
        <v>6144</v>
      </c>
      <c r="D11193" s="3" t="str">
        <f t="shared" si="2483"/>
        <v>12Go Link</v>
      </c>
      <c r="E11193" s="2" t="s">
        <v>3409</v>
      </c>
    </row>
    <row r="11194">
      <c r="A11194" s="2" t="s">
        <v>4954</v>
      </c>
      <c r="B11194" s="2" t="s">
        <v>5040</v>
      </c>
      <c r="C11194" s="2" t="s">
        <v>6145</v>
      </c>
      <c r="D11194" s="3" t="str">
        <f t="shared" ref="D11194:D11196" si="2484">HYPERLINK("https://12go.asia/en/travel/Talpe/Wilpattu", "12Go Link")</f>
        <v>12Go Link</v>
      </c>
      <c r="E11194" s="2" t="s">
        <v>286</v>
      </c>
    </row>
    <row r="11195">
      <c r="A11195" s="2" t="s">
        <v>4954</v>
      </c>
      <c r="B11195" s="2" t="s">
        <v>5040</v>
      </c>
      <c r="C11195" s="2" t="s">
        <v>6145</v>
      </c>
      <c r="D11195" s="3" t="str">
        <f t="shared" si="2484"/>
        <v>12Go Link</v>
      </c>
      <c r="E11195" s="2" t="s">
        <v>4139</v>
      </c>
    </row>
    <row r="11196">
      <c r="A11196" s="2" t="s">
        <v>4954</v>
      </c>
      <c r="B11196" s="2" t="s">
        <v>5040</v>
      </c>
      <c r="C11196" s="2" t="s">
        <v>6145</v>
      </c>
      <c r="D11196" s="3" t="str">
        <f t="shared" si="2484"/>
        <v>12Go Link</v>
      </c>
      <c r="E11196" s="2" t="s">
        <v>3409</v>
      </c>
    </row>
    <row r="11197">
      <c r="A11197" s="2" t="s">
        <v>6146</v>
      </c>
      <c r="B11197" s="2" t="s">
        <v>4957</v>
      </c>
      <c r="C11197" s="2" t="s">
        <v>6147</v>
      </c>
      <c r="D11197" s="3" t="str">
        <f>HYPERLINK("https://12go.asia/en/travel/Gampaha/Habarana", "12Go Link")</f>
        <v>12Go Link</v>
      </c>
      <c r="E11197" s="2" t="s">
        <v>5080</v>
      </c>
    </row>
    <row r="11198">
      <c r="A11198" s="2" t="s">
        <v>4959</v>
      </c>
      <c r="B11198" s="2" t="s">
        <v>4918</v>
      </c>
      <c r="C11198" s="2" t="s">
        <v>6148</v>
      </c>
      <c r="D11198" s="3" t="str">
        <f t="shared" ref="D11198:D11200" si="2485">HYPERLINK("https://12go.asia/en/travel/Ella/Adams-Peak", "12Go Link")</f>
        <v>12Go Link</v>
      </c>
      <c r="E11198" s="2" t="s">
        <v>286</v>
      </c>
    </row>
    <row r="11199">
      <c r="A11199" s="2" t="s">
        <v>4959</v>
      </c>
      <c r="B11199" s="2" t="s">
        <v>4918</v>
      </c>
      <c r="C11199" s="2" t="s">
        <v>6148</v>
      </c>
      <c r="D11199" s="3" t="str">
        <f t="shared" si="2485"/>
        <v>12Go Link</v>
      </c>
      <c r="E11199" s="2" t="s">
        <v>4139</v>
      </c>
    </row>
    <row r="11200">
      <c r="A11200" s="2" t="s">
        <v>4959</v>
      </c>
      <c r="B11200" s="2" t="s">
        <v>4918</v>
      </c>
      <c r="C11200" s="2" t="s">
        <v>6148</v>
      </c>
      <c r="D11200" s="3" t="str">
        <f t="shared" si="2485"/>
        <v>12Go Link</v>
      </c>
      <c r="E11200" s="2" t="s">
        <v>3409</v>
      </c>
    </row>
    <row r="11201">
      <c r="A11201" s="2" t="s">
        <v>4959</v>
      </c>
      <c r="B11201" s="2" t="s">
        <v>4919</v>
      </c>
      <c r="C11201" s="2" t="s">
        <v>6149</v>
      </c>
      <c r="D11201" s="3" t="str">
        <f t="shared" ref="D11201:D11203" si="2486">HYPERLINK("https://12go.asia/en/travel/Ella/Ahangama", "12Go Link")</f>
        <v>12Go Link</v>
      </c>
      <c r="E11201" s="2" t="s">
        <v>286</v>
      </c>
    </row>
    <row r="11202">
      <c r="A11202" s="2" t="s">
        <v>4959</v>
      </c>
      <c r="B11202" s="2" t="s">
        <v>4919</v>
      </c>
      <c r="C11202" s="2" t="s">
        <v>6149</v>
      </c>
      <c r="D11202" s="3" t="str">
        <f t="shared" si="2486"/>
        <v>12Go Link</v>
      </c>
      <c r="E11202" s="2" t="s">
        <v>4139</v>
      </c>
    </row>
    <row r="11203">
      <c r="A11203" s="2" t="s">
        <v>4959</v>
      </c>
      <c r="B11203" s="2" t="s">
        <v>4919</v>
      </c>
      <c r="C11203" s="2" t="s">
        <v>6149</v>
      </c>
      <c r="D11203" s="3" t="str">
        <f t="shared" si="2486"/>
        <v>12Go Link</v>
      </c>
      <c r="E11203" s="2" t="s">
        <v>3409</v>
      </c>
    </row>
    <row r="11204">
      <c r="A11204" s="2" t="s">
        <v>4959</v>
      </c>
      <c r="B11204" s="2" t="s">
        <v>4921</v>
      </c>
      <c r="C11204" s="2" t="s">
        <v>6150</v>
      </c>
      <c r="D11204" s="3" t="str">
        <f t="shared" ref="D11204:D11206" si="2487">HYPERLINK("https://12go.asia/en/travel/Ella/Ahungalla", "12Go Link")</f>
        <v>12Go Link</v>
      </c>
      <c r="E11204" s="2" t="s">
        <v>286</v>
      </c>
    </row>
    <row r="11205">
      <c r="A11205" s="2" t="s">
        <v>4959</v>
      </c>
      <c r="B11205" s="2" t="s">
        <v>4921</v>
      </c>
      <c r="C11205" s="2" t="s">
        <v>6150</v>
      </c>
      <c r="D11205" s="3" t="str">
        <f t="shared" si="2487"/>
        <v>12Go Link</v>
      </c>
      <c r="E11205" s="2" t="s">
        <v>4139</v>
      </c>
    </row>
    <row r="11206">
      <c r="A11206" s="2" t="s">
        <v>4959</v>
      </c>
      <c r="B11206" s="2" t="s">
        <v>4921</v>
      </c>
      <c r="C11206" s="2" t="s">
        <v>6150</v>
      </c>
      <c r="D11206" s="3" t="str">
        <f t="shared" si="2487"/>
        <v>12Go Link</v>
      </c>
      <c r="E11206" s="2" t="s">
        <v>3409</v>
      </c>
    </row>
    <row r="11207">
      <c r="A11207" s="2" t="s">
        <v>4959</v>
      </c>
      <c r="B11207" s="2" t="s">
        <v>4923</v>
      </c>
      <c r="C11207" s="2" t="s">
        <v>6151</v>
      </c>
      <c r="D11207" s="3" t="str">
        <f t="shared" ref="D11207:D11209" si="2488">HYPERLINK("https://12go.asia/en/travel/Ella/Aluthgama", "12Go Link")</f>
        <v>12Go Link</v>
      </c>
      <c r="E11207" s="2" t="s">
        <v>286</v>
      </c>
    </row>
    <row r="11208">
      <c r="A11208" s="2" t="s">
        <v>4959</v>
      </c>
      <c r="B11208" s="2" t="s">
        <v>4923</v>
      </c>
      <c r="C11208" s="2" t="s">
        <v>6151</v>
      </c>
      <c r="D11208" s="3" t="str">
        <f t="shared" si="2488"/>
        <v>12Go Link</v>
      </c>
      <c r="E11208" s="2" t="s">
        <v>4139</v>
      </c>
    </row>
    <row r="11209">
      <c r="A11209" s="2" t="s">
        <v>4959</v>
      </c>
      <c r="B11209" s="2" t="s">
        <v>4923</v>
      </c>
      <c r="C11209" s="2" t="s">
        <v>6151</v>
      </c>
      <c r="D11209" s="3" t="str">
        <f t="shared" si="2488"/>
        <v>12Go Link</v>
      </c>
      <c r="E11209" s="2" t="s">
        <v>3409</v>
      </c>
    </row>
    <row r="11210">
      <c r="A11210" s="2" t="s">
        <v>4959</v>
      </c>
      <c r="B11210" s="2" t="s">
        <v>4925</v>
      </c>
      <c r="C11210" s="2" t="s">
        <v>6152</v>
      </c>
      <c r="D11210" s="3" t="str">
        <f t="shared" ref="D11210:D11212" si="2489">HYPERLINK("https://12go.asia/en/travel/Ella/Ambalangoda", "12Go Link")</f>
        <v>12Go Link</v>
      </c>
      <c r="E11210" s="2" t="s">
        <v>286</v>
      </c>
    </row>
    <row r="11211">
      <c r="A11211" s="2" t="s">
        <v>4959</v>
      </c>
      <c r="B11211" s="2" t="s">
        <v>4925</v>
      </c>
      <c r="C11211" s="2" t="s">
        <v>6152</v>
      </c>
      <c r="D11211" s="3" t="str">
        <f t="shared" si="2489"/>
        <v>12Go Link</v>
      </c>
      <c r="E11211" s="2" t="s">
        <v>4139</v>
      </c>
    </row>
    <row r="11212">
      <c r="A11212" s="2" t="s">
        <v>4959</v>
      </c>
      <c r="B11212" s="2" t="s">
        <v>4925</v>
      </c>
      <c r="C11212" s="2" t="s">
        <v>6152</v>
      </c>
      <c r="D11212" s="3" t="str">
        <f t="shared" si="2489"/>
        <v>12Go Link</v>
      </c>
      <c r="E11212" s="2" t="s">
        <v>3409</v>
      </c>
    </row>
    <row r="11213">
      <c r="A11213" s="2" t="s">
        <v>4959</v>
      </c>
      <c r="B11213" s="2" t="s">
        <v>4927</v>
      </c>
      <c r="C11213" s="2" t="s">
        <v>6153</v>
      </c>
      <c r="D11213" s="3" t="str">
        <f t="shared" ref="D11213:D11215" si="2490">HYPERLINK("https://12go.asia/en/travel/Ella/Ambalantota", "12Go Link")</f>
        <v>12Go Link</v>
      </c>
      <c r="E11213" s="2" t="s">
        <v>286</v>
      </c>
    </row>
    <row r="11214">
      <c r="A11214" s="2" t="s">
        <v>4959</v>
      </c>
      <c r="B11214" s="2" t="s">
        <v>4927</v>
      </c>
      <c r="C11214" s="2" t="s">
        <v>6153</v>
      </c>
      <c r="D11214" s="3" t="str">
        <f t="shared" si="2490"/>
        <v>12Go Link</v>
      </c>
      <c r="E11214" s="2" t="s">
        <v>4139</v>
      </c>
    </row>
    <row r="11215">
      <c r="A11215" s="2" t="s">
        <v>4959</v>
      </c>
      <c r="B11215" s="2" t="s">
        <v>4927</v>
      </c>
      <c r="C11215" s="2" t="s">
        <v>6153</v>
      </c>
      <c r="D11215" s="3" t="str">
        <f t="shared" si="2490"/>
        <v>12Go Link</v>
      </c>
      <c r="E11215" s="2" t="s">
        <v>3409</v>
      </c>
    </row>
    <row r="11216">
      <c r="A11216" s="2" t="s">
        <v>4959</v>
      </c>
      <c r="B11216" s="2" t="s">
        <v>4929</v>
      </c>
      <c r="C11216" s="2" t="s">
        <v>6154</v>
      </c>
      <c r="D11216" s="3" t="str">
        <f t="shared" ref="D11216:D11218" si="2491">HYPERLINK("https://12go.asia/en/travel/Ella/Anuradhapura", "12Go Link")</f>
        <v>12Go Link</v>
      </c>
      <c r="E11216" s="2" t="s">
        <v>286</v>
      </c>
    </row>
    <row r="11217">
      <c r="A11217" s="2" t="s">
        <v>4959</v>
      </c>
      <c r="B11217" s="2" t="s">
        <v>4929</v>
      </c>
      <c r="C11217" s="2" t="s">
        <v>6154</v>
      </c>
      <c r="D11217" s="3" t="str">
        <f t="shared" si="2491"/>
        <v>12Go Link</v>
      </c>
      <c r="E11217" s="2" t="s">
        <v>4139</v>
      </c>
    </row>
    <row r="11218">
      <c r="A11218" s="2" t="s">
        <v>4959</v>
      </c>
      <c r="B11218" s="2" t="s">
        <v>4929</v>
      </c>
      <c r="C11218" s="2" t="s">
        <v>6154</v>
      </c>
      <c r="D11218" s="3" t="str">
        <f t="shared" si="2491"/>
        <v>12Go Link</v>
      </c>
      <c r="E11218" s="2" t="s">
        <v>3409</v>
      </c>
    </row>
    <row r="11219">
      <c r="A11219" s="2" t="s">
        <v>4959</v>
      </c>
      <c r="B11219" s="2" t="s">
        <v>4931</v>
      </c>
      <c r="C11219" s="2" t="s">
        <v>6155</v>
      </c>
      <c r="D11219" s="3" t="str">
        <f t="shared" ref="D11219:D11221" si="2492">HYPERLINK("https://12go.asia/en/travel/Ella/Arugam-bay", "12Go Link")</f>
        <v>12Go Link</v>
      </c>
      <c r="E11219" s="2" t="s">
        <v>286</v>
      </c>
    </row>
    <row r="11220">
      <c r="A11220" s="2" t="s">
        <v>4959</v>
      </c>
      <c r="B11220" s="2" t="s">
        <v>4931</v>
      </c>
      <c r="C11220" s="2" t="s">
        <v>6155</v>
      </c>
      <c r="D11220" s="3" t="str">
        <f t="shared" si="2492"/>
        <v>12Go Link</v>
      </c>
      <c r="E11220" s="2" t="s">
        <v>4139</v>
      </c>
    </row>
    <row r="11221">
      <c r="A11221" s="2" t="s">
        <v>4959</v>
      </c>
      <c r="B11221" s="2" t="s">
        <v>4931</v>
      </c>
      <c r="C11221" s="2" t="s">
        <v>6155</v>
      </c>
      <c r="D11221" s="3" t="str">
        <f t="shared" si="2492"/>
        <v>12Go Link</v>
      </c>
      <c r="E11221" s="2" t="s">
        <v>3409</v>
      </c>
    </row>
    <row r="11222">
      <c r="A11222" s="2" t="s">
        <v>4959</v>
      </c>
      <c r="B11222" s="2" t="s">
        <v>4933</v>
      </c>
      <c r="C11222" s="2" t="s">
        <v>6156</v>
      </c>
      <c r="D11222" s="3" t="str">
        <f t="shared" ref="D11222:D11224" si="2493">HYPERLINK("https://12go.asia/en/travel/Ella/balapitiya", "12Go Link")</f>
        <v>12Go Link</v>
      </c>
      <c r="E11222" s="2" t="s">
        <v>286</v>
      </c>
    </row>
    <row r="11223">
      <c r="A11223" s="2" t="s">
        <v>4959</v>
      </c>
      <c r="B11223" s="2" t="s">
        <v>4933</v>
      </c>
      <c r="C11223" s="2" t="s">
        <v>6156</v>
      </c>
      <c r="D11223" s="3" t="str">
        <f t="shared" si="2493"/>
        <v>12Go Link</v>
      </c>
      <c r="E11223" s="2" t="s">
        <v>4139</v>
      </c>
    </row>
    <row r="11224">
      <c r="A11224" s="2" t="s">
        <v>4959</v>
      </c>
      <c r="B11224" s="2" t="s">
        <v>4933</v>
      </c>
      <c r="C11224" s="2" t="s">
        <v>6156</v>
      </c>
      <c r="D11224" s="3" t="str">
        <f t="shared" si="2493"/>
        <v>12Go Link</v>
      </c>
      <c r="E11224" s="2" t="s">
        <v>3409</v>
      </c>
    </row>
    <row r="11225">
      <c r="A11225" s="2" t="s">
        <v>4959</v>
      </c>
      <c r="B11225" s="2" t="s">
        <v>4935</v>
      </c>
      <c r="C11225" s="2" t="s">
        <v>6157</v>
      </c>
      <c r="D11225" s="3" t="str">
        <f t="shared" ref="D11225:D11227" si="2494">HYPERLINK("https://12go.asia/en/travel/Ella/Batticaloa", "12Go Link")</f>
        <v>12Go Link</v>
      </c>
      <c r="E11225" s="2" t="s">
        <v>286</v>
      </c>
    </row>
    <row r="11226">
      <c r="A11226" s="2" t="s">
        <v>4959</v>
      </c>
      <c r="B11226" s="2" t="s">
        <v>4935</v>
      </c>
      <c r="C11226" s="2" t="s">
        <v>6157</v>
      </c>
      <c r="D11226" s="3" t="str">
        <f t="shared" si="2494"/>
        <v>12Go Link</v>
      </c>
      <c r="E11226" s="2" t="s">
        <v>4139</v>
      </c>
    </row>
    <row r="11227">
      <c r="A11227" s="2" t="s">
        <v>4959</v>
      </c>
      <c r="B11227" s="2" t="s">
        <v>4935</v>
      </c>
      <c r="C11227" s="2" t="s">
        <v>6157</v>
      </c>
      <c r="D11227" s="3" t="str">
        <f t="shared" si="2494"/>
        <v>12Go Link</v>
      </c>
      <c r="E11227" s="2" t="s">
        <v>3409</v>
      </c>
    </row>
    <row r="11228">
      <c r="A11228" s="2" t="s">
        <v>4959</v>
      </c>
      <c r="B11228" s="2" t="s">
        <v>4937</v>
      </c>
      <c r="C11228" s="2" t="s">
        <v>6158</v>
      </c>
      <c r="D11228" s="3" t="str">
        <f t="shared" ref="D11228:D11230" si="2495">HYPERLINK("https://12go.asia/en/travel/Ella/Bentota", "12Go Link")</f>
        <v>12Go Link</v>
      </c>
      <c r="E11228" s="2" t="s">
        <v>286</v>
      </c>
    </row>
    <row r="11229">
      <c r="A11229" s="2" t="s">
        <v>4959</v>
      </c>
      <c r="B11229" s="2" t="s">
        <v>4937</v>
      </c>
      <c r="C11229" s="2" t="s">
        <v>6158</v>
      </c>
      <c r="D11229" s="3" t="str">
        <f t="shared" si="2495"/>
        <v>12Go Link</v>
      </c>
      <c r="E11229" s="2" t="s">
        <v>4139</v>
      </c>
    </row>
    <row r="11230">
      <c r="A11230" s="2" t="s">
        <v>4959</v>
      </c>
      <c r="B11230" s="2" t="s">
        <v>4937</v>
      </c>
      <c r="C11230" s="2" t="s">
        <v>6158</v>
      </c>
      <c r="D11230" s="3" t="str">
        <f t="shared" si="2495"/>
        <v>12Go Link</v>
      </c>
      <c r="E11230" s="2" t="s">
        <v>3409</v>
      </c>
    </row>
    <row r="11231">
      <c r="A11231" s="2" t="s">
        <v>4959</v>
      </c>
      <c r="B11231" s="2" t="s">
        <v>4939</v>
      </c>
      <c r="C11231" s="2" t="s">
        <v>6159</v>
      </c>
      <c r="D11231" s="3" t="str">
        <f t="shared" ref="D11231:D11233" si="2496">HYPERLINK("https://12go.asia/en/travel/Ella/Beruwala", "12Go Link")</f>
        <v>12Go Link</v>
      </c>
      <c r="E11231" s="2" t="s">
        <v>286</v>
      </c>
    </row>
    <row r="11232">
      <c r="A11232" s="2" t="s">
        <v>4959</v>
      </c>
      <c r="B11232" s="2" t="s">
        <v>4939</v>
      </c>
      <c r="C11232" s="2" t="s">
        <v>6159</v>
      </c>
      <c r="D11232" s="3" t="str">
        <f t="shared" si="2496"/>
        <v>12Go Link</v>
      </c>
      <c r="E11232" s="2" t="s">
        <v>4139</v>
      </c>
    </row>
    <row r="11233">
      <c r="A11233" s="2" t="s">
        <v>4959</v>
      </c>
      <c r="B11233" s="2" t="s">
        <v>4939</v>
      </c>
      <c r="C11233" s="2" t="s">
        <v>6159</v>
      </c>
      <c r="D11233" s="3" t="str">
        <f t="shared" si="2496"/>
        <v>12Go Link</v>
      </c>
      <c r="E11233" s="2" t="s">
        <v>3409</v>
      </c>
    </row>
    <row r="11234">
      <c r="A11234" s="2" t="s">
        <v>4959</v>
      </c>
      <c r="B11234" s="2" t="s">
        <v>4941</v>
      </c>
      <c r="C11234" s="2" t="s">
        <v>6160</v>
      </c>
      <c r="D11234" s="3" t="str">
        <f t="shared" ref="D11234:D11236" si="2497">HYPERLINK("https://12go.asia/en/travel/Ella/Bundala", "12Go Link")</f>
        <v>12Go Link</v>
      </c>
      <c r="E11234" s="2" t="s">
        <v>286</v>
      </c>
    </row>
    <row r="11235">
      <c r="A11235" s="2" t="s">
        <v>4959</v>
      </c>
      <c r="B11235" s="2" t="s">
        <v>4941</v>
      </c>
      <c r="C11235" s="2" t="s">
        <v>6160</v>
      </c>
      <c r="D11235" s="3" t="str">
        <f t="shared" si="2497"/>
        <v>12Go Link</v>
      </c>
      <c r="E11235" s="2" t="s">
        <v>4139</v>
      </c>
    </row>
    <row r="11236">
      <c r="A11236" s="2" t="s">
        <v>4959</v>
      </c>
      <c r="B11236" s="2" t="s">
        <v>4941</v>
      </c>
      <c r="C11236" s="2" t="s">
        <v>6160</v>
      </c>
      <c r="D11236" s="3" t="str">
        <f t="shared" si="2497"/>
        <v>12Go Link</v>
      </c>
      <c r="E11236" s="2" t="s">
        <v>3409</v>
      </c>
    </row>
    <row r="11237">
      <c r="A11237" s="2" t="s">
        <v>4959</v>
      </c>
      <c r="B11237" s="2" t="s">
        <v>4945</v>
      </c>
      <c r="C11237" s="2" t="s">
        <v>6161</v>
      </c>
      <c r="D11237" s="3" t="str">
        <f t="shared" ref="D11237:D11239" si="2498">HYPERLINK("https://12go.asia/en/travel/Ella/Bandaranaike-Airport", "12Go Link")</f>
        <v>12Go Link</v>
      </c>
      <c r="E11237" s="2" t="s">
        <v>286</v>
      </c>
    </row>
    <row r="11238">
      <c r="A11238" s="2" t="s">
        <v>4959</v>
      </c>
      <c r="B11238" s="2" t="s">
        <v>4945</v>
      </c>
      <c r="C11238" s="2" t="s">
        <v>6161</v>
      </c>
      <c r="D11238" s="3" t="str">
        <f t="shared" si="2498"/>
        <v>12Go Link</v>
      </c>
      <c r="E11238" s="2" t="s">
        <v>4139</v>
      </c>
    </row>
    <row r="11239">
      <c r="A11239" s="2" t="s">
        <v>4959</v>
      </c>
      <c r="B11239" s="2" t="s">
        <v>4945</v>
      </c>
      <c r="C11239" s="2" t="s">
        <v>6161</v>
      </c>
      <c r="D11239" s="3" t="str">
        <f t="shared" si="2498"/>
        <v>12Go Link</v>
      </c>
      <c r="E11239" s="2" t="s">
        <v>3409</v>
      </c>
    </row>
    <row r="11240">
      <c r="A11240" s="2" t="s">
        <v>4959</v>
      </c>
      <c r="B11240" s="2" t="s">
        <v>4949</v>
      </c>
      <c r="C11240" s="2" t="s">
        <v>6162</v>
      </c>
      <c r="D11240" s="3" t="str">
        <f t="shared" ref="D11240:D11242" si="2499">HYPERLINK("https://12go.asia/en/travel/Ella/Deniyaya", "12Go Link")</f>
        <v>12Go Link</v>
      </c>
      <c r="E11240" s="2" t="s">
        <v>286</v>
      </c>
    </row>
    <row r="11241">
      <c r="A11241" s="2" t="s">
        <v>4959</v>
      </c>
      <c r="B11241" s="2" t="s">
        <v>4949</v>
      </c>
      <c r="C11241" s="2" t="s">
        <v>6162</v>
      </c>
      <c r="D11241" s="3" t="str">
        <f t="shared" si="2499"/>
        <v>12Go Link</v>
      </c>
      <c r="E11241" s="2" t="s">
        <v>4139</v>
      </c>
    </row>
    <row r="11242">
      <c r="A11242" s="2" t="s">
        <v>4959</v>
      </c>
      <c r="B11242" s="2" t="s">
        <v>4949</v>
      </c>
      <c r="C11242" s="2" t="s">
        <v>6162</v>
      </c>
      <c r="D11242" s="3" t="str">
        <f t="shared" si="2499"/>
        <v>12Go Link</v>
      </c>
      <c r="E11242" s="2" t="s">
        <v>3409</v>
      </c>
    </row>
    <row r="11243">
      <c r="A11243" s="2" t="s">
        <v>4959</v>
      </c>
      <c r="B11243" s="2" t="s">
        <v>4951</v>
      </c>
      <c r="C11243" s="2" t="s">
        <v>6163</v>
      </c>
      <c r="D11243" s="3" t="str">
        <f t="shared" ref="D11243:D11245" si="2500">HYPERLINK("https://12go.asia/en/travel/Ella/Dickwella", "12Go Link")</f>
        <v>12Go Link</v>
      </c>
      <c r="E11243" s="2" t="s">
        <v>286</v>
      </c>
    </row>
    <row r="11244">
      <c r="A11244" s="2" t="s">
        <v>4959</v>
      </c>
      <c r="B11244" s="2" t="s">
        <v>4951</v>
      </c>
      <c r="C11244" s="2" t="s">
        <v>6163</v>
      </c>
      <c r="D11244" s="3" t="str">
        <f t="shared" si="2500"/>
        <v>12Go Link</v>
      </c>
      <c r="E11244" s="2" t="s">
        <v>4139</v>
      </c>
    </row>
    <row r="11245">
      <c r="A11245" s="2" t="s">
        <v>4959</v>
      </c>
      <c r="B11245" s="2" t="s">
        <v>4951</v>
      </c>
      <c r="C11245" s="2" t="s">
        <v>6163</v>
      </c>
      <c r="D11245" s="3" t="str">
        <f t="shared" si="2500"/>
        <v>12Go Link</v>
      </c>
      <c r="E11245" s="2" t="s">
        <v>3409</v>
      </c>
    </row>
    <row r="11246">
      <c r="A11246" s="2" t="s">
        <v>4959</v>
      </c>
      <c r="B11246" s="2" t="s">
        <v>4951</v>
      </c>
      <c r="C11246" s="2" t="s">
        <v>6164</v>
      </c>
      <c r="D11246" s="3" t="str">
        <f t="shared" ref="D11246:D11248" si="2501">HYPERLINK("https://12go.asia/en/travel/Ella/Hiriketiya-beach", "12Go Link")</f>
        <v>12Go Link</v>
      </c>
      <c r="E11246" s="2" t="s">
        <v>286</v>
      </c>
    </row>
    <row r="11247">
      <c r="A11247" s="2" t="s">
        <v>4959</v>
      </c>
      <c r="B11247" s="2" t="s">
        <v>4951</v>
      </c>
      <c r="C11247" s="2" t="s">
        <v>6164</v>
      </c>
      <c r="D11247" s="3" t="str">
        <f t="shared" si="2501"/>
        <v>12Go Link</v>
      </c>
      <c r="E11247" s="2" t="s">
        <v>4139</v>
      </c>
    </row>
    <row r="11248">
      <c r="A11248" s="2" t="s">
        <v>4959</v>
      </c>
      <c r="B11248" s="2" t="s">
        <v>4951</v>
      </c>
      <c r="C11248" s="2" t="s">
        <v>6164</v>
      </c>
      <c r="D11248" s="3" t="str">
        <f t="shared" si="2501"/>
        <v>12Go Link</v>
      </c>
      <c r="E11248" s="2" t="s">
        <v>3409</v>
      </c>
    </row>
    <row r="11249">
      <c r="A11249" s="2" t="s">
        <v>4959</v>
      </c>
      <c r="B11249" s="2" t="s">
        <v>4954</v>
      </c>
      <c r="C11249" s="2" t="s">
        <v>6165</v>
      </c>
      <c r="D11249" s="3" t="str">
        <f t="shared" ref="D11249:D11251" si="2502">HYPERLINK("https://12go.asia/en/travel/Ella/Talpe", "12Go Link")</f>
        <v>12Go Link</v>
      </c>
      <c r="E11249" s="2" t="s">
        <v>286</v>
      </c>
    </row>
    <row r="11250">
      <c r="A11250" s="2" t="s">
        <v>4959</v>
      </c>
      <c r="B11250" s="2" t="s">
        <v>4954</v>
      </c>
      <c r="C11250" s="2" t="s">
        <v>6165</v>
      </c>
      <c r="D11250" s="3" t="str">
        <f t="shared" si="2502"/>
        <v>12Go Link</v>
      </c>
      <c r="E11250" s="2" t="s">
        <v>4139</v>
      </c>
    </row>
    <row r="11251">
      <c r="A11251" s="2" t="s">
        <v>4959</v>
      </c>
      <c r="B11251" s="2" t="s">
        <v>4954</v>
      </c>
      <c r="C11251" s="2" t="s">
        <v>6165</v>
      </c>
      <c r="D11251" s="3" t="str">
        <f t="shared" si="2502"/>
        <v>12Go Link</v>
      </c>
      <c r="E11251" s="2" t="s">
        <v>3409</v>
      </c>
    </row>
    <row r="11252">
      <c r="A11252" s="2" t="s">
        <v>4959</v>
      </c>
      <c r="B11252" s="2" t="s">
        <v>4957</v>
      </c>
      <c r="C11252" s="2" t="s">
        <v>6166</v>
      </c>
      <c r="D11252" s="3" t="str">
        <f t="shared" ref="D11252:D11254" si="2503">HYPERLINK("https://12go.asia/en/travel/Ella/Habarana", "12Go Link")</f>
        <v>12Go Link</v>
      </c>
      <c r="E11252" s="2" t="s">
        <v>286</v>
      </c>
    </row>
    <row r="11253">
      <c r="A11253" s="2" t="s">
        <v>4959</v>
      </c>
      <c r="B11253" s="2" t="s">
        <v>4957</v>
      </c>
      <c r="C11253" s="2" t="s">
        <v>6166</v>
      </c>
      <c r="D11253" s="3" t="str">
        <f t="shared" si="2503"/>
        <v>12Go Link</v>
      </c>
      <c r="E11253" s="2" t="s">
        <v>4139</v>
      </c>
    </row>
    <row r="11254">
      <c r="A11254" s="2" t="s">
        <v>4959</v>
      </c>
      <c r="B11254" s="2" t="s">
        <v>4957</v>
      </c>
      <c r="C11254" s="2" t="s">
        <v>6166</v>
      </c>
      <c r="D11254" s="3" t="str">
        <f t="shared" si="2503"/>
        <v>12Go Link</v>
      </c>
      <c r="E11254" s="2" t="s">
        <v>3409</v>
      </c>
    </row>
    <row r="11255">
      <c r="A11255" s="2" t="s">
        <v>4959</v>
      </c>
      <c r="B11255" s="2" t="s">
        <v>4961</v>
      </c>
      <c r="C11255" s="2" t="s">
        <v>6167</v>
      </c>
      <c r="D11255" s="3" t="str">
        <f t="shared" ref="D11255:D11257" si="2504">HYPERLINK("https://12go.asia/en/travel/Ella/Beragala", "12Go Link")</f>
        <v>12Go Link</v>
      </c>
      <c r="E11255" s="2" t="s">
        <v>286</v>
      </c>
    </row>
    <row r="11256">
      <c r="A11256" s="2" t="s">
        <v>4959</v>
      </c>
      <c r="B11256" s="2" t="s">
        <v>4961</v>
      </c>
      <c r="C11256" s="2" t="s">
        <v>6167</v>
      </c>
      <c r="D11256" s="3" t="str">
        <f t="shared" si="2504"/>
        <v>12Go Link</v>
      </c>
      <c r="E11256" s="2" t="s">
        <v>4139</v>
      </c>
    </row>
    <row r="11257">
      <c r="A11257" s="2" t="s">
        <v>4959</v>
      </c>
      <c r="B11257" s="2" t="s">
        <v>4961</v>
      </c>
      <c r="C11257" s="2" t="s">
        <v>6167</v>
      </c>
      <c r="D11257" s="3" t="str">
        <f t="shared" si="2504"/>
        <v>12Go Link</v>
      </c>
      <c r="E11257" s="2" t="s">
        <v>3409</v>
      </c>
    </row>
    <row r="11258">
      <c r="A11258" s="2" t="s">
        <v>4959</v>
      </c>
      <c r="B11258" s="2" t="s">
        <v>4963</v>
      </c>
      <c r="C11258" s="2" t="s">
        <v>6168</v>
      </c>
      <c r="D11258" s="3" t="str">
        <f t="shared" ref="D11258:D11260" si="2505">HYPERLINK("https://12go.asia/en/travel/Ella/Dick-oya", "12Go Link")</f>
        <v>12Go Link</v>
      </c>
      <c r="E11258" s="2" t="s">
        <v>286</v>
      </c>
    </row>
    <row r="11259">
      <c r="A11259" s="2" t="s">
        <v>4959</v>
      </c>
      <c r="B11259" s="2" t="s">
        <v>4963</v>
      </c>
      <c r="C11259" s="2" t="s">
        <v>6168</v>
      </c>
      <c r="D11259" s="3" t="str">
        <f t="shared" si="2505"/>
        <v>12Go Link</v>
      </c>
      <c r="E11259" s="2" t="s">
        <v>4139</v>
      </c>
    </row>
    <row r="11260">
      <c r="A11260" s="2" t="s">
        <v>4959</v>
      </c>
      <c r="B11260" s="2" t="s">
        <v>4963</v>
      </c>
      <c r="C11260" s="2" t="s">
        <v>6168</v>
      </c>
      <c r="D11260" s="3" t="str">
        <f t="shared" si="2505"/>
        <v>12Go Link</v>
      </c>
      <c r="E11260" s="2" t="s">
        <v>3409</v>
      </c>
    </row>
    <row r="11261">
      <c r="A11261" s="2" t="s">
        <v>4959</v>
      </c>
      <c r="B11261" s="2" t="s">
        <v>4965</v>
      </c>
      <c r="C11261" s="2" t="s">
        <v>6169</v>
      </c>
      <c r="D11261" s="3" t="str">
        <f t="shared" ref="D11261:D11263" si="2506">HYPERLINK("https://12go.asia/en/travel/Ella/Dodanduwa", "12Go Link")</f>
        <v>12Go Link</v>
      </c>
      <c r="E11261" s="2" t="s">
        <v>286</v>
      </c>
    </row>
    <row r="11262">
      <c r="A11262" s="2" t="s">
        <v>4959</v>
      </c>
      <c r="B11262" s="2" t="s">
        <v>4965</v>
      </c>
      <c r="C11262" s="2" t="s">
        <v>6169</v>
      </c>
      <c r="D11262" s="3" t="str">
        <f t="shared" si="2506"/>
        <v>12Go Link</v>
      </c>
      <c r="E11262" s="2" t="s">
        <v>4139</v>
      </c>
    </row>
    <row r="11263">
      <c r="A11263" s="2" t="s">
        <v>4959</v>
      </c>
      <c r="B11263" s="2" t="s">
        <v>4965</v>
      </c>
      <c r="C11263" s="2" t="s">
        <v>6169</v>
      </c>
      <c r="D11263" s="3" t="str">
        <f t="shared" si="2506"/>
        <v>12Go Link</v>
      </c>
      <c r="E11263" s="2" t="s">
        <v>3409</v>
      </c>
    </row>
    <row r="11264">
      <c r="A11264" s="2" t="s">
        <v>4959</v>
      </c>
      <c r="B11264" s="2" t="s">
        <v>4967</v>
      </c>
      <c r="C11264" s="2" t="s">
        <v>6170</v>
      </c>
      <c r="D11264" s="3" t="str">
        <f t="shared" ref="D11264:D11266" si="2507">HYPERLINK("https://12go.asia/en/travel/Ella/Induruwa", "12Go Link")</f>
        <v>12Go Link</v>
      </c>
      <c r="E11264" s="2" t="s">
        <v>286</v>
      </c>
    </row>
    <row r="11265">
      <c r="A11265" s="2" t="s">
        <v>4959</v>
      </c>
      <c r="B11265" s="2" t="s">
        <v>4967</v>
      </c>
      <c r="C11265" s="2" t="s">
        <v>6170</v>
      </c>
      <c r="D11265" s="3" t="str">
        <f t="shared" si="2507"/>
        <v>12Go Link</v>
      </c>
      <c r="E11265" s="2" t="s">
        <v>4139</v>
      </c>
    </row>
    <row r="11266">
      <c r="A11266" s="2" t="s">
        <v>4959</v>
      </c>
      <c r="B11266" s="2" t="s">
        <v>4967</v>
      </c>
      <c r="C11266" s="2" t="s">
        <v>6170</v>
      </c>
      <c r="D11266" s="3" t="str">
        <f t="shared" si="2507"/>
        <v>12Go Link</v>
      </c>
      <c r="E11266" s="2" t="s">
        <v>3409</v>
      </c>
    </row>
    <row r="11267">
      <c r="A11267" s="2" t="s">
        <v>4959</v>
      </c>
      <c r="B11267" s="2" t="s">
        <v>4969</v>
      </c>
      <c r="C11267" s="2" t="s">
        <v>6171</v>
      </c>
      <c r="D11267" s="3" t="str">
        <f t="shared" ref="D11267:D11269" si="2508">HYPERLINK("https://12go.asia/en/travel/Ella/Jaffna", "12Go Link")</f>
        <v>12Go Link</v>
      </c>
      <c r="E11267" s="2" t="s">
        <v>286</v>
      </c>
    </row>
    <row r="11268">
      <c r="A11268" s="2" t="s">
        <v>4959</v>
      </c>
      <c r="B11268" s="2" t="s">
        <v>4969</v>
      </c>
      <c r="C11268" s="2" t="s">
        <v>6171</v>
      </c>
      <c r="D11268" s="3" t="str">
        <f t="shared" si="2508"/>
        <v>12Go Link</v>
      </c>
      <c r="E11268" s="2" t="s">
        <v>4139</v>
      </c>
    </row>
    <row r="11269">
      <c r="A11269" s="2" t="s">
        <v>4959</v>
      </c>
      <c r="B11269" s="2" t="s">
        <v>4969</v>
      </c>
      <c r="C11269" s="2" t="s">
        <v>6171</v>
      </c>
      <c r="D11269" s="3" t="str">
        <f t="shared" si="2508"/>
        <v>12Go Link</v>
      </c>
      <c r="E11269" s="2" t="s">
        <v>3409</v>
      </c>
    </row>
    <row r="11270">
      <c r="A11270" s="2" t="s">
        <v>4959</v>
      </c>
      <c r="B11270" s="2" t="s">
        <v>4971</v>
      </c>
      <c r="C11270" s="2" t="s">
        <v>6172</v>
      </c>
      <c r="D11270" s="3" t="str">
        <f t="shared" ref="D11270:D11272" si="2509">HYPERLINK("https://12go.asia/en/travel/Ella/Kalapuwa", "12Go Link")</f>
        <v>12Go Link</v>
      </c>
      <c r="E11270" s="2" t="s">
        <v>286</v>
      </c>
    </row>
    <row r="11271">
      <c r="A11271" s="2" t="s">
        <v>4959</v>
      </c>
      <c r="B11271" s="2" t="s">
        <v>4971</v>
      </c>
      <c r="C11271" s="2" t="s">
        <v>6172</v>
      </c>
      <c r="D11271" s="3" t="str">
        <f t="shared" si="2509"/>
        <v>12Go Link</v>
      </c>
      <c r="E11271" s="2" t="s">
        <v>4139</v>
      </c>
    </row>
    <row r="11272">
      <c r="A11272" s="2" t="s">
        <v>4959</v>
      </c>
      <c r="B11272" s="2" t="s">
        <v>4971</v>
      </c>
      <c r="C11272" s="2" t="s">
        <v>6172</v>
      </c>
      <c r="D11272" s="3" t="str">
        <f t="shared" si="2509"/>
        <v>12Go Link</v>
      </c>
      <c r="E11272" s="2" t="s">
        <v>3409</v>
      </c>
    </row>
    <row r="11273">
      <c r="A11273" s="2" t="s">
        <v>4959</v>
      </c>
      <c r="B11273" s="2" t="s">
        <v>4973</v>
      </c>
      <c r="C11273" s="2" t="s">
        <v>6173</v>
      </c>
      <c r="D11273" s="3" t="str">
        <f t="shared" ref="D11273:D11275" si="2510">HYPERLINK("https://12go.asia/en/travel/Ella/Digana", "12Go Link")</f>
        <v>12Go Link</v>
      </c>
      <c r="E11273" s="2" t="s">
        <v>286</v>
      </c>
    </row>
    <row r="11274">
      <c r="A11274" s="2" t="s">
        <v>4959</v>
      </c>
      <c r="B11274" s="2" t="s">
        <v>4973</v>
      </c>
      <c r="C11274" s="2" t="s">
        <v>6173</v>
      </c>
      <c r="D11274" s="3" t="str">
        <f t="shared" si="2510"/>
        <v>12Go Link</v>
      </c>
      <c r="E11274" s="2" t="s">
        <v>4139</v>
      </c>
    </row>
    <row r="11275">
      <c r="A11275" s="2" t="s">
        <v>4959</v>
      </c>
      <c r="B11275" s="2" t="s">
        <v>4973</v>
      </c>
      <c r="C11275" s="2" t="s">
        <v>6173</v>
      </c>
      <c r="D11275" s="3" t="str">
        <f t="shared" si="2510"/>
        <v>12Go Link</v>
      </c>
      <c r="E11275" s="2" t="s">
        <v>3409</v>
      </c>
    </row>
    <row r="11276">
      <c r="A11276" s="2" t="s">
        <v>4959</v>
      </c>
      <c r="B11276" s="2" t="s">
        <v>4976</v>
      </c>
      <c r="C11276" s="2" t="s">
        <v>6174</v>
      </c>
      <c r="D11276" s="3" t="str">
        <f t="shared" ref="D11276:D11278" si="2511">HYPERLINK("https://12go.asia/en/travel/Ella/Kataragama", "12Go Link")</f>
        <v>12Go Link</v>
      </c>
      <c r="E11276" s="2" t="s">
        <v>286</v>
      </c>
    </row>
    <row r="11277">
      <c r="A11277" s="2" t="s">
        <v>4959</v>
      </c>
      <c r="B11277" s="2" t="s">
        <v>4976</v>
      </c>
      <c r="C11277" s="2" t="s">
        <v>6174</v>
      </c>
      <c r="D11277" s="3" t="str">
        <f t="shared" si="2511"/>
        <v>12Go Link</v>
      </c>
      <c r="E11277" s="2" t="s">
        <v>4139</v>
      </c>
    </row>
    <row r="11278">
      <c r="A11278" s="2" t="s">
        <v>4959</v>
      </c>
      <c r="B11278" s="2" t="s">
        <v>4976</v>
      </c>
      <c r="C11278" s="2" t="s">
        <v>6174</v>
      </c>
      <c r="D11278" s="3" t="str">
        <f t="shared" si="2511"/>
        <v>12Go Link</v>
      </c>
      <c r="E11278" s="2" t="s">
        <v>3409</v>
      </c>
    </row>
    <row r="11279">
      <c r="A11279" s="2" t="s">
        <v>4959</v>
      </c>
      <c r="B11279" s="2" t="s">
        <v>4978</v>
      </c>
      <c r="C11279" s="2" t="s">
        <v>6175</v>
      </c>
      <c r="D11279" s="3" t="str">
        <f t="shared" ref="D11279:D11281" si="2512">HYPERLINK("https://12go.asia/en/travel/Ella/Alawathupitiya", "12Go Link")</f>
        <v>12Go Link</v>
      </c>
      <c r="E11279" s="2" t="s">
        <v>286</v>
      </c>
    </row>
    <row r="11280">
      <c r="A11280" s="2" t="s">
        <v>4959</v>
      </c>
      <c r="B11280" s="2" t="s">
        <v>4978</v>
      </c>
      <c r="C11280" s="2" t="s">
        <v>6175</v>
      </c>
      <c r="D11280" s="3" t="str">
        <f t="shared" si="2512"/>
        <v>12Go Link</v>
      </c>
      <c r="E11280" s="2" t="s">
        <v>4139</v>
      </c>
    </row>
    <row r="11281">
      <c r="A11281" s="2" t="s">
        <v>4959</v>
      </c>
      <c r="B11281" s="2" t="s">
        <v>4978</v>
      </c>
      <c r="C11281" s="2" t="s">
        <v>6175</v>
      </c>
      <c r="D11281" s="3" t="str">
        <f t="shared" si="2512"/>
        <v>12Go Link</v>
      </c>
      <c r="E11281" s="2" t="s">
        <v>3409</v>
      </c>
    </row>
    <row r="11282">
      <c r="A11282" s="2" t="s">
        <v>4959</v>
      </c>
      <c r="B11282" s="2" t="s">
        <v>4980</v>
      </c>
      <c r="C11282" s="2" t="s">
        <v>6176</v>
      </c>
      <c r="D11282" s="3" t="str">
        <f t="shared" ref="D11282:D11284" si="2513">HYPERLINK("https://12go.asia/en/travel/Ella/Pinnawala", "12Go Link")</f>
        <v>12Go Link</v>
      </c>
      <c r="E11282" s="2" t="s">
        <v>286</v>
      </c>
    </row>
    <row r="11283">
      <c r="A11283" s="2" t="s">
        <v>4959</v>
      </c>
      <c r="B11283" s="2" t="s">
        <v>4980</v>
      </c>
      <c r="C11283" s="2" t="s">
        <v>6176</v>
      </c>
      <c r="D11283" s="3" t="str">
        <f t="shared" si="2513"/>
        <v>12Go Link</v>
      </c>
      <c r="E11283" s="2" t="s">
        <v>4139</v>
      </c>
    </row>
    <row r="11284">
      <c r="A11284" s="2" t="s">
        <v>4959</v>
      </c>
      <c r="B11284" s="2" t="s">
        <v>4980</v>
      </c>
      <c r="C11284" s="2" t="s">
        <v>6176</v>
      </c>
      <c r="D11284" s="3" t="str">
        <f t="shared" si="2513"/>
        <v>12Go Link</v>
      </c>
      <c r="E11284" s="2" t="s">
        <v>3409</v>
      </c>
    </row>
    <row r="11285">
      <c r="A11285" s="2" t="s">
        <v>4959</v>
      </c>
      <c r="B11285" s="2" t="s">
        <v>4982</v>
      </c>
      <c r="C11285" s="2" t="s">
        <v>6177</v>
      </c>
      <c r="D11285" s="3" t="str">
        <f t="shared" ref="D11285:D11287" si="2514">HYPERLINK("https://12go.asia/en/travel/Ella/Kitulgala", "12Go Link")</f>
        <v>12Go Link</v>
      </c>
      <c r="E11285" s="2" t="s">
        <v>286</v>
      </c>
    </row>
    <row r="11286">
      <c r="A11286" s="2" t="s">
        <v>4959</v>
      </c>
      <c r="B11286" s="2" t="s">
        <v>4982</v>
      </c>
      <c r="C11286" s="2" t="s">
        <v>6177</v>
      </c>
      <c r="D11286" s="3" t="str">
        <f t="shared" si="2514"/>
        <v>12Go Link</v>
      </c>
      <c r="E11286" s="2" t="s">
        <v>4139</v>
      </c>
    </row>
    <row r="11287">
      <c r="A11287" s="2" t="s">
        <v>4959</v>
      </c>
      <c r="B11287" s="2" t="s">
        <v>4982</v>
      </c>
      <c r="C11287" s="2" t="s">
        <v>6177</v>
      </c>
      <c r="D11287" s="3" t="str">
        <f t="shared" si="2514"/>
        <v>12Go Link</v>
      </c>
      <c r="E11287" s="2" t="s">
        <v>3409</v>
      </c>
    </row>
    <row r="11288">
      <c r="A11288" s="2" t="s">
        <v>4959</v>
      </c>
      <c r="B11288" s="2" t="s">
        <v>4984</v>
      </c>
      <c r="C11288" s="2" t="s">
        <v>6178</v>
      </c>
      <c r="D11288" s="3" t="str">
        <f t="shared" ref="D11288:D11290" si="2515">HYPERLINK("https://12go.asia/en/travel/Ella/Habaraduwa", "12Go Link")</f>
        <v>12Go Link</v>
      </c>
      <c r="E11288" s="2" t="s">
        <v>286</v>
      </c>
    </row>
    <row r="11289">
      <c r="A11289" s="2" t="s">
        <v>4959</v>
      </c>
      <c r="B11289" s="2" t="s">
        <v>4984</v>
      </c>
      <c r="C11289" s="2" t="s">
        <v>6178</v>
      </c>
      <c r="D11289" s="3" t="str">
        <f t="shared" si="2515"/>
        <v>12Go Link</v>
      </c>
      <c r="E11289" s="2" t="s">
        <v>4139</v>
      </c>
    </row>
    <row r="11290">
      <c r="A11290" s="2" t="s">
        <v>4959</v>
      </c>
      <c r="B11290" s="2" t="s">
        <v>4984</v>
      </c>
      <c r="C11290" s="2" t="s">
        <v>6178</v>
      </c>
      <c r="D11290" s="3" t="str">
        <f t="shared" si="2515"/>
        <v>12Go Link</v>
      </c>
      <c r="E11290" s="2" t="s">
        <v>3409</v>
      </c>
    </row>
    <row r="11291">
      <c r="A11291" s="2" t="s">
        <v>4959</v>
      </c>
      <c r="B11291" s="2" t="s">
        <v>4986</v>
      </c>
      <c r="C11291" s="2" t="s">
        <v>6179</v>
      </c>
      <c r="D11291" s="3" t="str">
        <f t="shared" ref="D11291:D11293" si="2516">HYPERLINK("https://12go.asia/en/travel/Ella/Kosgoda", "12Go Link")</f>
        <v>12Go Link</v>
      </c>
      <c r="E11291" s="2" t="s">
        <v>286</v>
      </c>
    </row>
    <row r="11292">
      <c r="A11292" s="2" t="s">
        <v>4959</v>
      </c>
      <c r="B11292" s="2" t="s">
        <v>4986</v>
      </c>
      <c r="C11292" s="2" t="s">
        <v>6179</v>
      </c>
      <c r="D11292" s="3" t="str">
        <f t="shared" si="2516"/>
        <v>12Go Link</v>
      </c>
      <c r="E11292" s="2" t="s">
        <v>4139</v>
      </c>
    </row>
    <row r="11293">
      <c r="A11293" s="2" t="s">
        <v>4959</v>
      </c>
      <c r="B11293" s="2" t="s">
        <v>4986</v>
      </c>
      <c r="C11293" s="2" t="s">
        <v>6179</v>
      </c>
      <c r="D11293" s="3" t="str">
        <f t="shared" si="2516"/>
        <v>12Go Link</v>
      </c>
      <c r="E11293" s="2" t="s">
        <v>3409</v>
      </c>
    </row>
    <row r="11294">
      <c r="A11294" s="2" t="s">
        <v>4959</v>
      </c>
      <c r="B11294" s="2" t="s">
        <v>4988</v>
      </c>
      <c r="C11294" s="2" t="s">
        <v>6180</v>
      </c>
      <c r="D11294" s="3" t="str">
        <f t="shared" ref="D11294:D11296" si="2517">HYPERLINK("https://12go.asia/en/travel/Ella/Kuchchaveli", "12Go Link")</f>
        <v>12Go Link</v>
      </c>
      <c r="E11294" s="2" t="s">
        <v>286</v>
      </c>
    </row>
    <row r="11295">
      <c r="A11295" s="2" t="s">
        <v>4959</v>
      </c>
      <c r="B11295" s="2" t="s">
        <v>4988</v>
      </c>
      <c r="C11295" s="2" t="s">
        <v>6180</v>
      </c>
      <c r="D11295" s="3" t="str">
        <f t="shared" si="2517"/>
        <v>12Go Link</v>
      </c>
      <c r="E11295" s="2" t="s">
        <v>4139</v>
      </c>
    </row>
    <row r="11296">
      <c r="A11296" s="2" t="s">
        <v>4959</v>
      </c>
      <c r="B11296" s="2" t="s">
        <v>4988</v>
      </c>
      <c r="C11296" s="2" t="s">
        <v>6180</v>
      </c>
      <c r="D11296" s="3" t="str">
        <f t="shared" si="2517"/>
        <v>12Go Link</v>
      </c>
      <c r="E11296" s="2" t="s">
        <v>3409</v>
      </c>
    </row>
    <row r="11297">
      <c r="A11297" s="2" t="s">
        <v>4959</v>
      </c>
      <c r="B11297" s="2" t="s">
        <v>4990</v>
      </c>
      <c r="C11297" s="2" t="s">
        <v>6181</v>
      </c>
      <c r="D11297" s="3" t="str">
        <f t="shared" ref="D11297:D11299" si="2518">HYPERLINK("https://12go.asia/en/travel/Ella/Mannar", "12Go Link")</f>
        <v>12Go Link</v>
      </c>
      <c r="E11297" s="2" t="s">
        <v>286</v>
      </c>
    </row>
    <row r="11298">
      <c r="A11298" s="2" t="s">
        <v>4959</v>
      </c>
      <c r="B11298" s="2" t="s">
        <v>4990</v>
      </c>
      <c r="C11298" s="2" t="s">
        <v>6181</v>
      </c>
      <c r="D11298" s="3" t="str">
        <f t="shared" si="2518"/>
        <v>12Go Link</v>
      </c>
      <c r="E11298" s="2" t="s">
        <v>4139</v>
      </c>
    </row>
    <row r="11299">
      <c r="A11299" s="2" t="s">
        <v>4959</v>
      </c>
      <c r="B11299" s="2" t="s">
        <v>4990</v>
      </c>
      <c r="C11299" s="2" t="s">
        <v>6181</v>
      </c>
      <c r="D11299" s="3" t="str">
        <f t="shared" si="2518"/>
        <v>12Go Link</v>
      </c>
      <c r="E11299" s="2" t="s">
        <v>3409</v>
      </c>
    </row>
    <row r="11300">
      <c r="A11300" s="2" t="s">
        <v>4959</v>
      </c>
      <c r="B11300" s="2" t="s">
        <v>4992</v>
      </c>
      <c r="C11300" s="2" t="s">
        <v>6182</v>
      </c>
      <c r="D11300" s="3" t="str">
        <f t="shared" ref="D11300:D11302" si="2519">HYPERLINK("https://12go.asia/en/travel/Ella/Kinigama", "12Go Link")</f>
        <v>12Go Link</v>
      </c>
      <c r="E11300" s="2" t="s">
        <v>286</v>
      </c>
    </row>
    <row r="11301">
      <c r="A11301" s="2" t="s">
        <v>4959</v>
      </c>
      <c r="B11301" s="2" t="s">
        <v>4992</v>
      </c>
      <c r="C11301" s="2" t="s">
        <v>6182</v>
      </c>
      <c r="D11301" s="3" t="str">
        <f t="shared" si="2519"/>
        <v>12Go Link</v>
      </c>
      <c r="E11301" s="2" t="s">
        <v>4139</v>
      </c>
    </row>
    <row r="11302">
      <c r="A11302" s="2" t="s">
        <v>4959</v>
      </c>
      <c r="B11302" s="2" t="s">
        <v>4992</v>
      </c>
      <c r="C11302" s="2" t="s">
        <v>6182</v>
      </c>
      <c r="D11302" s="3" t="str">
        <f t="shared" si="2519"/>
        <v>12Go Link</v>
      </c>
      <c r="E11302" s="2" t="s">
        <v>3409</v>
      </c>
    </row>
    <row r="11303">
      <c r="A11303" s="2" t="s">
        <v>4959</v>
      </c>
      <c r="B11303" s="2" t="s">
        <v>4994</v>
      </c>
      <c r="C11303" s="2" t="s">
        <v>6183</v>
      </c>
      <c r="D11303" s="3" t="str">
        <f t="shared" ref="D11303:D11305" si="2520">HYPERLINK("https://12go.asia/en/travel/Ella/Kalamatiya", "12Go Link")</f>
        <v>12Go Link</v>
      </c>
      <c r="E11303" s="2" t="s">
        <v>286</v>
      </c>
    </row>
    <row r="11304">
      <c r="A11304" s="2" t="s">
        <v>4959</v>
      </c>
      <c r="B11304" s="2" t="s">
        <v>4994</v>
      </c>
      <c r="C11304" s="2" t="s">
        <v>6183</v>
      </c>
      <c r="D11304" s="3" t="str">
        <f t="shared" si="2520"/>
        <v>12Go Link</v>
      </c>
      <c r="E11304" s="2" t="s">
        <v>4139</v>
      </c>
    </row>
    <row r="11305">
      <c r="A11305" s="2" t="s">
        <v>4959</v>
      </c>
      <c r="B11305" s="2" t="s">
        <v>4994</v>
      </c>
      <c r="C11305" s="2" t="s">
        <v>6183</v>
      </c>
      <c r="D11305" s="3" t="str">
        <f t="shared" si="2520"/>
        <v>12Go Link</v>
      </c>
      <c r="E11305" s="2" t="s">
        <v>3409</v>
      </c>
    </row>
    <row r="11306">
      <c r="A11306" s="2" t="s">
        <v>4959</v>
      </c>
      <c r="B11306" s="2" t="s">
        <v>4996</v>
      </c>
      <c r="C11306" s="2" t="s">
        <v>6184</v>
      </c>
      <c r="D11306" s="3" t="str">
        <f t="shared" ref="D11306:D11308" si="2521">HYPERLINK("https://12go.asia/en/travel/Ella/mirissa", "12Go Link")</f>
        <v>12Go Link</v>
      </c>
      <c r="E11306" s="2" t="s">
        <v>286</v>
      </c>
    </row>
    <row r="11307">
      <c r="A11307" s="2" t="s">
        <v>4959</v>
      </c>
      <c r="B11307" s="2" t="s">
        <v>4996</v>
      </c>
      <c r="C11307" s="2" t="s">
        <v>6184</v>
      </c>
      <c r="D11307" s="3" t="str">
        <f t="shared" si="2521"/>
        <v>12Go Link</v>
      </c>
      <c r="E11307" s="2" t="s">
        <v>4139</v>
      </c>
    </row>
    <row r="11308">
      <c r="A11308" s="2" t="s">
        <v>4959</v>
      </c>
      <c r="B11308" s="2" t="s">
        <v>4996</v>
      </c>
      <c r="C11308" s="2" t="s">
        <v>6184</v>
      </c>
      <c r="D11308" s="3" t="str">
        <f t="shared" si="2521"/>
        <v>12Go Link</v>
      </c>
      <c r="E11308" s="2" t="s">
        <v>3409</v>
      </c>
    </row>
    <row r="11309">
      <c r="A11309" s="2" t="s">
        <v>4959</v>
      </c>
      <c r="B11309" s="2" t="s">
        <v>4998</v>
      </c>
      <c r="C11309" s="2" t="s">
        <v>6185</v>
      </c>
      <c r="D11309" s="3" t="str">
        <f t="shared" ref="D11309:D11311" si="2522">HYPERLINK("https://12go.asia/en/travel/Ella/Nanu-Oya", "12Go Link")</f>
        <v>12Go Link</v>
      </c>
      <c r="E11309" s="2" t="s">
        <v>286</v>
      </c>
    </row>
    <row r="11310">
      <c r="A11310" s="2" t="s">
        <v>4959</v>
      </c>
      <c r="B11310" s="2" t="s">
        <v>4998</v>
      </c>
      <c r="C11310" s="2" t="s">
        <v>6185</v>
      </c>
      <c r="D11310" s="3" t="str">
        <f t="shared" si="2522"/>
        <v>12Go Link</v>
      </c>
      <c r="E11310" s="2" t="s">
        <v>4139</v>
      </c>
    </row>
    <row r="11311">
      <c r="A11311" s="2" t="s">
        <v>4959</v>
      </c>
      <c r="B11311" s="2" t="s">
        <v>4998</v>
      </c>
      <c r="C11311" s="2" t="s">
        <v>6185</v>
      </c>
      <c r="D11311" s="3" t="str">
        <f t="shared" si="2522"/>
        <v>12Go Link</v>
      </c>
      <c r="E11311" s="2" t="s">
        <v>3409</v>
      </c>
    </row>
    <row r="11312">
      <c r="A11312" s="2" t="s">
        <v>4959</v>
      </c>
      <c r="B11312" s="2" t="s">
        <v>5000</v>
      </c>
      <c r="C11312" s="2" t="s">
        <v>6186</v>
      </c>
      <c r="D11312" s="3" t="str">
        <f t="shared" ref="D11312:D11314" si="2523">HYPERLINK("https://12go.asia/en/travel/Ella/Waikkal", "12Go Link")</f>
        <v>12Go Link</v>
      </c>
      <c r="E11312" s="2" t="s">
        <v>286</v>
      </c>
    </row>
    <row r="11313">
      <c r="A11313" s="2" t="s">
        <v>4959</v>
      </c>
      <c r="B11313" s="2" t="s">
        <v>5000</v>
      </c>
      <c r="C11313" s="2" t="s">
        <v>6186</v>
      </c>
      <c r="D11313" s="3" t="str">
        <f t="shared" si="2523"/>
        <v>12Go Link</v>
      </c>
      <c r="E11313" s="2" t="s">
        <v>4139</v>
      </c>
    </row>
    <row r="11314">
      <c r="A11314" s="2" t="s">
        <v>4959</v>
      </c>
      <c r="B11314" s="2" t="s">
        <v>5000</v>
      </c>
      <c r="C11314" s="2" t="s">
        <v>6186</v>
      </c>
      <c r="D11314" s="3" t="str">
        <f t="shared" si="2523"/>
        <v>12Go Link</v>
      </c>
      <c r="E11314" s="2" t="s">
        <v>3409</v>
      </c>
    </row>
    <row r="11315">
      <c r="A11315" s="2" t="s">
        <v>4959</v>
      </c>
      <c r="B11315" s="2" t="s">
        <v>5003</v>
      </c>
      <c r="C11315" s="2" t="s">
        <v>6187</v>
      </c>
      <c r="D11315" s="3" t="str">
        <f t="shared" ref="D11315:D11317" si="2524">HYPERLINK("https://12go.asia/en/travel/Ella/Nilaveli", "12Go Link")</f>
        <v>12Go Link</v>
      </c>
      <c r="E11315" s="2" t="s">
        <v>286</v>
      </c>
    </row>
    <row r="11316">
      <c r="A11316" s="2" t="s">
        <v>4959</v>
      </c>
      <c r="B11316" s="2" t="s">
        <v>5003</v>
      </c>
      <c r="C11316" s="2" t="s">
        <v>6187</v>
      </c>
      <c r="D11316" s="3" t="str">
        <f t="shared" si="2524"/>
        <v>12Go Link</v>
      </c>
      <c r="E11316" s="2" t="s">
        <v>4139</v>
      </c>
    </row>
    <row r="11317">
      <c r="A11317" s="2" t="s">
        <v>4959</v>
      </c>
      <c r="B11317" s="2" t="s">
        <v>5003</v>
      </c>
      <c r="C11317" s="2" t="s">
        <v>6187</v>
      </c>
      <c r="D11317" s="3" t="str">
        <f t="shared" si="2524"/>
        <v>12Go Link</v>
      </c>
      <c r="E11317" s="2" t="s">
        <v>3409</v>
      </c>
    </row>
    <row r="11318">
      <c r="A11318" s="2" t="s">
        <v>4959</v>
      </c>
      <c r="B11318" s="2" t="s">
        <v>5007</v>
      </c>
      <c r="C11318" s="2" t="s">
        <v>6188</v>
      </c>
      <c r="D11318" s="3" t="str">
        <f t="shared" ref="D11318:D11320" si="2525">HYPERLINK("https://12go.asia/en/travel/Ella/Pasikuda", "12Go Link")</f>
        <v>12Go Link</v>
      </c>
      <c r="E11318" s="2" t="s">
        <v>286</v>
      </c>
    </row>
    <row r="11319">
      <c r="A11319" s="2" t="s">
        <v>4959</v>
      </c>
      <c r="B11319" s="2" t="s">
        <v>5007</v>
      </c>
      <c r="C11319" s="2" t="s">
        <v>6188</v>
      </c>
      <c r="D11319" s="3" t="str">
        <f t="shared" si="2525"/>
        <v>12Go Link</v>
      </c>
      <c r="E11319" s="2" t="s">
        <v>4139</v>
      </c>
    </row>
    <row r="11320">
      <c r="A11320" s="2" t="s">
        <v>4959</v>
      </c>
      <c r="B11320" s="2" t="s">
        <v>5007</v>
      </c>
      <c r="C11320" s="2" t="s">
        <v>6188</v>
      </c>
      <c r="D11320" s="3" t="str">
        <f t="shared" si="2525"/>
        <v>12Go Link</v>
      </c>
      <c r="E11320" s="2" t="s">
        <v>3409</v>
      </c>
    </row>
    <row r="11321">
      <c r="A11321" s="2" t="s">
        <v>4959</v>
      </c>
      <c r="B11321" s="2" t="s">
        <v>5009</v>
      </c>
      <c r="C11321" s="2" t="s">
        <v>6189</v>
      </c>
      <c r="D11321" s="3" t="str">
        <f t="shared" ref="D11321:D11323" si="2526">HYPERLINK("https://12go.asia/en/travel/Ella/Galoya", "12Go Link")</f>
        <v>12Go Link</v>
      </c>
      <c r="E11321" s="2" t="s">
        <v>286</v>
      </c>
    </row>
    <row r="11322">
      <c r="A11322" s="2" t="s">
        <v>4959</v>
      </c>
      <c r="B11322" s="2" t="s">
        <v>5009</v>
      </c>
      <c r="C11322" s="2" t="s">
        <v>6189</v>
      </c>
      <c r="D11322" s="3" t="str">
        <f t="shared" si="2526"/>
        <v>12Go Link</v>
      </c>
      <c r="E11322" s="2" t="s">
        <v>4139</v>
      </c>
    </row>
    <row r="11323">
      <c r="A11323" s="2" t="s">
        <v>4959</v>
      </c>
      <c r="B11323" s="2" t="s">
        <v>5009</v>
      </c>
      <c r="C11323" s="2" t="s">
        <v>6189</v>
      </c>
      <c r="D11323" s="3" t="str">
        <f t="shared" si="2526"/>
        <v>12Go Link</v>
      </c>
      <c r="E11323" s="2" t="s">
        <v>3409</v>
      </c>
    </row>
    <row r="11324">
      <c r="A11324" s="2" t="s">
        <v>4959</v>
      </c>
      <c r="B11324" s="2" t="s">
        <v>5011</v>
      </c>
      <c r="C11324" s="2" t="s">
        <v>6190</v>
      </c>
      <c r="D11324" s="3" t="str">
        <f t="shared" ref="D11324:D11326" si="2527">HYPERLINK("https://12go.asia/en/travel/Ella/Kalpitiya", "12Go Link")</f>
        <v>12Go Link</v>
      </c>
      <c r="E11324" s="2" t="s">
        <v>286</v>
      </c>
    </row>
    <row r="11325">
      <c r="A11325" s="2" t="s">
        <v>4959</v>
      </c>
      <c r="B11325" s="2" t="s">
        <v>5011</v>
      </c>
      <c r="C11325" s="2" t="s">
        <v>6190</v>
      </c>
      <c r="D11325" s="3" t="str">
        <f t="shared" si="2527"/>
        <v>12Go Link</v>
      </c>
      <c r="E11325" s="2" t="s">
        <v>4139</v>
      </c>
    </row>
    <row r="11326">
      <c r="A11326" s="2" t="s">
        <v>4959</v>
      </c>
      <c r="B11326" s="2" t="s">
        <v>5011</v>
      </c>
      <c r="C11326" s="2" t="s">
        <v>6190</v>
      </c>
      <c r="D11326" s="3" t="str">
        <f t="shared" si="2527"/>
        <v>12Go Link</v>
      </c>
      <c r="E11326" s="2" t="s">
        <v>3409</v>
      </c>
    </row>
    <row r="11327">
      <c r="A11327" s="2" t="s">
        <v>4959</v>
      </c>
      <c r="B11327" s="2" t="s">
        <v>5011</v>
      </c>
      <c r="C11327" s="2" t="s">
        <v>6191</v>
      </c>
      <c r="D11327" s="3" t="str">
        <f t="shared" ref="D11327:D11329" si="2528">HYPERLINK("https://12go.asia/en/travel/Ella/Marawila", "12Go Link")</f>
        <v>12Go Link</v>
      </c>
      <c r="E11327" s="2" t="s">
        <v>286</v>
      </c>
    </row>
    <row r="11328">
      <c r="A11328" s="2" t="s">
        <v>4959</v>
      </c>
      <c r="B11328" s="2" t="s">
        <v>5011</v>
      </c>
      <c r="C11328" s="2" t="s">
        <v>6191</v>
      </c>
      <c r="D11328" s="3" t="str">
        <f t="shared" si="2528"/>
        <v>12Go Link</v>
      </c>
      <c r="E11328" s="2" t="s">
        <v>4139</v>
      </c>
    </row>
    <row r="11329">
      <c r="A11329" s="2" t="s">
        <v>4959</v>
      </c>
      <c r="B11329" s="2" t="s">
        <v>5011</v>
      </c>
      <c r="C11329" s="2" t="s">
        <v>6191</v>
      </c>
      <c r="D11329" s="3" t="str">
        <f t="shared" si="2528"/>
        <v>12Go Link</v>
      </c>
      <c r="E11329" s="2" t="s">
        <v>3409</v>
      </c>
    </row>
    <row r="11330">
      <c r="A11330" s="2" t="s">
        <v>4959</v>
      </c>
      <c r="B11330" s="2" t="s">
        <v>5014</v>
      </c>
      <c r="C11330" s="2" t="s">
        <v>6192</v>
      </c>
      <c r="D11330" s="3" t="str">
        <f t="shared" ref="D11330:D11332" si="2529">HYPERLINK("https://12go.asia/en/travel/Ella/Kiriella", "12Go Link")</f>
        <v>12Go Link</v>
      </c>
      <c r="E11330" s="2" t="s">
        <v>286</v>
      </c>
    </row>
    <row r="11331">
      <c r="A11331" s="2" t="s">
        <v>4959</v>
      </c>
      <c r="B11331" s="2" t="s">
        <v>5014</v>
      </c>
      <c r="C11331" s="2" t="s">
        <v>6192</v>
      </c>
      <c r="D11331" s="3" t="str">
        <f t="shared" si="2529"/>
        <v>12Go Link</v>
      </c>
      <c r="E11331" s="2" t="s">
        <v>4139</v>
      </c>
    </row>
    <row r="11332">
      <c r="A11332" s="2" t="s">
        <v>4959</v>
      </c>
      <c r="B11332" s="2" t="s">
        <v>5014</v>
      </c>
      <c r="C11332" s="2" t="s">
        <v>6192</v>
      </c>
      <c r="D11332" s="3" t="str">
        <f t="shared" si="2529"/>
        <v>12Go Link</v>
      </c>
      <c r="E11332" s="2" t="s">
        <v>3409</v>
      </c>
    </row>
    <row r="11333">
      <c r="A11333" s="2" t="s">
        <v>4959</v>
      </c>
      <c r="B11333" s="2" t="s">
        <v>5018</v>
      </c>
      <c r="C11333" s="2" t="s">
        <v>6193</v>
      </c>
      <c r="D11333" s="3" t="str">
        <f t="shared" ref="D11333:D11335" si="2530">HYPERLINK("https://12go.asia/en/travel/Ella/Rekawa", "12Go Link")</f>
        <v>12Go Link</v>
      </c>
      <c r="E11333" s="2" t="s">
        <v>286</v>
      </c>
    </row>
    <row r="11334">
      <c r="A11334" s="2" t="s">
        <v>4959</v>
      </c>
      <c r="B11334" s="2" t="s">
        <v>5018</v>
      </c>
      <c r="C11334" s="2" t="s">
        <v>6193</v>
      </c>
      <c r="D11334" s="3" t="str">
        <f t="shared" si="2530"/>
        <v>12Go Link</v>
      </c>
      <c r="E11334" s="2" t="s">
        <v>4139</v>
      </c>
    </row>
    <row r="11335">
      <c r="A11335" s="2" t="s">
        <v>4959</v>
      </c>
      <c r="B11335" s="2" t="s">
        <v>5018</v>
      </c>
      <c r="C11335" s="2" t="s">
        <v>6193</v>
      </c>
      <c r="D11335" s="3" t="str">
        <f t="shared" si="2530"/>
        <v>12Go Link</v>
      </c>
      <c r="E11335" s="2" t="s">
        <v>3409</v>
      </c>
    </row>
    <row r="11336">
      <c r="A11336" s="2" t="s">
        <v>4959</v>
      </c>
      <c r="B11336" s="2" t="s">
        <v>5020</v>
      </c>
      <c r="C11336" s="2" t="s">
        <v>6194</v>
      </c>
      <c r="D11336" s="3" t="str">
        <f t="shared" ref="D11336:D11338" si="2531">HYPERLINK("https://12go.asia/en/travel/Ella/Tissamaharama", "12Go Link")</f>
        <v>12Go Link</v>
      </c>
      <c r="E11336" s="2" t="s">
        <v>286</v>
      </c>
    </row>
    <row r="11337">
      <c r="A11337" s="2" t="s">
        <v>4959</v>
      </c>
      <c r="B11337" s="2" t="s">
        <v>5020</v>
      </c>
      <c r="C11337" s="2" t="s">
        <v>6194</v>
      </c>
      <c r="D11337" s="3" t="str">
        <f t="shared" si="2531"/>
        <v>12Go Link</v>
      </c>
      <c r="E11337" s="2" t="s">
        <v>4139</v>
      </c>
    </row>
    <row r="11338">
      <c r="A11338" s="2" t="s">
        <v>4959</v>
      </c>
      <c r="B11338" s="2" t="s">
        <v>5020</v>
      </c>
      <c r="C11338" s="2" t="s">
        <v>6194</v>
      </c>
      <c r="D11338" s="3" t="str">
        <f t="shared" si="2531"/>
        <v>12Go Link</v>
      </c>
      <c r="E11338" s="2" t="s">
        <v>3409</v>
      </c>
    </row>
    <row r="11339">
      <c r="A11339" s="2" t="s">
        <v>4959</v>
      </c>
      <c r="B11339" s="2" t="s">
        <v>5020</v>
      </c>
      <c r="C11339" s="2" t="s">
        <v>6195</v>
      </c>
      <c r="D11339" s="3" t="str">
        <f t="shared" ref="D11339:D11341" si="2532">HYPERLINK("https://12go.asia/en/travel/Ella/Yala-Park", "12Go Link")</f>
        <v>12Go Link</v>
      </c>
      <c r="E11339" s="2" t="s">
        <v>286</v>
      </c>
    </row>
    <row r="11340">
      <c r="A11340" s="2" t="s">
        <v>4959</v>
      </c>
      <c r="B11340" s="2" t="s">
        <v>5020</v>
      </c>
      <c r="C11340" s="2" t="s">
        <v>6195</v>
      </c>
      <c r="D11340" s="3" t="str">
        <f t="shared" si="2532"/>
        <v>12Go Link</v>
      </c>
      <c r="E11340" s="2" t="s">
        <v>4139</v>
      </c>
    </row>
    <row r="11341">
      <c r="A11341" s="2" t="s">
        <v>4959</v>
      </c>
      <c r="B11341" s="2" t="s">
        <v>5020</v>
      </c>
      <c r="C11341" s="2" t="s">
        <v>6195</v>
      </c>
      <c r="D11341" s="3" t="str">
        <f t="shared" si="2532"/>
        <v>12Go Link</v>
      </c>
      <c r="E11341" s="2" t="s">
        <v>3409</v>
      </c>
    </row>
    <row r="11342">
      <c r="A11342" s="2" t="s">
        <v>4959</v>
      </c>
      <c r="B11342" s="2" t="s">
        <v>5023</v>
      </c>
      <c r="C11342" s="2" t="s">
        <v>6196</v>
      </c>
      <c r="D11342" s="3" t="str">
        <f t="shared" ref="D11342:D11344" si="2533">HYPERLINK("https://12go.asia/en/travel/Ella/Nilaweli", "12Go Link")</f>
        <v>12Go Link</v>
      </c>
      <c r="E11342" s="2" t="s">
        <v>286</v>
      </c>
    </row>
    <row r="11343">
      <c r="A11343" s="2" t="s">
        <v>4959</v>
      </c>
      <c r="B11343" s="2" t="s">
        <v>5023</v>
      </c>
      <c r="C11343" s="2" t="s">
        <v>6196</v>
      </c>
      <c r="D11343" s="3" t="str">
        <f t="shared" si="2533"/>
        <v>12Go Link</v>
      </c>
      <c r="E11343" s="2" t="s">
        <v>4139</v>
      </c>
    </row>
    <row r="11344">
      <c r="A11344" s="2" t="s">
        <v>4959</v>
      </c>
      <c r="B11344" s="2" t="s">
        <v>5023</v>
      </c>
      <c r="C11344" s="2" t="s">
        <v>6196</v>
      </c>
      <c r="D11344" s="3" t="str">
        <f t="shared" si="2533"/>
        <v>12Go Link</v>
      </c>
      <c r="E11344" s="2" t="s">
        <v>3409</v>
      </c>
    </row>
    <row r="11345">
      <c r="A11345" s="2" t="s">
        <v>4959</v>
      </c>
      <c r="B11345" s="2" t="s">
        <v>5025</v>
      </c>
      <c r="C11345" s="2" t="s">
        <v>6197</v>
      </c>
      <c r="D11345" s="3" t="str">
        <f t="shared" ref="D11345:D11347" si="2534">HYPERLINK("https://12go.asia/en/travel/Ella/Udawalawa", "12Go Link")</f>
        <v>12Go Link</v>
      </c>
      <c r="E11345" s="2" t="s">
        <v>286</v>
      </c>
    </row>
    <row r="11346">
      <c r="A11346" s="2" t="s">
        <v>4959</v>
      </c>
      <c r="B11346" s="2" t="s">
        <v>5025</v>
      </c>
      <c r="C11346" s="2" t="s">
        <v>6197</v>
      </c>
      <c r="D11346" s="3" t="str">
        <f t="shared" si="2534"/>
        <v>12Go Link</v>
      </c>
      <c r="E11346" s="2" t="s">
        <v>4139</v>
      </c>
    </row>
    <row r="11347">
      <c r="A11347" s="2" t="s">
        <v>4959</v>
      </c>
      <c r="B11347" s="2" t="s">
        <v>5025</v>
      </c>
      <c r="C11347" s="2" t="s">
        <v>6197</v>
      </c>
      <c r="D11347" s="3" t="str">
        <f t="shared" si="2534"/>
        <v>12Go Link</v>
      </c>
      <c r="E11347" s="2" t="s">
        <v>3409</v>
      </c>
    </row>
    <row r="11348">
      <c r="A11348" s="2" t="s">
        <v>4959</v>
      </c>
      <c r="B11348" s="2" t="s">
        <v>5027</v>
      </c>
      <c r="C11348" s="2" t="s">
        <v>6198</v>
      </c>
      <c r="D11348" s="3" t="str">
        <f t="shared" ref="D11348:D11350" si="2535">HYPERLINK("https://12go.asia/en/travel/Ella/Unawatuna", "12Go Link")</f>
        <v>12Go Link</v>
      </c>
      <c r="E11348" s="2" t="s">
        <v>286</v>
      </c>
    </row>
    <row r="11349">
      <c r="A11349" s="2" t="s">
        <v>4959</v>
      </c>
      <c r="B11349" s="2" t="s">
        <v>5027</v>
      </c>
      <c r="C11349" s="2" t="s">
        <v>6198</v>
      </c>
      <c r="D11349" s="3" t="str">
        <f t="shared" si="2535"/>
        <v>12Go Link</v>
      </c>
      <c r="E11349" s="2" t="s">
        <v>4139</v>
      </c>
    </row>
    <row r="11350">
      <c r="A11350" s="2" t="s">
        <v>4959</v>
      </c>
      <c r="B11350" s="2" t="s">
        <v>5027</v>
      </c>
      <c r="C11350" s="2" t="s">
        <v>6198</v>
      </c>
      <c r="D11350" s="3" t="str">
        <f t="shared" si="2535"/>
        <v>12Go Link</v>
      </c>
      <c r="E11350" s="2" t="s">
        <v>3409</v>
      </c>
    </row>
    <row r="11351">
      <c r="A11351" s="2" t="s">
        <v>4959</v>
      </c>
      <c r="B11351" s="2" t="s">
        <v>5029</v>
      </c>
      <c r="C11351" s="2" t="s">
        <v>6199</v>
      </c>
      <c r="D11351" s="3" t="str">
        <f t="shared" ref="D11351:D11353" si="2536">HYPERLINK("https://12go.asia/en/travel/Ella/Attanagalla", "12Go Link")</f>
        <v>12Go Link</v>
      </c>
      <c r="E11351" s="2" t="s">
        <v>286</v>
      </c>
    </row>
    <row r="11352">
      <c r="A11352" s="2" t="s">
        <v>4959</v>
      </c>
      <c r="B11352" s="2" t="s">
        <v>5029</v>
      </c>
      <c r="C11352" s="2" t="s">
        <v>6199</v>
      </c>
      <c r="D11352" s="3" t="str">
        <f t="shared" si="2536"/>
        <v>12Go Link</v>
      </c>
      <c r="E11352" s="2" t="s">
        <v>4139</v>
      </c>
    </row>
    <row r="11353">
      <c r="A11353" s="2" t="s">
        <v>4959</v>
      </c>
      <c r="B11353" s="2" t="s">
        <v>5029</v>
      </c>
      <c r="C11353" s="2" t="s">
        <v>6199</v>
      </c>
      <c r="D11353" s="3" t="str">
        <f t="shared" si="2536"/>
        <v>12Go Link</v>
      </c>
      <c r="E11353" s="2" t="s">
        <v>3409</v>
      </c>
    </row>
    <row r="11354">
      <c r="A11354" s="2" t="s">
        <v>4959</v>
      </c>
      <c r="B11354" s="2" t="s">
        <v>5031</v>
      </c>
      <c r="C11354" s="2" t="s">
        <v>6200</v>
      </c>
      <c r="D11354" s="3" t="str">
        <f t="shared" ref="D11354:D11356" si="2537">HYPERLINK("https://12go.asia/en/travel/Ella/Moronthuduwa", "12Go Link")</f>
        <v>12Go Link</v>
      </c>
      <c r="E11354" s="2" t="s">
        <v>286</v>
      </c>
    </row>
    <row r="11355">
      <c r="A11355" s="2" t="s">
        <v>4959</v>
      </c>
      <c r="B11355" s="2" t="s">
        <v>5031</v>
      </c>
      <c r="C11355" s="2" t="s">
        <v>6200</v>
      </c>
      <c r="D11355" s="3" t="str">
        <f t="shared" si="2537"/>
        <v>12Go Link</v>
      </c>
      <c r="E11355" s="2" t="s">
        <v>4139</v>
      </c>
    </row>
    <row r="11356">
      <c r="A11356" s="2" t="s">
        <v>4959</v>
      </c>
      <c r="B11356" s="2" t="s">
        <v>5031</v>
      </c>
      <c r="C11356" s="2" t="s">
        <v>6200</v>
      </c>
      <c r="D11356" s="3" t="str">
        <f t="shared" si="2537"/>
        <v>12Go Link</v>
      </c>
      <c r="E11356" s="2" t="s">
        <v>3409</v>
      </c>
    </row>
    <row r="11357">
      <c r="A11357" s="2" t="s">
        <v>4959</v>
      </c>
      <c r="B11357" s="2" t="s">
        <v>5031</v>
      </c>
      <c r="C11357" s="2" t="s">
        <v>6201</v>
      </c>
      <c r="D11357" s="3" t="str">
        <f t="shared" ref="D11357:D11359" si="2538">HYPERLINK("https://12go.asia/en/travel/Ella/Waskaduwa", "12Go Link")</f>
        <v>12Go Link</v>
      </c>
      <c r="E11357" s="2" t="s">
        <v>286</v>
      </c>
    </row>
    <row r="11358">
      <c r="A11358" s="2" t="s">
        <v>4959</v>
      </c>
      <c r="B11358" s="2" t="s">
        <v>5031</v>
      </c>
      <c r="C11358" s="2" t="s">
        <v>6201</v>
      </c>
      <c r="D11358" s="3" t="str">
        <f t="shared" si="2538"/>
        <v>12Go Link</v>
      </c>
      <c r="E11358" s="2" t="s">
        <v>4139</v>
      </c>
    </row>
    <row r="11359">
      <c r="A11359" s="2" t="s">
        <v>4959</v>
      </c>
      <c r="B11359" s="2" t="s">
        <v>5031</v>
      </c>
      <c r="C11359" s="2" t="s">
        <v>6201</v>
      </c>
      <c r="D11359" s="3" t="str">
        <f t="shared" si="2538"/>
        <v>12Go Link</v>
      </c>
      <c r="E11359" s="2" t="s">
        <v>3409</v>
      </c>
    </row>
    <row r="11360">
      <c r="A11360" s="2" t="s">
        <v>4959</v>
      </c>
      <c r="B11360" s="2" t="s">
        <v>5034</v>
      </c>
      <c r="C11360" s="2" t="s">
        <v>6202</v>
      </c>
      <c r="D11360" s="3" t="str">
        <f t="shared" ref="D11360:D11362" si="2539">HYPERLINK("https://12go.asia/en/travel/Ella/Weddagala", "12Go Link")</f>
        <v>12Go Link</v>
      </c>
      <c r="E11360" s="2" t="s">
        <v>286</v>
      </c>
    </row>
    <row r="11361">
      <c r="A11361" s="2" t="s">
        <v>4959</v>
      </c>
      <c r="B11361" s="2" t="s">
        <v>5034</v>
      </c>
      <c r="C11361" s="2" t="s">
        <v>6202</v>
      </c>
      <c r="D11361" s="3" t="str">
        <f t="shared" si="2539"/>
        <v>12Go Link</v>
      </c>
      <c r="E11361" s="2" t="s">
        <v>4139</v>
      </c>
    </row>
    <row r="11362">
      <c r="A11362" s="2" t="s">
        <v>4959</v>
      </c>
      <c r="B11362" s="2" t="s">
        <v>5034</v>
      </c>
      <c r="C11362" s="2" t="s">
        <v>6202</v>
      </c>
      <c r="D11362" s="3" t="str">
        <f t="shared" si="2539"/>
        <v>12Go Link</v>
      </c>
      <c r="E11362" s="2" t="s">
        <v>3409</v>
      </c>
    </row>
    <row r="11363">
      <c r="A11363" s="2" t="s">
        <v>4959</v>
      </c>
      <c r="B11363" s="2" t="s">
        <v>5036</v>
      </c>
      <c r="C11363" s="2" t="s">
        <v>6203</v>
      </c>
      <c r="D11363" s="3" t="str">
        <f t="shared" ref="D11363:D11365" si="2540">HYPERLINK("https://12go.asia/en/travel/Ella/Weligatta", "12Go Link")</f>
        <v>12Go Link</v>
      </c>
      <c r="E11363" s="2" t="s">
        <v>286</v>
      </c>
    </row>
    <row r="11364">
      <c r="A11364" s="2" t="s">
        <v>4959</v>
      </c>
      <c r="B11364" s="2" t="s">
        <v>5036</v>
      </c>
      <c r="C11364" s="2" t="s">
        <v>6203</v>
      </c>
      <c r="D11364" s="3" t="str">
        <f t="shared" si="2540"/>
        <v>12Go Link</v>
      </c>
      <c r="E11364" s="2" t="s">
        <v>4139</v>
      </c>
    </row>
    <row r="11365">
      <c r="A11365" s="2" t="s">
        <v>4959</v>
      </c>
      <c r="B11365" s="2" t="s">
        <v>5036</v>
      </c>
      <c r="C11365" s="2" t="s">
        <v>6203</v>
      </c>
      <c r="D11365" s="3" t="str">
        <f t="shared" si="2540"/>
        <v>12Go Link</v>
      </c>
      <c r="E11365" s="2" t="s">
        <v>3409</v>
      </c>
    </row>
    <row r="11366">
      <c r="A11366" s="2" t="s">
        <v>4959</v>
      </c>
      <c r="B11366" s="2" t="s">
        <v>5038</v>
      </c>
      <c r="C11366" s="2" t="s">
        <v>6204</v>
      </c>
      <c r="D11366" s="3" t="str">
        <f t="shared" ref="D11366:D11368" si="2541">HYPERLINK("https://12go.asia/en/travel/Ella/Akuressa", "12Go Link")</f>
        <v>12Go Link</v>
      </c>
      <c r="E11366" s="2" t="s">
        <v>286</v>
      </c>
    </row>
    <row r="11367">
      <c r="A11367" s="2" t="s">
        <v>4959</v>
      </c>
      <c r="B11367" s="2" t="s">
        <v>5038</v>
      </c>
      <c r="C11367" s="2" t="s">
        <v>6204</v>
      </c>
      <c r="D11367" s="3" t="str">
        <f t="shared" si="2541"/>
        <v>12Go Link</v>
      </c>
      <c r="E11367" s="2" t="s">
        <v>4139</v>
      </c>
    </row>
    <row r="11368">
      <c r="A11368" s="2" t="s">
        <v>4959</v>
      </c>
      <c r="B11368" s="2" t="s">
        <v>5038</v>
      </c>
      <c r="C11368" s="2" t="s">
        <v>6204</v>
      </c>
      <c r="D11368" s="3" t="str">
        <f t="shared" si="2541"/>
        <v>12Go Link</v>
      </c>
      <c r="E11368" s="2" t="s">
        <v>3409</v>
      </c>
    </row>
    <row r="11369">
      <c r="A11369" s="2" t="s">
        <v>4959</v>
      </c>
      <c r="B11369" s="2" t="s">
        <v>5040</v>
      </c>
      <c r="C11369" s="2" t="s">
        <v>6205</v>
      </c>
      <c r="D11369" s="3" t="str">
        <f t="shared" ref="D11369:D11371" si="2542">HYPERLINK("https://12go.asia/en/travel/Ella/Wilpattu", "12Go Link")</f>
        <v>12Go Link</v>
      </c>
      <c r="E11369" s="2" t="s">
        <v>286</v>
      </c>
    </row>
    <row r="11370">
      <c r="A11370" s="2" t="s">
        <v>4959</v>
      </c>
      <c r="B11370" s="2" t="s">
        <v>5040</v>
      </c>
      <c r="C11370" s="2" t="s">
        <v>6205</v>
      </c>
      <c r="D11370" s="3" t="str">
        <f t="shared" si="2542"/>
        <v>12Go Link</v>
      </c>
      <c r="E11370" s="2" t="s">
        <v>4139</v>
      </c>
    </row>
    <row r="11371">
      <c r="A11371" s="2" t="s">
        <v>4959</v>
      </c>
      <c r="B11371" s="2" t="s">
        <v>5040</v>
      </c>
      <c r="C11371" s="2" t="s">
        <v>6205</v>
      </c>
      <c r="D11371" s="3" t="str">
        <f t="shared" si="2542"/>
        <v>12Go Link</v>
      </c>
      <c r="E11371" s="2" t="s">
        <v>3409</v>
      </c>
    </row>
    <row r="11372">
      <c r="A11372" s="2" t="s">
        <v>4963</v>
      </c>
      <c r="B11372" s="2" t="s">
        <v>4918</v>
      </c>
      <c r="C11372" s="2" t="s">
        <v>6206</v>
      </c>
      <c r="D11372" s="3" t="str">
        <f t="shared" ref="D11372:D11374" si="2543">HYPERLINK("https://12go.asia/en/travel/Dick-oya/Adams-Peak", "12Go Link")</f>
        <v>12Go Link</v>
      </c>
      <c r="E11372" s="2" t="s">
        <v>286</v>
      </c>
    </row>
    <row r="11373">
      <c r="A11373" s="2" t="s">
        <v>4963</v>
      </c>
      <c r="B11373" s="2" t="s">
        <v>4918</v>
      </c>
      <c r="C11373" s="2" t="s">
        <v>6206</v>
      </c>
      <c r="D11373" s="3" t="str">
        <f t="shared" si="2543"/>
        <v>12Go Link</v>
      </c>
      <c r="E11373" s="2" t="s">
        <v>4139</v>
      </c>
    </row>
    <row r="11374">
      <c r="A11374" s="2" t="s">
        <v>4963</v>
      </c>
      <c r="B11374" s="2" t="s">
        <v>4918</v>
      </c>
      <c r="C11374" s="2" t="s">
        <v>6206</v>
      </c>
      <c r="D11374" s="3" t="str">
        <f t="shared" si="2543"/>
        <v>12Go Link</v>
      </c>
      <c r="E11374" s="2" t="s">
        <v>3409</v>
      </c>
    </row>
    <row r="11375">
      <c r="A11375" s="2" t="s">
        <v>4963</v>
      </c>
      <c r="B11375" s="2" t="s">
        <v>4919</v>
      </c>
      <c r="C11375" s="2" t="s">
        <v>6207</v>
      </c>
      <c r="D11375" s="3" t="str">
        <f t="shared" ref="D11375:D11377" si="2544">HYPERLINK("https://12go.asia/en/travel/Dick-oya/Ahangama", "12Go Link")</f>
        <v>12Go Link</v>
      </c>
      <c r="E11375" s="2" t="s">
        <v>286</v>
      </c>
    </row>
    <row r="11376">
      <c r="A11376" s="2" t="s">
        <v>4963</v>
      </c>
      <c r="B11376" s="2" t="s">
        <v>4919</v>
      </c>
      <c r="C11376" s="2" t="s">
        <v>6207</v>
      </c>
      <c r="D11376" s="3" t="str">
        <f t="shared" si="2544"/>
        <v>12Go Link</v>
      </c>
      <c r="E11376" s="2" t="s">
        <v>4139</v>
      </c>
    </row>
    <row r="11377">
      <c r="A11377" s="2" t="s">
        <v>4963</v>
      </c>
      <c r="B11377" s="2" t="s">
        <v>4919</v>
      </c>
      <c r="C11377" s="2" t="s">
        <v>6207</v>
      </c>
      <c r="D11377" s="3" t="str">
        <f t="shared" si="2544"/>
        <v>12Go Link</v>
      </c>
      <c r="E11377" s="2" t="s">
        <v>3409</v>
      </c>
    </row>
    <row r="11378">
      <c r="A11378" s="2" t="s">
        <v>4963</v>
      </c>
      <c r="B11378" s="2" t="s">
        <v>4921</v>
      </c>
      <c r="C11378" s="2" t="s">
        <v>6208</v>
      </c>
      <c r="D11378" s="3" t="str">
        <f t="shared" ref="D11378:D11380" si="2545">HYPERLINK("https://12go.asia/en/travel/Dick-oya/Ahungalla", "12Go Link")</f>
        <v>12Go Link</v>
      </c>
      <c r="E11378" s="2" t="s">
        <v>286</v>
      </c>
    </row>
    <row r="11379">
      <c r="A11379" s="2" t="s">
        <v>4963</v>
      </c>
      <c r="B11379" s="2" t="s">
        <v>4921</v>
      </c>
      <c r="C11379" s="2" t="s">
        <v>6208</v>
      </c>
      <c r="D11379" s="3" t="str">
        <f t="shared" si="2545"/>
        <v>12Go Link</v>
      </c>
      <c r="E11379" s="2" t="s">
        <v>4139</v>
      </c>
    </row>
    <row r="11380">
      <c r="A11380" s="2" t="s">
        <v>4963</v>
      </c>
      <c r="B11380" s="2" t="s">
        <v>4921</v>
      </c>
      <c r="C11380" s="2" t="s">
        <v>6208</v>
      </c>
      <c r="D11380" s="3" t="str">
        <f t="shared" si="2545"/>
        <v>12Go Link</v>
      </c>
      <c r="E11380" s="2" t="s">
        <v>3409</v>
      </c>
    </row>
    <row r="11381">
      <c r="A11381" s="2" t="s">
        <v>4963</v>
      </c>
      <c r="B11381" s="2" t="s">
        <v>4923</v>
      </c>
      <c r="C11381" s="2" t="s">
        <v>6209</v>
      </c>
      <c r="D11381" s="3" t="str">
        <f t="shared" ref="D11381:D11383" si="2546">HYPERLINK("https://12go.asia/en/travel/Dick-oya/Aluthgama", "12Go Link")</f>
        <v>12Go Link</v>
      </c>
      <c r="E11381" s="2" t="s">
        <v>286</v>
      </c>
    </row>
    <row r="11382">
      <c r="A11382" s="2" t="s">
        <v>4963</v>
      </c>
      <c r="B11382" s="2" t="s">
        <v>4923</v>
      </c>
      <c r="C11382" s="2" t="s">
        <v>6209</v>
      </c>
      <c r="D11382" s="3" t="str">
        <f t="shared" si="2546"/>
        <v>12Go Link</v>
      </c>
      <c r="E11382" s="2" t="s">
        <v>4139</v>
      </c>
    </row>
    <row r="11383">
      <c r="A11383" s="2" t="s">
        <v>4963</v>
      </c>
      <c r="B11383" s="2" t="s">
        <v>4923</v>
      </c>
      <c r="C11383" s="2" t="s">
        <v>6209</v>
      </c>
      <c r="D11383" s="3" t="str">
        <f t="shared" si="2546"/>
        <v>12Go Link</v>
      </c>
      <c r="E11383" s="2" t="s">
        <v>3409</v>
      </c>
    </row>
    <row r="11384">
      <c r="A11384" s="2" t="s">
        <v>4963</v>
      </c>
      <c r="B11384" s="2" t="s">
        <v>4925</v>
      </c>
      <c r="C11384" s="2" t="s">
        <v>6210</v>
      </c>
      <c r="D11384" s="3" t="str">
        <f t="shared" ref="D11384:D11386" si="2547">HYPERLINK("https://12go.asia/en/travel/Dick-oya/Ambalangoda", "12Go Link")</f>
        <v>12Go Link</v>
      </c>
      <c r="E11384" s="2" t="s">
        <v>286</v>
      </c>
    </row>
    <row r="11385">
      <c r="A11385" s="2" t="s">
        <v>4963</v>
      </c>
      <c r="B11385" s="2" t="s">
        <v>4925</v>
      </c>
      <c r="C11385" s="2" t="s">
        <v>6210</v>
      </c>
      <c r="D11385" s="3" t="str">
        <f t="shared" si="2547"/>
        <v>12Go Link</v>
      </c>
      <c r="E11385" s="2" t="s">
        <v>4139</v>
      </c>
    </row>
    <row r="11386">
      <c r="A11386" s="2" t="s">
        <v>4963</v>
      </c>
      <c r="B11386" s="2" t="s">
        <v>4925</v>
      </c>
      <c r="C11386" s="2" t="s">
        <v>6210</v>
      </c>
      <c r="D11386" s="3" t="str">
        <f t="shared" si="2547"/>
        <v>12Go Link</v>
      </c>
      <c r="E11386" s="2" t="s">
        <v>3409</v>
      </c>
    </row>
    <row r="11387">
      <c r="A11387" s="2" t="s">
        <v>4963</v>
      </c>
      <c r="B11387" s="2" t="s">
        <v>4927</v>
      </c>
      <c r="C11387" s="2" t="s">
        <v>6211</v>
      </c>
      <c r="D11387" s="3" t="str">
        <f t="shared" ref="D11387:D11389" si="2548">HYPERLINK("https://12go.asia/en/travel/Dick-oya/Ambalantota", "12Go Link")</f>
        <v>12Go Link</v>
      </c>
      <c r="E11387" s="2" t="s">
        <v>286</v>
      </c>
    </row>
    <row r="11388">
      <c r="A11388" s="2" t="s">
        <v>4963</v>
      </c>
      <c r="B11388" s="2" t="s">
        <v>4927</v>
      </c>
      <c r="C11388" s="2" t="s">
        <v>6211</v>
      </c>
      <c r="D11388" s="3" t="str">
        <f t="shared" si="2548"/>
        <v>12Go Link</v>
      </c>
      <c r="E11388" s="2" t="s">
        <v>4139</v>
      </c>
    </row>
    <row r="11389">
      <c r="A11389" s="2" t="s">
        <v>4963</v>
      </c>
      <c r="B11389" s="2" t="s">
        <v>4927</v>
      </c>
      <c r="C11389" s="2" t="s">
        <v>6211</v>
      </c>
      <c r="D11389" s="3" t="str">
        <f t="shared" si="2548"/>
        <v>12Go Link</v>
      </c>
      <c r="E11389" s="2" t="s">
        <v>3409</v>
      </c>
    </row>
    <row r="11390">
      <c r="A11390" s="2" t="s">
        <v>4963</v>
      </c>
      <c r="B11390" s="2" t="s">
        <v>4929</v>
      </c>
      <c r="C11390" s="2" t="s">
        <v>6212</v>
      </c>
      <c r="D11390" s="3" t="str">
        <f t="shared" ref="D11390:D11392" si="2549">HYPERLINK("https://12go.asia/en/travel/Dick-oya/Anuradhapura", "12Go Link")</f>
        <v>12Go Link</v>
      </c>
      <c r="E11390" s="2" t="s">
        <v>286</v>
      </c>
    </row>
    <row r="11391">
      <c r="A11391" s="2" t="s">
        <v>4963</v>
      </c>
      <c r="B11391" s="2" t="s">
        <v>4929</v>
      </c>
      <c r="C11391" s="2" t="s">
        <v>6212</v>
      </c>
      <c r="D11391" s="3" t="str">
        <f t="shared" si="2549"/>
        <v>12Go Link</v>
      </c>
      <c r="E11391" s="2" t="s">
        <v>4139</v>
      </c>
    </row>
    <row r="11392">
      <c r="A11392" s="2" t="s">
        <v>4963</v>
      </c>
      <c r="B11392" s="2" t="s">
        <v>4929</v>
      </c>
      <c r="C11392" s="2" t="s">
        <v>6212</v>
      </c>
      <c r="D11392" s="3" t="str">
        <f t="shared" si="2549"/>
        <v>12Go Link</v>
      </c>
      <c r="E11392" s="2" t="s">
        <v>3409</v>
      </c>
    </row>
    <row r="11393">
      <c r="A11393" s="2" t="s">
        <v>4963</v>
      </c>
      <c r="B11393" s="2" t="s">
        <v>4931</v>
      </c>
      <c r="C11393" s="2" t="s">
        <v>6213</v>
      </c>
      <c r="D11393" s="3" t="str">
        <f t="shared" ref="D11393:D11395" si="2550">HYPERLINK("https://12go.asia/en/travel/Dick-oya/Arugam-bay", "12Go Link")</f>
        <v>12Go Link</v>
      </c>
      <c r="E11393" s="2" t="s">
        <v>286</v>
      </c>
    </row>
    <row r="11394">
      <c r="A11394" s="2" t="s">
        <v>4963</v>
      </c>
      <c r="B11394" s="2" t="s">
        <v>4931</v>
      </c>
      <c r="C11394" s="2" t="s">
        <v>6213</v>
      </c>
      <c r="D11394" s="3" t="str">
        <f t="shared" si="2550"/>
        <v>12Go Link</v>
      </c>
      <c r="E11394" s="2" t="s">
        <v>4139</v>
      </c>
    </row>
    <row r="11395">
      <c r="A11395" s="2" t="s">
        <v>4963</v>
      </c>
      <c r="B11395" s="2" t="s">
        <v>4931</v>
      </c>
      <c r="C11395" s="2" t="s">
        <v>6213</v>
      </c>
      <c r="D11395" s="3" t="str">
        <f t="shared" si="2550"/>
        <v>12Go Link</v>
      </c>
      <c r="E11395" s="2" t="s">
        <v>3409</v>
      </c>
    </row>
    <row r="11396">
      <c r="A11396" s="2" t="s">
        <v>4963</v>
      </c>
      <c r="B11396" s="2" t="s">
        <v>4933</v>
      </c>
      <c r="C11396" s="2" t="s">
        <v>6214</v>
      </c>
      <c r="D11396" s="3" t="str">
        <f t="shared" ref="D11396:D11398" si="2551">HYPERLINK("https://12go.asia/en/travel/Dick-oya/balapitiya", "12Go Link")</f>
        <v>12Go Link</v>
      </c>
      <c r="E11396" s="2" t="s">
        <v>286</v>
      </c>
    </row>
    <row r="11397">
      <c r="A11397" s="2" t="s">
        <v>4963</v>
      </c>
      <c r="B11397" s="2" t="s">
        <v>4933</v>
      </c>
      <c r="C11397" s="2" t="s">
        <v>6214</v>
      </c>
      <c r="D11397" s="3" t="str">
        <f t="shared" si="2551"/>
        <v>12Go Link</v>
      </c>
      <c r="E11397" s="2" t="s">
        <v>4139</v>
      </c>
    </row>
    <row r="11398">
      <c r="A11398" s="2" t="s">
        <v>4963</v>
      </c>
      <c r="B11398" s="2" t="s">
        <v>4933</v>
      </c>
      <c r="C11398" s="2" t="s">
        <v>6214</v>
      </c>
      <c r="D11398" s="3" t="str">
        <f t="shared" si="2551"/>
        <v>12Go Link</v>
      </c>
      <c r="E11398" s="2" t="s">
        <v>3409</v>
      </c>
    </row>
    <row r="11399">
      <c r="A11399" s="2" t="s">
        <v>4963</v>
      </c>
      <c r="B11399" s="2" t="s">
        <v>4935</v>
      </c>
      <c r="C11399" s="2" t="s">
        <v>6215</v>
      </c>
      <c r="D11399" s="3" t="str">
        <f t="shared" ref="D11399:D11401" si="2552">HYPERLINK("https://12go.asia/en/travel/Dick-oya/Batticaloa", "12Go Link")</f>
        <v>12Go Link</v>
      </c>
      <c r="E11399" s="2" t="s">
        <v>286</v>
      </c>
    </row>
    <row r="11400">
      <c r="A11400" s="2" t="s">
        <v>4963</v>
      </c>
      <c r="B11400" s="2" t="s">
        <v>4935</v>
      </c>
      <c r="C11400" s="2" t="s">
        <v>6215</v>
      </c>
      <c r="D11400" s="3" t="str">
        <f t="shared" si="2552"/>
        <v>12Go Link</v>
      </c>
      <c r="E11400" s="2" t="s">
        <v>4139</v>
      </c>
    </row>
    <row r="11401">
      <c r="A11401" s="2" t="s">
        <v>4963</v>
      </c>
      <c r="B11401" s="2" t="s">
        <v>4935</v>
      </c>
      <c r="C11401" s="2" t="s">
        <v>6215</v>
      </c>
      <c r="D11401" s="3" t="str">
        <f t="shared" si="2552"/>
        <v>12Go Link</v>
      </c>
      <c r="E11401" s="2" t="s">
        <v>3409</v>
      </c>
    </row>
    <row r="11402">
      <c r="A11402" s="2" t="s">
        <v>4963</v>
      </c>
      <c r="B11402" s="2" t="s">
        <v>4937</v>
      </c>
      <c r="C11402" s="2" t="s">
        <v>6216</v>
      </c>
      <c r="D11402" s="3" t="str">
        <f t="shared" ref="D11402:D11404" si="2553">HYPERLINK("https://12go.asia/en/travel/Dick-oya/Bentota", "12Go Link")</f>
        <v>12Go Link</v>
      </c>
      <c r="E11402" s="2" t="s">
        <v>286</v>
      </c>
    </row>
    <row r="11403">
      <c r="A11403" s="2" t="s">
        <v>4963</v>
      </c>
      <c r="B11403" s="2" t="s">
        <v>4937</v>
      </c>
      <c r="C11403" s="2" t="s">
        <v>6216</v>
      </c>
      <c r="D11403" s="3" t="str">
        <f t="shared" si="2553"/>
        <v>12Go Link</v>
      </c>
      <c r="E11403" s="2" t="s">
        <v>4139</v>
      </c>
    </row>
    <row r="11404">
      <c r="A11404" s="2" t="s">
        <v>4963</v>
      </c>
      <c r="B11404" s="2" t="s">
        <v>4937</v>
      </c>
      <c r="C11404" s="2" t="s">
        <v>6216</v>
      </c>
      <c r="D11404" s="3" t="str">
        <f t="shared" si="2553"/>
        <v>12Go Link</v>
      </c>
      <c r="E11404" s="2" t="s">
        <v>3409</v>
      </c>
    </row>
    <row r="11405">
      <c r="A11405" s="2" t="s">
        <v>4963</v>
      </c>
      <c r="B11405" s="2" t="s">
        <v>4939</v>
      </c>
      <c r="C11405" s="2" t="s">
        <v>6217</v>
      </c>
      <c r="D11405" s="3" t="str">
        <f t="shared" ref="D11405:D11407" si="2554">HYPERLINK("https://12go.asia/en/travel/Dick-oya/Beruwala", "12Go Link")</f>
        <v>12Go Link</v>
      </c>
      <c r="E11405" s="2" t="s">
        <v>286</v>
      </c>
    </row>
    <row r="11406">
      <c r="A11406" s="2" t="s">
        <v>4963</v>
      </c>
      <c r="B11406" s="2" t="s">
        <v>4939</v>
      </c>
      <c r="C11406" s="2" t="s">
        <v>6217</v>
      </c>
      <c r="D11406" s="3" t="str">
        <f t="shared" si="2554"/>
        <v>12Go Link</v>
      </c>
      <c r="E11406" s="2" t="s">
        <v>4139</v>
      </c>
    </row>
    <row r="11407">
      <c r="A11407" s="2" t="s">
        <v>4963</v>
      </c>
      <c r="B11407" s="2" t="s">
        <v>4939</v>
      </c>
      <c r="C11407" s="2" t="s">
        <v>6217</v>
      </c>
      <c r="D11407" s="3" t="str">
        <f t="shared" si="2554"/>
        <v>12Go Link</v>
      </c>
      <c r="E11407" s="2" t="s">
        <v>3409</v>
      </c>
    </row>
    <row r="11408">
      <c r="A11408" s="2" t="s">
        <v>4963</v>
      </c>
      <c r="B11408" s="2" t="s">
        <v>4941</v>
      </c>
      <c r="C11408" s="2" t="s">
        <v>6218</v>
      </c>
      <c r="D11408" s="3" t="str">
        <f t="shared" ref="D11408:D11410" si="2555">HYPERLINK("https://12go.asia/en/travel/Dick-oya/Bundala", "12Go Link")</f>
        <v>12Go Link</v>
      </c>
      <c r="E11408" s="2" t="s">
        <v>286</v>
      </c>
    </row>
    <row r="11409">
      <c r="A11409" s="2" t="s">
        <v>4963</v>
      </c>
      <c r="B11409" s="2" t="s">
        <v>4941</v>
      </c>
      <c r="C11409" s="2" t="s">
        <v>6218</v>
      </c>
      <c r="D11409" s="3" t="str">
        <f t="shared" si="2555"/>
        <v>12Go Link</v>
      </c>
      <c r="E11409" s="2" t="s">
        <v>4139</v>
      </c>
    </row>
    <row r="11410">
      <c r="A11410" s="2" t="s">
        <v>4963</v>
      </c>
      <c r="B11410" s="2" t="s">
        <v>4941</v>
      </c>
      <c r="C11410" s="2" t="s">
        <v>6218</v>
      </c>
      <c r="D11410" s="3" t="str">
        <f t="shared" si="2555"/>
        <v>12Go Link</v>
      </c>
      <c r="E11410" s="2" t="s">
        <v>3409</v>
      </c>
    </row>
    <row r="11411">
      <c r="A11411" s="2" t="s">
        <v>4963</v>
      </c>
      <c r="B11411" s="2" t="s">
        <v>4943</v>
      </c>
      <c r="C11411" s="2" t="s">
        <v>6219</v>
      </c>
      <c r="D11411" s="3" t="str">
        <f t="shared" ref="D11411:D11413" si="2556">HYPERLINK("https://12go.asia/en/travel/Dick-oya/Bambalapitiya", "12Go Link")</f>
        <v>12Go Link</v>
      </c>
      <c r="E11411" s="2" t="s">
        <v>286</v>
      </c>
    </row>
    <row r="11412">
      <c r="A11412" s="2" t="s">
        <v>4963</v>
      </c>
      <c r="B11412" s="2" t="s">
        <v>4943</v>
      </c>
      <c r="C11412" s="2" t="s">
        <v>6219</v>
      </c>
      <c r="D11412" s="3" t="str">
        <f t="shared" si="2556"/>
        <v>12Go Link</v>
      </c>
      <c r="E11412" s="2" t="s">
        <v>4139</v>
      </c>
    </row>
    <row r="11413">
      <c r="A11413" s="2" t="s">
        <v>4963</v>
      </c>
      <c r="B11413" s="2" t="s">
        <v>4943</v>
      </c>
      <c r="C11413" s="2" t="s">
        <v>6219</v>
      </c>
      <c r="D11413" s="3" t="str">
        <f t="shared" si="2556"/>
        <v>12Go Link</v>
      </c>
      <c r="E11413" s="2" t="s">
        <v>3409</v>
      </c>
    </row>
    <row r="11414">
      <c r="A11414" s="2" t="s">
        <v>4963</v>
      </c>
      <c r="B11414" s="2" t="s">
        <v>4945</v>
      </c>
      <c r="C11414" s="2" t="s">
        <v>6220</v>
      </c>
      <c r="D11414" s="3" t="str">
        <f t="shared" ref="D11414:D11416" si="2557">HYPERLINK("https://12go.asia/en/travel/Dick-oya/Bandaranaike-Airport", "12Go Link")</f>
        <v>12Go Link</v>
      </c>
      <c r="E11414" s="2" t="s">
        <v>286</v>
      </c>
    </row>
    <row r="11415">
      <c r="A11415" s="2" t="s">
        <v>4963</v>
      </c>
      <c r="B11415" s="2" t="s">
        <v>4945</v>
      </c>
      <c r="C11415" s="2" t="s">
        <v>6220</v>
      </c>
      <c r="D11415" s="3" t="str">
        <f t="shared" si="2557"/>
        <v>12Go Link</v>
      </c>
      <c r="E11415" s="2" t="s">
        <v>4139</v>
      </c>
    </row>
    <row r="11416">
      <c r="A11416" s="2" t="s">
        <v>4963</v>
      </c>
      <c r="B11416" s="2" t="s">
        <v>4945</v>
      </c>
      <c r="C11416" s="2" t="s">
        <v>6220</v>
      </c>
      <c r="D11416" s="3" t="str">
        <f t="shared" si="2557"/>
        <v>12Go Link</v>
      </c>
      <c r="E11416" s="2" t="s">
        <v>3409</v>
      </c>
    </row>
    <row r="11417">
      <c r="A11417" s="2" t="s">
        <v>4963</v>
      </c>
      <c r="B11417" s="2" t="s">
        <v>4947</v>
      </c>
      <c r="C11417" s="2" t="s">
        <v>6221</v>
      </c>
      <c r="D11417" s="3" t="str">
        <f t="shared" ref="D11417:D11419" si="2558">HYPERLINK("https://12go.asia/en/travel/Dick-oya/Dambulla", "12Go Link")</f>
        <v>12Go Link</v>
      </c>
      <c r="E11417" s="2" t="s">
        <v>286</v>
      </c>
    </row>
    <row r="11418">
      <c r="A11418" s="2" t="s">
        <v>4963</v>
      </c>
      <c r="B11418" s="2" t="s">
        <v>4947</v>
      </c>
      <c r="C11418" s="2" t="s">
        <v>6221</v>
      </c>
      <c r="D11418" s="3" t="str">
        <f t="shared" si="2558"/>
        <v>12Go Link</v>
      </c>
      <c r="E11418" s="2" t="s">
        <v>4139</v>
      </c>
    </row>
    <row r="11419">
      <c r="A11419" s="2" t="s">
        <v>4963</v>
      </c>
      <c r="B11419" s="2" t="s">
        <v>4947</v>
      </c>
      <c r="C11419" s="2" t="s">
        <v>6221</v>
      </c>
      <c r="D11419" s="3" t="str">
        <f t="shared" si="2558"/>
        <v>12Go Link</v>
      </c>
      <c r="E11419" s="2" t="s">
        <v>3409</v>
      </c>
    </row>
    <row r="11420">
      <c r="A11420" s="2" t="s">
        <v>4963</v>
      </c>
      <c r="B11420" s="2" t="s">
        <v>4949</v>
      </c>
      <c r="C11420" s="2" t="s">
        <v>6222</v>
      </c>
      <c r="D11420" s="3" t="str">
        <f t="shared" ref="D11420:D11422" si="2559">HYPERLINK("https://12go.asia/en/travel/Dick-oya/Deniyaya", "12Go Link")</f>
        <v>12Go Link</v>
      </c>
      <c r="E11420" s="2" t="s">
        <v>286</v>
      </c>
    </row>
    <row r="11421">
      <c r="A11421" s="2" t="s">
        <v>4963</v>
      </c>
      <c r="B11421" s="2" t="s">
        <v>4949</v>
      </c>
      <c r="C11421" s="2" t="s">
        <v>6222</v>
      </c>
      <c r="D11421" s="3" t="str">
        <f t="shared" si="2559"/>
        <v>12Go Link</v>
      </c>
      <c r="E11421" s="2" t="s">
        <v>4139</v>
      </c>
    </row>
    <row r="11422">
      <c r="A11422" s="2" t="s">
        <v>4963</v>
      </c>
      <c r="B11422" s="2" t="s">
        <v>4949</v>
      </c>
      <c r="C11422" s="2" t="s">
        <v>6222</v>
      </c>
      <c r="D11422" s="3" t="str">
        <f t="shared" si="2559"/>
        <v>12Go Link</v>
      </c>
      <c r="E11422" s="2" t="s">
        <v>3409</v>
      </c>
    </row>
    <row r="11423">
      <c r="A11423" s="2" t="s">
        <v>4963</v>
      </c>
      <c r="B11423" s="2" t="s">
        <v>4951</v>
      </c>
      <c r="C11423" s="2" t="s">
        <v>6223</v>
      </c>
      <c r="D11423" s="3" t="str">
        <f t="shared" ref="D11423:D11425" si="2560">HYPERLINK("https://12go.asia/en/travel/Dick-oya/Dickwella", "12Go Link")</f>
        <v>12Go Link</v>
      </c>
      <c r="E11423" s="2" t="s">
        <v>286</v>
      </c>
    </row>
    <row r="11424">
      <c r="A11424" s="2" t="s">
        <v>4963</v>
      </c>
      <c r="B11424" s="2" t="s">
        <v>4951</v>
      </c>
      <c r="C11424" s="2" t="s">
        <v>6223</v>
      </c>
      <c r="D11424" s="3" t="str">
        <f t="shared" si="2560"/>
        <v>12Go Link</v>
      </c>
      <c r="E11424" s="2" t="s">
        <v>4139</v>
      </c>
    </row>
    <row r="11425">
      <c r="A11425" s="2" t="s">
        <v>4963</v>
      </c>
      <c r="B11425" s="2" t="s">
        <v>4951</v>
      </c>
      <c r="C11425" s="2" t="s">
        <v>6223</v>
      </c>
      <c r="D11425" s="3" t="str">
        <f t="shared" si="2560"/>
        <v>12Go Link</v>
      </c>
      <c r="E11425" s="2" t="s">
        <v>3409</v>
      </c>
    </row>
    <row r="11426">
      <c r="A11426" s="2" t="s">
        <v>4963</v>
      </c>
      <c r="B11426" s="2" t="s">
        <v>4951</v>
      </c>
      <c r="C11426" s="2" t="s">
        <v>6224</v>
      </c>
      <c r="D11426" s="3" t="str">
        <f t="shared" ref="D11426:D11428" si="2561">HYPERLINK("https://12go.asia/en/travel/Dick-oya/Hiriketiya-beach", "12Go Link")</f>
        <v>12Go Link</v>
      </c>
      <c r="E11426" s="2" t="s">
        <v>286</v>
      </c>
    </row>
    <row r="11427">
      <c r="A11427" s="2" t="s">
        <v>4963</v>
      </c>
      <c r="B11427" s="2" t="s">
        <v>4951</v>
      </c>
      <c r="C11427" s="2" t="s">
        <v>6224</v>
      </c>
      <c r="D11427" s="3" t="str">
        <f t="shared" si="2561"/>
        <v>12Go Link</v>
      </c>
      <c r="E11427" s="2" t="s">
        <v>4139</v>
      </c>
    </row>
    <row r="11428">
      <c r="A11428" s="2" t="s">
        <v>4963</v>
      </c>
      <c r="B11428" s="2" t="s">
        <v>4951</v>
      </c>
      <c r="C11428" s="2" t="s">
        <v>6224</v>
      </c>
      <c r="D11428" s="3" t="str">
        <f t="shared" si="2561"/>
        <v>12Go Link</v>
      </c>
      <c r="E11428" s="2" t="s">
        <v>3409</v>
      </c>
    </row>
    <row r="11429">
      <c r="A11429" s="2" t="s">
        <v>4963</v>
      </c>
      <c r="B11429" s="2" t="s">
        <v>4954</v>
      </c>
      <c r="C11429" s="2" t="s">
        <v>6225</v>
      </c>
      <c r="D11429" s="3" t="str">
        <f t="shared" ref="D11429:D11431" si="2562">HYPERLINK("https://12go.asia/en/travel/Dick-oya/Galle", "12Go Link")</f>
        <v>12Go Link</v>
      </c>
      <c r="E11429" s="2" t="s">
        <v>286</v>
      </c>
    </row>
    <row r="11430">
      <c r="A11430" s="2" t="s">
        <v>4963</v>
      </c>
      <c r="B11430" s="2" t="s">
        <v>4954</v>
      </c>
      <c r="C11430" s="2" t="s">
        <v>6225</v>
      </c>
      <c r="D11430" s="3" t="str">
        <f t="shared" si="2562"/>
        <v>12Go Link</v>
      </c>
      <c r="E11430" s="2" t="s">
        <v>4139</v>
      </c>
    </row>
    <row r="11431">
      <c r="A11431" s="2" t="s">
        <v>4963</v>
      </c>
      <c r="B11431" s="2" t="s">
        <v>4954</v>
      </c>
      <c r="C11431" s="2" t="s">
        <v>6225</v>
      </c>
      <c r="D11431" s="3" t="str">
        <f t="shared" si="2562"/>
        <v>12Go Link</v>
      </c>
      <c r="E11431" s="2" t="s">
        <v>3409</v>
      </c>
    </row>
    <row r="11432">
      <c r="A11432" s="2" t="s">
        <v>4963</v>
      </c>
      <c r="B11432" s="2" t="s">
        <v>4954</v>
      </c>
      <c r="C11432" s="2" t="s">
        <v>6226</v>
      </c>
      <c r="D11432" s="3" t="str">
        <f t="shared" ref="D11432:D11434" si="2563">HYPERLINK("https://12go.asia/en/travel/Dick-oya/Talpe", "12Go Link")</f>
        <v>12Go Link</v>
      </c>
      <c r="E11432" s="2" t="s">
        <v>286</v>
      </c>
    </row>
    <row r="11433">
      <c r="A11433" s="2" t="s">
        <v>4963</v>
      </c>
      <c r="B11433" s="2" t="s">
        <v>4954</v>
      </c>
      <c r="C11433" s="2" t="s">
        <v>6226</v>
      </c>
      <c r="D11433" s="3" t="str">
        <f t="shared" si="2563"/>
        <v>12Go Link</v>
      </c>
      <c r="E11433" s="2" t="s">
        <v>4139</v>
      </c>
    </row>
    <row r="11434">
      <c r="A11434" s="2" t="s">
        <v>4963</v>
      </c>
      <c r="B11434" s="2" t="s">
        <v>4954</v>
      </c>
      <c r="C11434" s="2" t="s">
        <v>6226</v>
      </c>
      <c r="D11434" s="3" t="str">
        <f t="shared" si="2563"/>
        <v>12Go Link</v>
      </c>
      <c r="E11434" s="2" t="s">
        <v>3409</v>
      </c>
    </row>
    <row r="11435">
      <c r="A11435" s="2" t="s">
        <v>4963</v>
      </c>
      <c r="B11435" s="2" t="s">
        <v>4957</v>
      </c>
      <c r="C11435" s="2" t="s">
        <v>6227</v>
      </c>
      <c r="D11435" s="3" t="str">
        <f t="shared" ref="D11435:D11437" si="2564">HYPERLINK("https://12go.asia/en/travel/Dick-oya/Habarana", "12Go Link")</f>
        <v>12Go Link</v>
      </c>
      <c r="E11435" s="2" t="s">
        <v>286</v>
      </c>
    </row>
    <row r="11436">
      <c r="A11436" s="2" t="s">
        <v>4963</v>
      </c>
      <c r="B11436" s="2" t="s">
        <v>4957</v>
      </c>
      <c r="C11436" s="2" t="s">
        <v>6227</v>
      </c>
      <c r="D11436" s="3" t="str">
        <f t="shared" si="2564"/>
        <v>12Go Link</v>
      </c>
      <c r="E11436" s="2" t="s">
        <v>4139</v>
      </c>
    </row>
    <row r="11437">
      <c r="A11437" s="2" t="s">
        <v>4963</v>
      </c>
      <c r="B11437" s="2" t="s">
        <v>4957</v>
      </c>
      <c r="C11437" s="2" t="s">
        <v>6227</v>
      </c>
      <c r="D11437" s="3" t="str">
        <f t="shared" si="2564"/>
        <v>12Go Link</v>
      </c>
      <c r="E11437" s="2" t="s">
        <v>3409</v>
      </c>
    </row>
    <row r="11438">
      <c r="A11438" s="2" t="s">
        <v>4963</v>
      </c>
      <c r="B11438" s="2" t="s">
        <v>4959</v>
      </c>
      <c r="C11438" s="2" t="s">
        <v>6228</v>
      </c>
      <c r="D11438" s="3" t="str">
        <f t="shared" ref="D11438:D11440" si="2565">HYPERLINK("https://12go.asia/en/travel/Dick-oya/Ella", "12Go Link")</f>
        <v>12Go Link</v>
      </c>
      <c r="E11438" s="2" t="s">
        <v>286</v>
      </c>
    </row>
    <row r="11439">
      <c r="A11439" s="2" t="s">
        <v>4963</v>
      </c>
      <c r="B11439" s="2" t="s">
        <v>4959</v>
      </c>
      <c r="C11439" s="2" t="s">
        <v>6228</v>
      </c>
      <c r="D11439" s="3" t="str">
        <f t="shared" si="2565"/>
        <v>12Go Link</v>
      </c>
      <c r="E11439" s="2" t="s">
        <v>4139</v>
      </c>
    </row>
    <row r="11440">
      <c r="A11440" s="2" t="s">
        <v>4963</v>
      </c>
      <c r="B11440" s="2" t="s">
        <v>4959</v>
      </c>
      <c r="C11440" s="2" t="s">
        <v>6228</v>
      </c>
      <c r="D11440" s="3" t="str">
        <f t="shared" si="2565"/>
        <v>12Go Link</v>
      </c>
      <c r="E11440" s="2" t="s">
        <v>3409</v>
      </c>
    </row>
    <row r="11441">
      <c r="A11441" s="2" t="s">
        <v>4963</v>
      </c>
      <c r="B11441" s="2" t="s">
        <v>4961</v>
      </c>
      <c r="C11441" s="2" t="s">
        <v>6229</v>
      </c>
      <c r="D11441" s="3" t="str">
        <f t="shared" ref="D11441:D11443" si="2566">HYPERLINK("https://12go.asia/en/travel/Dick-oya/Beragala", "12Go Link")</f>
        <v>12Go Link</v>
      </c>
      <c r="E11441" s="2" t="s">
        <v>286</v>
      </c>
    </row>
    <row r="11442">
      <c r="A11442" s="2" t="s">
        <v>4963</v>
      </c>
      <c r="B11442" s="2" t="s">
        <v>4961</v>
      </c>
      <c r="C11442" s="2" t="s">
        <v>6229</v>
      </c>
      <c r="D11442" s="3" t="str">
        <f t="shared" si="2566"/>
        <v>12Go Link</v>
      </c>
      <c r="E11442" s="2" t="s">
        <v>4139</v>
      </c>
    </row>
    <row r="11443">
      <c r="A11443" s="2" t="s">
        <v>4963</v>
      </c>
      <c r="B11443" s="2" t="s">
        <v>4961</v>
      </c>
      <c r="C11443" s="2" t="s">
        <v>6229</v>
      </c>
      <c r="D11443" s="3" t="str">
        <f t="shared" si="2566"/>
        <v>12Go Link</v>
      </c>
      <c r="E11443" s="2" t="s">
        <v>3409</v>
      </c>
    </row>
    <row r="11444">
      <c r="A11444" s="2" t="s">
        <v>4963</v>
      </c>
      <c r="B11444" s="2" t="s">
        <v>4965</v>
      </c>
      <c r="C11444" s="2" t="s">
        <v>6230</v>
      </c>
      <c r="D11444" s="3" t="str">
        <f t="shared" ref="D11444:D11446" si="2567">HYPERLINK("https://12go.asia/en/travel/Dick-oya/Dodanduwa", "12Go Link")</f>
        <v>12Go Link</v>
      </c>
      <c r="E11444" s="2" t="s">
        <v>286</v>
      </c>
    </row>
    <row r="11445">
      <c r="A11445" s="2" t="s">
        <v>4963</v>
      </c>
      <c r="B11445" s="2" t="s">
        <v>4965</v>
      </c>
      <c r="C11445" s="2" t="s">
        <v>6230</v>
      </c>
      <c r="D11445" s="3" t="str">
        <f t="shared" si="2567"/>
        <v>12Go Link</v>
      </c>
      <c r="E11445" s="2" t="s">
        <v>4139</v>
      </c>
    </row>
    <row r="11446">
      <c r="A11446" s="2" t="s">
        <v>4963</v>
      </c>
      <c r="B11446" s="2" t="s">
        <v>4965</v>
      </c>
      <c r="C11446" s="2" t="s">
        <v>6230</v>
      </c>
      <c r="D11446" s="3" t="str">
        <f t="shared" si="2567"/>
        <v>12Go Link</v>
      </c>
      <c r="E11446" s="2" t="s">
        <v>3409</v>
      </c>
    </row>
    <row r="11447">
      <c r="A11447" s="2" t="s">
        <v>4963</v>
      </c>
      <c r="B11447" s="2" t="s">
        <v>4967</v>
      </c>
      <c r="C11447" s="2" t="s">
        <v>6231</v>
      </c>
      <c r="D11447" s="3" t="str">
        <f t="shared" ref="D11447:D11449" si="2568">HYPERLINK("https://12go.asia/en/travel/Dick-oya/Induruwa", "12Go Link")</f>
        <v>12Go Link</v>
      </c>
      <c r="E11447" s="2" t="s">
        <v>286</v>
      </c>
    </row>
    <row r="11448">
      <c r="A11448" s="2" t="s">
        <v>4963</v>
      </c>
      <c r="B11448" s="2" t="s">
        <v>4967</v>
      </c>
      <c r="C11448" s="2" t="s">
        <v>6231</v>
      </c>
      <c r="D11448" s="3" t="str">
        <f t="shared" si="2568"/>
        <v>12Go Link</v>
      </c>
      <c r="E11448" s="2" t="s">
        <v>4139</v>
      </c>
    </row>
    <row r="11449">
      <c r="A11449" s="2" t="s">
        <v>4963</v>
      </c>
      <c r="B11449" s="2" t="s">
        <v>4967</v>
      </c>
      <c r="C11449" s="2" t="s">
        <v>6231</v>
      </c>
      <c r="D11449" s="3" t="str">
        <f t="shared" si="2568"/>
        <v>12Go Link</v>
      </c>
      <c r="E11449" s="2" t="s">
        <v>3409</v>
      </c>
    </row>
    <row r="11450">
      <c r="A11450" s="2" t="s">
        <v>4963</v>
      </c>
      <c r="B11450" s="2" t="s">
        <v>4969</v>
      </c>
      <c r="C11450" s="2" t="s">
        <v>6232</v>
      </c>
      <c r="D11450" s="3" t="str">
        <f t="shared" ref="D11450:D11452" si="2569">HYPERLINK("https://12go.asia/en/travel/Dick-oya/Jaffna", "12Go Link")</f>
        <v>12Go Link</v>
      </c>
      <c r="E11450" s="2" t="s">
        <v>286</v>
      </c>
    </row>
    <row r="11451">
      <c r="A11451" s="2" t="s">
        <v>4963</v>
      </c>
      <c r="B11451" s="2" t="s">
        <v>4969</v>
      </c>
      <c r="C11451" s="2" t="s">
        <v>6232</v>
      </c>
      <c r="D11451" s="3" t="str">
        <f t="shared" si="2569"/>
        <v>12Go Link</v>
      </c>
      <c r="E11451" s="2" t="s">
        <v>4139</v>
      </c>
    </row>
    <row r="11452">
      <c r="A11452" s="2" t="s">
        <v>4963</v>
      </c>
      <c r="B11452" s="2" t="s">
        <v>4969</v>
      </c>
      <c r="C11452" s="2" t="s">
        <v>6232</v>
      </c>
      <c r="D11452" s="3" t="str">
        <f t="shared" si="2569"/>
        <v>12Go Link</v>
      </c>
      <c r="E11452" s="2" t="s">
        <v>3409</v>
      </c>
    </row>
    <row r="11453">
      <c r="A11453" s="2" t="s">
        <v>4963</v>
      </c>
      <c r="B11453" s="2" t="s">
        <v>4971</v>
      </c>
      <c r="C11453" s="2" t="s">
        <v>6233</v>
      </c>
      <c r="D11453" s="3" t="str">
        <f t="shared" ref="D11453:D11455" si="2570">HYPERLINK("https://12go.asia/en/travel/Dick-oya/Kalapuwa", "12Go Link")</f>
        <v>12Go Link</v>
      </c>
      <c r="E11453" s="2" t="s">
        <v>286</v>
      </c>
    </row>
    <row r="11454">
      <c r="A11454" s="2" t="s">
        <v>4963</v>
      </c>
      <c r="B11454" s="2" t="s">
        <v>4971</v>
      </c>
      <c r="C11454" s="2" t="s">
        <v>6233</v>
      </c>
      <c r="D11454" s="3" t="str">
        <f t="shared" si="2570"/>
        <v>12Go Link</v>
      </c>
      <c r="E11454" s="2" t="s">
        <v>4139</v>
      </c>
    </row>
    <row r="11455">
      <c r="A11455" s="2" t="s">
        <v>4963</v>
      </c>
      <c r="B11455" s="2" t="s">
        <v>4971</v>
      </c>
      <c r="C11455" s="2" t="s">
        <v>6233</v>
      </c>
      <c r="D11455" s="3" t="str">
        <f t="shared" si="2570"/>
        <v>12Go Link</v>
      </c>
      <c r="E11455" s="2" t="s">
        <v>3409</v>
      </c>
    </row>
    <row r="11456">
      <c r="A11456" s="2" t="s">
        <v>4963</v>
      </c>
      <c r="B11456" s="2" t="s">
        <v>4973</v>
      </c>
      <c r="C11456" s="2" t="s">
        <v>6234</v>
      </c>
      <c r="D11456" s="3" t="str">
        <f t="shared" ref="D11456:D11458" si="2571">HYPERLINK("https://12go.asia/en/travel/Dick-oya/Ampitiya", "12Go Link")</f>
        <v>12Go Link</v>
      </c>
      <c r="E11456" s="2" t="s">
        <v>286</v>
      </c>
    </row>
    <row r="11457">
      <c r="A11457" s="2" t="s">
        <v>4963</v>
      </c>
      <c r="B11457" s="2" t="s">
        <v>4973</v>
      </c>
      <c r="C11457" s="2" t="s">
        <v>6234</v>
      </c>
      <c r="D11457" s="3" t="str">
        <f t="shared" si="2571"/>
        <v>12Go Link</v>
      </c>
      <c r="E11457" s="2" t="s">
        <v>4139</v>
      </c>
    </row>
    <row r="11458">
      <c r="A11458" s="2" t="s">
        <v>4963</v>
      </c>
      <c r="B11458" s="2" t="s">
        <v>4973</v>
      </c>
      <c r="C11458" s="2" t="s">
        <v>6234</v>
      </c>
      <c r="D11458" s="3" t="str">
        <f t="shared" si="2571"/>
        <v>12Go Link</v>
      </c>
      <c r="E11458" s="2" t="s">
        <v>3409</v>
      </c>
    </row>
    <row r="11459">
      <c r="A11459" s="2" t="s">
        <v>4963</v>
      </c>
      <c r="B11459" s="2" t="s">
        <v>4973</v>
      </c>
      <c r="C11459" s="2" t="s">
        <v>6235</v>
      </c>
      <c r="D11459" s="3" t="str">
        <f t="shared" ref="D11459:D11461" si="2572">HYPERLINK("https://12go.asia/en/travel/Dick-oya/Digana", "12Go Link")</f>
        <v>12Go Link</v>
      </c>
      <c r="E11459" s="2" t="s">
        <v>286</v>
      </c>
    </row>
    <row r="11460">
      <c r="A11460" s="2" t="s">
        <v>4963</v>
      </c>
      <c r="B11460" s="2" t="s">
        <v>4973</v>
      </c>
      <c r="C11460" s="2" t="s">
        <v>6235</v>
      </c>
      <c r="D11460" s="3" t="str">
        <f t="shared" si="2572"/>
        <v>12Go Link</v>
      </c>
      <c r="E11460" s="2" t="s">
        <v>4139</v>
      </c>
    </row>
    <row r="11461">
      <c r="A11461" s="2" t="s">
        <v>4963</v>
      </c>
      <c r="B11461" s="2" t="s">
        <v>4973</v>
      </c>
      <c r="C11461" s="2" t="s">
        <v>6235</v>
      </c>
      <c r="D11461" s="3" t="str">
        <f t="shared" si="2572"/>
        <v>12Go Link</v>
      </c>
      <c r="E11461" s="2" t="s">
        <v>3409</v>
      </c>
    </row>
    <row r="11462">
      <c r="A11462" s="2" t="s">
        <v>4963</v>
      </c>
      <c r="B11462" s="2" t="s">
        <v>4976</v>
      </c>
      <c r="C11462" s="2" t="s">
        <v>6236</v>
      </c>
      <c r="D11462" s="3" t="str">
        <f t="shared" ref="D11462:D11464" si="2573">HYPERLINK("https://12go.asia/en/travel/Dick-oya/Kataragama", "12Go Link")</f>
        <v>12Go Link</v>
      </c>
      <c r="E11462" s="2" t="s">
        <v>286</v>
      </c>
    </row>
    <row r="11463">
      <c r="A11463" s="2" t="s">
        <v>4963</v>
      </c>
      <c r="B11463" s="2" t="s">
        <v>4976</v>
      </c>
      <c r="C11463" s="2" t="s">
        <v>6236</v>
      </c>
      <c r="D11463" s="3" t="str">
        <f t="shared" si="2573"/>
        <v>12Go Link</v>
      </c>
      <c r="E11463" s="2" t="s">
        <v>4139</v>
      </c>
    </row>
    <row r="11464">
      <c r="A11464" s="2" t="s">
        <v>4963</v>
      </c>
      <c r="B11464" s="2" t="s">
        <v>4976</v>
      </c>
      <c r="C11464" s="2" t="s">
        <v>6236</v>
      </c>
      <c r="D11464" s="3" t="str">
        <f t="shared" si="2573"/>
        <v>12Go Link</v>
      </c>
      <c r="E11464" s="2" t="s">
        <v>3409</v>
      </c>
    </row>
    <row r="11465">
      <c r="A11465" s="2" t="s">
        <v>4963</v>
      </c>
      <c r="B11465" s="2" t="s">
        <v>4978</v>
      </c>
      <c r="C11465" s="2" t="s">
        <v>6237</v>
      </c>
      <c r="D11465" s="3" t="str">
        <f t="shared" ref="D11465:D11467" si="2574">HYPERLINK("https://12go.asia/en/travel/Dick-oya/Alawathupitiya", "12Go Link")</f>
        <v>12Go Link</v>
      </c>
      <c r="E11465" s="2" t="s">
        <v>286</v>
      </c>
    </row>
    <row r="11466">
      <c r="A11466" s="2" t="s">
        <v>4963</v>
      </c>
      <c r="B11466" s="2" t="s">
        <v>4978</v>
      </c>
      <c r="C11466" s="2" t="s">
        <v>6237</v>
      </c>
      <c r="D11466" s="3" t="str">
        <f t="shared" si="2574"/>
        <v>12Go Link</v>
      </c>
      <c r="E11466" s="2" t="s">
        <v>4139</v>
      </c>
    </row>
    <row r="11467">
      <c r="A11467" s="2" t="s">
        <v>4963</v>
      </c>
      <c r="B11467" s="2" t="s">
        <v>4978</v>
      </c>
      <c r="C11467" s="2" t="s">
        <v>6237</v>
      </c>
      <c r="D11467" s="3" t="str">
        <f t="shared" si="2574"/>
        <v>12Go Link</v>
      </c>
      <c r="E11467" s="2" t="s">
        <v>3409</v>
      </c>
    </row>
    <row r="11468">
      <c r="A11468" s="2" t="s">
        <v>4963</v>
      </c>
      <c r="B11468" s="2" t="s">
        <v>4980</v>
      </c>
      <c r="C11468" s="2" t="s">
        <v>6238</v>
      </c>
      <c r="D11468" s="3" t="str">
        <f t="shared" ref="D11468:D11470" si="2575">HYPERLINK("https://12go.asia/en/travel/Dick-oya/Pinnawala", "12Go Link")</f>
        <v>12Go Link</v>
      </c>
      <c r="E11468" s="2" t="s">
        <v>286</v>
      </c>
    </row>
    <row r="11469">
      <c r="A11469" s="2" t="s">
        <v>4963</v>
      </c>
      <c r="B11469" s="2" t="s">
        <v>4980</v>
      </c>
      <c r="C11469" s="2" t="s">
        <v>6238</v>
      </c>
      <c r="D11469" s="3" t="str">
        <f t="shared" si="2575"/>
        <v>12Go Link</v>
      </c>
      <c r="E11469" s="2" t="s">
        <v>4139</v>
      </c>
    </row>
    <row r="11470">
      <c r="A11470" s="2" t="s">
        <v>4963</v>
      </c>
      <c r="B11470" s="2" t="s">
        <v>4980</v>
      </c>
      <c r="C11470" s="2" t="s">
        <v>6238</v>
      </c>
      <c r="D11470" s="3" t="str">
        <f t="shared" si="2575"/>
        <v>12Go Link</v>
      </c>
      <c r="E11470" s="2" t="s">
        <v>3409</v>
      </c>
    </row>
    <row r="11471">
      <c r="A11471" s="2" t="s">
        <v>4963</v>
      </c>
      <c r="B11471" s="2" t="s">
        <v>4982</v>
      </c>
      <c r="C11471" s="2" t="s">
        <v>6239</v>
      </c>
      <c r="D11471" s="3" t="str">
        <f t="shared" ref="D11471:D11473" si="2576">HYPERLINK("https://12go.asia/en/travel/Dick-oya/Kitulgala", "12Go Link")</f>
        <v>12Go Link</v>
      </c>
      <c r="E11471" s="2" t="s">
        <v>286</v>
      </c>
    </row>
    <row r="11472">
      <c r="A11472" s="2" t="s">
        <v>4963</v>
      </c>
      <c r="B11472" s="2" t="s">
        <v>4982</v>
      </c>
      <c r="C11472" s="2" t="s">
        <v>6239</v>
      </c>
      <c r="D11472" s="3" t="str">
        <f t="shared" si="2576"/>
        <v>12Go Link</v>
      </c>
      <c r="E11472" s="2" t="s">
        <v>4139</v>
      </c>
    </row>
    <row r="11473">
      <c r="A11473" s="2" t="s">
        <v>4963</v>
      </c>
      <c r="B11473" s="2" t="s">
        <v>4982</v>
      </c>
      <c r="C11473" s="2" t="s">
        <v>6239</v>
      </c>
      <c r="D11473" s="3" t="str">
        <f t="shared" si="2576"/>
        <v>12Go Link</v>
      </c>
      <c r="E11473" s="2" t="s">
        <v>3409</v>
      </c>
    </row>
    <row r="11474">
      <c r="A11474" s="2" t="s">
        <v>4963</v>
      </c>
      <c r="B11474" s="2" t="s">
        <v>4984</v>
      </c>
      <c r="C11474" s="2" t="s">
        <v>6240</v>
      </c>
      <c r="D11474" s="3" t="str">
        <f t="shared" ref="D11474:D11476" si="2577">HYPERLINK("https://12go.asia/en/travel/Dick-oya/Habaraduwa", "12Go Link")</f>
        <v>12Go Link</v>
      </c>
      <c r="E11474" s="2" t="s">
        <v>286</v>
      </c>
    </row>
    <row r="11475">
      <c r="A11475" s="2" t="s">
        <v>4963</v>
      </c>
      <c r="B11475" s="2" t="s">
        <v>4984</v>
      </c>
      <c r="C11475" s="2" t="s">
        <v>6240</v>
      </c>
      <c r="D11475" s="3" t="str">
        <f t="shared" si="2577"/>
        <v>12Go Link</v>
      </c>
      <c r="E11475" s="2" t="s">
        <v>4139</v>
      </c>
    </row>
    <row r="11476">
      <c r="A11476" s="2" t="s">
        <v>4963</v>
      </c>
      <c r="B11476" s="2" t="s">
        <v>4984</v>
      </c>
      <c r="C11476" s="2" t="s">
        <v>6240</v>
      </c>
      <c r="D11476" s="3" t="str">
        <f t="shared" si="2577"/>
        <v>12Go Link</v>
      </c>
      <c r="E11476" s="2" t="s">
        <v>3409</v>
      </c>
    </row>
    <row r="11477">
      <c r="A11477" s="2" t="s">
        <v>4963</v>
      </c>
      <c r="B11477" s="2" t="s">
        <v>4986</v>
      </c>
      <c r="C11477" s="2" t="s">
        <v>6241</v>
      </c>
      <c r="D11477" s="3" t="str">
        <f t="shared" ref="D11477:D11479" si="2578">HYPERLINK("https://12go.asia/en/travel/Dick-oya/Kosgoda", "12Go Link")</f>
        <v>12Go Link</v>
      </c>
      <c r="E11477" s="2" t="s">
        <v>286</v>
      </c>
    </row>
    <row r="11478">
      <c r="A11478" s="2" t="s">
        <v>4963</v>
      </c>
      <c r="B11478" s="2" t="s">
        <v>4986</v>
      </c>
      <c r="C11478" s="2" t="s">
        <v>6241</v>
      </c>
      <c r="D11478" s="3" t="str">
        <f t="shared" si="2578"/>
        <v>12Go Link</v>
      </c>
      <c r="E11478" s="2" t="s">
        <v>4139</v>
      </c>
    </row>
    <row r="11479">
      <c r="A11479" s="2" t="s">
        <v>4963</v>
      </c>
      <c r="B11479" s="2" t="s">
        <v>4986</v>
      </c>
      <c r="C11479" s="2" t="s">
        <v>6241</v>
      </c>
      <c r="D11479" s="3" t="str">
        <f t="shared" si="2578"/>
        <v>12Go Link</v>
      </c>
      <c r="E11479" s="2" t="s">
        <v>3409</v>
      </c>
    </row>
    <row r="11480">
      <c r="A11480" s="2" t="s">
        <v>4963</v>
      </c>
      <c r="B11480" s="2" t="s">
        <v>4988</v>
      </c>
      <c r="C11480" s="2" t="s">
        <v>6242</v>
      </c>
      <c r="D11480" s="3" t="str">
        <f t="shared" ref="D11480:D11482" si="2579">HYPERLINK("https://12go.asia/en/travel/Dick-oya/Kuchchaveli", "12Go Link")</f>
        <v>12Go Link</v>
      </c>
      <c r="E11480" s="2" t="s">
        <v>286</v>
      </c>
    </row>
    <row r="11481">
      <c r="A11481" s="2" t="s">
        <v>4963</v>
      </c>
      <c r="B11481" s="2" t="s">
        <v>4988</v>
      </c>
      <c r="C11481" s="2" t="s">
        <v>6242</v>
      </c>
      <c r="D11481" s="3" t="str">
        <f t="shared" si="2579"/>
        <v>12Go Link</v>
      </c>
      <c r="E11481" s="2" t="s">
        <v>4139</v>
      </c>
    </row>
    <row r="11482">
      <c r="A11482" s="2" t="s">
        <v>4963</v>
      </c>
      <c r="B11482" s="2" t="s">
        <v>4988</v>
      </c>
      <c r="C11482" s="2" t="s">
        <v>6242</v>
      </c>
      <c r="D11482" s="3" t="str">
        <f t="shared" si="2579"/>
        <v>12Go Link</v>
      </c>
      <c r="E11482" s="2" t="s">
        <v>3409</v>
      </c>
    </row>
    <row r="11483">
      <c r="A11483" s="2" t="s">
        <v>4963</v>
      </c>
      <c r="B11483" s="2" t="s">
        <v>4990</v>
      </c>
      <c r="C11483" s="2" t="s">
        <v>6243</v>
      </c>
      <c r="D11483" s="3" t="str">
        <f t="shared" ref="D11483:D11485" si="2580">HYPERLINK("https://12go.asia/en/travel/Dick-oya/Mannar", "12Go Link")</f>
        <v>12Go Link</v>
      </c>
      <c r="E11483" s="2" t="s">
        <v>286</v>
      </c>
    </row>
    <row r="11484">
      <c r="A11484" s="2" t="s">
        <v>4963</v>
      </c>
      <c r="B11484" s="2" t="s">
        <v>4990</v>
      </c>
      <c r="C11484" s="2" t="s">
        <v>6243</v>
      </c>
      <c r="D11484" s="3" t="str">
        <f t="shared" si="2580"/>
        <v>12Go Link</v>
      </c>
      <c r="E11484" s="2" t="s">
        <v>4139</v>
      </c>
    </row>
    <row r="11485">
      <c r="A11485" s="2" t="s">
        <v>4963</v>
      </c>
      <c r="B11485" s="2" t="s">
        <v>4990</v>
      </c>
      <c r="C11485" s="2" t="s">
        <v>6243</v>
      </c>
      <c r="D11485" s="3" t="str">
        <f t="shared" si="2580"/>
        <v>12Go Link</v>
      </c>
      <c r="E11485" s="2" t="s">
        <v>3409</v>
      </c>
    </row>
    <row r="11486">
      <c r="A11486" s="2" t="s">
        <v>4963</v>
      </c>
      <c r="B11486" s="2" t="s">
        <v>4992</v>
      </c>
      <c r="C11486" s="2" t="s">
        <v>6244</v>
      </c>
      <c r="D11486" s="3" t="str">
        <f t="shared" ref="D11486:D11488" si="2581">HYPERLINK("https://12go.asia/en/travel/Dick-oya/Kinigama", "12Go Link")</f>
        <v>12Go Link</v>
      </c>
      <c r="E11486" s="2" t="s">
        <v>286</v>
      </c>
    </row>
    <row r="11487">
      <c r="A11487" s="2" t="s">
        <v>4963</v>
      </c>
      <c r="B11487" s="2" t="s">
        <v>4992</v>
      </c>
      <c r="C11487" s="2" t="s">
        <v>6244</v>
      </c>
      <c r="D11487" s="3" t="str">
        <f t="shared" si="2581"/>
        <v>12Go Link</v>
      </c>
      <c r="E11487" s="2" t="s">
        <v>4139</v>
      </c>
    </row>
    <row r="11488">
      <c r="A11488" s="2" t="s">
        <v>4963</v>
      </c>
      <c r="B11488" s="2" t="s">
        <v>4992</v>
      </c>
      <c r="C11488" s="2" t="s">
        <v>6244</v>
      </c>
      <c r="D11488" s="3" t="str">
        <f t="shared" si="2581"/>
        <v>12Go Link</v>
      </c>
      <c r="E11488" s="2" t="s">
        <v>3409</v>
      </c>
    </row>
    <row r="11489">
      <c r="A11489" s="2" t="s">
        <v>4963</v>
      </c>
      <c r="B11489" s="2" t="s">
        <v>4994</v>
      </c>
      <c r="C11489" s="2" t="s">
        <v>6245</v>
      </c>
      <c r="D11489" s="3" t="str">
        <f t="shared" ref="D11489:D11491" si="2582">HYPERLINK("https://12go.asia/en/travel/Dick-oya/Kalamatiya", "12Go Link")</f>
        <v>12Go Link</v>
      </c>
      <c r="E11489" s="2" t="s">
        <v>286</v>
      </c>
    </row>
    <row r="11490">
      <c r="A11490" s="2" t="s">
        <v>4963</v>
      </c>
      <c r="B11490" s="2" t="s">
        <v>4994</v>
      </c>
      <c r="C11490" s="2" t="s">
        <v>6245</v>
      </c>
      <c r="D11490" s="3" t="str">
        <f t="shared" si="2582"/>
        <v>12Go Link</v>
      </c>
      <c r="E11490" s="2" t="s">
        <v>4139</v>
      </c>
    </row>
    <row r="11491">
      <c r="A11491" s="2" t="s">
        <v>4963</v>
      </c>
      <c r="B11491" s="2" t="s">
        <v>4994</v>
      </c>
      <c r="C11491" s="2" t="s">
        <v>6245</v>
      </c>
      <c r="D11491" s="3" t="str">
        <f t="shared" si="2582"/>
        <v>12Go Link</v>
      </c>
      <c r="E11491" s="2" t="s">
        <v>3409</v>
      </c>
    </row>
    <row r="11492">
      <c r="A11492" s="2" t="s">
        <v>4963</v>
      </c>
      <c r="B11492" s="2" t="s">
        <v>4996</v>
      </c>
      <c r="C11492" s="2" t="s">
        <v>6246</v>
      </c>
      <c r="D11492" s="3" t="str">
        <f t="shared" ref="D11492:D11494" si="2583">HYPERLINK("https://12go.asia/en/travel/Dick-oya/mirissa", "12Go Link")</f>
        <v>12Go Link</v>
      </c>
      <c r="E11492" s="2" t="s">
        <v>286</v>
      </c>
    </row>
    <row r="11493">
      <c r="A11493" s="2" t="s">
        <v>4963</v>
      </c>
      <c r="B11493" s="2" t="s">
        <v>4996</v>
      </c>
      <c r="C11493" s="2" t="s">
        <v>6246</v>
      </c>
      <c r="D11493" s="3" t="str">
        <f t="shared" si="2583"/>
        <v>12Go Link</v>
      </c>
      <c r="E11493" s="2" t="s">
        <v>4139</v>
      </c>
    </row>
    <row r="11494">
      <c r="A11494" s="2" t="s">
        <v>4963</v>
      </c>
      <c r="B11494" s="2" t="s">
        <v>4996</v>
      </c>
      <c r="C11494" s="2" t="s">
        <v>6246</v>
      </c>
      <c r="D11494" s="3" t="str">
        <f t="shared" si="2583"/>
        <v>12Go Link</v>
      </c>
      <c r="E11494" s="2" t="s">
        <v>3409</v>
      </c>
    </row>
    <row r="11495">
      <c r="A11495" s="2" t="s">
        <v>4963</v>
      </c>
      <c r="B11495" s="2" t="s">
        <v>4998</v>
      </c>
      <c r="C11495" s="2" t="s">
        <v>6247</v>
      </c>
      <c r="D11495" s="3" t="str">
        <f t="shared" ref="D11495:D11497" si="2584">HYPERLINK("https://12go.asia/en/travel/Dick-oya/Nanu-Oya", "12Go Link")</f>
        <v>12Go Link</v>
      </c>
      <c r="E11495" s="2" t="s">
        <v>286</v>
      </c>
    </row>
    <row r="11496">
      <c r="A11496" s="2" t="s">
        <v>4963</v>
      </c>
      <c r="B11496" s="2" t="s">
        <v>4998</v>
      </c>
      <c r="C11496" s="2" t="s">
        <v>6247</v>
      </c>
      <c r="D11496" s="3" t="str">
        <f t="shared" si="2584"/>
        <v>12Go Link</v>
      </c>
      <c r="E11496" s="2" t="s">
        <v>4139</v>
      </c>
    </row>
    <row r="11497">
      <c r="A11497" s="2" t="s">
        <v>4963</v>
      </c>
      <c r="B11497" s="2" t="s">
        <v>4998</v>
      </c>
      <c r="C11497" s="2" t="s">
        <v>6247</v>
      </c>
      <c r="D11497" s="3" t="str">
        <f t="shared" si="2584"/>
        <v>12Go Link</v>
      </c>
      <c r="E11497" s="2" t="s">
        <v>3409</v>
      </c>
    </row>
    <row r="11498">
      <c r="A11498" s="2" t="s">
        <v>4963</v>
      </c>
      <c r="B11498" s="2" t="s">
        <v>5000</v>
      </c>
      <c r="C11498" s="2" t="s">
        <v>6248</v>
      </c>
      <c r="D11498" s="3" t="str">
        <f t="shared" ref="D11498:D11500" si="2585">HYPERLINK("https://12go.asia/en/travel/Dick-oya/Dalupotha", "12Go Link")</f>
        <v>12Go Link</v>
      </c>
      <c r="E11498" s="2" t="s">
        <v>286</v>
      </c>
    </row>
    <row r="11499">
      <c r="A11499" s="2" t="s">
        <v>4963</v>
      </c>
      <c r="B11499" s="2" t="s">
        <v>5000</v>
      </c>
      <c r="C11499" s="2" t="s">
        <v>6248</v>
      </c>
      <c r="D11499" s="3" t="str">
        <f t="shared" si="2585"/>
        <v>12Go Link</v>
      </c>
      <c r="E11499" s="2" t="s">
        <v>4139</v>
      </c>
    </row>
    <row r="11500">
      <c r="A11500" s="2" t="s">
        <v>4963</v>
      </c>
      <c r="B11500" s="2" t="s">
        <v>5000</v>
      </c>
      <c r="C11500" s="2" t="s">
        <v>6248</v>
      </c>
      <c r="D11500" s="3" t="str">
        <f t="shared" si="2585"/>
        <v>12Go Link</v>
      </c>
      <c r="E11500" s="2" t="s">
        <v>3409</v>
      </c>
    </row>
    <row r="11501">
      <c r="A11501" s="2" t="s">
        <v>4963</v>
      </c>
      <c r="B11501" s="2" t="s">
        <v>5000</v>
      </c>
      <c r="C11501" s="2" t="s">
        <v>6249</v>
      </c>
      <c r="D11501" s="3" t="str">
        <f t="shared" ref="D11501:D11503" si="2586">HYPERLINK("https://12go.asia/en/travel/Dick-oya/Waikkal", "12Go Link")</f>
        <v>12Go Link</v>
      </c>
      <c r="E11501" s="2" t="s">
        <v>286</v>
      </c>
    </row>
    <row r="11502">
      <c r="A11502" s="2" t="s">
        <v>4963</v>
      </c>
      <c r="B11502" s="2" t="s">
        <v>5000</v>
      </c>
      <c r="C11502" s="2" t="s">
        <v>6249</v>
      </c>
      <c r="D11502" s="3" t="str">
        <f t="shared" si="2586"/>
        <v>12Go Link</v>
      </c>
      <c r="E11502" s="2" t="s">
        <v>4139</v>
      </c>
    </row>
    <row r="11503">
      <c r="A11503" s="2" t="s">
        <v>4963</v>
      </c>
      <c r="B11503" s="2" t="s">
        <v>5000</v>
      </c>
      <c r="C11503" s="2" t="s">
        <v>6249</v>
      </c>
      <c r="D11503" s="3" t="str">
        <f t="shared" si="2586"/>
        <v>12Go Link</v>
      </c>
      <c r="E11503" s="2" t="s">
        <v>3409</v>
      </c>
    </row>
    <row r="11504">
      <c r="A11504" s="2" t="s">
        <v>4963</v>
      </c>
      <c r="B11504" s="2" t="s">
        <v>5003</v>
      </c>
      <c r="C11504" s="2" t="s">
        <v>6250</v>
      </c>
      <c r="D11504" s="3" t="str">
        <f t="shared" ref="D11504:D11506" si="2587">HYPERLINK("https://12go.asia/en/travel/Dick-oya/Nilaveli", "12Go Link")</f>
        <v>12Go Link</v>
      </c>
      <c r="E11504" s="2" t="s">
        <v>286</v>
      </c>
    </row>
    <row r="11505">
      <c r="A11505" s="2" t="s">
        <v>4963</v>
      </c>
      <c r="B11505" s="2" t="s">
        <v>5003</v>
      </c>
      <c r="C11505" s="2" t="s">
        <v>6250</v>
      </c>
      <c r="D11505" s="3" t="str">
        <f t="shared" si="2587"/>
        <v>12Go Link</v>
      </c>
      <c r="E11505" s="2" t="s">
        <v>4139</v>
      </c>
    </row>
    <row r="11506">
      <c r="A11506" s="2" t="s">
        <v>4963</v>
      </c>
      <c r="B11506" s="2" t="s">
        <v>5003</v>
      </c>
      <c r="C11506" s="2" t="s">
        <v>6250</v>
      </c>
      <c r="D11506" s="3" t="str">
        <f t="shared" si="2587"/>
        <v>12Go Link</v>
      </c>
      <c r="E11506" s="2" t="s">
        <v>3409</v>
      </c>
    </row>
    <row r="11507">
      <c r="A11507" s="2" t="s">
        <v>4963</v>
      </c>
      <c r="B11507" s="2" t="s">
        <v>5005</v>
      </c>
      <c r="C11507" s="2" t="s">
        <v>6251</v>
      </c>
      <c r="D11507" s="3" t="str">
        <f t="shared" ref="D11507:D11509" si="2588">HYPERLINK("https://12go.asia/en/travel/Dick-oya/Kotmale", "12Go Link")</f>
        <v>12Go Link</v>
      </c>
      <c r="E11507" s="2" t="s">
        <v>286</v>
      </c>
    </row>
    <row r="11508">
      <c r="A11508" s="2" t="s">
        <v>4963</v>
      </c>
      <c r="B11508" s="2" t="s">
        <v>5005</v>
      </c>
      <c r="C11508" s="2" t="s">
        <v>6251</v>
      </c>
      <c r="D11508" s="3" t="str">
        <f t="shared" si="2588"/>
        <v>12Go Link</v>
      </c>
      <c r="E11508" s="2" t="s">
        <v>4139</v>
      </c>
    </row>
    <row r="11509">
      <c r="A11509" s="2" t="s">
        <v>4963</v>
      </c>
      <c r="B11509" s="2" t="s">
        <v>5005</v>
      </c>
      <c r="C11509" s="2" t="s">
        <v>6251</v>
      </c>
      <c r="D11509" s="3" t="str">
        <f t="shared" si="2588"/>
        <v>12Go Link</v>
      </c>
      <c r="E11509" s="2" t="s">
        <v>3409</v>
      </c>
    </row>
    <row r="11510">
      <c r="A11510" s="2" t="s">
        <v>4963</v>
      </c>
      <c r="B11510" s="2" t="s">
        <v>5007</v>
      </c>
      <c r="C11510" s="2" t="s">
        <v>6252</v>
      </c>
      <c r="D11510" s="3" t="str">
        <f t="shared" ref="D11510:D11512" si="2589">HYPERLINK("https://12go.asia/en/travel/Dick-oya/Pasikuda", "12Go Link")</f>
        <v>12Go Link</v>
      </c>
      <c r="E11510" s="2" t="s">
        <v>286</v>
      </c>
    </row>
    <row r="11511">
      <c r="A11511" s="2" t="s">
        <v>4963</v>
      </c>
      <c r="B11511" s="2" t="s">
        <v>5007</v>
      </c>
      <c r="C11511" s="2" t="s">
        <v>6252</v>
      </c>
      <c r="D11511" s="3" t="str">
        <f t="shared" si="2589"/>
        <v>12Go Link</v>
      </c>
      <c r="E11511" s="2" t="s">
        <v>4139</v>
      </c>
    </row>
    <row r="11512">
      <c r="A11512" s="2" t="s">
        <v>4963</v>
      </c>
      <c r="B11512" s="2" t="s">
        <v>5007</v>
      </c>
      <c r="C11512" s="2" t="s">
        <v>6252</v>
      </c>
      <c r="D11512" s="3" t="str">
        <f t="shared" si="2589"/>
        <v>12Go Link</v>
      </c>
      <c r="E11512" s="2" t="s">
        <v>3409</v>
      </c>
    </row>
    <row r="11513">
      <c r="A11513" s="2" t="s">
        <v>4963</v>
      </c>
      <c r="B11513" s="2" t="s">
        <v>5009</v>
      </c>
      <c r="C11513" s="2" t="s">
        <v>6253</v>
      </c>
      <c r="D11513" s="3" t="str">
        <f t="shared" ref="D11513:D11515" si="2590">HYPERLINK("https://12go.asia/en/travel/Dick-oya/Galoya", "12Go Link")</f>
        <v>12Go Link</v>
      </c>
      <c r="E11513" s="2" t="s">
        <v>286</v>
      </c>
    </row>
    <row r="11514">
      <c r="A11514" s="2" t="s">
        <v>4963</v>
      </c>
      <c r="B11514" s="2" t="s">
        <v>5009</v>
      </c>
      <c r="C11514" s="2" t="s">
        <v>6253</v>
      </c>
      <c r="D11514" s="3" t="str">
        <f t="shared" si="2590"/>
        <v>12Go Link</v>
      </c>
      <c r="E11514" s="2" t="s">
        <v>4139</v>
      </c>
    </row>
    <row r="11515">
      <c r="A11515" s="2" t="s">
        <v>4963</v>
      </c>
      <c r="B11515" s="2" t="s">
        <v>5009</v>
      </c>
      <c r="C11515" s="2" t="s">
        <v>6253</v>
      </c>
      <c r="D11515" s="3" t="str">
        <f t="shared" si="2590"/>
        <v>12Go Link</v>
      </c>
      <c r="E11515" s="2" t="s">
        <v>3409</v>
      </c>
    </row>
    <row r="11516">
      <c r="A11516" s="2" t="s">
        <v>4963</v>
      </c>
      <c r="B11516" s="2" t="s">
        <v>5011</v>
      </c>
      <c r="C11516" s="2" t="s">
        <v>6254</v>
      </c>
      <c r="D11516" s="3" t="str">
        <f t="shared" ref="D11516:D11518" si="2591">HYPERLINK("https://12go.asia/en/travel/Dick-oya/Kalpitiya", "12Go Link")</f>
        <v>12Go Link</v>
      </c>
      <c r="E11516" s="2" t="s">
        <v>286</v>
      </c>
    </row>
    <row r="11517">
      <c r="A11517" s="2" t="s">
        <v>4963</v>
      </c>
      <c r="B11517" s="2" t="s">
        <v>5011</v>
      </c>
      <c r="C11517" s="2" t="s">
        <v>6254</v>
      </c>
      <c r="D11517" s="3" t="str">
        <f t="shared" si="2591"/>
        <v>12Go Link</v>
      </c>
      <c r="E11517" s="2" t="s">
        <v>4139</v>
      </c>
    </row>
    <row r="11518">
      <c r="A11518" s="2" t="s">
        <v>4963</v>
      </c>
      <c r="B11518" s="2" t="s">
        <v>5011</v>
      </c>
      <c r="C11518" s="2" t="s">
        <v>6254</v>
      </c>
      <c r="D11518" s="3" t="str">
        <f t="shared" si="2591"/>
        <v>12Go Link</v>
      </c>
      <c r="E11518" s="2" t="s">
        <v>3409</v>
      </c>
    </row>
    <row r="11519">
      <c r="A11519" s="2" t="s">
        <v>4963</v>
      </c>
      <c r="B11519" s="2" t="s">
        <v>5011</v>
      </c>
      <c r="C11519" s="2" t="s">
        <v>6255</v>
      </c>
      <c r="D11519" s="3" t="str">
        <f t="shared" ref="D11519:D11521" si="2592">HYPERLINK("https://12go.asia/en/travel/Dick-oya/Marawila", "12Go Link")</f>
        <v>12Go Link</v>
      </c>
      <c r="E11519" s="2" t="s">
        <v>286</v>
      </c>
    </row>
    <row r="11520">
      <c r="A11520" s="2" t="s">
        <v>4963</v>
      </c>
      <c r="B11520" s="2" t="s">
        <v>5011</v>
      </c>
      <c r="C11520" s="2" t="s">
        <v>6255</v>
      </c>
      <c r="D11520" s="3" t="str">
        <f t="shared" si="2592"/>
        <v>12Go Link</v>
      </c>
      <c r="E11520" s="2" t="s">
        <v>4139</v>
      </c>
    </row>
    <row r="11521">
      <c r="A11521" s="2" t="s">
        <v>4963</v>
      </c>
      <c r="B11521" s="2" t="s">
        <v>5011</v>
      </c>
      <c r="C11521" s="2" t="s">
        <v>6255</v>
      </c>
      <c r="D11521" s="3" t="str">
        <f t="shared" si="2592"/>
        <v>12Go Link</v>
      </c>
      <c r="E11521" s="2" t="s">
        <v>3409</v>
      </c>
    </row>
    <row r="11522">
      <c r="A11522" s="2" t="s">
        <v>4963</v>
      </c>
      <c r="B11522" s="2" t="s">
        <v>5014</v>
      </c>
      <c r="C11522" s="2" t="s">
        <v>6256</v>
      </c>
      <c r="D11522" s="3" t="str">
        <f t="shared" ref="D11522:D11524" si="2593">HYPERLINK("https://12go.asia/en/travel/Dick-oya/Kiriella", "12Go Link")</f>
        <v>12Go Link</v>
      </c>
      <c r="E11522" s="2" t="s">
        <v>286</v>
      </c>
    </row>
    <row r="11523">
      <c r="A11523" s="2" t="s">
        <v>4963</v>
      </c>
      <c r="B11523" s="2" t="s">
        <v>5014</v>
      </c>
      <c r="C11523" s="2" t="s">
        <v>6256</v>
      </c>
      <c r="D11523" s="3" t="str">
        <f t="shared" si="2593"/>
        <v>12Go Link</v>
      </c>
      <c r="E11523" s="2" t="s">
        <v>4139</v>
      </c>
    </row>
    <row r="11524">
      <c r="A11524" s="2" t="s">
        <v>4963</v>
      </c>
      <c r="B11524" s="2" t="s">
        <v>5014</v>
      </c>
      <c r="C11524" s="2" t="s">
        <v>6256</v>
      </c>
      <c r="D11524" s="3" t="str">
        <f t="shared" si="2593"/>
        <v>12Go Link</v>
      </c>
      <c r="E11524" s="2" t="s">
        <v>3409</v>
      </c>
    </row>
    <row r="11525">
      <c r="A11525" s="2" t="s">
        <v>4963</v>
      </c>
      <c r="B11525" s="2" t="s">
        <v>5016</v>
      </c>
      <c r="C11525" s="2" t="s">
        <v>6257</v>
      </c>
      <c r="D11525" s="3" t="str">
        <f t="shared" ref="D11525:D11527" si="2594">HYPERLINK("https://12go.asia/en/travel/Dick-oya/Pidurangala", "12Go Link")</f>
        <v>12Go Link</v>
      </c>
      <c r="E11525" s="2" t="s">
        <v>286</v>
      </c>
    </row>
    <row r="11526">
      <c r="A11526" s="2" t="s">
        <v>4963</v>
      </c>
      <c r="B11526" s="2" t="s">
        <v>5016</v>
      </c>
      <c r="C11526" s="2" t="s">
        <v>6257</v>
      </c>
      <c r="D11526" s="3" t="str">
        <f t="shared" si="2594"/>
        <v>12Go Link</v>
      </c>
      <c r="E11526" s="2" t="s">
        <v>4139</v>
      </c>
    </row>
    <row r="11527">
      <c r="A11527" s="2" t="s">
        <v>4963</v>
      </c>
      <c r="B11527" s="2" t="s">
        <v>5016</v>
      </c>
      <c r="C11527" s="2" t="s">
        <v>6257</v>
      </c>
      <c r="D11527" s="3" t="str">
        <f t="shared" si="2594"/>
        <v>12Go Link</v>
      </c>
      <c r="E11527" s="2" t="s">
        <v>3409</v>
      </c>
    </row>
    <row r="11528">
      <c r="A11528" s="2" t="s">
        <v>4963</v>
      </c>
      <c r="B11528" s="2" t="s">
        <v>5018</v>
      </c>
      <c r="C11528" s="2" t="s">
        <v>6258</v>
      </c>
      <c r="D11528" s="3" t="str">
        <f t="shared" ref="D11528:D11530" si="2595">HYPERLINK("https://12go.asia/en/travel/Dick-oya/Rekawa", "12Go Link")</f>
        <v>12Go Link</v>
      </c>
      <c r="E11528" s="2" t="s">
        <v>286</v>
      </c>
    </row>
    <row r="11529">
      <c r="A11529" s="2" t="s">
        <v>4963</v>
      </c>
      <c r="B11529" s="2" t="s">
        <v>5018</v>
      </c>
      <c r="C11529" s="2" t="s">
        <v>6258</v>
      </c>
      <c r="D11529" s="3" t="str">
        <f t="shared" si="2595"/>
        <v>12Go Link</v>
      </c>
      <c r="E11529" s="2" t="s">
        <v>4139</v>
      </c>
    </row>
    <row r="11530">
      <c r="A11530" s="2" t="s">
        <v>4963</v>
      </c>
      <c r="B11530" s="2" t="s">
        <v>5018</v>
      </c>
      <c r="C11530" s="2" t="s">
        <v>6258</v>
      </c>
      <c r="D11530" s="3" t="str">
        <f t="shared" si="2595"/>
        <v>12Go Link</v>
      </c>
      <c r="E11530" s="2" t="s">
        <v>3409</v>
      </c>
    </row>
    <row r="11531">
      <c r="A11531" s="2" t="s">
        <v>4963</v>
      </c>
      <c r="B11531" s="2" t="s">
        <v>5020</v>
      </c>
      <c r="C11531" s="2" t="s">
        <v>6259</v>
      </c>
      <c r="D11531" s="3" t="str">
        <f t="shared" ref="D11531:D11533" si="2596">HYPERLINK("https://12go.asia/en/travel/Dick-oya/Tissamaharama", "12Go Link")</f>
        <v>12Go Link</v>
      </c>
      <c r="E11531" s="2" t="s">
        <v>286</v>
      </c>
    </row>
    <row r="11532">
      <c r="A11532" s="2" t="s">
        <v>4963</v>
      </c>
      <c r="B11532" s="2" t="s">
        <v>5020</v>
      </c>
      <c r="C11532" s="2" t="s">
        <v>6259</v>
      </c>
      <c r="D11532" s="3" t="str">
        <f t="shared" si="2596"/>
        <v>12Go Link</v>
      </c>
      <c r="E11532" s="2" t="s">
        <v>4139</v>
      </c>
    </row>
    <row r="11533">
      <c r="A11533" s="2" t="s">
        <v>4963</v>
      </c>
      <c r="B11533" s="2" t="s">
        <v>5020</v>
      </c>
      <c r="C11533" s="2" t="s">
        <v>6259</v>
      </c>
      <c r="D11533" s="3" t="str">
        <f t="shared" si="2596"/>
        <v>12Go Link</v>
      </c>
      <c r="E11533" s="2" t="s">
        <v>3409</v>
      </c>
    </row>
    <row r="11534">
      <c r="A11534" s="2" t="s">
        <v>4963</v>
      </c>
      <c r="B11534" s="2" t="s">
        <v>5020</v>
      </c>
      <c r="C11534" s="2" t="s">
        <v>6260</v>
      </c>
      <c r="D11534" s="3" t="str">
        <f t="shared" ref="D11534:D11536" si="2597">HYPERLINK("https://12go.asia/en/travel/Dick-oya/Yala-Park", "12Go Link")</f>
        <v>12Go Link</v>
      </c>
      <c r="E11534" s="2" t="s">
        <v>286</v>
      </c>
    </row>
    <row r="11535">
      <c r="A11535" s="2" t="s">
        <v>4963</v>
      </c>
      <c r="B11535" s="2" t="s">
        <v>5020</v>
      </c>
      <c r="C11535" s="2" t="s">
        <v>6260</v>
      </c>
      <c r="D11535" s="3" t="str">
        <f t="shared" si="2597"/>
        <v>12Go Link</v>
      </c>
      <c r="E11535" s="2" t="s">
        <v>4139</v>
      </c>
    </row>
    <row r="11536">
      <c r="A11536" s="2" t="s">
        <v>4963</v>
      </c>
      <c r="B11536" s="2" t="s">
        <v>5020</v>
      </c>
      <c r="C11536" s="2" t="s">
        <v>6260</v>
      </c>
      <c r="D11536" s="3" t="str">
        <f t="shared" si="2597"/>
        <v>12Go Link</v>
      </c>
      <c r="E11536" s="2" t="s">
        <v>3409</v>
      </c>
    </row>
    <row r="11537">
      <c r="A11537" s="2" t="s">
        <v>4963</v>
      </c>
      <c r="B11537" s="2" t="s">
        <v>5023</v>
      </c>
      <c r="C11537" s="2" t="s">
        <v>6261</v>
      </c>
      <c r="D11537" s="3" t="str">
        <f t="shared" ref="D11537:D11539" si="2598">HYPERLINK("https://12go.asia/en/travel/Dick-oya/Nilaweli", "12Go Link")</f>
        <v>12Go Link</v>
      </c>
      <c r="E11537" s="2" t="s">
        <v>286</v>
      </c>
    </row>
    <row r="11538">
      <c r="A11538" s="2" t="s">
        <v>4963</v>
      </c>
      <c r="B11538" s="2" t="s">
        <v>5023</v>
      </c>
      <c r="C11538" s="2" t="s">
        <v>6261</v>
      </c>
      <c r="D11538" s="3" t="str">
        <f t="shared" si="2598"/>
        <v>12Go Link</v>
      </c>
      <c r="E11538" s="2" t="s">
        <v>4139</v>
      </c>
    </row>
    <row r="11539">
      <c r="A11539" s="2" t="s">
        <v>4963</v>
      </c>
      <c r="B11539" s="2" t="s">
        <v>5023</v>
      </c>
      <c r="C11539" s="2" t="s">
        <v>6261</v>
      </c>
      <c r="D11539" s="3" t="str">
        <f t="shared" si="2598"/>
        <v>12Go Link</v>
      </c>
      <c r="E11539" s="2" t="s">
        <v>3409</v>
      </c>
    </row>
    <row r="11540">
      <c r="A11540" s="2" t="s">
        <v>4963</v>
      </c>
      <c r="B11540" s="2" t="s">
        <v>5025</v>
      </c>
      <c r="C11540" s="2" t="s">
        <v>6262</v>
      </c>
      <c r="D11540" s="3" t="str">
        <f t="shared" ref="D11540:D11542" si="2599">HYPERLINK("https://12go.asia/en/travel/Dick-oya/Udawalawa", "12Go Link")</f>
        <v>12Go Link</v>
      </c>
      <c r="E11540" s="2" t="s">
        <v>286</v>
      </c>
    </row>
    <row r="11541">
      <c r="A11541" s="2" t="s">
        <v>4963</v>
      </c>
      <c r="B11541" s="2" t="s">
        <v>5025</v>
      </c>
      <c r="C11541" s="2" t="s">
        <v>6262</v>
      </c>
      <c r="D11541" s="3" t="str">
        <f t="shared" si="2599"/>
        <v>12Go Link</v>
      </c>
      <c r="E11541" s="2" t="s">
        <v>4139</v>
      </c>
    </row>
    <row r="11542">
      <c r="A11542" s="2" t="s">
        <v>4963</v>
      </c>
      <c r="B11542" s="2" t="s">
        <v>5025</v>
      </c>
      <c r="C11542" s="2" t="s">
        <v>6262</v>
      </c>
      <c r="D11542" s="3" t="str">
        <f t="shared" si="2599"/>
        <v>12Go Link</v>
      </c>
      <c r="E11542" s="2" t="s">
        <v>3409</v>
      </c>
    </row>
    <row r="11543">
      <c r="A11543" s="2" t="s">
        <v>4963</v>
      </c>
      <c r="B11543" s="2" t="s">
        <v>5027</v>
      </c>
      <c r="C11543" s="2" t="s">
        <v>6263</v>
      </c>
      <c r="D11543" s="3" t="str">
        <f t="shared" ref="D11543:D11545" si="2600">HYPERLINK("https://12go.asia/en/travel/Dick-oya/Unawatuna", "12Go Link")</f>
        <v>12Go Link</v>
      </c>
      <c r="E11543" s="2" t="s">
        <v>286</v>
      </c>
    </row>
    <row r="11544">
      <c r="A11544" s="2" t="s">
        <v>4963</v>
      </c>
      <c r="B11544" s="2" t="s">
        <v>5027</v>
      </c>
      <c r="C11544" s="2" t="s">
        <v>6263</v>
      </c>
      <c r="D11544" s="3" t="str">
        <f t="shared" si="2600"/>
        <v>12Go Link</v>
      </c>
      <c r="E11544" s="2" t="s">
        <v>4139</v>
      </c>
    </row>
    <row r="11545">
      <c r="A11545" s="2" t="s">
        <v>4963</v>
      </c>
      <c r="B11545" s="2" t="s">
        <v>5027</v>
      </c>
      <c r="C11545" s="2" t="s">
        <v>6263</v>
      </c>
      <c r="D11545" s="3" t="str">
        <f t="shared" si="2600"/>
        <v>12Go Link</v>
      </c>
      <c r="E11545" s="2" t="s">
        <v>3409</v>
      </c>
    </row>
    <row r="11546">
      <c r="A11546" s="2" t="s">
        <v>4963</v>
      </c>
      <c r="B11546" s="2" t="s">
        <v>5029</v>
      </c>
      <c r="C11546" s="2" t="s">
        <v>6264</v>
      </c>
      <c r="D11546" s="3" t="str">
        <f t="shared" ref="D11546:D11548" si="2601">HYPERLINK("https://12go.asia/en/travel/Dick-oya/Attanagalla", "12Go Link")</f>
        <v>12Go Link</v>
      </c>
      <c r="E11546" s="2" t="s">
        <v>286</v>
      </c>
    </row>
    <row r="11547">
      <c r="A11547" s="2" t="s">
        <v>4963</v>
      </c>
      <c r="B11547" s="2" t="s">
        <v>5029</v>
      </c>
      <c r="C11547" s="2" t="s">
        <v>6264</v>
      </c>
      <c r="D11547" s="3" t="str">
        <f t="shared" si="2601"/>
        <v>12Go Link</v>
      </c>
      <c r="E11547" s="2" t="s">
        <v>4139</v>
      </c>
    </row>
    <row r="11548">
      <c r="A11548" s="2" t="s">
        <v>4963</v>
      </c>
      <c r="B11548" s="2" t="s">
        <v>5029</v>
      </c>
      <c r="C11548" s="2" t="s">
        <v>6264</v>
      </c>
      <c r="D11548" s="3" t="str">
        <f t="shared" si="2601"/>
        <v>12Go Link</v>
      </c>
      <c r="E11548" s="2" t="s">
        <v>3409</v>
      </c>
    </row>
    <row r="11549">
      <c r="A11549" s="2" t="s">
        <v>4963</v>
      </c>
      <c r="B11549" s="2" t="s">
        <v>5031</v>
      </c>
      <c r="C11549" s="2" t="s">
        <v>6265</v>
      </c>
      <c r="D11549" s="3" t="str">
        <f t="shared" ref="D11549:D11551" si="2602">HYPERLINK("https://12go.asia/en/travel/Dick-oya/Moronthuduwa", "12Go Link")</f>
        <v>12Go Link</v>
      </c>
      <c r="E11549" s="2" t="s">
        <v>286</v>
      </c>
    </row>
    <row r="11550">
      <c r="A11550" s="2" t="s">
        <v>4963</v>
      </c>
      <c r="B11550" s="2" t="s">
        <v>5031</v>
      </c>
      <c r="C11550" s="2" t="s">
        <v>6265</v>
      </c>
      <c r="D11550" s="3" t="str">
        <f t="shared" si="2602"/>
        <v>12Go Link</v>
      </c>
      <c r="E11550" s="2" t="s">
        <v>4139</v>
      </c>
    </row>
    <row r="11551">
      <c r="A11551" s="2" t="s">
        <v>4963</v>
      </c>
      <c r="B11551" s="2" t="s">
        <v>5031</v>
      </c>
      <c r="C11551" s="2" t="s">
        <v>6265</v>
      </c>
      <c r="D11551" s="3" t="str">
        <f t="shared" si="2602"/>
        <v>12Go Link</v>
      </c>
      <c r="E11551" s="2" t="s">
        <v>3409</v>
      </c>
    </row>
    <row r="11552">
      <c r="A11552" s="2" t="s">
        <v>4963</v>
      </c>
      <c r="B11552" s="2" t="s">
        <v>5031</v>
      </c>
      <c r="C11552" s="2" t="s">
        <v>6266</v>
      </c>
      <c r="D11552" s="3" t="str">
        <f t="shared" ref="D11552:D11554" si="2603">HYPERLINK("https://12go.asia/en/travel/Dick-oya/Waskaduwa", "12Go Link")</f>
        <v>12Go Link</v>
      </c>
      <c r="E11552" s="2" t="s">
        <v>286</v>
      </c>
    </row>
    <row r="11553">
      <c r="A11553" s="2" t="s">
        <v>4963</v>
      </c>
      <c r="B11553" s="2" t="s">
        <v>5031</v>
      </c>
      <c r="C11553" s="2" t="s">
        <v>6266</v>
      </c>
      <c r="D11553" s="3" t="str">
        <f t="shared" si="2603"/>
        <v>12Go Link</v>
      </c>
      <c r="E11553" s="2" t="s">
        <v>4139</v>
      </c>
    </row>
    <row r="11554">
      <c r="A11554" s="2" t="s">
        <v>4963</v>
      </c>
      <c r="B11554" s="2" t="s">
        <v>5031</v>
      </c>
      <c r="C11554" s="2" t="s">
        <v>6266</v>
      </c>
      <c r="D11554" s="3" t="str">
        <f t="shared" si="2603"/>
        <v>12Go Link</v>
      </c>
      <c r="E11554" s="2" t="s">
        <v>3409</v>
      </c>
    </row>
    <row r="11555">
      <c r="A11555" s="2" t="s">
        <v>4963</v>
      </c>
      <c r="B11555" s="2" t="s">
        <v>5034</v>
      </c>
      <c r="C11555" s="2" t="s">
        <v>6267</v>
      </c>
      <c r="D11555" s="3" t="str">
        <f t="shared" ref="D11555:D11557" si="2604">HYPERLINK("https://12go.asia/en/travel/Dick-oya/Weddagala", "12Go Link")</f>
        <v>12Go Link</v>
      </c>
      <c r="E11555" s="2" t="s">
        <v>286</v>
      </c>
    </row>
    <row r="11556">
      <c r="A11556" s="2" t="s">
        <v>4963</v>
      </c>
      <c r="B11556" s="2" t="s">
        <v>5034</v>
      </c>
      <c r="C11556" s="2" t="s">
        <v>6267</v>
      </c>
      <c r="D11556" s="3" t="str">
        <f t="shared" si="2604"/>
        <v>12Go Link</v>
      </c>
      <c r="E11556" s="2" t="s">
        <v>4139</v>
      </c>
    </row>
    <row r="11557">
      <c r="A11557" s="2" t="s">
        <v>4963</v>
      </c>
      <c r="B11557" s="2" t="s">
        <v>5034</v>
      </c>
      <c r="C11557" s="2" t="s">
        <v>6267</v>
      </c>
      <c r="D11557" s="3" t="str">
        <f t="shared" si="2604"/>
        <v>12Go Link</v>
      </c>
      <c r="E11557" s="2" t="s">
        <v>3409</v>
      </c>
    </row>
    <row r="11558">
      <c r="A11558" s="2" t="s">
        <v>4963</v>
      </c>
      <c r="B11558" s="2" t="s">
        <v>5036</v>
      </c>
      <c r="C11558" s="2" t="s">
        <v>6268</v>
      </c>
      <c r="D11558" s="3" t="str">
        <f t="shared" ref="D11558:D11560" si="2605">HYPERLINK("https://12go.asia/en/travel/Dick-oya/Weligatta", "12Go Link")</f>
        <v>12Go Link</v>
      </c>
      <c r="E11558" s="2" t="s">
        <v>286</v>
      </c>
    </row>
    <row r="11559">
      <c r="A11559" s="2" t="s">
        <v>4963</v>
      </c>
      <c r="B11559" s="2" t="s">
        <v>5036</v>
      </c>
      <c r="C11559" s="2" t="s">
        <v>6268</v>
      </c>
      <c r="D11559" s="3" t="str">
        <f t="shared" si="2605"/>
        <v>12Go Link</v>
      </c>
      <c r="E11559" s="2" t="s">
        <v>4139</v>
      </c>
    </row>
    <row r="11560">
      <c r="A11560" s="2" t="s">
        <v>4963</v>
      </c>
      <c r="B11560" s="2" t="s">
        <v>5036</v>
      </c>
      <c r="C11560" s="2" t="s">
        <v>6268</v>
      </c>
      <c r="D11560" s="3" t="str">
        <f t="shared" si="2605"/>
        <v>12Go Link</v>
      </c>
      <c r="E11560" s="2" t="s">
        <v>3409</v>
      </c>
    </row>
    <row r="11561">
      <c r="A11561" s="2" t="s">
        <v>4963</v>
      </c>
      <c r="B11561" s="2" t="s">
        <v>5038</v>
      </c>
      <c r="C11561" s="2" t="s">
        <v>6269</v>
      </c>
      <c r="D11561" s="3" t="str">
        <f t="shared" ref="D11561:D11563" si="2606">HYPERLINK("https://12go.asia/en/travel/Dick-oya/Akuressa", "12Go Link")</f>
        <v>12Go Link</v>
      </c>
      <c r="E11561" s="2" t="s">
        <v>286</v>
      </c>
    </row>
    <row r="11562">
      <c r="A11562" s="2" t="s">
        <v>4963</v>
      </c>
      <c r="B11562" s="2" t="s">
        <v>5038</v>
      </c>
      <c r="C11562" s="2" t="s">
        <v>6269</v>
      </c>
      <c r="D11562" s="3" t="str">
        <f t="shared" si="2606"/>
        <v>12Go Link</v>
      </c>
      <c r="E11562" s="2" t="s">
        <v>4139</v>
      </c>
    </row>
    <row r="11563">
      <c r="A11563" s="2" t="s">
        <v>4963</v>
      </c>
      <c r="B11563" s="2" t="s">
        <v>5038</v>
      </c>
      <c r="C11563" s="2" t="s">
        <v>6269</v>
      </c>
      <c r="D11563" s="3" t="str">
        <f t="shared" si="2606"/>
        <v>12Go Link</v>
      </c>
      <c r="E11563" s="2" t="s">
        <v>3409</v>
      </c>
    </row>
    <row r="11564">
      <c r="A11564" s="2" t="s">
        <v>4963</v>
      </c>
      <c r="B11564" s="2" t="s">
        <v>5040</v>
      </c>
      <c r="C11564" s="2" t="s">
        <v>6270</v>
      </c>
      <c r="D11564" s="3" t="str">
        <f t="shared" ref="D11564:D11566" si="2607">HYPERLINK("https://12go.asia/en/travel/Dick-oya/Wilpattu", "12Go Link")</f>
        <v>12Go Link</v>
      </c>
      <c r="E11564" s="2" t="s">
        <v>286</v>
      </c>
    </row>
    <row r="11565">
      <c r="A11565" s="2" t="s">
        <v>4963</v>
      </c>
      <c r="B11565" s="2" t="s">
        <v>5040</v>
      </c>
      <c r="C11565" s="2" t="s">
        <v>6270</v>
      </c>
      <c r="D11565" s="3" t="str">
        <f t="shared" si="2607"/>
        <v>12Go Link</v>
      </c>
      <c r="E11565" s="2" t="s">
        <v>4139</v>
      </c>
    </row>
    <row r="11566">
      <c r="A11566" s="2" t="s">
        <v>4963</v>
      </c>
      <c r="B11566" s="2" t="s">
        <v>5040</v>
      </c>
      <c r="C11566" s="2" t="s">
        <v>6270</v>
      </c>
      <c r="D11566" s="3" t="str">
        <f t="shared" si="2607"/>
        <v>12Go Link</v>
      </c>
      <c r="E11566" s="2" t="s">
        <v>3409</v>
      </c>
    </row>
    <row r="11567">
      <c r="A11567" s="2" t="s">
        <v>4965</v>
      </c>
      <c r="B11567" s="2" t="s">
        <v>4918</v>
      </c>
      <c r="C11567" s="2" t="s">
        <v>6271</v>
      </c>
      <c r="D11567" s="3" t="str">
        <f t="shared" ref="D11567:D11569" si="2608">HYPERLINK("https://12go.asia/en/travel/Dodanduwa/Adams-Peak", "12Go Link")</f>
        <v>12Go Link</v>
      </c>
      <c r="E11567" s="2" t="s">
        <v>286</v>
      </c>
    </row>
    <row r="11568">
      <c r="A11568" s="2" t="s">
        <v>4965</v>
      </c>
      <c r="B11568" s="2" t="s">
        <v>4918</v>
      </c>
      <c r="C11568" s="2" t="s">
        <v>6271</v>
      </c>
      <c r="D11568" s="3" t="str">
        <f t="shared" si="2608"/>
        <v>12Go Link</v>
      </c>
      <c r="E11568" s="2" t="s">
        <v>4139</v>
      </c>
    </row>
    <row r="11569">
      <c r="A11569" s="2" t="s">
        <v>4965</v>
      </c>
      <c r="B11569" s="2" t="s">
        <v>4918</v>
      </c>
      <c r="C11569" s="2" t="s">
        <v>6271</v>
      </c>
      <c r="D11569" s="3" t="str">
        <f t="shared" si="2608"/>
        <v>12Go Link</v>
      </c>
      <c r="E11569" s="2" t="s">
        <v>3409</v>
      </c>
    </row>
    <row r="11570">
      <c r="A11570" s="2" t="s">
        <v>4965</v>
      </c>
      <c r="B11570" s="2" t="s">
        <v>4919</v>
      </c>
      <c r="C11570" s="2" t="s">
        <v>6272</v>
      </c>
      <c r="D11570" s="3" t="str">
        <f t="shared" ref="D11570:D11572" si="2609">HYPERLINK("https://12go.asia/en/travel/Dodanduwa/Ahangama", "12Go Link")</f>
        <v>12Go Link</v>
      </c>
      <c r="E11570" s="2" t="s">
        <v>286</v>
      </c>
    </row>
    <row r="11571">
      <c r="A11571" s="2" t="s">
        <v>4965</v>
      </c>
      <c r="B11571" s="2" t="s">
        <v>4919</v>
      </c>
      <c r="C11571" s="2" t="s">
        <v>6272</v>
      </c>
      <c r="D11571" s="3" t="str">
        <f t="shared" si="2609"/>
        <v>12Go Link</v>
      </c>
      <c r="E11571" s="2" t="s">
        <v>4139</v>
      </c>
    </row>
    <row r="11572">
      <c r="A11572" s="2" t="s">
        <v>4965</v>
      </c>
      <c r="B11572" s="2" t="s">
        <v>4919</v>
      </c>
      <c r="C11572" s="2" t="s">
        <v>6272</v>
      </c>
      <c r="D11572" s="3" t="str">
        <f t="shared" si="2609"/>
        <v>12Go Link</v>
      </c>
      <c r="E11572" s="2" t="s">
        <v>3409</v>
      </c>
    </row>
    <row r="11573">
      <c r="A11573" s="2" t="s">
        <v>4965</v>
      </c>
      <c r="B11573" s="2" t="s">
        <v>4921</v>
      </c>
      <c r="C11573" s="2" t="s">
        <v>6273</v>
      </c>
      <c r="D11573" s="3" t="str">
        <f t="shared" ref="D11573:D11575" si="2610">HYPERLINK("https://12go.asia/en/travel/Dodanduwa/Ahungalla", "12Go Link")</f>
        <v>12Go Link</v>
      </c>
      <c r="E11573" s="2" t="s">
        <v>286</v>
      </c>
    </row>
    <row r="11574">
      <c r="A11574" s="2" t="s">
        <v>4965</v>
      </c>
      <c r="B11574" s="2" t="s">
        <v>4921</v>
      </c>
      <c r="C11574" s="2" t="s">
        <v>6273</v>
      </c>
      <c r="D11574" s="3" t="str">
        <f t="shared" si="2610"/>
        <v>12Go Link</v>
      </c>
      <c r="E11574" s="2" t="s">
        <v>4139</v>
      </c>
    </row>
    <row r="11575">
      <c r="A11575" s="2" t="s">
        <v>4965</v>
      </c>
      <c r="B11575" s="2" t="s">
        <v>4921</v>
      </c>
      <c r="C11575" s="2" t="s">
        <v>6273</v>
      </c>
      <c r="D11575" s="3" t="str">
        <f t="shared" si="2610"/>
        <v>12Go Link</v>
      </c>
      <c r="E11575" s="2" t="s">
        <v>3409</v>
      </c>
    </row>
    <row r="11576">
      <c r="A11576" s="2" t="s">
        <v>4965</v>
      </c>
      <c r="B11576" s="2" t="s">
        <v>4923</v>
      </c>
      <c r="C11576" s="2" t="s">
        <v>6274</v>
      </c>
      <c r="D11576" s="3" t="str">
        <f t="shared" ref="D11576:D11578" si="2611">HYPERLINK("https://12go.asia/en/travel/Dodanduwa/Aluthgama", "12Go Link")</f>
        <v>12Go Link</v>
      </c>
      <c r="E11576" s="2" t="s">
        <v>286</v>
      </c>
    </row>
    <row r="11577">
      <c r="A11577" s="2" t="s">
        <v>4965</v>
      </c>
      <c r="B11577" s="2" t="s">
        <v>4923</v>
      </c>
      <c r="C11577" s="2" t="s">
        <v>6274</v>
      </c>
      <c r="D11577" s="3" t="str">
        <f t="shared" si="2611"/>
        <v>12Go Link</v>
      </c>
      <c r="E11577" s="2" t="s">
        <v>4139</v>
      </c>
    </row>
    <row r="11578">
      <c r="A11578" s="2" t="s">
        <v>4965</v>
      </c>
      <c r="B11578" s="2" t="s">
        <v>4923</v>
      </c>
      <c r="C11578" s="2" t="s">
        <v>6274</v>
      </c>
      <c r="D11578" s="3" t="str">
        <f t="shared" si="2611"/>
        <v>12Go Link</v>
      </c>
      <c r="E11578" s="2" t="s">
        <v>3409</v>
      </c>
    </row>
    <row r="11579">
      <c r="A11579" s="2" t="s">
        <v>4965</v>
      </c>
      <c r="B11579" s="2" t="s">
        <v>4925</v>
      </c>
      <c r="C11579" s="2" t="s">
        <v>6275</v>
      </c>
      <c r="D11579" s="3" t="str">
        <f t="shared" ref="D11579:D11581" si="2612">HYPERLINK("https://12go.asia/en/travel/Dodanduwa/Ambalangoda", "12Go Link")</f>
        <v>12Go Link</v>
      </c>
      <c r="E11579" s="2" t="s">
        <v>286</v>
      </c>
    </row>
    <row r="11580">
      <c r="A11580" s="2" t="s">
        <v>4965</v>
      </c>
      <c r="B11580" s="2" t="s">
        <v>4925</v>
      </c>
      <c r="C11580" s="2" t="s">
        <v>6275</v>
      </c>
      <c r="D11580" s="3" t="str">
        <f t="shared" si="2612"/>
        <v>12Go Link</v>
      </c>
      <c r="E11580" s="2" t="s">
        <v>4139</v>
      </c>
    </row>
    <row r="11581">
      <c r="A11581" s="2" t="s">
        <v>4965</v>
      </c>
      <c r="B11581" s="2" t="s">
        <v>4925</v>
      </c>
      <c r="C11581" s="2" t="s">
        <v>6275</v>
      </c>
      <c r="D11581" s="3" t="str">
        <f t="shared" si="2612"/>
        <v>12Go Link</v>
      </c>
      <c r="E11581" s="2" t="s">
        <v>3409</v>
      </c>
    </row>
    <row r="11582">
      <c r="A11582" s="2" t="s">
        <v>4965</v>
      </c>
      <c r="B11582" s="2" t="s">
        <v>4927</v>
      </c>
      <c r="C11582" s="2" t="s">
        <v>6276</v>
      </c>
      <c r="D11582" s="3" t="str">
        <f t="shared" ref="D11582:D11584" si="2613">HYPERLINK("https://12go.asia/en/travel/Dodanduwa/Ambalantota", "12Go Link")</f>
        <v>12Go Link</v>
      </c>
      <c r="E11582" s="2" t="s">
        <v>286</v>
      </c>
    </row>
    <row r="11583">
      <c r="A11583" s="2" t="s">
        <v>4965</v>
      </c>
      <c r="B11583" s="2" t="s">
        <v>4927</v>
      </c>
      <c r="C11583" s="2" t="s">
        <v>6276</v>
      </c>
      <c r="D11583" s="3" t="str">
        <f t="shared" si="2613"/>
        <v>12Go Link</v>
      </c>
      <c r="E11583" s="2" t="s">
        <v>4139</v>
      </c>
    </row>
    <row r="11584">
      <c r="A11584" s="2" t="s">
        <v>4965</v>
      </c>
      <c r="B11584" s="2" t="s">
        <v>4927</v>
      </c>
      <c r="C11584" s="2" t="s">
        <v>6276</v>
      </c>
      <c r="D11584" s="3" t="str">
        <f t="shared" si="2613"/>
        <v>12Go Link</v>
      </c>
      <c r="E11584" s="2" t="s">
        <v>3409</v>
      </c>
    </row>
    <row r="11585">
      <c r="A11585" s="2" t="s">
        <v>4965</v>
      </c>
      <c r="B11585" s="2" t="s">
        <v>4929</v>
      </c>
      <c r="C11585" s="2" t="s">
        <v>6277</v>
      </c>
      <c r="D11585" s="3" t="str">
        <f t="shared" ref="D11585:D11587" si="2614">HYPERLINK("https://12go.asia/en/travel/Dodanduwa/Anuradhapura", "12Go Link")</f>
        <v>12Go Link</v>
      </c>
      <c r="E11585" s="2" t="s">
        <v>286</v>
      </c>
    </row>
    <row r="11586">
      <c r="A11586" s="2" t="s">
        <v>4965</v>
      </c>
      <c r="B11586" s="2" t="s">
        <v>4929</v>
      </c>
      <c r="C11586" s="2" t="s">
        <v>6277</v>
      </c>
      <c r="D11586" s="3" t="str">
        <f t="shared" si="2614"/>
        <v>12Go Link</v>
      </c>
      <c r="E11586" s="2" t="s">
        <v>4139</v>
      </c>
    </row>
    <row r="11587">
      <c r="A11587" s="2" t="s">
        <v>4965</v>
      </c>
      <c r="B11587" s="2" t="s">
        <v>4929</v>
      </c>
      <c r="C11587" s="2" t="s">
        <v>6277</v>
      </c>
      <c r="D11587" s="3" t="str">
        <f t="shared" si="2614"/>
        <v>12Go Link</v>
      </c>
      <c r="E11587" s="2" t="s">
        <v>3409</v>
      </c>
    </row>
    <row r="11588">
      <c r="A11588" s="2" t="s">
        <v>4965</v>
      </c>
      <c r="B11588" s="2" t="s">
        <v>4931</v>
      </c>
      <c r="C11588" s="2" t="s">
        <v>6278</v>
      </c>
      <c r="D11588" s="3" t="str">
        <f t="shared" ref="D11588:D11590" si="2615">HYPERLINK("https://12go.asia/en/travel/Dodanduwa/Arugam-bay", "12Go Link")</f>
        <v>12Go Link</v>
      </c>
      <c r="E11588" s="2" t="s">
        <v>286</v>
      </c>
    </row>
    <row r="11589">
      <c r="A11589" s="2" t="s">
        <v>4965</v>
      </c>
      <c r="B11589" s="2" t="s">
        <v>4931</v>
      </c>
      <c r="C11589" s="2" t="s">
        <v>6278</v>
      </c>
      <c r="D11589" s="3" t="str">
        <f t="shared" si="2615"/>
        <v>12Go Link</v>
      </c>
      <c r="E11589" s="2" t="s">
        <v>4139</v>
      </c>
    </row>
    <row r="11590">
      <c r="A11590" s="2" t="s">
        <v>4965</v>
      </c>
      <c r="B11590" s="2" t="s">
        <v>4931</v>
      </c>
      <c r="C11590" s="2" t="s">
        <v>6278</v>
      </c>
      <c r="D11590" s="3" t="str">
        <f t="shared" si="2615"/>
        <v>12Go Link</v>
      </c>
      <c r="E11590" s="2" t="s">
        <v>3409</v>
      </c>
    </row>
    <row r="11591">
      <c r="A11591" s="2" t="s">
        <v>4965</v>
      </c>
      <c r="B11591" s="2" t="s">
        <v>4933</v>
      </c>
      <c r="C11591" s="2" t="s">
        <v>6279</v>
      </c>
      <c r="D11591" s="3" t="str">
        <f t="shared" ref="D11591:D11593" si="2616">HYPERLINK("https://12go.asia/en/travel/Dodanduwa/balapitiya", "12Go Link")</f>
        <v>12Go Link</v>
      </c>
      <c r="E11591" s="2" t="s">
        <v>286</v>
      </c>
    </row>
    <row r="11592">
      <c r="A11592" s="2" t="s">
        <v>4965</v>
      </c>
      <c r="B11592" s="2" t="s">
        <v>4933</v>
      </c>
      <c r="C11592" s="2" t="s">
        <v>6279</v>
      </c>
      <c r="D11592" s="3" t="str">
        <f t="shared" si="2616"/>
        <v>12Go Link</v>
      </c>
      <c r="E11592" s="2" t="s">
        <v>4139</v>
      </c>
    </row>
    <row r="11593">
      <c r="A11593" s="2" t="s">
        <v>4965</v>
      </c>
      <c r="B11593" s="2" t="s">
        <v>4933</v>
      </c>
      <c r="C11593" s="2" t="s">
        <v>6279</v>
      </c>
      <c r="D11593" s="3" t="str">
        <f t="shared" si="2616"/>
        <v>12Go Link</v>
      </c>
      <c r="E11593" s="2" t="s">
        <v>3409</v>
      </c>
    </row>
    <row r="11594">
      <c r="A11594" s="2" t="s">
        <v>4965</v>
      </c>
      <c r="B11594" s="2" t="s">
        <v>4935</v>
      </c>
      <c r="C11594" s="2" t="s">
        <v>6280</v>
      </c>
      <c r="D11594" s="3" t="str">
        <f t="shared" ref="D11594:D11596" si="2617">HYPERLINK("https://12go.asia/en/travel/Dodanduwa/Batticaloa", "12Go Link")</f>
        <v>12Go Link</v>
      </c>
      <c r="E11594" s="2" t="s">
        <v>286</v>
      </c>
    </row>
    <row r="11595">
      <c r="A11595" s="2" t="s">
        <v>4965</v>
      </c>
      <c r="B11595" s="2" t="s">
        <v>4935</v>
      </c>
      <c r="C11595" s="2" t="s">
        <v>6280</v>
      </c>
      <c r="D11595" s="3" t="str">
        <f t="shared" si="2617"/>
        <v>12Go Link</v>
      </c>
      <c r="E11595" s="2" t="s">
        <v>4139</v>
      </c>
    </row>
    <row r="11596">
      <c r="A11596" s="2" t="s">
        <v>4965</v>
      </c>
      <c r="B11596" s="2" t="s">
        <v>4935</v>
      </c>
      <c r="C11596" s="2" t="s">
        <v>6280</v>
      </c>
      <c r="D11596" s="3" t="str">
        <f t="shared" si="2617"/>
        <v>12Go Link</v>
      </c>
      <c r="E11596" s="2" t="s">
        <v>3409</v>
      </c>
    </row>
    <row r="11597">
      <c r="A11597" s="2" t="s">
        <v>4965</v>
      </c>
      <c r="B11597" s="2" t="s">
        <v>4937</v>
      </c>
      <c r="C11597" s="2" t="s">
        <v>6281</v>
      </c>
      <c r="D11597" s="3" t="str">
        <f t="shared" ref="D11597:D11599" si="2618">HYPERLINK("https://12go.asia/en/travel/Dodanduwa/Bentota", "12Go Link")</f>
        <v>12Go Link</v>
      </c>
      <c r="E11597" s="2" t="s">
        <v>286</v>
      </c>
    </row>
    <row r="11598">
      <c r="A11598" s="2" t="s">
        <v>4965</v>
      </c>
      <c r="B11598" s="2" t="s">
        <v>4937</v>
      </c>
      <c r="C11598" s="2" t="s">
        <v>6281</v>
      </c>
      <c r="D11598" s="3" t="str">
        <f t="shared" si="2618"/>
        <v>12Go Link</v>
      </c>
      <c r="E11598" s="2" t="s">
        <v>4139</v>
      </c>
    </row>
    <row r="11599">
      <c r="A11599" s="2" t="s">
        <v>4965</v>
      </c>
      <c r="B11599" s="2" t="s">
        <v>4937</v>
      </c>
      <c r="C11599" s="2" t="s">
        <v>6281</v>
      </c>
      <c r="D11599" s="3" t="str">
        <f t="shared" si="2618"/>
        <v>12Go Link</v>
      </c>
      <c r="E11599" s="2" t="s">
        <v>3409</v>
      </c>
    </row>
    <row r="11600">
      <c r="A11600" s="2" t="s">
        <v>4965</v>
      </c>
      <c r="B11600" s="2" t="s">
        <v>4939</v>
      </c>
      <c r="C11600" s="2" t="s">
        <v>6282</v>
      </c>
      <c r="D11600" s="3" t="str">
        <f t="shared" ref="D11600:D11602" si="2619">HYPERLINK("https://12go.asia/en/travel/Dodanduwa/Beruwala", "12Go Link")</f>
        <v>12Go Link</v>
      </c>
      <c r="E11600" s="2" t="s">
        <v>286</v>
      </c>
    </row>
    <row r="11601">
      <c r="A11601" s="2" t="s">
        <v>4965</v>
      </c>
      <c r="B11601" s="2" t="s">
        <v>4939</v>
      </c>
      <c r="C11601" s="2" t="s">
        <v>6282</v>
      </c>
      <c r="D11601" s="3" t="str">
        <f t="shared" si="2619"/>
        <v>12Go Link</v>
      </c>
      <c r="E11601" s="2" t="s">
        <v>4139</v>
      </c>
    </row>
    <row r="11602">
      <c r="A11602" s="2" t="s">
        <v>4965</v>
      </c>
      <c r="B11602" s="2" t="s">
        <v>4939</v>
      </c>
      <c r="C11602" s="2" t="s">
        <v>6282</v>
      </c>
      <c r="D11602" s="3" t="str">
        <f t="shared" si="2619"/>
        <v>12Go Link</v>
      </c>
      <c r="E11602" s="2" t="s">
        <v>3409</v>
      </c>
    </row>
    <row r="11603">
      <c r="A11603" s="2" t="s">
        <v>4965</v>
      </c>
      <c r="B11603" s="2" t="s">
        <v>4941</v>
      </c>
      <c r="C11603" s="2" t="s">
        <v>6283</v>
      </c>
      <c r="D11603" s="3" t="str">
        <f t="shared" ref="D11603:D11605" si="2620">HYPERLINK("https://12go.asia/en/travel/Dodanduwa/Bundala", "12Go Link")</f>
        <v>12Go Link</v>
      </c>
      <c r="E11603" s="2" t="s">
        <v>286</v>
      </c>
    </row>
    <row r="11604">
      <c r="A11604" s="2" t="s">
        <v>4965</v>
      </c>
      <c r="B11604" s="2" t="s">
        <v>4941</v>
      </c>
      <c r="C11604" s="2" t="s">
        <v>6283</v>
      </c>
      <c r="D11604" s="3" t="str">
        <f t="shared" si="2620"/>
        <v>12Go Link</v>
      </c>
      <c r="E11604" s="2" t="s">
        <v>4139</v>
      </c>
    </row>
    <row r="11605">
      <c r="A11605" s="2" t="s">
        <v>4965</v>
      </c>
      <c r="B11605" s="2" t="s">
        <v>4941</v>
      </c>
      <c r="C11605" s="2" t="s">
        <v>6283</v>
      </c>
      <c r="D11605" s="3" t="str">
        <f t="shared" si="2620"/>
        <v>12Go Link</v>
      </c>
      <c r="E11605" s="2" t="s">
        <v>3409</v>
      </c>
    </row>
    <row r="11606">
      <c r="A11606" s="2" t="s">
        <v>4965</v>
      </c>
      <c r="B11606" s="2" t="s">
        <v>4945</v>
      </c>
      <c r="C11606" s="2" t="s">
        <v>6284</v>
      </c>
      <c r="D11606" s="3" t="str">
        <f t="shared" ref="D11606:D11608" si="2621">HYPERLINK("https://12go.asia/en/travel/Dodanduwa/Bandaranaike-Airport", "12Go Link")</f>
        <v>12Go Link</v>
      </c>
      <c r="E11606" s="2" t="s">
        <v>286</v>
      </c>
    </row>
    <row r="11607">
      <c r="A11607" s="2" t="s">
        <v>4965</v>
      </c>
      <c r="B11607" s="2" t="s">
        <v>4945</v>
      </c>
      <c r="C11607" s="2" t="s">
        <v>6284</v>
      </c>
      <c r="D11607" s="3" t="str">
        <f t="shared" si="2621"/>
        <v>12Go Link</v>
      </c>
      <c r="E11607" s="2" t="s">
        <v>4139</v>
      </c>
    </row>
    <row r="11608">
      <c r="A11608" s="2" t="s">
        <v>4965</v>
      </c>
      <c r="B11608" s="2" t="s">
        <v>4945</v>
      </c>
      <c r="C11608" s="2" t="s">
        <v>6284</v>
      </c>
      <c r="D11608" s="3" t="str">
        <f t="shared" si="2621"/>
        <v>12Go Link</v>
      </c>
      <c r="E11608" s="2" t="s">
        <v>3409</v>
      </c>
    </row>
    <row r="11609">
      <c r="A11609" s="2" t="s">
        <v>4965</v>
      </c>
      <c r="B11609" s="2" t="s">
        <v>4949</v>
      </c>
      <c r="C11609" s="2" t="s">
        <v>6285</v>
      </c>
      <c r="D11609" s="3" t="str">
        <f t="shared" ref="D11609:D11611" si="2622">HYPERLINK("https://12go.asia/en/travel/Dodanduwa/Deniyaya", "12Go Link")</f>
        <v>12Go Link</v>
      </c>
      <c r="E11609" s="2" t="s">
        <v>286</v>
      </c>
    </row>
    <row r="11610">
      <c r="A11610" s="2" t="s">
        <v>4965</v>
      </c>
      <c r="B11610" s="2" t="s">
        <v>4949</v>
      </c>
      <c r="C11610" s="2" t="s">
        <v>6285</v>
      </c>
      <c r="D11610" s="3" t="str">
        <f t="shared" si="2622"/>
        <v>12Go Link</v>
      </c>
      <c r="E11610" s="2" t="s">
        <v>4139</v>
      </c>
    </row>
    <row r="11611">
      <c r="A11611" s="2" t="s">
        <v>4965</v>
      </c>
      <c r="B11611" s="2" t="s">
        <v>4949</v>
      </c>
      <c r="C11611" s="2" t="s">
        <v>6285</v>
      </c>
      <c r="D11611" s="3" t="str">
        <f t="shared" si="2622"/>
        <v>12Go Link</v>
      </c>
      <c r="E11611" s="2" t="s">
        <v>3409</v>
      </c>
    </row>
    <row r="11612">
      <c r="A11612" s="2" t="s">
        <v>4965</v>
      </c>
      <c r="B11612" s="2" t="s">
        <v>4951</v>
      </c>
      <c r="C11612" s="2" t="s">
        <v>6286</v>
      </c>
      <c r="D11612" s="3" t="str">
        <f t="shared" ref="D11612:D11614" si="2623">HYPERLINK("https://12go.asia/en/travel/Dodanduwa/Dickwella", "12Go Link")</f>
        <v>12Go Link</v>
      </c>
      <c r="E11612" s="2" t="s">
        <v>286</v>
      </c>
    </row>
    <row r="11613">
      <c r="A11613" s="2" t="s">
        <v>4965</v>
      </c>
      <c r="B11613" s="2" t="s">
        <v>4951</v>
      </c>
      <c r="C11613" s="2" t="s">
        <v>6286</v>
      </c>
      <c r="D11613" s="3" t="str">
        <f t="shared" si="2623"/>
        <v>12Go Link</v>
      </c>
      <c r="E11613" s="2" t="s">
        <v>4139</v>
      </c>
    </row>
    <row r="11614">
      <c r="A11614" s="2" t="s">
        <v>4965</v>
      </c>
      <c r="B11614" s="2" t="s">
        <v>4951</v>
      </c>
      <c r="C11614" s="2" t="s">
        <v>6286</v>
      </c>
      <c r="D11614" s="3" t="str">
        <f t="shared" si="2623"/>
        <v>12Go Link</v>
      </c>
      <c r="E11614" s="2" t="s">
        <v>3409</v>
      </c>
    </row>
    <row r="11615">
      <c r="A11615" s="2" t="s">
        <v>4965</v>
      </c>
      <c r="B11615" s="2" t="s">
        <v>4951</v>
      </c>
      <c r="C11615" s="2" t="s">
        <v>6287</v>
      </c>
      <c r="D11615" s="3" t="str">
        <f t="shared" ref="D11615:D11617" si="2624">HYPERLINK("https://12go.asia/en/travel/Dodanduwa/Hiriketiya-beach", "12Go Link")</f>
        <v>12Go Link</v>
      </c>
      <c r="E11615" s="2" t="s">
        <v>286</v>
      </c>
    </row>
    <row r="11616">
      <c r="A11616" s="2" t="s">
        <v>4965</v>
      </c>
      <c r="B11616" s="2" t="s">
        <v>4951</v>
      </c>
      <c r="C11616" s="2" t="s">
        <v>6287</v>
      </c>
      <c r="D11616" s="3" t="str">
        <f t="shared" si="2624"/>
        <v>12Go Link</v>
      </c>
      <c r="E11616" s="2" t="s">
        <v>4139</v>
      </c>
    </row>
    <row r="11617">
      <c r="A11617" s="2" t="s">
        <v>4965</v>
      </c>
      <c r="B11617" s="2" t="s">
        <v>4951</v>
      </c>
      <c r="C11617" s="2" t="s">
        <v>6287</v>
      </c>
      <c r="D11617" s="3" t="str">
        <f t="shared" si="2624"/>
        <v>12Go Link</v>
      </c>
      <c r="E11617" s="2" t="s">
        <v>3409</v>
      </c>
    </row>
    <row r="11618">
      <c r="A11618" s="2" t="s">
        <v>4965</v>
      </c>
      <c r="B11618" s="2" t="s">
        <v>4954</v>
      </c>
      <c r="C11618" s="2" t="s">
        <v>6288</v>
      </c>
      <c r="D11618" s="3" t="str">
        <f>HYPERLINK("https://12go.asia/en/travel/Dodanduwa/Galle", "12Go Link")</f>
        <v>12Go Link</v>
      </c>
      <c r="E11618" s="2" t="s">
        <v>5080</v>
      </c>
    </row>
    <row r="11619">
      <c r="A11619" s="2" t="s">
        <v>4965</v>
      </c>
      <c r="B11619" s="2" t="s">
        <v>4954</v>
      </c>
      <c r="C11619" s="2" t="s">
        <v>6289</v>
      </c>
      <c r="D11619" s="3" t="str">
        <f t="shared" ref="D11619:D11621" si="2625">HYPERLINK("https://12go.asia/en/travel/Dodanduwa/Talpe", "12Go Link")</f>
        <v>12Go Link</v>
      </c>
      <c r="E11619" s="2" t="s">
        <v>286</v>
      </c>
    </row>
    <row r="11620">
      <c r="A11620" s="2" t="s">
        <v>4965</v>
      </c>
      <c r="B11620" s="2" t="s">
        <v>4954</v>
      </c>
      <c r="C11620" s="2" t="s">
        <v>6289</v>
      </c>
      <c r="D11620" s="3" t="str">
        <f t="shared" si="2625"/>
        <v>12Go Link</v>
      </c>
      <c r="E11620" s="2" t="s">
        <v>4139</v>
      </c>
    </row>
    <row r="11621">
      <c r="A11621" s="2" t="s">
        <v>4965</v>
      </c>
      <c r="B11621" s="2" t="s">
        <v>4954</v>
      </c>
      <c r="C11621" s="2" t="s">
        <v>6289</v>
      </c>
      <c r="D11621" s="3" t="str">
        <f t="shared" si="2625"/>
        <v>12Go Link</v>
      </c>
      <c r="E11621" s="2" t="s">
        <v>3409</v>
      </c>
    </row>
    <row r="11622">
      <c r="A11622" s="2" t="s">
        <v>4965</v>
      </c>
      <c r="B11622" s="2" t="s">
        <v>4954</v>
      </c>
      <c r="C11622" s="2" t="s">
        <v>6290</v>
      </c>
      <c r="D11622" s="3" t="str">
        <f>HYPERLINK("https://12go.asia/en/travel/Hikkaduwa/Galle", "12Go Link")</f>
        <v>12Go Link</v>
      </c>
      <c r="E11622" s="2" t="s">
        <v>5080</v>
      </c>
    </row>
    <row r="11623">
      <c r="A11623" s="2" t="s">
        <v>4965</v>
      </c>
      <c r="B11623" s="2" t="s">
        <v>4957</v>
      </c>
      <c r="C11623" s="2" t="s">
        <v>6291</v>
      </c>
      <c r="D11623" s="3" t="str">
        <f t="shared" ref="D11623:D11625" si="2626">HYPERLINK("https://12go.asia/en/travel/Dodanduwa/Habarana", "12Go Link")</f>
        <v>12Go Link</v>
      </c>
      <c r="E11623" s="2" t="s">
        <v>286</v>
      </c>
    </row>
    <row r="11624">
      <c r="A11624" s="2" t="s">
        <v>4965</v>
      </c>
      <c r="B11624" s="2" t="s">
        <v>4957</v>
      </c>
      <c r="C11624" s="2" t="s">
        <v>6291</v>
      </c>
      <c r="D11624" s="3" t="str">
        <f t="shared" si="2626"/>
        <v>12Go Link</v>
      </c>
      <c r="E11624" s="2" t="s">
        <v>4139</v>
      </c>
    </row>
    <row r="11625">
      <c r="A11625" s="2" t="s">
        <v>4965</v>
      </c>
      <c r="B11625" s="2" t="s">
        <v>4957</v>
      </c>
      <c r="C11625" s="2" t="s">
        <v>6291</v>
      </c>
      <c r="D11625" s="3" t="str">
        <f t="shared" si="2626"/>
        <v>12Go Link</v>
      </c>
      <c r="E11625" s="2" t="s">
        <v>3409</v>
      </c>
    </row>
    <row r="11626">
      <c r="A11626" s="2" t="s">
        <v>4965</v>
      </c>
      <c r="B11626" s="2" t="s">
        <v>4959</v>
      </c>
      <c r="C11626" s="2" t="s">
        <v>6292</v>
      </c>
      <c r="D11626" s="3" t="str">
        <f t="shared" ref="D11626:D11628" si="2627">HYPERLINK("https://12go.asia/en/travel/Dodanduwa/Ella", "12Go Link")</f>
        <v>12Go Link</v>
      </c>
      <c r="E11626" s="2" t="s">
        <v>286</v>
      </c>
    </row>
    <row r="11627">
      <c r="A11627" s="2" t="s">
        <v>4965</v>
      </c>
      <c r="B11627" s="2" t="s">
        <v>4959</v>
      </c>
      <c r="C11627" s="2" t="s">
        <v>6292</v>
      </c>
      <c r="D11627" s="3" t="str">
        <f t="shared" si="2627"/>
        <v>12Go Link</v>
      </c>
      <c r="E11627" s="2" t="s">
        <v>4139</v>
      </c>
    </row>
    <row r="11628">
      <c r="A11628" s="2" t="s">
        <v>4965</v>
      </c>
      <c r="B11628" s="2" t="s">
        <v>4959</v>
      </c>
      <c r="C11628" s="2" t="s">
        <v>6292</v>
      </c>
      <c r="D11628" s="3" t="str">
        <f t="shared" si="2627"/>
        <v>12Go Link</v>
      </c>
      <c r="E11628" s="2" t="s">
        <v>3409</v>
      </c>
    </row>
    <row r="11629">
      <c r="A11629" s="2" t="s">
        <v>4965</v>
      </c>
      <c r="B11629" s="2" t="s">
        <v>4961</v>
      </c>
      <c r="C11629" s="2" t="s">
        <v>6293</v>
      </c>
      <c r="D11629" s="3" t="str">
        <f t="shared" ref="D11629:D11631" si="2628">HYPERLINK("https://12go.asia/en/travel/Dodanduwa/Beragala", "12Go Link")</f>
        <v>12Go Link</v>
      </c>
      <c r="E11629" s="2" t="s">
        <v>286</v>
      </c>
    </row>
    <row r="11630">
      <c r="A11630" s="2" t="s">
        <v>4965</v>
      </c>
      <c r="B11630" s="2" t="s">
        <v>4961</v>
      </c>
      <c r="C11630" s="2" t="s">
        <v>6293</v>
      </c>
      <c r="D11630" s="3" t="str">
        <f t="shared" si="2628"/>
        <v>12Go Link</v>
      </c>
      <c r="E11630" s="2" t="s">
        <v>4139</v>
      </c>
    </row>
    <row r="11631">
      <c r="A11631" s="2" t="s">
        <v>4965</v>
      </c>
      <c r="B11631" s="2" t="s">
        <v>4961</v>
      </c>
      <c r="C11631" s="2" t="s">
        <v>6293</v>
      </c>
      <c r="D11631" s="3" t="str">
        <f t="shared" si="2628"/>
        <v>12Go Link</v>
      </c>
      <c r="E11631" s="2" t="s">
        <v>3409</v>
      </c>
    </row>
    <row r="11632">
      <c r="A11632" s="2" t="s">
        <v>4965</v>
      </c>
      <c r="B11632" s="2" t="s">
        <v>4963</v>
      </c>
      <c r="C11632" s="2" t="s">
        <v>6294</v>
      </c>
      <c r="D11632" s="3" t="str">
        <f t="shared" ref="D11632:D11634" si="2629">HYPERLINK("https://12go.asia/en/travel/Dodanduwa/Dick-oya", "12Go Link")</f>
        <v>12Go Link</v>
      </c>
      <c r="E11632" s="2" t="s">
        <v>286</v>
      </c>
    </row>
    <row r="11633">
      <c r="A11633" s="2" t="s">
        <v>4965</v>
      </c>
      <c r="B11633" s="2" t="s">
        <v>4963</v>
      </c>
      <c r="C11633" s="2" t="s">
        <v>6294</v>
      </c>
      <c r="D11633" s="3" t="str">
        <f t="shared" si="2629"/>
        <v>12Go Link</v>
      </c>
      <c r="E11633" s="2" t="s">
        <v>4139</v>
      </c>
    </row>
    <row r="11634">
      <c r="A11634" s="2" t="s">
        <v>4965</v>
      </c>
      <c r="B11634" s="2" t="s">
        <v>4963</v>
      </c>
      <c r="C11634" s="2" t="s">
        <v>6294</v>
      </c>
      <c r="D11634" s="3" t="str">
        <f t="shared" si="2629"/>
        <v>12Go Link</v>
      </c>
      <c r="E11634" s="2" t="s">
        <v>3409</v>
      </c>
    </row>
    <row r="11635">
      <c r="A11635" s="2" t="s">
        <v>4965</v>
      </c>
      <c r="B11635" s="2" t="s">
        <v>4967</v>
      </c>
      <c r="C11635" s="2" t="s">
        <v>6295</v>
      </c>
      <c r="D11635" s="3" t="str">
        <f t="shared" ref="D11635:D11637" si="2630">HYPERLINK("https://12go.asia/en/travel/Dodanduwa/Induruwa", "12Go Link")</f>
        <v>12Go Link</v>
      </c>
      <c r="E11635" s="2" t="s">
        <v>286</v>
      </c>
    </row>
    <row r="11636">
      <c r="A11636" s="2" t="s">
        <v>4965</v>
      </c>
      <c r="B11636" s="2" t="s">
        <v>4967</v>
      </c>
      <c r="C11636" s="2" t="s">
        <v>6295</v>
      </c>
      <c r="D11636" s="3" t="str">
        <f t="shared" si="2630"/>
        <v>12Go Link</v>
      </c>
      <c r="E11636" s="2" t="s">
        <v>4139</v>
      </c>
    </row>
    <row r="11637">
      <c r="A11637" s="2" t="s">
        <v>4965</v>
      </c>
      <c r="B11637" s="2" t="s">
        <v>4967</v>
      </c>
      <c r="C11637" s="2" t="s">
        <v>6295</v>
      </c>
      <c r="D11637" s="3" t="str">
        <f t="shared" si="2630"/>
        <v>12Go Link</v>
      </c>
      <c r="E11637" s="2" t="s">
        <v>3409</v>
      </c>
    </row>
    <row r="11638">
      <c r="A11638" s="2" t="s">
        <v>4965</v>
      </c>
      <c r="B11638" s="2" t="s">
        <v>4969</v>
      </c>
      <c r="C11638" s="2" t="s">
        <v>6296</v>
      </c>
      <c r="D11638" s="3" t="str">
        <f t="shared" ref="D11638:D11640" si="2631">HYPERLINK("https://12go.asia/en/travel/Dodanduwa/Jaffna", "12Go Link")</f>
        <v>12Go Link</v>
      </c>
      <c r="E11638" s="2" t="s">
        <v>286</v>
      </c>
    </row>
    <row r="11639">
      <c r="A11639" s="2" t="s">
        <v>4965</v>
      </c>
      <c r="B11639" s="2" t="s">
        <v>4969</v>
      </c>
      <c r="C11639" s="2" t="s">
        <v>6296</v>
      </c>
      <c r="D11639" s="3" t="str">
        <f t="shared" si="2631"/>
        <v>12Go Link</v>
      </c>
      <c r="E11639" s="2" t="s">
        <v>4139</v>
      </c>
    </row>
    <row r="11640">
      <c r="A11640" s="2" t="s">
        <v>4965</v>
      </c>
      <c r="B11640" s="2" t="s">
        <v>4969</v>
      </c>
      <c r="C11640" s="2" t="s">
        <v>6296</v>
      </c>
      <c r="D11640" s="3" t="str">
        <f t="shared" si="2631"/>
        <v>12Go Link</v>
      </c>
      <c r="E11640" s="2" t="s">
        <v>3409</v>
      </c>
    </row>
    <row r="11641">
      <c r="A11641" s="2" t="s">
        <v>4965</v>
      </c>
      <c r="B11641" s="2" t="s">
        <v>4971</v>
      </c>
      <c r="C11641" s="2" t="s">
        <v>6297</v>
      </c>
      <c r="D11641" s="3" t="str">
        <f t="shared" ref="D11641:D11643" si="2632">HYPERLINK("https://12go.asia/en/travel/Dodanduwa/Kalapuwa", "12Go Link")</f>
        <v>12Go Link</v>
      </c>
      <c r="E11641" s="2" t="s">
        <v>286</v>
      </c>
    </row>
    <row r="11642">
      <c r="A11642" s="2" t="s">
        <v>4965</v>
      </c>
      <c r="B11642" s="2" t="s">
        <v>4971</v>
      </c>
      <c r="C11642" s="2" t="s">
        <v>6297</v>
      </c>
      <c r="D11642" s="3" t="str">
        <f t="shared" si="2632"/>
        <v>12Go Link</v>
      </c>
      <c r="E11642" s="2" t="s">
        <v>4139</v>
      </c>
    </row>
    <row r="11643">
      <c r="A11643" s="2" t="s">
        <v>4965</v>
      </c>
      <c r="B11643" s="2" t="s">
        <v>4971</v>
      </c>
      <c r="C11643" s="2" t="s">
        <v>6297</v>
      </c>
      <c r="D11643" s="3" t="str">
        <f t="shared" si="2632"/>
        <v>12Go Link</v>
      </c>
      <c r="E11643" s="2" t="s">
        <v>3409</v>
      </c>
    </row>
    <row r="11644">
      <c r="A11644" s="2" t="s">
        <v>4965</v>
      </c>
      <c r="B11644" s="2" t="s">
        <v>4973</v>
      </c>
      <c r="C11644" s="2" t="s">
        <v>6298</v>
      </c>
      <c r="D11644" s="3" t="str">
        <f t="shared" ref="D11644:D11646" si="2633">HYPERLINK("https://12go.asia/en/travel/Dodanduwa/Digana", "12Go Link")</f>
        <v>12Go Link</v>
      </c>
      <c r="E11644" s="2" t="s">
        <v>286</v>
      </c>
    </row>
    <row r="11645">
      <c r="A11645" s="2" t="s">
        <v>4965</v>
      </c>
      <c r="B11645" s="2" t="s">
        <v>4973</v>
      </c>
      <c r="C11645" s="2" t="s">
        <v>6298</v>
      </c>
      <c r="D11645" s="3" t="str">
        <f t="shared" si="2633"/>
        <v>12Go Link</v>
      </c>
      <c r="E11645" s="2" t="s">
        <v>4139</v>
      </c>
    </row>
    <row r="11646">
      <c r="A11646" s="2" t="s">
        <v>4965</v>
      </c>
      <c r="B11646" s="2" t="s">
        <v>4973</v>
      </c>
      <c r="C11646" s="2" t="s">
        <v>6298</v>
      </c>
      <c r="D11646" s="3" t="str">
        <f t="shared" si="2633"/>
        <v>12Go Link</v>
      </c>
      <c r="E11646" s="2" t="s">
        <v>3409</v>
      </c>
    </row>
    <row r="11647">
      <c r="A11647" s="2" t="s">
        <v>4965</v>
      </c>
      <c r="B11647" s="2" t="s">
        <v>4976</v>
      </c>
      <c r="C11647" s="2" t="s">
        <v>6299</v>
      </c>
      <c r="D11647" s="3" t="str">
        <f t="shared" ref="D11647:D11649" si="2634">HYPERLINK("https://12go.asia/en/travel/Dodanduwa/Kataragama", "12Go Link")</f>
        <v>12Go Link</v>
      </c>
      <c r="E11647" s="2" t="s">
        <v>286</v>
      </c>
    </row>
    <row r="11648">
      <c r="A11648" s="2" t="s">
        <v>4965</v>
      </c>
      <c r="B11648" s="2" t="s">
        <v>4976</v>
      </c>
      <c r="C11648" s="2" t="s">
        <v>6299</v>
      </c>
      <c r="D11648" s="3" t="str">
        <f t="shared" si="2634"/>
        <v>12Go Link</v>
      </c>
      <c r="E11648" s="2" t="s">
        <v>4139</v>
      </c>
    </row>
    <row r="11649">
      <c r="A11649" s="2" t="s">
        <v>4965</v>
      </c>
      <c r="B11649" s="2" t="s">
        <v>4976</v>
      </c>
      <c r="C11649" s="2" t="s">
        <v>6299</v>
      </c>
      <c r="D11649" s="3" t="str">
        <f t="shared" si="2634"/>
        <v>12Go Link</v>
      </c>
      <c r="E11649" s="2" t="s">
        <v>3409</v>
      </c>
    </row>
    <row r="11650">
      <c r="A11650" s="2" t="s">
        <v>4965</v>
      </c>
      <c r="B11650" s="2" t="s">
        <v>4978</v>
      </c>
      <c r="C11650" s="2" t="s">
        <v>6300</v>
      </c>
      <c r="D11650" s="3" t="str">
        <f t="shared" ref="D11650:D11652" si="2635">HYPERLINK("https://12go.asia/en/travel/Dodanduwa/Alawathupitiya", "12Go Link")</f>
        <v>12Go Link</v>
      </c>
      <c r="E11650" s="2" t="s">
        <v>286</v>
      </c>
    </row>
    <row r="11651">
      <c r="A11651" s="2" t="s">
        <v>4965</v>
      </c>
      <c r="B11651" s="2" t="s">
        <v>4978</v>
      </c>
      <c r="C11651" s="2" t="s">
        <v>6300</v>
      </c>
      <c r="D11651" s="3" t="str">
        <f t="shared" si="2635"/>
        <v>12Go Link</v>
      </c>
      <c r="E11651" s="2" t="s">
        <v>4139</v>
      </c>
    </row>
    <row r="11652">
      <c r="A11652" s="2" t="s">
        <v>4965</v>
      </c>
      <c r="B11652" s="2" t="s">
        <v>4978</v>
      </c>
      <c r="C11652" s="2" t="s">
        <v>6300</v>
      </c>
      <c r="D11652" s="3" t="str">
        <f t="shared" si="2635"/>
        <v>12Go Link</v>
      </c>
      <c r="E11652" s="2" t="s">
        <v>3409</v>
      </c>
    </row>
    <row r="11653">
      <c r="A11653" s="2" t="s">
        <v>4965</v>
      </c>
      <c r="B11653" s="2" t="s">
        <v>4980</v>
      </c>
      <c r="C11653" s="2" t="s">
        <v>6301</v>
      </c>
      <c r="D11653" s="3" t="str">
        <f t="shared" ref="D11653:D11655" si="2636">HYPERLINK("https://12go.asia/en/travel/Dodanduwa/Pinnawala", "12Go Link")</f>
        <v>12Go Link</v>
      </c>
      <c r="E11653" s="2" t="s">
        <v>286</v>
      </c>
    </row>
    <row r="11654">
      <c r="A11654" s="2" t="s">
        <v>4965</v>
      </c>
      <c r="B11654" s="2" t="s">
        <v>4980</v>
      </c>
      <c r="C11654" s="2" t="s">
        <v>6301</v>
      </c>
      <c r="D11654" s="3" t="str">
        <f t="shared" si="2636"/>
        <v>12Go Link</v>
      </c>
      <c r="E11654" s="2" t="s">
        <v>4139</v>
      </c>
    </row>
    <row r="11655">
      <c r="A11655" s="2" t="s">
        <v>4965</v>
      </c>
      <c r="B11655" s="2" t="s">
        <v>4980</v>
      </c>
      <c r="C11655" s="2" t="s">
        <v>6301</v>
      </c>
      <c r="D11655" s="3" t="str">
        <f t="shared" si="2636"/>
        <v>12Go Link</v>
      </c>
      <c r="E11655" s="2" t="s">
        <v>3409</v>
      </c>
    </row>
    <row r="11656">
      <c r="A11656" s="2" t="s">
        <v>4965</v>
      </c>
      <c r="B11656" s="2" t="s">
        <v>4982</v>
      </c>
      <c r="C11656" s="2" t="s">
        <v>6302</v>
      </c>
      <c r="D11656" s="3" t="str">
        <f t="shared" ref="D11656:D11658" si="2637">HYPERLINK("https://12go.asia/en/travel/Dodanduwa/Kitulgala", "12Go Link")</f>
        <v>12Go Link</v>
      </c>
      <c r="E11656" s="2" t="s">
        <v>286</v>
      </c>
    </row>
    <row r="11657">
      <c r="A11657" s="2" t="s">
        <v>4965</v>
      </c>
      <c r="B11657" s="2" t="s">
        <v>4982</v>
      </c>
      <c r="C11657" s="2" t="s">
        <v>6302</v>
      </c>
      <c r="D11657" s="3" t="str">
        <f t="shared" si="2637"/>
        <v>12Go Link</v>
      </c>
      <c r="E11657" s="2" t="s">
        <v>4139</v>
      </c>
    </row>
    <row r="11658">
      <c r="A11658" s="2" t="s">
        <v>4965</v>
      </c>
      <c r="B11658" s="2" t="s">
        <v>4982</v>
      </c>
      <c r="C11658" s="2" t="s">
        <v>6302</v>
      </c>
      <c r="D11658" s="3" t="str">
        <f t="shared" si="2637"/>
        <v>12Go Link</v>
      </c>
      <c r="E11658" s="2" t="s">
        <v>3409</v>
      </c>
    </row>
    <row r="11659">
      <c r="A11659" s="2" t="s">
        <v>4965</v>
      </c>
      <c r="B11659" s="2" t="s">
        <v>4984</v>
      </c>
      <c r="C11659" s="2" t="s">
        <v>6303</v>
      </c>
      <c r="D11659" s="3" t="str">
        <f t="shared" ref="D11659:D11661" si="2638">HYPERLINK("https://12go.asia/en/travel/Dodanduwa/Habaraduwa", "12Go Link")</f>
        <v>12Go Link</v>
      </c>
      <c r="E11659" s="2" t="s">
        <v>286</v>
      </c>
    </row>
    <row r="11660">
      <c r="A11660" s="2" t="s">
        <v>4965</v>
      </c>
      <c r="B11660" s="2" t="s">
        <v>4984</v>
      </c>
      <c r="C11660" s="2" t="s">
        <v>6303</v>
      </c>
      <c r="D11660" s="3" t="str">
        <f t="shared" si="2638"/>
        <v>12Go Link</v>
      </c>
      <c r="E11660" s="2" t="s">
        <v>4139</v>
      </c>
    </row>
    <row r="11661">
      <c r="A11661" s="2" t="s">
        <v>4965</v>
      </c>
      <c r="B11661" s="2" t="s">
        <v>4984</v>
      </c>
      <c r="C11661" s="2" t="s">
        <v>6303</v>
      </c>
      <c r="D11661" s="3" t="str">
        <f t="shared" si="2638"/>
        <v>12Go Link</v>
      </c>
      <c r="E11661" s="2" t="s">
        <v>3409</v>
      </c>
    </row>
    <row r="11662">
      <c r="A11662" s="2" t="s">
        <v>4965</v>
      </c>
      <c r="B11662" s="2" t="s">
        <v>4986</v>
      </c>
      <c r="C11662" s="2" t="s">
        <v>6304</v>
      </c>
      <c r="D11662" s="3" t="str">
        <f t="shared" ref="D11662:D11664" si="2639">HYPERLINK("https://12go.asia/en/travel/Dodanduwa/Kosgoda", "12Go Link")</f>
        <v>12Go Link</v>
      </c>
      <c r="E11662" s="2" t="s">
        <v>286</v>
      </c>
    </row>
    <row r="11663">
      <c r="A11663" s="2" t="s">
        <v>4965</v>
      </c>
      <c r="B11663" s="2" t="s">
        <v>4986</v>
      </c>
      <c r="C11663" s="2" t="s">
        <v>6304</v>
      </c>
      <c r="D11663" s="3" t="str">
        <f t="shared" si="2639"/>
        <v>12Go Link</v>
      </c>
      <c r="E11663" s="2" t="s">
        <v>4139</v>
      </c>
    </row>
    <row r="11664">
      <c r="A11664" s="2" t="s">
        <v>4965</v>
      </c>
      <c r="B11664" s="2" t="s">
        <v>4986</v>
      </c>
      <c r="C11664" s="2" t="s">
        <v>6304</v>
      </c>
      <c r="D11664" s="3" t="str">
        <f t="shared" si="2639"/>
        <v>12Go Link</v>
      </c>
      <c r="E11664" s="2" t="s">
        <v>3409</v>
      </c>
    </row>
    <row r="11665">
      <c r="A11665" s="2" t="s">
        <v>4965</v>
      </c>
      <c r="B11665" s="2" t="s">
        <v>4988</v>
      </c>
      <c r="C11665" s="2" t="s">
        <v>6305</v>
      </c>
      <c r="D11665" s="3" t="str">
        <f t="shared" ref="D11665:D11667" si="2640">HYPERLINK("https://12go.asia/en/travel/Dodanduwa/Kuchchaveli", "12Go Link")</f>
        <v>12Go Link</v>
      </c>
      <c r="E11665" s="2" t="s">
        <v>286</v>
      </c>
    </row>
    <row r="11666">
      <c r="A11666" s="2" t="s">
        <v>4965</v>
      </c>
      <c r="B11666" s="2" t="s">
        <v>4988</v>
      </c>
      <c r="C11666" s="2" t="s">
        <v>6305</v>
      </c>
      <c r="D11666" s="3" t="str">
        <f t="shared" si="2640"/>
        <v>12Go Link</v>
      </c>
      <c r="E11666" s="2" t="s">
        <v>4139</v>
      </c>
    </row>
    <row r="11667">
      <c r="A11667" s="2" t="s">
        <v>4965</v>
      </c>
      <c r="B11667" s="2" t="s">
        <v>4988</v>
      </c>
      <c r="C11667" s="2" t="s">
        <v>6305</v>
      </c>
      <c r="D11667" s="3" t="str">
        <f t="shared" si="2640"/>
        <v>12Go Link</v>
      </c>
      <c r="E11667" s="2" t="s">
        <v>3409</v>
      </c>
    </row>
    <row r="11668">
      <c r="A11668" s="2" t="s">
        <v>4965</v>
      </c>
      <c r="B11668" s="2" t="s">
        <v>4990</v>
      </c>
      <c r="C11668" s="2" t="s">
        <v>6306</v>
      </c>
      <c r="D11668" s="3" t="str">
        <f t="shared" ref="D11668:D11670" si="2641">HYPERLINK("https://12go.asia/en/travel/Dodanduwa/Mannar", "12Go Link")</f>
        <v>12Go Link</v>
      </c>
      <c r="E11668" s="2" t="s">
        <v>286</v>
      </c>
    </row>
    <row r="11669">
      <c r="A11669" s="2" t="s">
        <v>4965</v>
      </c>
      <c r="B11669" s="2" t="s">
        <v>4990</v>
      </c>
      <c r="C11669" s="2" t="s">
        <v>6306</v>
      </c>
      <c r="D11669" s="3" t="str">
        <f t="shared" si="2641"/>
        <v>12Go Link</v>
      </c>
      <c r="E11669" s="2" t="s">
        <v>4139</v>
      </c>
    </row>
    <row r="11670">
      <c r="A11670" s="2" t="s">
        <v>4965</v>
      </c>
      <c r="B11670" s="2" t="s">
        <v>4990</v>
      </c>
      <c r="C11670" s="2" t="s">
        <v>6306</v>
      </c>
      <c r="D11670" s="3" t="str">
        <f t="shared" si="2641"/>
        <v>12Go Link</v>
      </c>
      <c r="E11670" s="2" t="s">
        <v>3409</v>
      </c>
    </row>
    <row r="11671">
      <c r="A11671" s="2" t="s">
        <v>4965</v>
      </c>
      <c r="B11671" s="2" t="s">
        <v>4992</v>
      </c>
      <c r="C11671" s="2" t="s">
        <v>6307</v>
      </c>
      <c r="D11671" s="3" t="str">
        <f t="shared" ref="D11671:D11673" si="2642">HYPERLINK("https://12go.asia/en/travel/Dodanduwa/Kinigama", "12Go Link")</f>
        <v>12Go Link</v>
      </c>
      <c r="E11671" s="2" t="s">
        <v>286</v>
      </c>
    </row>
    <row r="11672">
      <c r="A11672" s="2" t="s">
        <v>4965</v>
      </c>
      <c r="B11672" s="2" t="s">
        <v>4992</v>
      </c>
      <c r="C11672" s="2" t="s">
        <v>6307</v>
      </c>
      <c r="D11672" s="3" t="str">
        <f t="shared" si="2642"/>
        <v>12Go Link</v>
      </c>
      <c r="E11672" s="2" t="s">
        <v>4139</v>
      </c>
    </row>
    <row r="11673">
      <c r="A11673" s="2" t="s">
        <v>4965</v>
      </c>
      <c r="B11673" s="2" t="s">
        <v>4992</v>
      </c>
      <c r="C11673" s="2" t="s">
        <v>6307</v>
      </c>
      <c r="D11673" s="3" t="str">
        <f t="shared" si="2642"/>
        <v>12Go Link</v>
      </c>
      <c r="E11673" s="2" t="s">
        <v>3409</v>
      </c>
    </row>
    <row r="11674">
      <c r="A11674" s="2" t="s">
        <v>4965</v>
      </c>
      <c r="B11674" s="2" t="s">
        <v>4994</v>
      </c>
      <c r="C11674" s="2" t="s">
        <v>6308</v>
      </c>
      <c r="D11674" s="3" t="str">
        <f t="shared" ref="D11674:D11676" si="2643">HYPERLINK("https://12go.asia/en/travel/Dodanduwa/Kalamatiya", "12Go Link")</f>
        <v>12Go Link</v>
      </c>
      <c r="E11674" s="2" t="s">
        <v>286</v>
      </c>
    </row>
    <row r="11675">
      <c r="A11675" s="2" t="s">
        <v>4965</v>
      </c>
      <c r="B11675" s="2" t="s">
        <v>4994</v>
      </c>
      <c r="C11675" s="2" t="s">
        <v>6308</v>
      </c>
      <c r="D11675" s="3" t="str">
        <f t="shared" si="2643"/>
        <v>12Go Link</v>
      </c>
      <c r="E11675" s="2" t="s">
        <v>4139</v>
      </c>
    </row>
    <row r="11676">
      <c r="A11676" s="2" t="s">
        <v>4965</v>
      </c>
      <c r="B11676" s="2" t="s">
        <v>4994</v>
      </c>
      <c r="C11676" s="2" t="s">
        <v>6308</v>
      </c>
      <c r="D11676" s="3" t="str">
        <f t="shared" si="2643"/>
        <v>12Go Link</v>
      </c>
      <c r="E11676" s="2" t="s">
        <v>3409</v>
      </c>
    </row>
    <row r="11677">
      <c r="A11677" s="2" t="s">
        <v>4965</v>
      </c>
      <c r="B11677" s="2" t="s">
        <v>4994</v>
      </c>
      <c r="C11677" s="2" t="s">
        <v>6309</v>
      </c>
      <c r="D11677" s="3" t="str">
        <f>HYPERLINK("https://12go.asia/en/travel/Dodanduwa/Matara", "12Go Link")</f>
        <v>12Go Link</v>
      </c>
      <c r="E11677" s="2" t="s">
        <v>5080</v>
      </c>
    </row>
    <row r="11678">
      <c r="A11678" s="2" t="s">
        <v>4965</v>
      </c>
      <c r="B11678" s="2" t="s">
        <v>4994</v>
      </c>
      <c r="C11678" s="2" t="s">
        <v>6310</v>
      </c>
      <c r="D11678" s="3" t="str">
        <f>HYPERLINK("https://12go.asia/en/travel/Hikkaduwa/Matara", "12Go Link")</f>
        <v>12Go Link</v>
      </c>
      <c r="E11678" s="2" t="s">
        <v>5080</v>
      </c>
    </row>
    <row r="11679">
      <c r="A11679" s="2" t="s">
        <v>4965</v>
      </c>
      <c r="B11679" s="2" t="s">
        <v>4996</v>
      </c>
      <c r="C11679" s="2" t="s">
        <v>6311</v>
      </c>
      <c r="D11679" s="3" t="str">
        <f t="shared" ref="D11679:D11681" si="2644">HYPERLINK("https://12go.asia/en/travel/Dodanduwa/mirissa", "12Go Link")</f>
        <v>12Go Link</v>
      </c>
      <c r="E11679" s="2" t="s">
        <v>286</v>
      </c>
    </row>
    <row r="11680">
      <c r="A11680" s="2" t="s">
        <v>4965</v>
      </c>
      <c r="B11680" s="2" t="s">
        <v>4996</v>
      </c>
      <c r="C11680" s="2" t="s">
        <v>6311</v>
      </c>
      <c r="D11680" s="3" t="str">
        <f t="shared" si="2644"/>
        <v>12Go Link</v>
      </c>
      <c r="E11680" s="2" t="s">
        <v>4139</v>
      </c>
    </row>
    <row r="11681">
      <c r="A11681" s="2" t="s">
        <v>4965</v>
      </c>
      <c r="B11681" s="2" t="s">
        <v>4996</v>
      </c>
      <c r="C11681" s="2" t="s">
        <v>6311</v>
      </c>
      <c r="D11681" s="3" t="str">
        <f t="shared" si="2644"/>
        <v>12Go Link</v>
      </c>
      <c r="E11681" s="2" t="s">
        <v>3409</v>
      </c>
    </row>
    <row r="11682">
      <c r="A11682" s="2" t="s">
        <v>4965</v>
      </c>
      <c r="B11682" s="2" t="s">
        <v>4996</v>
      </c>
      <c r="C11682" s="2" t="s">
        <v>6312</v>
      </c>
      <c r="D11682" s="3" t="str">
        <f>HYPERLINK("https://12go.asia/en/travel/Hikkaduwa/Mirissa", "12Go Link")</f>
        <v>12Go Link</v>
      </c>
      <c r="E11682" s="2" t="s">
        <v>5080</v>
      </c>
    </row>
    <row r="11683">
      <c r="A11683" s="2" t="s">
        <v>4965</v>
      </c>
      <c r="B11683" s="2" t="s">
        <v>5204</v>
      </c>
      <c r="C11683" s="2" t="s">
        <v>6313</v>
      </c>
      <c r="D11683" s="3" t="str">
        <f>HYPERLINK("https://12go.asia/en/travel/Hikkaduwa/Moratuwa", "12Go Link")</f>
        <v>12Go Link</v>
      </c>
      <c r="E11683" s="2" t="s">
        <v>5206</v>
      </c>
    </row>
    <row r="11684">
      <c r="A11684" s="2" t="s">
        <v>4965</v>
      </c>
      <c r="B11684" s="2" t="s">
        <v>4998</v>
      </c>
      <c r="C11684" s="2" t="s">
        <v>6314</v>
      </c>
      <c r="D11684" s="3" t="str">
        <f t="shared" ref="D11684:D11686" si="2645">HYPERLINK("https://12go.asia/en/travel/Dodanduwa/Nanu-Oya", "12Go Link")</f>
        <v>12Go Link</v>
      </c>
      <c r="E11684" s="2" t="s">
        <v>286</v>
      </c>
    </row>
    <row r="11685">
      <c r="A11685" s="2" t="s">
        <v>4965</v>
      </c>
      <c r="B11685" s="2" t="s">
        <v>4998</v>
      </c>
      <c r="C11685" s="2" t="s">
        <v>6314</v>
      </c>
      <c r="D11685" s="3" t="str">
        <f t="shared" si="2645"/>
        <v>12Go Link</v>
      </c>
      <c r="E11685" s="2" t="s">
        <v>4139</v>
      </c>
    </row>
    <row r="11686">
      <c r="A11686" s="2" t="s">
        <v>4965</v>
      </c>
      <c r="B11686" s="2" t="s">
        <v>4998</v>
      </c>
      <c r="C11686" s="2" t="s">
        <v>6314</v>
      </c>
      <c r="D11686" s="3" t="str">
        <f t="shared" si="2645"/>
        <v>12Go Link</v>
      </c>
      <c r="E11686" s="2" t="s">
        <v>3409</v>
      </c>
    </row>
    <row r="11687">
      <c r="A11687" s="2" t="s">
        <v>4965</v>
      </c>
      <c r="B11687" s="2" t="s">
        <v>5000</v>
      </c>
      <c r="C11687" s="2" t="s">
        <v>6315</v>
      </c>
      <c r="D11687" s="3" t="str">
        <f t="shared" ref="D11687:D11689" si="2646">HYPERLINK("https://12go.asia/en/travel/Dodanduwa/Waikkal", "12Go Link")</f>
        <v>12Go Link</v>
      </c>
      <c r="E11687" s="2" t="s">
        <v>286</v>
      </c>
    </row>
    <row r="11688">
      <c r="A11688" s="2" t="s">
        <v>4965</v>
      </c>
      <c r="B11688" s="2" t="s">
        <v>5000</v>
      </c>
      <c r="C11688" s="2" t="s">
        <v>6315</v>
      </c>
      <c r="D11688" s="3" t="str">
        <f t="shared" si="2646"/>
        <v>12Go Link</v>
      </c>
      <c r="E11688" s="2" t="s">
        <v>4139</v>
      </c>
    </row>
    <row r="11689">
      <c r="A11689" s="2" t="s">
        <v>4965</v>
      </c>
      <c r="B11689" s="2" t="s">
        <v>5000</v>
      </c>
      <c r="C11689" s="2" t="s">
        <v>6315</v>
      </c>
      <c r="D11689" s="3" t="str">
        <f t="shared" si="2646"/>
        <v>12Go Link</v>
      </c>
      <c r="E11689" s="2" t="s">
        <v>3409</v>
      </c>
    </row>
    <row r="11690">
      <c r="A11690" s="2" t="s">
        <v>4965</v>
      </c>
      <c r="B11690" s="2" t="s">
        <v>5003</v>
      </c>
      <c r="C11690" s="2" t="s">
        <v>6316</v>
      </c>
      <c r="D11690" s="3" t="str">
        <f t="shared" ref="D11690:D11692" si="2647">HYPERLINK("https://12go.asia/en/travel/Dodanduwa/Nilaveli", "12Go Link")</f>
        <v>12Go Link</v>
      </c>
      <c r="E11690" s="2" t="s">
        <v>286</v>
      </c>
    </row>
    <row r="11691">
      <c r="A11691" s="2" t="s">
        <v>4965</v>
      </c>
      <c r="B11691" s="2" t="s">
        <v>5003</v>
      </c>
      <c r="C11691" s="2" t="s">
        <v>6316</v>
      </c>
      <c r="D11691" s="3" t="str">
        <f t="shared" si="2647"/>
        <v>12Go Link</v>
      </c>
      <c r="E11691" s="2" t="s">
        <v>4139</v>
      </c>
    </row>
    <row r="11692">
      <c r="A11692" s="2" t="s">
        <v>4965</v>
      </c>
      <c r="B11692" s="2" t="s">
        <v>5003</v>
      </c>
      <c r="C11692" s="2" t="s">
        <v>6316</v>
      </c>
      <c r="D11692" s="3" t="str">
        <f t="shared" si="2647"/>
        <v>12Go Link</v>
      </c>
      <c r="E11692" s="2" t="s">
        <v>3409</v>
      </c>
    </row>
    <row r="11693">
      <c r="A11693" s="2" t="s">
        <v>4965</v>
      </c>
      <c r="B11693" s="2" t="s">
        <v>5005</v>
      </c>
      <c r="C11693" s="2" t="s">
        <v>6317</v>
      </c>
      <c r="D11693" s="3" t="str">
        <f t="shared" ref="D11693:D11694" si="2648">HYPERLINK("https://12go.asia/en/travel/Dodanduwa/Kotmale", "12Go Link")</f>
        <v>12Go Link</v>
      </c>
      <c r="E11693" s="2" t="s">
        <v>4139</v>
      </c>
    </row>
    <row r="11694">
      <c r="A11694" s="2" t="s">
        <v>4965</v>
      </c>
      <c r="B11694" s="2" t="s">
        <v>5005</v>
      </c>
      <c r="C11694" s="2" t="s">
        <v>6317</v>
      </c>
      <c r="D11694" s="3" t="str">
        <f t="shared" si="2648"/>
        <v>12Go Link</v>
      </c>
      <c r="E11694" s="2" t="s">
        <v>3409</v>
      </c>
    </row>
    <row r="11695">
      <c r="A11695" s="2" t="s">
        <v>4965</v>
      </c>
      <c r="B11695" s="2" t="s">
        <v>5007</v>
      </c>
      <c r="C11695" s="2" t="s">
        <v>6318</v>
      </c>
      <c r="D11695" s="3" t="str">
        <f t="shared" ref="D11695:D11697" si="2649">HYPERLINK("https://12go.asia/en/travel/Dodanduwa/Pasikuda", "12Go Link")</f>
        <v>12Go Link</v>
      </c>
      <c r="E11695" s="2" t="s">
        <v>286</v>
      </c>
    </row>
    <row r="11696">
      <c r="A11696" s="2" t="s">
        <v>4965</v>
      </c>
      <c r="B11696" s="2" t="s">
        <v>5007</v>
      </c>
      <c r="C11696" s="2" t="s">
        <v>6318</v>
      </c>
      <c r="D11696" s="3" t="str">
        <f t="shared" si="2649"/>
        <v>12Go Link</v>
      </c>
      <c r="E11696" s="2" t="s">
        <v>4139</v>
      </c>
    </row>
    <row r="11697">
      <c r="A11697" s="2" t="s">
        <v>4965</v>
      </c>
      <c r="B11697" s="2" t="s">
        <v>5007</v>
      </c>
      <c r="C11697" s="2" t="s">
        <v>6318</v>
      </c>
      <c r="D11697" s="3" t="str">
        <f t="shared" si="2649"/>
        <v>12Go Link</v>
      </c>
      <c r="E11697" s="2" t="s">
        <v>3409</v>
      </c>
    </row>
    <row r="11698">
      <c r="A11698" s="2" t="s">
        <v>4965</v>
      </c>
      <c r="B11698" s="2" t="s">
        <v>5009</v>
      </c>
      <c r="C11698" s="2" t="s">
        <v>6319</v>
      </c>
      <c r="D11698" s="3" t="str">
        <f t="shared" ref="D11698:D11700" si="2650">HYPERLINK("https://12go.asia/en/travel/Dodanduwa/Galoya", "12Go Link")</f>
        <v>12Go Link</v>
      </c>
      <c r="E11698" s="2" t="s">
        <v>286</v>
      </c>
    </row>
    <row r="11699">
      <c r="A11699" s="2" t="s">
        <v>4965</v>
      </c>
      <c r="B11699" s="2" t="s">
        <v>5009</v>
      </c>
      <c r="C11699" s="2" t="s">
        <v>6319</v>
      </c>
      <c r="D11699" s="3" t="str">
        <f t="shared" si="2650"/>
        <v>12Go Link</v>
      </c>
      <c r="E11699" s="2" t="s">
        <v>4139</v>
      </c>
    </row>
    <row r="11700">
      <c r="A11700" s="2" t="s">
        <v>4965</v>
      </c>
      <c r="B11700" s="2" t="s">
        <v>5009</v>
      </c>
      <c r="C11700" s="2" t="s">
        <v>6319</v>
      </c>
      <c r="D11700" s="3" t="str">
        <f t="shared" si="2650"/>
        <v>12Go Link</v>
      </c>
      <c r="E11700" s="2" t="s">
        <v>3409</v>
      </c>
    </row>
    <row r="11701">
      <c r="A11701" s="2" t="s">
        <v>4965</v>
      </c>
      <c r="B11701" s="2" t="s">
        <v>5011</v>
      </c>
      <c r="C11701" s="2" t="s">
        <v>6320</v>
      </c>
      <c r="D11701" s="3" t="str">
        <f t="shared" ref="D11701:D11703" si="2651">HYPERLINK("https://12go.asia/en/travel/Dodanduwa/Kalpitiya", "12Go Link")</f>
        <v>12Go Link</v>
      </c>
      <c r="E11701" s="2" t="s">
        <v>286</v>
      </c>
    </row>
    <row r="11702">
      <c r="A11702" s="2" t="s">
        <v>4965</v>
      </c>
      <c r="B11702" s="2" t="s">
        <v>5011</v>
      </c>
      <c r="C11702" s="2" t="s">
        <v>6320</v>
      </c>
      <c r="D11702" s="3" t="str">
        <f t="shared" si="2651"/>
        <v>12Go Link</v>
      </c>
      <c r="E11702" s="2" t="s">
        <v>4139</v>
      </c>
    </row>
    <row r="11703">
      <c r="A11703" s="2" t="s">
        <v>4965</v>
      </c>
      <c r="B11703" s="2" t="s">
        <v>5011</v>
      </c>
      <c r="C11703" s="2" t="s">
        <v>6320</v>
      </c>
      <c r="D11703" s="3" t="str">
        <f t="shared" si="2651"/>
        <v>12Go Link</v>
      </c>
      <c r="E11703" s="2" t="s">
        <v>3409</v>
      </c>
    </row>
    <row r="11704">
      <c r="A11704" s="2" t="s">
        <v>4965</v>
      </c>
      <c r="B11704" s="2" t="s">
        <v>5011</v>
      </c>
      <c r="C11704" s="2" t="s">
        <v>6321</v>
      </c>
      <c r="D11704" s="3" t="str">
        <f t="shared" ref="D11704:D11706" si="2652">HYPERLINK("https://12go.asia/en/travel/Dodanduwa/Marawila", "12Go Link")</f>
        <v>12Go Link</v>
      </c>
      <c r="E11704" s="2" t="s">
        <v>286</v>
      </c>
    </row>
    <row r="11705">
      <c r="A11705" s="2" t="s">
        <v>4965</v>
      </c>
      <c r="B11705" s="2" t="s">
        <v>5011</v>
      </c>
      <c r="C11705" s="2" t="s">
        <v>6321</v>
      </c>
      <c r="D11705" s="3" t="str">
        <f t="shared" si="2652"/>
        <v>12Go Link</v>
      </c>
      <c r="E11705" s="2" t="s">
        <v>4139</v>
      </c>
    </row>
    <row r="11706">
      <c r="A11706" s="2" t="s">
        <v>4965</v>
      </c>
      <c r="B11706" s="2" t="s">
        <v>5011</v>
      </c>
      <c r="C11706" s="2" t="s">
        <v>6321</v>
      </c>
      <c r="D11706" s="3" t="str">
        <f t="shared" si="2652"/>
        <v>12Go Link</v>
      </c>
      <c r="E11706" s="2" t="s">
        <v>3409</v>
      </c>
    </row>
    <row r="11707">
      <c r="A11707" s="2" t="s">
        <v>4965</v>
      </c>
      <c r="B11707" s="2" t="s">
        <v>5014</v>
      </c>
      <c r="C11707" s="2" t="s">
        <v>6322</v>
      </c>
      <c r="D11707" s="3" t="str">
        <f t="shared" ref="D11707:D11709" si="2653">HYPERLINK("https://12go.asia/en/travel/Dodanduwa/Kiriella", "12Go Link")</f>
        <v>12Go Link</v>
      </c>
      <c r="E11707" s="2" t="s">
        <v>286</v>
      </c>
    </row>
    <row r="11708">
      <c r="A11708" s="2" t="s">
        <v>4965</v>
      </c>
      <c r="B11708" s="2" t="s">
        <v>5014</v>
      </c>
      <c r="C11708" s="2" t="s">
        <v>6322</v>
      </c>
      <c r="D11708" s="3" t="str">
        <f t="shared" si="2653"/>
        <v>12Go Link</v>
      </c>
      <c r="E11708" s="2" t="s">
        <v>4139</v>
      </c>
    </row>
    <row r="11709">
      <c r="A11709" s="2" t="s">
        <v>4965</v>
      </c>
      <c r="B11709" s="2" t="s">
        <v>5014</v>
      </c>
      <c r="C11709" s="2" t="s">
        <v>6322</v>
      </c>
      <c r="D11709" s="3" t="str">
        <f t="shared" si="2653"/>
        <v>12Go Link</v>
      </c>
      <c r="E11709" s="2" t="s">
        <v>3409</v>
      </c>
    </row>
    <row r="11710">
      <c r="A11710" s="2" t="s">
        <v>4965</v>
      </c>
      <c r="B11710" s="2" t="s">
        <v>5018</v>
      </c>
      <c r="C11710" s="2" t="s">
        <v>6323</v>
      </c>
      <c r="D11710" s="3" t="str">
        <f t="shared" ref="D11710:D11712" si="2654">HYPERLINK("https://12go.asia/en/travel/Dodanduwa/Rekawa", "12Go Link")</f>
        <v>12Go Link</v>
      </c>
      <c r="E11710" s="2" t="s">
        <v>286</v>
      </c>
    </row>
    <row r="11711">
      <c r="A11711" s="2" t="s">
        <v>4965</v>
      </c>
      <c r="B11711" s="2" t="s">
        <v>5018</v>
      </c>
      <c r="C11711" s="2" t="s">
        <v>6323</v>
      </c>
      <c r="D11711" s="3" t="str">
        <f t="shared" si="2654"/>
        <v>12Go Link</v>
      </c>
      <c r="E11711" s="2" t="s">
        <v>4139</v>
      </c>
    </row>
    <row r="11712">
      <c r="A11712" s="2" t="s">
        <v>4965</v>
      </c>
      <c r="B11712" s="2" t="s">
        <v>5018</v>
      </c>
      <c r="C11712" s="2" t="s">
        <v>6323</v>
      </c>
      <c r="D11712" s="3" t="str">
        <f t="shared" si="2654"/>
        <v>12Go Link</v>
      </c>
      <c r="E11712" s="2" t="s">
        <v>3409</v>
      </c>
    </row>
    <row r="11713">
      <c r="A11713" s="2" t="s">
        <v>4965</v>
      </c>
      <c r="B11713" s="2" t="s">
        <v>5020</v>
      </c>
      <c r="C11713" s="2" t="s">
        <v>6324</v>
      </c>
      <c r="D11713" s="3" t="str">
        <f t="shared" ref="D11713:D11715" si="2655">HYPERLINK("https://12go.asia/en/travel/Dodanduwa/Tissamaharama", "12Go Link")</f>
        <v>12Go Link</v>
      </c>
      <c r="E11713" s="2" t="s">
        <v>286</v>
      </c>
    </row>
    <row r="11714">
      <c r="A11714" s="2" t="s">
        <v>4965</v>
      </c>
      <c r="B11714" s="2" t="s">
        <v>5020</v>
      </c>
      <c r="C11714" s="2" t="s">
        <v>6324</v>
      </c>
      <c r="D11714" s="3" t="str">
        <f t="shared" si="2655"/>
        <v>12Go Link</v>
      </c>
      <c r="E11714" s="2" t="s">
        <v>4139</v>
      </c>
    </row>
    <row r="11715">
      <c r="A11715" s="2" t="s">
        <v>4965</v>
      </c>
      <c r="B11715" s="2" t="s">
        <v>5020</v>
      </c>
      <c r="C11715" s="2" t="s">
        <v>6324</v>
      </c>
      <c r="D11715" s="3" t="str">
        <f t="shared" si="2655"/>
        <v>12Go Link</v>
      </c>
      <c r="E11715" s="2" t="s">
        <v>3409</v>
      </c>
    </row>
    <row r="11716">
      <c r="A11716" s="2" t="s">
        <v>4965</v>
      </c>
      <c r="B11716" s="2" t="s">
        <v>5020</v>
      </c>
      <c r="C11716" s="2" t="s">
        <v>6325</v>
      </c>
      <c r="D11716" s="3" t="str">
        <f t="shared" ref="D11716:D11718" si="2656">HYPERLINK("https://12go.asia/en/travel/Dodanduwa/Yala-Park", "12Go Link")</f>
        <v>12Go Link</v>
      </c>
      <c r="E11716" s="2" t="s">
        <v>286</v>
      </c>
    </row>
    <row r="11717">
      <c r="A11717" s="2" t="s">
        <v>4965</v>
      </c>
      <c r="B11717" s="2" t="s">
        <v>5020</v>
      </c>
      <c r="C11717" s="2" t="s">
        <v>6325</v>
      </c>
      <c r="D11717" s="3" t="str">
        <f t="shared" si="2656"/>
        <v>12Go Link</v>
      </c>
      <c r="E11717" s="2" t="s">
        <v>4139</v>
      </c>
    </row>
    <row r="11718">
      <c r="A11718" s="2" t="s">
        <v>4965</v>
      </c>
      <c r="B11718" s="2" t="s">
        <v>5020</v>
      </c>
      <c r="C11718" s="2" t="s">
        <v>6325</v>
      </c>
      <c r="D11718" s="3" t="str">
        <f t="shared" si="2656"/>
        <v>12Go Link</v>
      </c>
      <c r="E11718" s="2" t="s">
        <v>3409</v>
      </c>
    </row>
    <row r="11719">
      <c r="A11719" s="2" t="s">
        <v>4965</v>
      </c>
      <c r="B11719" s="2" t="s">
        <v>5023</v>
      </c>
      <c r="C11719" s="2" t="s">
        <v>6326</v>
      </c>
      <c r="D11719" s="3" t="str">
        <f t="shared" ref="D11719:D11721" si="2657">HYPERLINK("https://12go.asia/en/travel/Dodanduwa/Nilaweli", "12Go Link")</f>
        <v>12Go Link</v>
      </c>
      <c r="E11719" s="2" t="s">
        <v>286</v>
      </c>
    </row>
    <row r="11720">
      <c r="A11720" s="2" t="s">
        <v>4965</v>
      </c>
      <c r="B11720" s="2" t="s">
        <v>5023</v>
      </c>
      <c r="C11720" s="2" t="s">
        <v>6326</v>
      </c>
      <c r="D11720" s="3" t="str">
        <f t="shared" si="2657"/>
        <v>12Go Link</v>
      </c>
      <c r="E11720" s="2" t="s">
        <v>4139</v>
      </c>
    </row>
    <row r="11721">
      <c r="A11721" s="2" t="s">
        <v>4965</v>
      </c>
      <c r="B11721" s="2" t="s">
        <v>5023</v>
      </c>
      <c r="C11721" s="2" t="s">
        <v>6326</v>
      </c>
      <c r="D11721" s="3" t="str">
        <f t="shared" si="2657"/>
        <v>12Go Link</v>
      </c>
      <c r="E11721" s="2" t="s">
        <v>3409</v>
      </c>
    </row>
    <row r="11722">
      <c r="A11722" s="2" t="s">
        <v>4965</v>
      </c>
      <c r="B11722" s="2" t="s">
        <v>5025</v>
      </c>
      <c r="C11722" s="2" t="s">
        <v>6327</v>
      </c>
      <c r="D11722" s="3" t="str">
        <f t="shared" ref="D11722:D11724" si="2658">HYPERLINK("https://12go.asia/en/travel/Dodanduwa/Udawalawa", "12Go Link")</f>
        <v>12Go Link</v>
      </c>
      <c r="E11722" s="2" t="s">
        <v>286</v>
      </c>
    </row>
    <row r="11723">
      <c r="A11723" s="2" t="s">
        <v>4965</v>
      </c>
      <c r="B11723" s="2" t="s">
        <v>5025</v>
      </c>
      <c r="C11723" s="2" t="s">
        <v>6327</v>
      </c>
      <c r="D11723" s="3" t="str">
        <f t="shared" si="2658"/>
        <v>12Go Link</v>
      </c>
      <c r="E11723" s="2" t="s">
        <v>4139</v>
      </c>
    </row>
    <row r="11724">
      <c r="A11724" s="2" t="s">
        <v>4965</v>
      </c>
      <c r="B11724" s="2" t="s">
        <v>5025</v>
      </c>
      <c r="C11724" s="2" t="s">
        <v>6327</v>
      </c>
      <c r="D11724" s="3" t="str">
        <f t="shared" si="2658"/>
        <v>12Go Link</v>
      </c>
      <c r="E11724" s="2" t="s">
        <v>3409</v>
      </c>
    </row>
    <row r="11725">
      <c r="A11725" s="2" t="s">
        <v>4965</v>
      </c>
      <c r="B11725" s="2" t="s">
        <v>5027</v>
      </c>
      <c r="C11725" s="2" t="s">
        <v>6328</v>
      </c>
      <c r="D11725" s="3" t="str">
        <f t="shared" ref="D11725:D11727" si="2659">HYPERLINK("https://12go.asia/en/travel/Dodanduwa/Unawatuna", "12Go Link")</f>
        <v>12Go Link</v>
      </c>
      <c r="E11725" s="2" t="s">
        <v>286</v>
      </c>
    </row>
    <row r="11726">
      <c r="A11726" s="2" t="s">
        <v>4965</v>
      </c>
      <c r="B11726" s="2" t="s">
        <v>5027</v>
      </c>
      <c r="C11726" s="2" t="s">
        <v>6328</v>
      </c>
      <c r="D11726" s="3" t="str">
        <f t="shared" si="2659"/>
        <v>12Go Link</v>
      </c>
      <c r="E11726" s="2" t="s">
        <v>4139</v>
      </c>
    </row>
    <row r="11727">
      <c r="A11727" s="2" t="s">
        <v>4965</v>
      </c>
      <c r="B11727" s="2" t="s">
        <v>5027</v>
      </c>
      <c r="C11727" s="2" t="s">
        <v>6328</v>
      </c>
      <c r="D11727" s="3" t="str">
        <f t="shared" si="2659"/>
        <v>12Go Link</v>
      </c>
      <c r="E11727" s="2" t="s">
        <v>3409</v>
      </c>
    </row>
    <row r="11728">
      <c r="A11728" s="2" t="s">
        <v>4965</v>
      </c>
      <c r="B11728" s="2" t="s">
        <v>5029</v>
      </c>
      <c r="C11728" s="2" t="s">
        <v>6329</v>
      </c>
      <c r="D11728" s="3" t="str">
        <f t="shared" ref="D11728:D11730" si="2660">HYPERLINK("https://12go.asia/en/travel/Dodanduwa/Attanagalla", "12Go Link")</f>
        <v>12Go Link</v>
      </c>
      <c r="E11728" s="2" t="s">
        <v>286</v>
      </c>
    </row>
    <row r="11729">
      <c r="A11729" s="2" t="s">
        <v>4965</v>
      </c>
      <c r="B11729" s="2" t="s">
        <v>5029</v>
      </c>
      <c r="C11729" s="2" t="s">
        <v>6329</v>
      </c>
      <c r="D11729" s="3" t="str">
        <f t="shared" si="2660"/>
        <v>12Go Link</v>
      </c>
      <c r="E11729" s="2" t="s">
        <v>4139</v>
      </c>
    </row>
    <row r="11730">
      <c r="A11730" s="2" t="s">
        <v>4965</v>
      </c>
      <c r="B11730" s="2" t="s">
        <v>5029</v>
      </c>
      <c r="C11730" s="2" t="s">
        <v>6329</v>
      </c>
      <c r="D11730" s="3" t="str">
        <f t="shared" si="2660"/>
        <v>12Go Link</v>
      </c>
      <c r="E11730" s="2" t="s">
        <v>3409</v>
      </c>
    </row>
    <row r="11731">
      <c r="A11731" s="2" t="s">
        <v>4965</v>
      </c>
      <c r="B11731" s="2" t="s">
        <v>5031</v>
      </c>
      <c r="C11731" s="2" t="s">
        <v>6330</v>
      </c>
      <c r="D11731" s="3" t="str">
        <f t="shared" ref="D11731:D11733" si="2661">HYPERLINK("https://12go.asia/en/travel/Dodanduwa/Moronthuduwa", "12Go Link")</f>
        <v>12Go Link</v>
      </c>
      <c r="E11731" s="2" t="s">
        <v>286</v>
      </c>
    </row>
    <row r="11732">
      <c r="A11732" s="2" t="s">
        <v>4965</v>
      </c>
      <c r="B11732" s="2" t="s">
        <v>5031</v>
      </c>
      <c r="C11732" s="2" t="s">
        <v>6330</v>
      </c>
      <c r="D11732" s="3" t="str">
        <f t="shared" si="2661"/>
        <v>12Go Link</v>
      </c>
      <c r="E11732" s="2" t="s">
        <v>4139</v>
      </c>
    </row>
    <row r="11733">
      <c r="A11733" s="2" t="s">
        <v>4965</v>
      </c>
      <c r="B11733" s="2" t="s">
        <v>5031</v>
      </c>
      <c r="C11733" s="2" t="s">
        <v>6330</v>
      </c>
      <c r="D11733" s="3" t="str">
        <f t="shared" si="2661"/>
        <v>12Go Link</v>
      </c>
      <c r="E11733" s="2" t="s">
        <v>3409</v>
      </c>
    </row>
    <row r="11734">
      <c r="A11734" s="2" t="s">
        <v>4965</v>
      </c>
      <c r="B11734" s="2" t="s">
        <v>5031</v>
      </c>
      <c r="C11734" s="2" t="s">
        <v>6331</v>
      </c>
      <c r="D11734" s="3" t="str">
        <f t="shared" ref="D11734:D11736" si="2662">HYPERLINK("https://12go.asia/en/travel/Dodanduwa/Waskaduwa", "12Go Link")</f>
        <v>12Go Link</v>
      </c>
      <c r="E11734" s="2" t="s">
        <v>286</v>
      </c>
    </row>
    <row r="11735">
      <c r="A11735" s="2" t="s">
        <v>4965</v>
      </c>
      <c r="B11735" s="2" t="s">
        <v>5031</v>
      </c>
      <c r="C11735" s="2" t="s">
        <v>6331</v>
      </c>
      <c r="D11735" s="3" t="str">
        <f t="shared" si="2662"/>
        <v>12Go Link</v>
      </c>
      <c r="E11735" s="2" t="s">
        <v>4139</v>
      </c>
    </row>
    <row r="11736">
      <c r="A11736" s="2" t="s">
        <v>4965</v>
      </c>
      <c r="B11736" s="2" t="s">
        <v>5031</v>
      </c>
      <c r="C11736" s="2" t="s">
        <v>6331</v>
      </c>
      <c r="D11736" s="3" t="str">
        <f t="shared" si="2662"/>
        <v>12Go Link</v>
      </c>
      <c r="E11736" s="2" t="s">
        <v>3409</v>
      </c>
    </row>
    <row r="11737">
      <c r="A11737" s="2" t="s">
        <v>4965</v>
      </c>
      <c r="B11737" s="2" t="s">
        <v>5034</v>
      </c>
      <c r="C11737" s="2" t="s">
        <v>6332</v>
      </c>
      <c r="D11737" s="3" t="str">
        <f t="shared" ref="D11737:D11739" si="2663">HYPERLINK("https://12go.asia/en/travel/Dodanduwa/Weddagala", "12Go Link")</f>
        <v>12Go Link</v>
      </c>
      <c r="E11737" s="2" t="s">
        <v>286</v>
      </c>
    </row>
    <row r="11738">
      <c r="A11738" s="2" t="s">
        <v>4965</v>
      </c>
      <c r="B11738" s="2" t="s">
        <v>5034</v>
      </c>
      <c r="C11738" s="2" t="s">
        <v>6332</v>
      </c>
      <c r="D11738" s="3" t="str">
        <f t="shared" si="2663"/>
        <v>12Go Link</v>
      </c>
      <c r="E11738" s="2" t="s">
        <v>4139</v>
      </c>
    </row>
    <row r="11739">
      <c r="A11739" s="2" t="s">
        <v>4965</v>
      </c>
      <c r="B11739" s="2" t="s">
        <v>5034</v>
      </c>
      <c r="C11739" s="2" t="s">
        <v>6332</v>
      </c>
      <c r="D11739" s="3" t="str">
        <f t="shared" si="2663"/>
        <v>12Go Link</v>
      </c>
      <c r="E11739" s="2" t="s">
        <v>3409</v>
      </c>
    </row>
    <row r="11740">
      <c r="A11740" s="2" t="s">
        <v>4965</v>
      </c>
      <c r="B11740" s="2" t="s">
        <v>5036</v>
      </c>
      <c r="C11740" s="2" t="s">
        <v>6333</v>
      </c>
      <c r="D11740" s="3" t="str">
        <f t="shared" ref="D11740:D11742" si="2664">HYPERLINK("https://12go.asia/en/travel/Dodanduwa/Weligatta", "12Go Link")</f>
        <v>12Go Link</v>
      </c>
      <c r="E11740" s="2" t="s">
        <v>286</v>
      </c>
    </row>
    <row r="11741">
      <c r="A11741" s="2" t="s">
        <v>4965</v>
      </c>
      <c r="B11741" s="2" t="s">
        <v>5036</v>
      </c>
      <c r="C11741" s="2" t="s">
        <v>6333</v>
      </c>
      <c r="D11741" s="3" t="str">
        <f t="shared" si="2664"/>
        <v>12Go Link</v>
      </c>
      <c r="E11741" s="2" t="s">
        <v>4139</v>
      </c>
    </row>
    <row r="11742">
      <c r="A11742" s="2" t="s">
        <v>4965</v>
      </c>
      <c r="B11742" s="2" t="s">
        <v>5036</v>
      </c>
      <c r="C11742" s="2" t="s">
        <v>6333</v>
      </c>
      <c r="D11742" s="3" t="str">
        <f t="shared" si="2664"/>
        <v>12Go Link</v>
      </c>
      <c r="E11742" s="2" t="s">
        <v>3409</v>
      </c>
    </row>
    <row r="11743">
      <c r="A11743" s="2" t="s">
        <v>4965</v>
      </c>
      <c r="B11743" s="2" t="s">
        <v>5038</v>
      </c>
      <c r="C11743" s="2" t="s">
        <v>6334</v>
      </c>
      <c r="D11743" s="3" t="str">
        <f t="shared" ref="D11743:D11745" si="2665">HYPERLINK("https://12go.asia/en/travel/Dodanduwa/Akuressa", "12Go Link")</f>
        <v>12Go Link</v>
      </c>
      <c r="E11743" s="2" t="s">
        <v>286</v>
      </c>
    </row>
    <row r="11744">
      <c r="A11744" s="2" t="s">
        <v>4965</v>
      </c>
      <c r="B11744" s="2" t="s">
        <v>5038</v>
      </c>
      <c r="C11744" s="2" t="s">
        <v>6334</v>
      </c>
      <c r="D11744" s="3" t="str">
        <f t="shared" si="2665"/>
        <v>12Go Link</v>
      </c>
      <c r="E11744" s="2" t="s">
        <v>4139</v>
      </c>
    </row>
    <row r="11745">
      <c r="A11745" s="2" t="s">
        <v>4965</v>
      </c>
      <c r="B11745" s="2" t="s">
        <v>5038</v>
      </c>
      <c r="C11745" s="2" t="s">
        <v>6334</v>
      </c>
      <c r="D11745" s="3" t="str">
        <f t="shared" si="2665"/>
        <v>12Go Link</v>
      </c>
      <c r="E11745" s="2" t="s">
        <v>3409</v>
      </c>
    </row>
    <row r="11746">
      <c r="A11746" s="2" t="s">
        <v>4965</v>
      </c>
      <c r="B11746" s="2" t="s">
        <v>5040</v>
      </c>
      <c r="C11746" s="2" t="s">
        <v>6335</v>
      </c>
      <c r="D11746" s="3" t="str">
        <f t="shared" ref="D11746:D11748" si="2666">HYPERLINK("https://12go.asia/en/travel/Dodanduwa/Wilpattu", "12Go Link")</f>
        <v>12Go Link</v>
      </c>
      <c r="E11746" s="2" t="s">
        <v>286</v>
      </c>
    </row>
    <row r="11747">
      <c r="A11747" s="2" t="s">
        <v>4965</v>
      </c>
      <c r="B11747" s="2" t="s">
        <v>5040</v>
      </c>
      <c r="C11747" s="2" t="s">
        <v>6335</v>
      </c>
      <c r="D11747" s="3" t="str">
        <f t="shared" si="2666"/>
        <v>12Go Link</v>
      </c>
      <c r="E11747" s="2" t="s">
        <v>4139</v>
      </c>
    </row>
    <row r="11748">
      <c r="A11748" s="2" t="s">
        <v>4965</v>
      </c>
      <c r="B11748" s="2" t="s">
        <v>5040</v>
      </c>
      <c r="C11748" s="2" t="s">
        <v>6335</v>
      </c>
      <c r="D11748" s="3" t="str">
        <f t="shared" si="2666"/>
        <v>12Go Link</v>
      </c>
      <c r="E11748" s="2" t="s">
        <v>3409</v>
      </c>
    </row>
    <row r="11749">
      <c r="A11749" s="2" t="s">
        <v>4967</v>
      </c>
      <c r="B11749" s="2" t="s">
        <v>4918</v>
      </c>
      <c r="C11749" s="2" t="s">
        <v>6336</v>
      </c>
      <c r="D11749" s="3" t="str">
        <f t="shared" ref="D11749:D11751" si="2667">HYPERLINK("https://12go.asia/en/travel/Induruwa/Adams-Peak", "12Go Link")</f>
        <v>12Go Link</v>
      </c>
      <c r="E11749" s="2" t="s">
        <v>286</v>
      </c>
    </row>
    <row r="11750">
      <c r="A11750" s="2" t="s">
        <v>4967</v>
      </c>
      <c r="B11750" s="2" t="s">
        <v>4918</v>
      </c>
      <c r="C11750" s="2" t="s">
        <v>6336</v>
      </c>
      <c r="D11750" s="3" t="str">
        <f t="shared" si="2667"/>
        <v>12Go Link</v>
      </c>
      <c r="E11750" s="2" t="s">
        <v>4139</v>
      </c>
    </row>
    <row r="11751">
      <c r="A11751" s="2" t="s">
        <v>4967</v>
      </c>
      <c r="B11751" s="2" t="s">
        <v>4918</v>
      </c>
      <c r="C11751" s="2" t="s">
        <v>6336</v>
      </c>
      <c r="D11751" s="3" t="str">
        <f t="shared" si="2667"/>
        <v>12Go Link</v>
      </c>
      <c r="E11751" s="2" t="s">
        <v>3409</v>
      </c>
    </row>
    <row r="11752">
      <c r="A11752" s="2" t="s">
        <v>4967</v>
      </c>
      <c r="B11752" s="2" t="s">
        <v>4919</v>
      </c>
      <c r="C11752" s="2" t="s">
        <v>6337</v>
      </c>
      <c r="D11752" s="3" t="str">
        <f t="shared" ref="D11752:D11754" si="2668">HYPERLINK("https://12go.asia/en/travel/Induruwa/Ahangama", "12Go Link")</f>
        <v>12Go Link</v>
      </c>
      <c r="E11752" s="2" t="s">
        <v>286</v>
      </c>
    </row>
    <row r="11753">
      <c r="A11753" s="2" t="s">
        <v>4967</v>
      </c>
      <c r="B11753" s="2" t="s">
        <v>4919</v>
      </c>
      <c r="C11753" s="2" t="s">
        <v>6337</v>
      </c>
      <c r="D11753" s="3" t="str">
        <f t="shared" si="2668"/>
        <v>12Go Link</v>
      </c>
      <c r="E11753" s="2" t="s">
        <v>4139</v>
      </c>
    </row>
    <row r="11754">
      <c r="A11754" s="2" t="s">
        <v>4967</v>
      </c>
      <c r="B11754" s="2" t="s">
        <v>4919</v>
      </c>
      <c r="C11754" s="2" t="s">
        <v>6337</v>
      </c>
      <c r="D11754" s="3" t="str">
        <f t="shared" si="2668"/>
        <v>12Go Link</v>
      </c>
      <c r="E11754" s="2" t="s">
        <v>3409</v>
      </c>
    </row>
    <row r="11755">
      <c r="A11755" s="2" t="s">
        <v>4967</v>
      </c>
      <c r="B11755" s="2" t="s">
        <v>4921</v>
      </c>
      <c r="C11755" s="2" t="s">
        <v>6338</v>
      </c>
      <c r="D11755" s="3" t="str">
        <f t="shared" ref="D11755:D11757" si="2669">HYPERLINK("https://12go.asia/en/travel/Induruwa/Ahungalla", "12Go Link")</f>
        <v>12Go Link</v>
      </c>
      <c r="E11755" s="2" t="s">
        <v>286</v>
      </c>
    </row>
    <row r="11756">
      <c r="A11756" s="2" t="s">
        <v>4967</v>
      </c>
      <c r="B11756" s="2" t="s">
        <v>4921</v>
      </c>
      <c r="C11756" s="2" t="s">
        <v>6338</v>
      </c>
      <c r="D11756" s="3" t="str">
        <f t="shared" si="2669"/>
        <v>12Go Link</v>
      </c>
      <c r="E11756" s="2" t="s">
        <v>4139</v>
      </c>
    </row>
    <row r="11757">
      <c r="A11757" s="2" t="s">
        <v>4967</v>
      </c>
      <c r="B11757" s="2" t="s">
        <v>4921</v>
      </c>
      <c r="C11757" s="2" t="s">
        <v>6338</v>
      </c>
      <c r="D11757" s="3" t="str">
        <f t="shared" si="2669"/>
        <v>12Go Link</v>
      </c>
      <c r="E11757" s="2" t="s">
        <v>3409</v>
      </c>
    </row>
    <row r="11758">
      <c r="A11758" s="2" t="s">
        <v>4967</v>
      </c>
      <c r="B11758" s="2" t="s">
        <v>4923</v>
      </c>
      <c r="C11758" s="2" t="s">
        <v>6339</v>
      </c>
      <c r="D11758" s="3" t="str">
        <f t="shared" ref="D11758:D11760" si="2670">HYPERLINK("https://12go.asia/en/travel/Induruwa/Aluthgama", "12Go Link")</f>
        <v>12Go Link</v>
      </c>
      <c r="E11758" s="2" t="s">
        <v>286</v>
      </c>
    </row>
    <row r="11759">
      <c r="A11759" s="2" t="s">
        <v>4967</v>
      </c>
      <c r="B11759" s="2" t="s">
        <v>4923</v>
      </c>
      <c r="C11759" s="2" t="s">
        <v>6339</v>
      </c>
      <c r="D11759" s="3" t="str">
        <f t="shared" si="2670"/>
        <v>12Go Link</v>
      </c>
      <c r="E11759" s="2" t="s">
        <v>4139</v>
      </c>
    </row>
    <row r="11760">
      <c r="A11760" s="2" t="s">
        <v>4967</v>
      </c>
      <c r="B11760" s="2" t="s">
        <v>4923</v>
      </c>
      <c r="C11760" s="2" t="s">
        <v>6339</v>
      </c>
      <c r="D11760" s="3" t="str">
        <f t="shared" si="2670"/>
        <v>12Go Link</v>
      </c>
      <c r="E11760" s="2" t="s">
        <v>3409</v>
      </c>
    </row>
    <row r="11761">
      <c r="A11761" s="2" t="s">
        <v>4967</v>
      </c>
      <c r="B11761" s="2" t="s">
        <v>4925</v>
      </c>
      <c r="C11761" s="2" t="s">
        <v>6340</v>
      </c>
      <c r="D11761" s="3" t="str">
        <f t="shared" ref="D11761:D11763" si="2671">HYPERLINK("https://12go.asia/en/travel/Induruwa/Ambalangoda", "12Go Link")</f>
        <v>12Go Link</v>
      </c>
      <c r="E11761" s="2" t="s">
        <v>286</v>
      </c>
    </row>
    <row r="11762">
      <c r="A11762" s="2" t="s">
        <v>4967</v>
      </c>
      <c r="B11762" s="2" t="s">
        <v>4925</v>
      </c>
      <c r="C11762" s="2" t="s">
        <v>6340</v>
      </c>
      <c r="D11762" s="3" t="str">
        <f t="shared" si="2671"/>
        <v>12Go Link</v>
      </c>
      <c r="E11762" s="2" t="s">
        <v>4139</v>
      </c>
    </row>
    <row r="11763">
      <c r="A11763" s="2" t="s">
        <v>4967</v>
      </c>
      <c r="B11763" s="2" t="s">
        <v>4925</v>
      </c>
      <c r="C11763" s="2" t="s">
        <v>6340</v>
      </c>
      <c r="D11763" s="3" t="str">
        <f t="shared" si="2671"/>
        <v>12Go Link</v>
      </c>
      <c r="E11763" s="2" t="s">
        <v>3409</v>
      </c>
    </row>
    <row r="11764">
      <c r="A11764" s="2" t="s">
        <v>4967</v>
      </c>
      <c r="B11764" s="2" t="s">
        <v>4927</v>
      </c>
      <c r="C11764" s="2" t="s">
        <v>6341</v>
      </c>
      <c r="D11764" s="3" t="str">
        <f t="shared" ref="D11764:D11766" si="2672">HYPERLINK("https://12go.asia/en/travel/Induruwa/Ambalantota", "12Go Link")</f>
        <v>12Go Link</v>
      </c>
      <c r="E11764" s="2" t="s">
        <v>286</v>
      </c>
    </row>
    <row r="11765">
      <c r="A11765" s="2" t="s">
        <v>4967</v>
      </c>
      <c r="B11765" s="2" t="s">
        <v>4927</v>
      </c>
      <c r="C11765" s="2" t="s">
        <v>6341</v>
      </c>
      <c r="D11765" s="3" t="str">
        <f t="shared" si="2672"/>
        <v>12Go Link</v>
      </c>
      <c r="E11765" s="2" t="s">
        <v>4139</v>
      </c>
    </row>
    <row r="11766">
      <c r="A11766" s="2" t="s">
        <v>4967</v>
      </c>
      <c r="B11766" s="2" t="s">
        <v>4927</v>
      </c>
      <c r="C11766" s="2" t="s">
        <v>6341</v>
      </c>
      <c r="D11766" s="3" t="str">
        <f t="shared" si="2672"/>
        <v>12Go Link</v>
      </c>
      <c r="E11766" s="2" t="s">
        <v>3409</v>
      </c>
    </row>
    <row r="11767">
      <c r="A11767" s="2" t="s">
        <v>4967</v>
      </c>
      <c r="B11767" s="2" t="s">
        <v>4929</v>
      </c>
      <c r="C11767" s="2" t="s">
        <v>6342</v>
      </c>
      <c r="D11767" s="3" t="str">
        <f t="shared" ref="D11767:D11769" si="2673">HYPERLINK("https://12go.asia/en/travel/Induruwa/Anuradhapura", "12Go Link")</f>
        <v>12Go Link</v>
      </c>
      <c r="E11767" s="2" t="s">
        <v>286</v>
      </c>
    </row>
    <row r="11768">
      <c r="A11768" s="2" t="s">
        <v>4967</v>
      </c>
      <c r="B11768" s="2" t="s">
        <v>4929</v>
      </c>
      <c r="C11768" s="2" t="s">
        <v>6342</v>
      </c>
      <c r="D11768" s="3" t="str">
        <f t="shared" si="2673"/>
        <v>12Go Link</v>
      </c>
      <c r="E11768" s="2" t="s">
        <v>4139</v>
      </c>
    </row>
    <row r="11769">
      <c r="A11769" s="2" t="s">
        <v>4967</v>
      </c>
      <c r="B11769" s="2" t="s">
        <v>4929</v>
      </c>
      <c r="C11769" s="2" t="s">
        <v>6342</v>
      </c>
      <c r="D11769" s="3" t="str">
        <f t="shared" si="2673"/>
        <v>12Go Link</v>
      </c>
      <c r="E11769" s="2" t="s">
        <v>3409</v>
      </c>
    </row>
    <row r="11770">
      <c r="A11770" s="2" t="s">
        <v>4967</v>
      </c>
      <c r="B11770" s="2" t="s">
        <v>4931</v>
      </c>
      <c r="C11770" s="2" t="s">
        <v>6343</v>
      </c>
      <c r="D11770" s="3" t="str">
        <f t="shared" ref="D11770:D11772" si="2674">HYPERLINK("https://12go.asia/en/travel/Induruwa/Arugam-bay", "12Go Link")</f>
        <v>12Go Link</v>
      </c>
      <c r="E11770" s="2" t="s">
        <v>286</v>
      </c>
    </row>
    <row r="11771">
      <c r="A11771" s="2" t="s">
        <v>4967</v>
      </c>
      <c r="B11771" s="2" t="s">
        <v>4931</v>
      </c>
      <c r="C11771" s="2" t="s">
        <v>6343</v>
      </c>
      <c r="D11771" s="3" t="str">
        <f t="shared" si="2674"/>
        <v>12Go Link</v>
      </c>
      <c r="E11771" s="2" t="s">
        <v>4139</v>
      </c>
    </row>
    <row r="11772">
      <c r="A11772" s="2" t="s">
        <v>4967</v>
      </c>
      <c r="B11772" s="2" t="s">
        <v>4931</v>
      </c>
      <c r="C11772" s="2" t="s">
        <v>6343</v>
      </c>
      <c r="D11772" s="3" t="str">
        <f t="shared" si="2674"/>
        <v>12Go Link</v>
      </c>
      <c r="E11772" s="2" t="s">
        <v>3409</v>
      </c>
    </row>
    <row r="11773">
      <c r="A11773" s="2" t="s">
        <v>4967</v>
      </c>
      <c r="B11773" s="2" t="s">
        <v>4933</v>
      </c>
      <c r="C11773" s="2" t="s">
        <v>6344</v>
      </c>
      <c r="D11773" s="3" t="str">
        <f t="shared" ref="D11773:D11775" si="2675">HYPERLINK("https://12go.asia/en/travel/Induruwa/balapitiya", "12Go Link")</f>
        <v>12Go Link</v>
      </c>
      <c r="E11773" s="2" t="s">
        <v>286</v>
      </c>
    </row>
    <row r="11774">
      <c r="A11774" s="2" t="s">
        <v>4967</v>
      </c>
      <c r="B11774" s="2" t="s">
        <v>4933</v>
      </c>
      <c r="C11774" s="2" t="s">
        <v>6344</v>
      </c>
      <c r="D11774" s="3" t="str">
        <f t="shared" si="2675"/>
        <v>12Go Link</v>
      </c>
      <c r="E11774" s="2" t="s">
        <v>4139</v>
      </c>
    </row>
    <row r="11775">
      <c r="A11775" s="2" t="s">
        <v>4967</v>
      </c>
      <c r="B11775" s="2" t="s">
        <v>4933</v>
      </c>
      <c r="C11775" s="2" t="s">
        <v>6344</v>
      </c>
      <c r="D11775" s="3" t="str">
        <f t="shared" si="2675"/>
        <v>12Go Link</v>
      </c>
      <c r="E11775" s="2" t="s">
        <v>3409</v>
      </c>
    </row>
    <row r="11776">
      <c r="A11776" s="2" t="s">
        <v>4967</v>
      </c>
      <c r="B11776" s="2" t="s">
        <v>4935</v>
      </c>
      <c r="C11776" s="2" t="s">
        <v>6345</v>
      </c>
      <c r="D11776" s="3" t="str">
        <f t="shared" ref="D11776:D11778" si="2676">HYPERLINK("https://12go.asia/en/travel/Induruwa/Batticaloa", "12Go Link")</f>
        <v>12Go Link</v>
      </c>
      <c r="E11776" s="2" t="s">
        <v>286</v>
      </c>
    </row>
    <row r="11777">
      <c r="A11777" s="2" t="s">
        <v>4967</v>
      </c>
      <c r="B11777" s="2" t="s">
        <v>4935</v>
      </c>
      <c r="C11777" s="2" t="s">
        <v>6345</v>
      </c>
      <c r="D11777" s="3" t="str">
        <f t="shared" si="2676"/>
        <v>12Go Link</v>
      </c>
      <c r="E11777" s="2" t="s">
        <v>4139</v>
      </c>
    </row>
    <row r="11778">
      <c r="A11778" s="2" t="s">
        <v>4967</v>
      </c>
      <c r="B11778" s="2" t="s">
        <v>4935</v>
      </c>
      <c r="C11778" s="2" t="s">
        <v>6345</v>
      </c>
      <c r="D11778" s="3" t="str">
        <f t="shared" si="2676"/>
        <v>12Go Link</v>
      </c>
      <c r="E11778" s="2" t="s">
        <v>3409</v>
      </c>
    </row>
    <row r="11779">
      <c r="A11779" s="2" t="s">
        <v>4967</v>
      </c>
      <c r="B11779" s="2" t="s">
        <v>4937</v>
      </c>
      <c r="C11779" s="2" t="s">
        <v>6346</v>
      </c>
      <c r="D11779" s="3" t="str">
        <f t="shared" ref="D11779:D11781" si="2677">HYPERLINK("https://12go.asia/en/travel/Induruwa/Bentota", "12Go Link")</f>
        <v>12Go Link</v>
      </c>
      <c r="E11779" s="2" t="s">
        <v>286</v>
      </c>
    </row>
    <row r="11780">
      <c r="A11780" s="2" t="s">
        <v>4967</v>
      </c>
      <c r="B11780" s="2" t="s">
        <v>4937</v>
      </c>
      <c r="C11780" s="2" t="s">
        <v>6346</v>
      </c>
      <c r="D11780" s="3" t="str">
        <f t="shared" si="2677"/>
        <v>12Go Link</v>
      </c>
      <c r="E11780" s="2" t="s">
        <v>4139</v>
      </c>
    </row>
    <row r="11781">
      <c r="A11781" s="2" t="s">
        <v>4967</v>
      </c>
      <c r="B11781" s="2" t="s">
        <v>4937</v>
      </c>
      <c r="C11781" s="2" t="s">
        <v>6346</v>
      </c>
      <c r="D11781" s="3" t="str">
        <f t="shared" si="2677"/>
        <v>12Go Link</v>
      </c>
      <c r="E11781" s="2" t="s">
        <v>3409</v>
      </c>
    </row>
    <row r="11782">
      <c r="A11782" s="2" t="s">
        <v>4967</v>
      </c>
      <c r="B11782" s="2" t="s">
        <v>4939</v>
      </c>
      <c r="C11782" s="2" t="s">
        <v>6347</v>
      </c>
      <c r="D11782" s="3" t="str">
        <f t="shared" ref="D11782:D11784" si="2678">HYPERLINK("https://12go.asia/en/travel/Induruwa/Beruwala", "12Go Link")</f>
        <v>12Go Link</v>
      </c>
      <c r="E11782" s="2" t="s">
        <v>286</v>
      </c>
    </row>
    <row r="11783">
      <c r="A11783" s="2" t="s">
        <v>4967</v>
      </c>
      <c r="B11783" s="2" t="s">
        <v>4939</v>
      </c>
      <c r="C11783" s="2" t="s">
        <v>6347</v>
      </c>
      <c r="D11783" s="3" t="str">
        <f t="shared" si="2678"/>
        <v>12Go Link</v>
      </c>
      <c r="E11783" s="2" t="s">
        <v>4139</v>
      </c>
    </row>
    <row r="11784">
      <c r="A11784" s="2" t="s">
        <v>4967</v>
      </c>
      <c r="B11784" s="2" t="s">
        <v>4939</v>
      </c>
      <c r="C11784" s="2" t="s">
        <v>6347</v>
      </c>
      <c r="D11784" s="3" t="str">
        <f t="shared" si="2678"/>
        <v>12Go Link</v>
      </c>
      <c r="E11784" s="2" t="s">
        <v>3409</v>
      </c>
    </row>
    <row r="11785">
      <c r="A11785" s="2" t="s">
        <v>4967</v>
      </c>
      <c r="B11785" s="2" t="s">
        <v>4941</v>
      </c>
      <c r="C11785" s="2" t="s">
        <v>6348</v>
      </c>
      <c r="D11785" s="3" t="str">
        <f t="shared" ref="D11785:D11787" si="2679">HYPERLINK("https://12go.asia/en/travel/Induruwa/Bundala", "12Go Link")</f>
        <v>12Go Link</v>
      </c>
      <c r="E11785" s="2" t="s">
        <v>286</v>
      </c>
    </row>
    <row r="11786">
      <c r="A11786" s="2" t="s">
        <v>4967</v>
      </c>
      <c r="B11786" s="2" t="s">
        <v>4941</v>
      </c>
      <c r="C11786" s="2" t="s">
        <v>6348</v>
      </c>
      <c r="D11786" s="3" t="str">
        <f t="shared" si="2679"/>
        <v>12Go Link</v>
      </c>
      <c r="E11786" s="2" t="s">
        <v>4139</v>
      </c>
    </row>
    <row r="11787">
      <c r="A11787" s="2" t="s">
        <v>4967</v>
      </c>
      <c r="B11787" s="2" t="s">
        <v>4941</v>
      </c>
      <c r="C11787" s="2" t="s">
        <v>6348</v>
      </c>
      <c r="D11787" s="3" t="str">
        <f t="shared" si="2679"/>
        <v>12Go Link</v>
      </c>
      <c r="E11787" s="2" t="s">
        <v>3409</v>
      </c>
    </row>
    <row r="11788">
      <c r="A11788" s="2" t="s">
        <v>4967</v>
      </c>
      <c r="B11788" s="2" t="s">
        <v>4945</v>
      </c>
      <c r="C11788" s="2" t="s">
        <v>6349</v>
      </c>
      <c r="D11788" s="3" t="str">
        <f t="shared" ref="D11788:D11790" si="2680">HYPERLINK("https://12go.asia/en/travel/Induruwa/Bandaranaike-Airport", "12Go Link")</f>
        <v>12Go Link</v>
      </c>
      <c r="E11788" s="2" t="s">
        <v>286</v>
      </c>
    </row>
    <row r="11789">
      <c r="A11789" s="2" t="s">
        <v>4967</v>
      </c>
      <c r="B11789" s="2" t="s">
        <v>4945</v>
      </c>
      <c r="C11789" s="2" t="s">
        <v>6349</v>
      </c>
      <c r="D11789" s="3" t="str">
        <f t="shared" si="2680"/>
        <v>12Go Link</v>
      </c>
      <c r="E11789" s="2" t="s">
        <v>4139</v>
      </c>
    </row>
    <row r="11790">
      <c r="A11790" s="2" t="s">
        <v>4967</v>
      </c>
      <c r="B11790" s="2" t="s">
        <v>4945</v>
      </c>
      <c r="C11790" s="2" t="s">
        <v>6349</v>
      </c>
      <c r="D11790" s="3" t="str">
        <f t="shared" si="2680"/>
        <v>12Go Link</v>
      </c>
      <c r="E11790" s="2" t="s">
        <v>3409</v>
      </c>
    </row>
    <row r="11791">
      <c r="A11791" s="2" t="s">
        <v>4967</v>
      </c>
      <c r="B11791" s="2" t="s">
        <v>4947</v>
      </c>
      <c r="C11791" s="2" t="s">
        <v>6350</v>
      </c>
      <c r="D11791" s="3" t="str">
        <f t="shared" ref="D11791:D11793" si="2681">HYPERLINK("https://12go.asia/en/travel/Induruwa/Dambulla", "12Go Link")</f>
        <v>12Go Link</v>
      </c>
      <c r="E11791" s="2" t="s">
        <v>286</v>
      </c>
    </row>
    <row r="11792">
      <c r="A11792" s="2" t="s">
        <v>4967</v>
      </c>
      <c r="B11792" s="2" t="s">
        <v>4947</v>
      </c>
      <c r="C11792" s="2" t="s">
        <v>6350</v>
      </c>
      <c r="D11792" s="3" t="str">
        <f t="shared" si="2681"/>
        <v>12Go Link</v>
      </c>
      <c r="E11792" s="2" t="s">
        <v>4139</v>
      </c>
    </row>
    <row r="11793">
      <c r="A11793" s="2" t="s">
        <v>4967</v>
      </c>
      <c r="B11793" s="2" t="s">
        <v>4947</v>
      </c>
      <c r="C11793" s="2" t="s">
        <v>6350</v>
      </c>
      <c r="D11793" s="3" t="str">
        <f t="shared" si="2681"/>
        <v>12Go Link</v>
      </c>
      <c r="E11793" s="2" t="s">
        <v>3409</v>
      </c>
    </row>
    <row r="11794">
      <c r="A11794" s="2" t="s">
        <v>4967</v>
      </c>
      <c r="B11794" s="2" t="s">
        <v>4949</v>
      </c>
      <c r="C11794" s="2" t="s">
        <v>6351</v>
      </c>
      <c r="D11794" s="3" t="str">
        <f t="shared" ref="D11794:D11796" si="2682">HYPERLINK("https://12go.asia/en/travel/Induruwa/Deniyaya", "12Go Link")</f>
        <v>12Go Link</v>
      </c>
      <c r="E11794" s="2" t="s">
        <v>286</v>
      </c>
    </row>
    <row r="11795">
      <c r="A11795" s="2" t="s">
        <v>4967</v>
      </c>
      <c r="B11795" s="2" t="s">
        <v>4949</v>
      </c>
      <c r="C11795" s="2" t="s">
        <v>6351</v>
      </c>
      <c r="D11795" s="3" t="str">
        <f t="shared" si="2682"/>
        <v>12Go Link</v>
      </c>
      <c r="E11795" s="2" t="s">
        <v>4139</v>
      </c>
    </row>
    <row r="11796">
      <c r="A11796" s="2" t="s">
        <v>4967</v>
      </c>
      <c r="B11796" s="2" t="s">
        <v>4949</v>
      </c>
      <c r="C11796" s="2" t="s">
        <v>6351</v>
      </c>
      <c r="D11796" s="3" t="str">
        <f t="shared" si="2682"/>
        <v>12Go Link</v>
      </c>
      <c r="E11796" s="2" t="s">
        <v>3409</v>
      </c>
    </row>
    <row r="11797">
      <c r="A11797" s="2" t="s">
        <v>4967</v>
      </c>
      <c r="B11797" s="2" t="s">
        <v>4951</v>
      </c>
      <c r="C11797" s="2" t="s">
        <v>6352</v>
      </c>
      <c r="D11797" s="3" t="str">
        <f t="shared" ref="D11797:D11799" si="2683">HYPERLINK("https://12go.asia/en/travel/Induruwa/Dickwella", "12Go Link")</f>
        <v>12Go Link</v>
      </c>
      <c r="E11797" s="2" t="s">
        <v>286</v>
      </c>
    </row>
    <row r="11798">
      <c r="A11798" s="2" t="s">
        <v>4967</v>
      </c>
      <c r="B11798" s="2" t="s">
        <v>4951</v>
      </c>
      <c r="C11798" s="2" t="s">
        <v>6352</v>
      </c>
      <c r="D11798" s="3" t="str">
        <f t="shared" si="2683"/>
        <v>12Go Link</v>
      </c>
      <c r="E11798" s="2" t="s">
        <v>4139</v>
      </c>
    </row>
    <row r="11799">
      <c r="A11799" s="2" t="s">
        <v>4967</v>
      </c>
      <c r="B11799" s="2" t="s">
        <v>4951</v>
      </c>
      <c r="C11799" s="2" t="s">
        <v>6352</v>
      </c>
      <c r="D11799" s="3" t="str">
        <f t="shared" si="2683"/>
        <v>12Go Link</v>
      </c>
      <c r="E11799" s="2" t="s">
        <v>3409</v>
      </c>
    </row>
    <row r="11800">
      <c r="A11800" s="2" t="s">
        <v>4967</v>
      </c>
      <c r="B11800" s="2" t="s">
        <v>4951</v>
      </c>
      <c r="C11800" s="2" t="s">
        <v>6353</v>
      </c>
      <c r="D11800" s="3" t="str">
        <f t="shared" ref="D11800:D11802" si="2684">HYPERLINK("https://12go.asia/en/travel/Induruwa/Hiriketiya-beach", "12Go Link")</f>
        <v>12Go Link</v>
      </c>
      <c r="E11800" s="2" t="s">
        <v>286</v>
      </c>
    </row>
    <row r="11801">
      <c r="A11801" s="2" t="s">
        <v>4967</v>
      </c>
      <c r="B11801" s="2" t="s">
        <v>4951</v>
      </c>
      <c r="C11801" s="2" t="s">
        <v>6353</v>
      </c>
      <c r="D11801" s="3" t="str">
        <f t="shared" si="2684"/>
        <v>12Go Link</v>
      </c>
      <c r="E11801" s="2" t="s">
        <v>4139</v>
      </c>
    </row>
    <row r="11802">
      <c r="A11802" s="2" t="s">
        <v>4967</v>
      </c>
      <c r="B11802" s="2" t="s">
        <v>4951</v>
      </c>
      <c r="C11802" s="2" t="s">
        <v>6353</v>
      </c>
      <c r="D11802" s="3" t="str">
        <f t="shared" si="2684"/>
        <v>12Go Link</v>
      </c>
      <c r="E11802" s="2" t="s">
        <v>3409</v>
      </c>
    </row>
    <row r="11803">
      <c r="A11803" s="2" t="s">
        <v>4967</v>
      </c>
      <c r="B11803" s="2" t="s">
        <v>4954</v>
      </c>
      <c r="C11803" s="2" t="s">
        <v>6354</v>
      </c>
      <c r="D11803" s="3" t="str">
        <f t="shared" ref="D11803:D11805" si="2685">HYPERLINK("https://12go.asia/en/travel/Induruwa/Galle", "12Go Link")</f>
        <v>12Go Link</v>
      </c>
      <c r="E11803" s="2" t="s">
        <v>286</v>
      </c>
    </row>
    <row r="11804">
      <c r="A11804" s="2" t="s">
        <v>4967</v>
      </c>
      <c r="B11804" s="2" t="s">
        <v>4954</v>
      </c>
      <c r="C11804" s="2" t="s">
        <v>6354</v>
      </c>
      <c r="D11804" s="3" t="str">
        <f t="shared" si="2685"/>
        <v>12Go Link</v>
      </c>
      <c r="E11804" s="2" t="s">
        <v>4139</v>
      </c>
    </row>
    <row r="11805">
      <c r="A11805" s="2" t="s">
        <v>4967</v>
      </c>
      <c r="B11805" s="2" t="s">
        <v>4954</v>
      </c>
      <c r="C11805" s="2" t="s">
        <v>6354</v>
      </c>
      <c r="D11805" s="3" t="str">
        <f t="shared" si="2685"/>
        <v>12Go Link</v>
      </c>
      <c r="E11805" s="2" t="s">
        <v>3409</v>
      </c>
    </row>
    <row r="11806">
      <c r="A11806" s="2" t="s">
        <v>4967</v>
      </c>
      <c r="B11806" s="2" t="s">
        <v>4954</v>
      </c>
      <c r="C11806" s="2" t="s">
        <v>6355</v>
      </c>
      <c r="D11806" s="3" t="str">
        <f t="shared" ref="D11806:D11808" si="2686">HYPERLINK("https://12go.asia/en/travel/Induruwa/Talpe", "12Go Link")</f>
        <v>12Go Link</v>
      </c>
      <c r="E11806" s="2" t="s">
        <v>286</v>
      </c>
    </row>
    <row r="11807">
      <c r="A11807" s="2" t="s">
        <v>4967</v>
      </c>
      <c r="B11807" s="2" t="s">
        <v>4954</v>
      </c>
      <c r="C11807" s="2" t="s">
        <v>6355</v>
      </c>
      <c r="D11807" s="3" t="str">
        <f t="shared" si="2686"/>
        <v>12Go Link</v>
      </c>
      <c r="E11807" s="2" t="s">
        <v>4139</v>
      </c>
    </row>
    <row r="11808">
      <c r="A11808" s="2" t="s">
        <v>4967</v>
      </c>
      <c r="B11808" s="2" t="s">
        <v>4954</v>
      </c>
      <c r="C11808" s="2" t="s">
        <v>6355</v>
      </c>
      <c r="D11808" s="3" t="str">
        <f t="shared" si="2686"/>
        <v>12Go Link</v>
      </c>
      <c r="E11808" s="2" t="s">
        <v>3409</v>
      </c>
    </row>
    <row r="11809">
      <c r="A11809" s="2" t="s">
        <v>4967</v>
      </c>
      <c r="B11809" s="2" t="s">
        <v>4957</v>
      </c>
      <c r="C11809" s="2" t="s">
        <v>6356</v>
      </c>
      <c r="D11809" s="3" t="str">
        <f t="shared" ref="D11809:D11811" si="2687">HYPERLINK("https://12go.asia/en/travel/Induruwa/Habarana", "12Go Link")</f>
        <v>12Go Link</v>
      </c>
      <c r="E11809" s="2" t="s">
        <v>286</v>
      </c>
    </row>
    <row r="11810">
      <c r="A11810" s="2" t="s">
        <v>4967</v>
      </c>
      <c r="B11810" s="2" t="s">
        <v>4957</v>
      </c>
      <c r="C11810" s="2" t="s">
        <v>6356</v>
      </c>
      <c r="D11810" s="3" t="str">
        <f t="shared" si="2687"/>
        <v>12Go Link</v>
      </c>
      <c r="E11810" s="2" t="s">
        <v>4139</v>
      </c>
    </row>
    <row r="11811">
      <c r="A11811" s="2" t="s">
        <v>4967</v>
      </c>
      <c r="B11811" s="2" t="s">
        <v>4957</v>
      </c>
      <c r="C11811" s="2" t="s">
        <v>6356</v>
      </c>
      <c r="D11811" s="3" t="str">
        <f t="shared" si="2687"/>
        <v>12Go Link</v>
      </c>
      <c r="E11811" s="2" t="s">
        <v>3409</v>
      </c>
    </row>
    <row r="11812">
      <c r="A11812" s="2" t="s">
        <v>4967</v>
      </c>
      <c r="B11812" s="2" t="s">
        <v>4959</v>
      </c>
      <c r="C11812" s="2" t="s">
        <v>6357</v>
      </c>
      <c r="D11812" s="3" t="str">
        <f t="shared" ref="D11812:D11814" si="2688">HYPERLINK("https://12go.asia/en/travel/Induruwa/Ella", "12Go Link")</f>
        <v>12Go Link</v>
      </c>
      <c r="E11812" s="2" t="s">
        <v>286</v>
      </c>
    </row>
    <row r="11813">
      <c r="A11813" s="2" t="s">
        <v>4967</v>
      </c>
      <c r="B11813" s="2" t="s">
        <v>4959</v>
      </c>
      <c r="C11813" s="2" t="s">
        <v>6357</v>
      </c>
      <c r="D11813" s="3" t="str">
        <f t="shared" si="2688"/>
        <v>12Go Link</v>
      </c>
      <c r="E11813" s="2" t="s">
        <v>4139</v>
      </c>
    </row>
    <row r="11814">
      <c r="A11814" s="2" t="s">
        <v>4967</v>
      </c>
      <c r="B11814" s="2" t="s">
        <v>4959</v>
      </c>
      <c r="C11814" s="2" t="s">
        <v>6357</v>
      </c>
      <c r="D11814" s="3" t="str">
        <f t="shared" si="2688"/>
        <v>12Go Link</v>
      </c>
      <c r="E11814" s="2" t="s">
        <v>3409</v>
      </c>
    </row>
    <row r="11815">
      <c r="A11815" s="2" t="s">
        <v>4967</v>
      </c>
      <c r="B11815" s="2" t="s">
        <v>4961</v>
      </c>
      <c r="C11815" s="2" t="s">
        <v>6358</v>
      </c>
      <c r="D11815" s="3" t="str">
        <f t="shared" ref="D11815:D11817" si="2689">HYPERLINK("https://12go.asia/en/travel/Induruwa/Beragala", "12Go Link")</f>
        <v>12Go Link</v>
      </c>
      <c r="E11815" s="2" t="s">
        <v>286</v>
      </c>
    </row>
    <row r="11816">
      <c r="A11816" s="2" t="s">
        <v>4967</v>
      </c>
      <c r="B11816" s="2" t="s">
        <v>4961</v>
      </c>
      <c r="C11816" s="2" t="s">
        <v>6358</v>
      </c>
      <c r="D11816" s="3" t="str">
        <f t="shared" si="2689"/>
        <v>12Go Link</v>
      </c>
      <c r="E11816" s="2" t="s">
        <v>4139</v>
      </c>
    </row>
    <row r="11817">
      <c r="A11817" s="2" t="s">
        <v>4967</v>
      </c>
      <c r="B11817" s="2" t="s">
        <v>4961</v>
      </c>
      <c r="C11817" s="2" t="s">
        <v>6358</v>
      </c>
      <c r="D11817" s="3" t="str">
        <f t="shared" si="2689"/>
        <v>12Go Link</v>
      </c>
      <c r="E11817" s="2" t="s">
        <v>3409</v>
      </c>
    </row>
    <row r="11818">
      <c r="A11818" s="2" t="s">
        <v>4967</v>
      </c>
      <c r="B11818" s="2" t="s">
        <v>4963</v>
      </c>
      <c r="C11818" s="2" t="s">
        <v>6359</v>
      </c>
      <c r="D11818" s="3" t="str">
        <f t="shared" ref="D11818:D11820" si="2690">HYPERLINK("https://12go.asia/en/travel/Induruwa/Dick-oya", "12Go Link")</f>
        <v>12Go Link</v>
      </c>
      <c r="E11818" s="2" t="s">
        <v>286</v>
      </c>
    </row>
    <row r="11819">
      <c r="A11819" s="2" t="s">
        <v>4967</v>
      </c>
      <c r="B11819" s="2" t="s">
        <v>4963</v>
      </c>
      <c r="C11819" s="2" t="s">
        <v>6359</v>
      </c>
      <c r="D11819" s="3" t="str">
        <f t="shared" si="2690"/>
        <v>12Go Link</v>
      </c>
      <c r="E11819" s="2" t="s">
        <v>4139</v>
      </c>
    </row>
    <row r="11820">
      <c r="A11820" s="2" t="s">
        <v>4967</v>
      </c>
      <c r="B11820" s="2" t="s">
        <v>4963</v>
      </c>
      <c r="C11820" s="2" t="s">
        <v>6359</v>
      </c>
      <c r="D11820" s="3" t="str">
        <f t="shared" si="2690"/>
        <v>12Go Link</v>
      </c>
      <c r="E11820" s="2" t="s">
        <v>3409</v>
      </c>
    </row>
    <row r="11821">
      <c r="A11821" s="2" t="s">
        <v>4967</v>
      </c>
      <c r="B11821" s="2" t="s">
        <v>4965</v>
      </c>
      <c r="C11821" s="2" t="s">
        <v>6360</v>
      </c>
      <c r="D11821" s="3" t="str">
        <f t="shared" ref="D11821:D11823" si="2691">HYPERLINK("https://12go.asia/en/travel/Induruwa/Dodanduwa", "12Go Link")</f>
        <v>12Go Link</v>
      </c>
      <c r="E11821" s="2" t="s">
        <v>286</v>
      </c>
    </row>
    <row r="11822">
      <c r="A11822" s="2" t="s">
        <v>4967</v>
      </c>
      <c r="B11822" s="2" t="s">
        <v>4965</v>
      </c>
      <c r="C11822" s="2" t="s">
        <v>6360</v>
      </c>
      <c r="D11822" s="3" t="str">
        <f t="shared" si="2691"/>
        <v>12Go Link</v>
      </c>
      <c r="E11822" s="2" t="s">
        <v>4139</v>
      </c>
    </row>
    <row r="11823">
      <c r="A11823" s="2" t="s">
        <v>4967</v>
      </c>
      <c r="B11823" s="2" t="s">
        <v>4965</v>
      </c>
      <c r="C11823" s="2" t="s">
        <v>6360</v>
      </c>
      <c r="D11823" s="3" t="str">
        <f t="shared" si="2691"/>
        <v>12Go Link</v>
      </c>
      <c r="E11823" s="2" t="s">
        <v>3409</v>
      </c>
    </row>
    <row r="11824">
      <c r="A11824" s="2" t="s">
        <v>4967</v>
      </c>
      <c r="B11824" s="2" t="s">
        <v>4969</v>
      </c>
      <c r="C11824" s="2" t="s">
        <v>6361</v>
      </c>
      <c r="D11824" s="3" t="str">
        <f t="shared" ref="D11824:D11826" si="2692">HYPERLINK("https://12go.asia/en/travel/Induruwa/Jaffna", "12Go Link")</f>
        <v>12Go Link</v>
      </c>
      <c r="E11824" s="2" t="s">
        <v>286</v>
      </c>
    </row>
    <row r="11825">
      <c r="A11825" s="2" t="s">
        <v>4967</v>
      </c>
      <c r="B11825" s="2" t="s">
        <v>4969</v>
      </c>
      <c r="C11825" s="2" t="s">
        <v>6361</v>
      </c>
      <c r="D11825" s="3" t="str">
        <f t="shared" si="2692"/>
        <v>12Go Link</v>
      </c>
      <c r="E11825" s="2" t="s">
        <v>4139</v>
      </c>
    </row>
    <row r="11826">
      <c r="A11826" s="2" t="s">
        <v>4967</v>
      </c>
      <c r="B11826" s="2" t="s">
        <v>4969</v>
      </c>
      <c r="C11826" s="2" t="s">
        <v>6361</v>
      </c>
      <c r="D11826" s="3" t="str">
        <f t="shared" si="2692"/>
        <v>12Go Link</v>
      </c>
      <c r="E11826" s="2" t="s">
        <v>3409</v>
      </c>
    </row>
    <row r="11827">
      <c r="A11827" s="2" t="s">
        <v>4967</v>
      </c>
      <c r="B11827" s="2" t="s">
        <v>4971</v>
      </c>
      <c r="C11827" s="2" t="s">
        <v>6362</v>
      </c>
      <c r="D11827" s="3" t="str">
        <f t="shared" ref="D11827:D11829" si="2693">HYPERLINK("https://12go.asia/en/travel/Induruwa/Kalapuwa", "12Go Link")</f>
        <v>12Go Link</v>
      </c>
      <c r="E11827" s="2" t="s">
        <v>286</v>
      </c>
    </row>
    <row r="11828">
      <c r="A11828" s="2" t="s">
        <v>4967</v>
      </c>
      <c r="B11828" s="2" t="s">
        <v>4971</v>
      </c>
      <c r="C11828" s="2" t="s">
        <v>6362</v>
      </c>
      <c r="D11828" s="3" t="str">
        <f t="shared" si="2693"/>
        <v>12Go Link</v>
      </c>
      <c r="E11828" s="2" t="s">
        <v>4139</v>
      </c>
    </row>
    <row r="11829">
      <c r="A11829" s="2" t="s">
        <v>4967</v>
      </c>
      <c r="B11829" s="2" t="s">
        <v>4971</v>
      </c>
      <c r="C11829" s="2" t="s">
        <v>6362</v>
      </c>
      <c r="D11829" s="3" t="str">
        <f t="shared" si="2693"/>
        <v>12Go Link</v>
      </c>
      <c r="E11829" s="2" t="s">
        <v>3409</v>
      </c>
    </row>
    <row r="11830">
      <c r="A11830" s="2" t="s">
        <v>4967</v>
      </c>
      <c r="B11830" s="2" t="s">
        <v>4973</v>
      </c>
      <c r="C11830" s="2" t="s">
        <v>6363</v>
      </c>
      <c r="D11830" s="3" t="str">
        <f t="shared" ref="D11830:D11832" si="2694">HYPERLINK("https://12go.asia/en/travel/Induruwa/Ampitiya", "12Go Link")</f>
        <v>12Go Link</v>
      </c>
      <c r="E11830" s="2" t="s">
        <v>286</v>
      </c>
    </row>
    <row r="11831">
      <c r="A11831" s="2" t="s">
        <v>4967</v>
      </c>
      <c r="B11831" s="2" t="s">
        <v>4973</v>
      </c>
      <c r="C11831" s="2" t="s">
        <v>6363</v>
      </c>
      <c r="D11831" s="3" t="str">
        <f t="shared" si="2694"/>
        <v>12Go Link</v>
      </c>
      <c r="E11831" s="2" t="s">
        <v>4139</v>
      </c>
    </row>
    <row r="11832">
      <c r="A11832" s="2" t="s">
        <v>4967</v>
      </c>
      <c r="B11832" s="2" t="s">
        <v>4973</v>
      </c>
      <c r="C11832" s="2" t="s">
        <v>6363</v>
      </c>
      <c r="D11832" s="3" t="str">
        <f t="shared" si="2694"/>
        <v>12Go Link</v>
      </c>
      <c r="E11832" s="2" t="s">
        <v>3409</v>
      </c>
    </row>
    <row r="11833">
      <c r="A11833" s="2" t="s">
        <v>4967</v>
      </c>
      <c r="B11833" s="2" t="s">
        <v>4973</v>
      </c>
      <c r="C11833" s="2" t="s">
        <v>6364</v>
      </c>
      <c r="D11833" s="3" t="str">
        <f t="shared" ref="D11833:D11835" si="2695">HYPERLINK("https://12go.asia/en/travel/Induruwa/Digana", "12Go Link")</f>
        <v>12Go Link</v>
      </c>
      <c r="E11833" s="2" t="s">
        <v>286</v>
      </c>
    </row>
    <row r="11834">
      <c r="A11834" s="2" t="s">
        <v>4967</v>
      </c>
      <c r="B11834" s="2" t="s">
        <v>4973</v>
      </c>
      <c r="C11834" s="2" t="s">
        <v>6364</v>
      </c>
      <c r="D11834" s="3" t="str">
        <f t="shared" si="2695"/>
        <v>12Go Link</v>
      </c>
      <c r="E11834" s="2" t="s">
        <v>4139</v>
      </c>
    </row>
    <row r="11835">
      <c r="A11835" s="2" t="s">
        <v>4967</v>
      </c>
      <c r="B11835" s="2" t="s">
        <v>4973</v>
      </c>
      <c r="C11835" s="2" t="s">
        <v>6364</v>
      </c>
      <c r="D11835" s="3" t="str">
        <f t="shared" si="2695"/>
        <v>12Go Link</v>
      </c>
      <c r="E11835" s="2" t="s">
        <v>3409</v>
      </c>
    </row>
    <row r="11836">
      <c r="A11836" s="2" t="s">
        <v>4967</v>
      </c>
      <c r="B11836" s="2" t="s">
        <v>4976</v>
      </c>
      <c r="C11836" s="2" t="s">
        <v>6365</v>
      </c>
      <c r="D11836" s="3" t="str">
        <f t="shared" ref="D11836:D11838" si="2696">HYPERLINK("https://12go.asia/en/travel/Induruwa/Kataragama", "12Go Link")</f>
        <v>12Go Link</v>
      </c>
      <c r="E11836" s="2" t="s">
        <v>286</v>
      </c>
    </row>
    <row r="11837">
      <c r="A11837" s="2" t="s">
        <v>4967</v>
      </c>
      <c r="B11837" s="2" t="s">
        <v>4976</v>
      </c>
      <c r="C11837" s="2" t="s">
        <v>6365</v>
      </c>
      <c r="D11837" s="3" t="str">
        <f t="shared" si="2696"/>
        <v>12Go Link</v>
      </c>
      <c r="E11837" s="2" t="s">
        <v>4139</v>
      </c>
    </row>
    <row r="11838">
      <c r="A11838" s="2" t="s">
        <v>4967</v>
      </c>
      <c r="B11838" s="2" t="s">
        <v>4976</v>
      </c>
      <c r="C11838" s="2" t="s">
        <v>6365</v>
      </c>
      <c r="D11838" s="3" t="str">
        <f t="shared" si="2696"/>
        <v>12Go Link</v>
      </c>
      <c r="E11838" s="2" t="s">
        <v>3409</v>
      </c>
    </row>
    <row r="11839">
      <c r="A11839" s="2" t="s">
        <v>4967</v>
      </c>
      <c r="B11839" s="2" t="s">
        <v>4978</v>
      </c>
      <c r="C11839" s="2" t="s">
        <v>6366</v>
      </c>
      <c r="D11839" s="3" t="str">
        <f t="shared" ref="D11839:D11841" si="2697">HYPERLINK("https://12go.asia/en/travel/Induruwa/Alawathupitiya", "12Go Link")</f>
        <v>12Go Link</v>
      </c>
      <c r="E11839" s="2" t="s">
        <v>286</v>
      </c>
    </row>
    <row r="11840">
      <c r="A11840" s="2" t="s">
        <v>4967</v>
      </c>
      <c r="B11840" s="2" t="s">
        <v>4978</v>
      </c>
      <c r="C11840" s="2" t="s">
        <v>6366</v>
      </c>
      <c r="D11840" s="3" t="str">
        <f t="shared" si="2697"/>
        <v>12Go Link</v>
      </c>
      <c r="E11840" s="2" t="s">
        <v>4139</v>
      </c>
    </row>
    <row r="11841">
      <c r="A11841" s="2" t="s">
        <v>4967</v>
      </c>
      <c r="B11841" s="2" t="s">
        <v>4978</v>
      </c>
      <c r="C11841" s="2" t="s">
        <v>6366</v>
      </c>
      <c r="D11841" s="3" t="str">
        <f t="shared" si="2697"/>
        <v>12Go Link</v>
      </c>
      <c r="E11841" s="2" t="s">
        <v>3409</v>
      </c>
    </row>
    <row r="11842">
      <c r="A11842" s="2" t="s">
        <v>4967</v>
      </c>
      <c r="B11842" s="2" t="s">
        <v>4980</v>
      </c>
      <c r="C11842" s="2" t="s">
        <v>6367</v>
      </c>
      <c r="D11842" s="3" t="str">
        <f t="shared" ref="D11842:D11844" si="2698">HYPERLINK("https://12go.asia/en/travel/Induruwa/Pinnawala", "12Go Link")</f>
        <v>12Go Link</v>
      </c>
      <c r="E11842" s="2" t="s">
        <v>286</v>
      </c>
    </row>
    <row r="11843">
      <c r="A11843" s="2" t="s">
        <v>4967</v>
      </c>
      <c r="B11843" s="2" t="s">
        <v>4980</v>
      </c>
      <c r="C11843" s="2" t="s">
        <v>6367</v>
      </c>
      <c r="D11843" s="3" t="str">
        <f t="shared" si="2698"/>
        <v>12Go Link</v>
      </c>
      <c r="E11843" s="2" t="s">
        <v>4139</v>
      </c>
    </row>
    <row r="11844">
      <c r="A11844" s="2" t="s">
        <v>4967</v>
      </c>
      <c r="B11844" s="2" t="s">
        <v>4980</v>
      </c>
      <c r="C11844" s="2" t="s">
        <v>6367</v>
      </c>
      <c r="D11844" s="3" t="str">
        <f t="shared" si="2698"/>
        <v>12Go Link</v>
      </c>
      <c r="E11844" s="2" t="s">
        <v>3409</v>
      </c>
    </row>
    <row r="11845">
      <c r="A11845" s="2" t="s">
        <v>4967</v>
      </c>
      <c r="B11845" s="2" t="s">
        <v>4982</v>
      </c>
      <c r="C11845" s="2" t="s">
        <v>6368</v>
      </c>
      <c r="D11845" s="3" t="str">
        <f t="shared" ref="D11845:D11847" si="2699">HYPERLINK("https://12go.asia/en/travel/Induruwa/Kitulgala", "12Go Link")</f>
        <v>12Go Link</v>
      </c>
      <c r="E11845" s="2" t="s">
        <v>286</v>
      </c>
    </row>
    <row r="11846">
      <c r="A11846" s="2" t="s">
        <v>4967</v>
      </c>
      <c r="B11846" s="2" t="s">
        <v>4982</v>
      </c>
      <c r="C11846" s="2" t="s">
        <v>6368</v>
      </c>
      <c r="D11846" s="3" t="str">
        <f t="shared" si="2699"/>
        <v>12Go Link</v>
      </c>
      <c r="E11846" s="2" t="s">
        <v>4139</v>
      </c>
    </row>
    <row r="11847">
      <c r="A11847" s="2" t="s">
        <v>4967</v>
      </c>
      <c r="B11847" s="2" t="s">
        <v>4982</v>
      </c>
      <c r="C11847" s="2" t="s">
        <v>6368</v>
      </c>
      <c r="D11847" s="3" t="str">
        <f t="shared" si="2699"/>
        <v>12Go Link</v>
      </c>
      <c r="E11847" s="2" t="s">
        <v>3409</v>
      </c>
    </row>
    <row r="11848">
      <c r="A11848" s="2" t="s">
        <v>4967</v>
      </c>
      <c r="B11848" s="2" t="s">
        <v>4984</v>
      </c>
      <c r="C11848" s="2" t="s">
        <v>6369</v>
      </c>
      <c r="D11848" s="3" t="str">
        <f t="shared" ref="D11848:D11850" si="2700">HYPERLINK("https://12go.asia/en/travel/Induruwa/Habaraduwa", "12Go Link")</f>
        <v>12Go Link</v>
      </c>
      <c r="E11848" s="2" t="s">
        <v>286</v>
      </c>
    </row>
    <row r="11849">
      <c r="A11849" s="2" t="s">
        <v>4967</v>
      </c>
      <c r="B11849" s="2" t="s">
        <v>4984</v>
      </c>
      <c r="C11849" s="2" t="s">
        <v>6369</v>
      </c>
      <c r="D11849" s="3" t="str">
        <f t="shared" si="2700"/>
        <v>12Go Link</v>
      </c>
      <c r="E11849" s="2" t="s">
        <v>4139</v>
      </c>
    </row>
    <row r="11850">
      <c r="A11850" s="2" t="s">
        <v>4967</v>
      </c>
      <c r="B11850" s="2" t="s">
        <v>4984</v>
      </c>
      <c r="C11850" s="2" t="s">
        <v>6369</v>
      </c>
      <c r="D11850" s="3" t="str">
        <f t="shared" si="2700"/>
        <v>12Go Link</v>
      </c>
      <c r="E11850" s="2" t="s">
        <v>3409</v>
      </c>
    </row>
    <row r="11851">
      <c r="A11851" s="2" t="s">
        <v>4967</v>
      </c>
      <c r="B11851" s="2" t="s">
        <v>4986</v>
      </c>
      <c r="C11851" s="2" t="s">
        <v>6370</v>
      </c>
      <c r="D11851" s="3" t="str">
        <f t="shared" ref="D11851:D11853" si="2701">HYPERLINK("https://12go.asia/en/travel/Induruwa/Kosgoda", "12Go Link")</f>
        <v>12Go Link</v>
      </c>
      <c r="E11851" s="2" t="s">
        <v>286</v>
      </c>
    </row>
    <row r="11852">
      <c r="A11852" s="2" t="s">
        <v>4967</v>
      </c>
      <c r="B11852" s="2" t="s">
        <v>4986</v>
      </c>
      <c r="C11852" s="2" t="s">
        <v>6370</v>
      </c>
      <c r="D11852" s="3" t="str">
        <f t="shared" si="2701"/>
        <v>12Go Link</v>
      </c>
      <c r="E11852" s="2" t="s">
        <v>4139</v>
      </c>
    </row>
    <row r="11853">
      <c r="A11853" s="2" t="s">
        <v>4967</v>
      </c>
      <c r="B11853" s="2" t="s">
        <v>4986</v>
      </c>
      <c r="C11853" s="2" t="s">
        <v>6370</v>
      </c>
      <c r="D11853" s="3" t="str">
        <f t="shared" si="2701"/>
        <v>12Go Link</v>
      </c>
      <c r="E11853" s="2" t="s">
        <v>3409</v>
      </c>
    </row>
    <row r="11854">
      <c r="A11854" s="2" t="s">
        <v>4967</v>
      </c>
      <c r="B11854" s="2" t="s">
        <v>4988</v>
      </c>
      <c r="C11854" s="2" t="s">
        <v>6371</v>
      </c>
      <c r="D11854" s="3" t="str">
        <f t="shared" ref="D11854:D11856" si="2702">HYPERLINK("https://12go.asia/en/travel/Induruwa/Kuchchaveli", "12Go Link")</f>
        <v>12Go Link</v>
      </c>
      <c r="E11854" s="2" t="s">
        <v>286</v>
      </c>
    </row>
    <row r="11855">
      <c r="A11855" s="2" t="s">
        <v>4967</v>
      </c>
      <c r="B11855" s="2" t="s">
        <v>4988</v>
      </c>
      <c r="C11855" s="2" t="s">
        <v>6371</v>
      </c>
      <c r="D11855" s="3" t="str">
        <f t="shared" si="2702"/>
        <v>12Go Link</v>
      </c>
      <c r="E11855" s="2" t="s">
        <v>4139</v>
      </c>
    </row>
    <row r="11856">
      <c r="A11856" s="2" t="s">
        <v>4967</v>
      </c>
      <c r="B11856" s="2" t="s">
        <v>4988</v>
      </c>
      <c r="C11856" s="2" t="s">
        <v>6371</v>
      </c>
      <c r="D11856" s="3" t="str">
        <f t="shared" si="2702"/>
        <v>12Go Link</v>
      </c>
      <c r="E11856" s="2" t="s">
        <v>3409</v>
      </c>
    </row>
    <row r="11857">
      <c r="A11857" s="2" t="s">
        <v>4967</v>
      </c>
      <c r="B11857" s="2" t="s">
        <v>4990</v>
      </c>
      <c r="C11857" s="2" t="s">
        <v>6372</v>
      </c>
      <c r="D11857" s="3" t="str">
        <f t="shared" ref="D11857:D11859" si="2703">HYPERLINK("https://12go.asia/en/travel/Induruwa/Mannar", "12Go Link")</f>
        <v>12Go Link</v>
      </c>
      <c r="E11857" s="2" t="s">
        <v>286</v>
      </c>
    </row>
    <row r="11858">
      <c r="A11858" s="2" t="s">
        <v>4967</v>
      </c>
      <c r="B11858" s="2" t="s">
        <v>4990</v>
      </c>
      <c r="C11858" s="2" t="s">
        <v>6372</v>
      </c>
      <c r="D11858" s="3" t="str">
        <f t="shared" si="2703"/>
        <v>12Go Link</v>
      </c>
      <c r="E11858" s="2" t="s">
        <v>4139</v>
      </c>
    </row>
    <row r="11859">
      <c r="A11859" s="2" t="s">
        <v>4967</v>
      </c>
      <c r="B11859" s="2" t="s">
        <v>4990</v>
      </c>
      <c r="C11859" s="2" t="s">
        <v>6372</v>
      </c>
      <c r="D11859" s="3" t="str">
        <f t="shared" si="2703"/>
        <v>12Go Link</v>
      </c>
      <c r="E11859" s="2" t="s">
        <v>3409</v>
      </c>
    </row>
    <row r="11860">
      <c r="A11860" s="2" t="s">
        <v>4967</v>
      </c>
      <c r="B11860" s="2" t="s">
        <v>4992</v>
      </c>
      <c r="C11860" s="2" t="s">
        <v>6373</v>
      </c>
      <c r="D11860" s="3" t="str">
        <f t="shared" ref="D11860:D11862" si="2704">HYPERLINK("https://12go.asia/en/travel/Induruwa/Kinigama", "12Go Link")</f>
        <v>12Go Link</v>
      </c>
      <c r="E11860" s="2" t="s">
        <v>286</v>
      </c>
    </row>
    <row r="11861">
      <c r="A11861" s="2" t="s">
        <v>4967</v>
      </c>
      <c r="B11861" s="2" t="s">
        <v>4992</v>
      </c>
      <c r="C11861" s="2" t="s">
        <v>6373</v>
      </c>
      <c r="D11861" s="3" t="str">
        <f t="shared" si="2704"/>
        <v>12Go Link</v>
      </c>
      <c r="E11861" s="2" t="s">
        <v>4139</v>
      </c>
    </row>
    <row r="11862">
      <c r="A11862" s="2" t="s">
        <v>4967</v>
      </c>
      <c r="B11862" s="2" t="s">
        <v>4992</v>
      </c>
      <c r="C11862" s="2" t="s">
        <v>6373</v>
      </c>
      <c r="D11862" s="3" t="str">
        <f t="shared" si="2704"/>
        <v>12Go Link</v>
      </c>
      <c r="E11862" s="2" t="s">
        <v>3409</v>
      </c>
    </row>
    <row r="11863">
      <c r="A11863" s="2" t="s">
        <v>4967</v>
      </c>
      <c r="B11863" s="2" t="s">
        <v>4994</v>
      </c>
      <c r="C11863" s="2" t="s">
        <v>6374</v>
      </c>
      <c r="D11863" s="3" t="str">
        <f t="shared" ref="D11863:D11865" si="2705">HYPERLINK("https://12go.asia/en/travel/Induruwa/Kalamatiya", "12Go Link")</f>
        <v>12Go Link</v>
      </c>
      <c r="E11863" s="2" t="s">
        <v>286</v>
      </c>
    </row>
    <row r="11864">
      <c r="A11864" s="2" t="s">
        <v>4967</v>
      </c>
      <c r="B11864" s="2" t="s">
        <v>4994</v>
      </c>
      <c r="C11864" s="2" t="s">
        <v>6374</v>
      </c>
      <c r="D11864" s="3" t="str">
        <f t="shared" si="2705"/>
        <v>12Go Link</v>
      </c>
      <c r="E11864" s="2" t="s">
        <v>4139</v>
      </c>
    </row>
    <row r="11865">
      <c r="A11865" s="2" t="s">
        <v>4967</v>
      </c>
      <c r="B11865" s="2" t="s">
        <v>4994</v>
      </c>
      <c r="C11865" s="2" t="s">
        <v>6374</v>
      </c>
      <c r="D11865" s="3" t="str">
        <f t="shared" si="2705"/>
        <v>12Go Link</v>
      </c>
      <c r="E11865" s="2" t="s">
        <v>3409</v>
      </c>
    </row>
    <row r="11866">
      <c r="A11866" s="2" t="s">
        <v>4967</v>
      </c>
      <c r="B11866" s="2" t="s">
        <v>4996</v>
      </c>
      <c r="C11866" s="2" t="s">
        <v>6375</v>
      </c>
      <c r="D11866" s="3" t="str">
        <f t="shared" ref="D11866:D11868" si="2706">HYPERLINK("https://12go.asia/en/travel/Induruwa/mirissa", "12Go Link")</f>
        <v>12Go Link</v>
      </c>
      <c r="E11866" s="2" t="s">
        <v>286</v>
      </c>
    </row>
    <row r="11867">
      <c r="A11867" s="2" t="s">
        <v>4967</v>
      </c>
      <c r="B11867" s="2" t="s">
        <v>4996</v>
      </c>
      <c r="C11867" s="2" t="s">
        <v>6375</v>
      </c>
      <c r="D11867" s="3" t="str">
        <f t="shared" si="2706"/>
        <v>12Go Link</v>
      </c>
      <c r="E11867" s="2" t="s">
        <v>4139</v>
      </c>
    </row>
    <row r="11868">
      <c r="A11868" s="2" t="s">
        <v>4967</v>
      </c>
      <c r="B11868" s="2" t="s">
        <v>4996</v>
      </c>
      <c r="C11868" s="2" t="s">
        <v>6375</v>
      </c>
      <c r="D11868" s="3" t="str">
        <f t="shared" si="2706"/>
        <v>12Go Link</v>
      </c>
      <c r="E11868" s="2" t="s">
        <v>3409</v>
      </c>
    </row>
    <row r="11869">
      <c r="A11869" s="2" t="s">
        <v>4967</v>
      </c>
      <c r="B11869" s="2" t="s">
        <v>4998</v>
      </c>
      <c r="C11869" s="2" t="s">
        <v>6376</v>
      </c>
      <c r="D11869" s="3" t="str">
        <f t="shared" ref="D11869:D11871" si="2707">HYPERLINK("https://12go.asia/en/travel/Induruwa/Nanu-Oya", "12Go Link")</f>
        <v>12Go Link</v>
      </c>
      <c r="E11869" s="2" t="s">
        <v>286</v>
      </c>
    </row>
    <row r="11870">
      <c r="A11870" s="2" t="s">
        <v>4967</v>
      </c>
      <c r="B11870" s="2" t="s">
        <v>4998</v>
      </c>
      <c r="C11870" s="2" t="s">
        <v>6376</v>
      </c>
      <c r="D11870" s="3" t="str">
        <f t="shared" si="2707"/>
        <v>12Go Link</v>
      </c>
      <c r="E11870" s="2" t="s">
        <v>4139</v>
      </c>
    </row>
    <row r="11871">
      <c r="A11871" s="2" t="s">
        <v>4967</v>
      </c>
      <c r="B11871" s="2" t="s">
        <v>4998</v>
      </c>
      <c r="C11871" s="2" t="s">
        <v>6376</v>
      </c>
      <c r="D11871" s="3" t="str">
        <f t="shared" si="2707"/>
        <v>12Go Link</v>
      </c>
      <c r="E11871" s="2" t="s">
        <v>3409</v>
      </c>
    </row>
    <row r="11872">
      <c r="A11872" s="2" t="s">
        <v>4967</v>
      </c>
      <c r="B11872" s="2" t="s">
        <v>5000</v>
      </c>
      <c r="C11872" s="2" t="s">
        <v>6377</v>
      </c>
      <c r="D11872" s="3" t="str">
        <f t="shared" ref="D11872:D11874" si="2708">HYPERLINK("https://12go.asia/en/travel/Induruwa/Waikkal", "12Go Link")</f>
        <v>12Go Link</v>
      </c>
      <c r="E11872" s="2" t="s">
        <v>286</v>
      </c>
    </row>
    <row r="11873">
      <c r="A11873" s="2" t="s">
        <v>4967</v>
      </c>
      <c r="B11873" s="2" t="s">
        <v>5000</v>
      </c>
      <c r="C11873" s="2" t="s">
        <v>6377</v>
      </c>
      <c r="D11873" s="3" t="str">
        <f t="shared" si="2708"/>
        <v>12Go Link</v>
      </c>
      <c r="E11873" s="2" t="s">
        <v>4139</v>
      </c>
    </row>
    <row r="11874">
      <c r="A11874" s="2" t="s">
        <v>4967</v>
      </c>
      <c r="B11874" s="2" t="s">
        <v>5000</v>
      </c>
      <c r="C11874" s="2" t="s">
        <v>6377</v>
      </c>
      <c r="D11874" s="3" t="str">
        <f t="shared" si="2708"/>
        <v>12Go Link</v>
      </c>
      <c r="E11874" s="2" t="s">
        <v>3409</v>
      </c>
    </row>
    <row r="11875">
      <c r="A11875" s="2" t="s">
        <v>4967</v>
      </c>
      <c r="B11875" s="2" t="s">
        <v>5003</v>
      </c>
      <c r="C11875" s="2" t="s">
        <v>6378</v>
      </c>
      <c r="D11875" s="3" t="str">
        <f t="shared" ref="D11875:D11877" si="2709">HYPERLINK("https://12go.asia/en/travel/Induruwa/Nilaveli", "12Go Link")</f>
        <v>12Go Link</v>
      </c>
      <c r="E11875" s="2" t="s">
        <v>286</v>
      </c>
    </row>
    <row r="11876">
      <c r="A11876" s="2" t="s">
        <v>4967</v>
      </c>
      <c r="B11876" s="2" t="s">
        <v>5003</v>
      </c>
      <c r="C11876" s="2" t="s">
        <v>6378</v>
      </c>
      <c r="D11876" s="3" t="str">
        <f t="shared" si="2709"/>
        <v>12Go Link</v>
      </c>
      <c r="E11876" s="2" t="s">
        <v>4139</v>
      </c>
    </row>
    <row r="11877">
      <c r="A11877" s="2" t="s">
        <v>4967</v>
      </c>
      <c r="B11877" s="2" t="s">
        <v>5003</v>
      </c>
      <c r="C11877" s="2" t="s">
        <v>6378</v>
      </c>
      <c r="D11877" s="3" t="str">
        <f t="shared" si="2709"/>
        <v>12Go Link</v>
      </c>
      <c r="E11877" s="2" t="s">
        <v>3409</v>
      </c>
    </row>
    <row r="11878">
      <c r="A11878" s="2" t="s">
        <v>4967</v>
      </c>
      <c r="B11878" s="2" t="s">
        <v>5005</v>
      </c>
      <c r="C11878" s="2" t="s">
        <v>6379</v>
      </c>
      <c r="D11878" s="3" t="str">
        <f t="shared" ref="D11878:D11880" si="2710">HYPERLINK("https://12go.asia/en/travel/Induruwa/Kotmale", "12Go Link")</f>
        <v>12Go Link</v>
      </c>
      <c r="E11878" s="2" t="s">
        <v>286</v>
      </c>
    </row>
    <row r="11879">
      <c r="A11879" s="2" t="s">
        <v>4967</v>
      </c>
      <c r="B11879" s="2" t="s">
        <v>5005</v>
      </c>
      <c r="C11879" s="2" t="s">
        <v>6379</v>
      </c>
      <c r="D11879" s="3" t="str">
        <f t="shared" si="2710"/>
        <v>12Go Link</v>
      </c>
      <c r="E11879" s="2" t="s">
        <v>4139</v>
      </c>
    </row>
    <row r="11880">
      <c r="A11880" s="2" t="s">
        <v>4967</v>
      </c>
      <c r="B11880" s="2" t="s">
        <v>5005</v>
      </c>
      <c r="C11880" s="2" t="s">
        <v>6379</v>
      </c>
      <c r="D11880" s="3" t="str">
        <f t="shared" si="2710"/>
        <v>12Go Link</v>
      </c>
      <c r="E11880" s="2" t="s">
        <v>3409</v>
      </c>
    </row>
    <row r="11881">
      <c r="A11881" s="2" t="s">
        <v>4967</v>
      </c>
      <c r="B11881" s="2" t="s">
        <v>5007</v>
      </c>
      <c r="C11881" s="2" t="s">
        <v>6380</v>
      </c>
      <c r="D11881" s="3" t="str">
        <f t="shared" ref="D11881:D11883" si="2711">HYPERLINK("https://12go.asia/en/travel/Induruwa/Pasikuda", "12Go Link")</f>
        <v>12Go Link</v>
      </c>
      <c r="E11881" s="2" t="s">
        <v>286</v>
      </c>
    </row>
    <row r="11882">
      <c r="A11882" s="2" t="s">
        <v>4967</v>
      </c>
      <c r="B11882" s="2" t="s">
        <v>5007</v>
      </c>
      <c r="C11882" s="2" t="s">
        <v>6380</v>
      </c>
      <c r="D11882" s="3" t="str">
        <f t="shared" si="2711"/>
        <v>12Go Link</v>
      </c>
      <c r="E11882" s="2" t="s">
        <v>4139</v>
      </c>
    </row>
    <row r="11883">
      <c r="A11883" s="2" t="s">
        <v>4967</v>
      </c>
      <c r="B11883" s="2" t="s">
        <v>5007</v>
      </c>
      <c r="C11883" s="2" t="s">
        <v>6380</v>
      </c>
      <c r="D11883" s="3" t="str">
        <f t="shared" si="2711"/>
        <v>12Go Link</v>
      </c>
      <c r="E11883" s="2" t="s">
        <v>3409</v>
      </c>
    </row>
    <row r="11884">
      <c r="A11884" s="2" t="s">
        <v>4967</v>
      </c>
      <c r="B11884" s="2" t="s">
        <v>5009</v>
      </c>
      <c r="C11884" s="2" t="s">
        <v>6381</v>
      </c>
      <c r="D11884" s="3" t="str">
        <f t="shared" ref="D11884:D11886" si="2712">HYPERLINK("https://12go.asia/en/travel/Induruwa/Galoya", "12Go Link")</f>
        <v>12Go Link</v>
      </c>
      <c r="E11884" s="2" t="s">
        <v>286</v>
      </c>
    </row>
    <row r="11885">
      <c r="A11885" s="2" t="s">
        <v>4967</v>
      </c>
      <c r="B11885" s="2" t="s">
        <v>5009</v>
      </c>
      <c r="C11885" s="2" t="s">
        <v>6381</v>
      </c>
      <c r="D11885" s="3" t="str">
        <f t="shared" si="2712"/>
        <v>12Go Link</v>
      </c>
      <c r="E11885" s="2" t="s">
        <v>4139</v>
      </c>
    </row>
    <row r="11886">
      <c r="A11886" s="2" t="s">
        <v>4967</v>
      </c>
      <c r="B11886" s="2" t="s">
        <v>5009</v>
      </c>
      <c r="C11886" s="2" t="s">
        <v>6381</v>
      </c>
      <c r="D11886" s="3" t="str">
        <f t="shared" si="2712"/>
        <v>12Go Link</v>
      </c>
      <c r="E11886" s="2" t="s">
        <v>3409</v>
      </c>
    </row>
    <row r="11887">
      <c r="A11887" s="2" t="s">
        <v>4967</v>
      </c>
      <c r="B11887" s="2" t="s">
        <v>5011</v>
      </c>
      <c r="C11887" s="2" t="s">
        <v>6382</v>
      </c>
      <c r="D11887" s="3" t="str">
        <f t="shared" ref="D11887:D11889" si="2713">HYPERLINK("https://12go.asia/en/travel/Induruwa/Kalpitiya", "12Go Link")</f>
        <v>12Go Link</v>
      </c>
      <c r="E11887" s="2" t="s">
        <v>286</v>
      </c>
    </row>
    <row r="11888">
      <c r="A11888" s="2" t="s">
        <v>4967</v>
      </c>
      <c r="B11888" s="2" t="s">
        <v>5011</v>
      </c>
      <c r="C11888" s="2" t="s">
        <v>6382</v>
      </c>
      <c r="D11888" s="3" t="str">
        <f t="shared" si="2713"/>
        <v>12Go Link</v>
      </c>
      <c r="E11888" s="2" t="s">
        <v>4139</v>
      </c>
    </row>
    <row r="11889">
      <c r="A11889" s="2" t="s">
        <v>4967</v>
      </c>
      <c r="B11889" s="2" t="s">
        <v>5011</v>
      </c>
      <c r="C11889" s="2" t="s">
        <v>6382</v>
      </c>
      <c r="D11889" s="3" t="str">
        <f t="shared" si="2713"/>
        <v>12Go Link</v>
      </c>
      <c r="E11889" s="2" t="s">
        <v>3409</v>
      </c>
    </row>
    <row r="11890">
      <c r="A11890" s="2" t="s">
        <v>4967</v>
      </c>
      <c r="B11890" s="2" t="s">
        <v>5011</v>
      </c>
      <c r="C11890" s="2" t="s">
        <v>6383</v>
      </c>
      <c r="D11890" s="3" t="str">
        <f t="shared" ref="D11890:D11892" si="2714">HYPERLINK("https://12go.asia/en/travel/Induruwa/Marawila", "12Go Link")</f>
        <v>12Go Link</v>
      </c>
      <c r="E11890" s="2" t="s">
        <v>286</v>
      </c>
    </row>
    <row r="11891">
      <c r="A11891" s="2" t="s">
        <v>4967</v>
      </c>
      <c r="B11891" s="2" t="s">
        <v>5011</v>
      </c>
      <c r="C11891" s="2" t="s">
        <v>6383</v>
      </c>
      <c r="D11891" s="3" t="str">
        <f t="shared" si="2714"/>
        <v>12Go Link</v>
      </c>
      <c r="E11891" s="2" t="s">
        <v>4139</v>
      </c>
    </row>
    <row r="11892">
      <c r="A11892" s="2" t="s">
        <v>4967</v>
      </c>
      <c r="B11892" s="2" t="s">
        <v>5011</v>
      </c>
      <c r="C11892" s="2" t="s">
        <v>6383</v>
      </c>
      <c r="D11892" s="3" t="str">
        <f t="shared" si="2714"/>
        <v>12Go Link</v>
      </c>
      <c r="E11892" s="2" t="s">
        <v>3409</v>
      </c>
    </row>
    <row r="11893">
      <c r="A11893" s="2" t="s">
        <v>4967</v>
      </c>
      <c r="B11893" s="2" t="s">
        <v>5014</v>
      </c>
      <c r="C11893" s="2" t="s">
        <v>6384</v>
      </c>
      <c r="D11893" s="3" t="str">
        <f t="shared" ref="D11893:D11895" si="2715">HYPERLINK("https://12go.asia/en/travel/Induruwa/Kiriella", "12Go Link")</f>
        <v>12Go Link</v>
      </c>
      <c r="E11893" s="2" t="s">
        <v>286</v>
      </c>
    </row>
    <row r="11894">
      <c r="A11894" s="2" t="s">
        <v>4967</v>
      </c>
      <c r="B11894" s="2" t="s">
        <v>5014</v>
      </c>
      <c r="C11894" s="2" t="s">
        <v>6384</v>
      </c>
      <c r="D11894" s="3" t="str">
        <f t="shared" si="2715"/>
        <v>12Go Link</v>
      </c>
      <c r="E11894" s="2" t="s">
        <v>4139</v>
      </c>
    </row>
    <row r="11895">
      <c r="A11895" s="2" t="s">
        <v>4967</v>
      </c>
      <c r="B11895" s="2" t="s">
        <v>5014</v>
      </c>
      <c r="C11895" s="2" t="s">
        <v>6384</v>
      </c>
      <c r="D11895" s="3" t="str">
        <f t="shared" si="2715"/>
        <v>12Go Link</v>
      </c>
      <c r="E11895" s="2" t="s">
        <v>3409</v>
      </c>
    </row>
    <row r="11896">
      <c r="A11896" s="2" t="s">
        <v>4967</v>
      </c>
      <c r="B11896" s="2" t="s">
        <v>5016</v>
      </c>
      <c r="C11896" s="2" t="s">
        <v>6385</v>
      </c>
      <c r="D11896" s="3" t="str">
        <f t="shared" ref="D11896:D11898" si="2716">HYPERLINK("https://12go.asia/en/travel/Induruwa/Pidurangala", "12Go Link")</f>
        <v>12Go Link</v>
      </c>
      <c r="E11896" s="2" t="s">
        <v>286</v>
      </c>
    </row>
    <row r="11897">
      <c r="A11897" s="2" t="s">
        <v>4967</v>
      </c>
      <c r="B11897" s="2" t="s">
        <v>5016</v>
      </c>
      <c r="C11897" s="2" t="s">
        <v>6385</v>
      </c>
      <c r="D11897" s="3" t="str">
        <f t="shared" si="2716"/>
        <v>12Go Link</v>
      </c>
      <c r="E11897" s="2" t="s">
        <v>4139</v>
      </c>
    </row>
    <row r="11898">
      <c r="A11898" s="2" t="s">
        <v>4967</v>
      </c>
      <c r="B11898" s="2" t="s">
        <v>5016</v>
      </c>
      <c r="C11898" s="2" t="s">
        <v>6385</v>
      </c>
      <c r="D11898" s="3" t="str">
        <f t="shared" si="2716"/>
        <v>12Go Link</v>
      </c>
      <c r="E11898" s="2" t="s">
        <v>3409</v>
      </c>
    </row>
    <row r="11899">
      <c r="A11899" s="2" t="s">
        <v>4967</v>
      </c>
      <c r="B11899" s="2" t="s">
        <v>5018</v>
      </c>
      <c r="C11899" s="2" t="s">
        <v>6386</v>
      </c>
      <c r="D11899" s="3" t="str">
        <f t="shared" ref="D11899:D11901" si="2717">HYPERLINK("https://12go.asia/en/travel/Induruwa/Rekawa", "12Go Link")</f>
        <v>12Go Link</v>
      </c>
      <c r="E11899" s="2" t="s">
        <v>286</v>
      </c>
    </row>
    <row r="11900">
      <c r="A11900" s="2" t="s">
        <v>4967</v>
      </c>
      <c r="B11900" s="2" t="s">
        <v>5018</v>
      </c>
      <c r="C11900" s="2" t="s">
        <v>6386</v>
      </c>
      <c r="D11900" s="3" t="str">
        <f t="shared" si="2717"/>
        <v>12Go Link</v>
      </c>
      <c r="E11900" s="2" t="s">
        <v>4139</v>
      </c>
    </row>
    <row r="11901">
      <c r="A11901" s="2" t="s">
        <v>4967</v>
      </c>
      <c r="B11901" s="2" t="s">
        <v>5018</v>
      </c>
      <c r="C11901" s="2" t="s">
        <v>6386</v>
      </c>
      <c r="D11901" s="3" t="str">
        <f t="shared" si="2717"/>
        <v>12Go Link</v>
      </c>
      <c r="E11901" s="2" t="s">
        <v>3409</v>
      </c>
    </row>
    <row r="11902">
      <c r="A11902" s="2" t="s">
        <v>4967</v>
      </c>
      <c r="B11902" s="2" t="s">
        <v>5020</v>
      </c>
      <c r="C11902" s="2" t="s">
        <v>6387</v>
      </c>
      <c r="D11902" s="3" t="str">
        <f t="shared" ref="D11902:D11904" si="2718">HYPERLINK("https://12go.asia/en/travel/Induruwa/Tissamaharama", "12Go Link")</f>
        <v>12Go Link</v>
      </c>
      <c r="E11902" s="2" t="s">
        <v>286</v>
      </c>
    </row>
    <row r="11903">
      <c r="A11903" s="2" t="s">
        <v>4967</v>
      </c>
      <c r="B11903" s="2" t="s">
        <v>5020</v>
      </c>
      <c r="C11903" s="2" t="s">
        <v>6387</v>
      </c>
      <c r="D11903" s="3" t="str">
        <f t="shared" si="2718"/>
        <v>12Go Link</v>
      </c>
      <c r="E11903" s="2" t="s">
        <v>4139</v>
      </c>
    </row>
    <row r="11904">
      <c r="A11904" s="2" t="s">
        <v>4967</v>
      </c>
      <c r="B11904" s="2" t="s">
        <v>5020</v>
      </c>
      <c r="C11904" s="2" t="s">
        <v>6387</v>
      </c>
      <c r="D11904" s="3" t="str">
        <f t="shared" si="2718"/>
        <v>12Go Link</v>
      </c>
      <c r="E11904" s="2" t="s">
        <v>3409</v>
      </c>
    </row>
    <row r="11905">
      <c r="A11905" s="2" t="s">
        <v>4967</v>
      </c>
      <c r="B11905" s="2" t="s">
        <v>5020</v>
      </c>
      <c r="C11905" s="2" t="s">
        <v>6388</v>
      </c>
      <c r="D11905" s="3" t="str">
        <f t="shared" ref="D11905:D11907" si="2719">HYPERLINK("https://12go.asia/en/travel/Induruwa/Yala-Park", "12Go Link")</f>
        <v>12Go Link</v>
      </c>
      <c r="E11905" s="2" t="s">
        <v>286</v>
      </c>
    </row>
    <row r="11906">
      <c r="A11906" s="2" t="s">
        <v>4967</v>
      </c>
      <c r="B11906" s="2" t="s">
        <v>5020</v>
      </c>
      <c r="C11906" s="2" t="s">
        <v>6388</v>
      </c>
      <c r="D11906" s="3" t="str">
        <f t="shared" si="2719"/>
        <v>12Go Link</v>
      </c>
      <c r="E11906" s="2" t="s">
        <v>4139</v>
      </c>
    </row>
    <row r="11907">
      <c r="A11907" s="2" t="s">
        <v>4967</v>
      </c>
      <c r="B11907" s="2" t="s">
        <v>5020</v>
      </c>
      <c r="C11907" s="2" t="s">
        <v>6388</v>
      </c>
      <c r="D11907" s="3" t="str">
        <f t="shared" si="2719"/>
        <v>12Go Link</v>
      </c>
      <c r="E11907" s="2" t="s">
        <v>3409</v>
      </c>
    </row>
    <row r="11908">
      <c r="A11908" s="2" t="s">
        <v>4967</v>
      </c>
      <c r="B11908" s="2" t="s">
        <v>5023</v>
      </c>
      <c r="C11908" s="2" t="s">
        <v>6389</v>
      </c>
      <c r="D11908" s="3" t="str">
        <f t="shared" ref="D11908:D11910" si="2720">HYPERLINK("https://12go.asia/en/travel/Induruwa/Nilaweli", "12Go Link")</f>
        <v>12Go Link</v>
      </c>
      <c r="E11908" s="2" t="s">
        <v>286</v>
      </c>
    </row>
    <row r="11909">
      <c r="A11909" s="2" t="s">
        <v>4967</v>
      </c>
      <c r="B11909" s="2" t="s">
        <v>5023</v>
      </c>
      <c r="C11909" s="2" t="s">
        <v>6389</v>
      </c>
      <c r="D11909" s="3" t="str">
        <f t="shared" si="2720"/>
        <v>12Go Link</v>
      </c>
      <c r="E11909" s="2" t="s">
        <v>4139</v>
      </c>
    </row>
    <row r="11910">
      <c r="A11910" s="2" t="s">
        <v>4967</v>
      </c>
      <c r="B11910" s="2" t="s">
        <v>5023</v>
      </c>
      <c r="C11910" s="2" t="s">
        <v>6389</v>
      </c>
      <c r="D11910" s="3" t="str">
        <f t="shared" si="2720"/>
        <v>12Go Link</v>
      </c>
      <c r="E11910" s="2" t="s">
        <v>3409</v>
      </c>
    </row>
    <row r="11911">
      <c r="A11911" s="2" t="s">
        <v>4967</v>
      </c>
      <c r="B11911" s="2" t="s">
        <v>5025</v>
      </c>
      <c r="C11911" s="2" t="s">
        <v>6390</v>
      </c>
      <c r="D11911" s="3" t="str">
        <f t="shared" ref="D11911:D11913" si="2721">HYPERLINK("https://12go.asia/en/travel/Induruwa/Udawalawa", "12Go Link")</f>
        <v>12Go Link</v>
      </c>
      <c r="E11911" s="2" t="s">
        <v>286</v>
      </c>
    </row>
    <row r="11912">
      <c r="A11912" s="2" t="s">
        <v>4967</v>
      </c>
      <c r="B11912" s="2" t="s">
        <v>5025</v>
      </c>
      <c r="C11912" s="2" t="s">
        <v>6390</v>
      </c>
      <c r="D11912" s="3" t="str">
        <f t="shared" si="2721"/>
        <v>12Go Link</v>
      </c>
      <c r="E11912" s="2" t="s">
        <v>4139</v>
      </c>
    </row>
    <row r="11913">
      <c r="A11913" s="2" t="s">
        <v>4967</v>
      </c>
      <c r="B11913" s="2" t="s">
        <v>5025</v>
      </c>
      <c r="C11913" s="2" t="s">
        <v>6390</v>
      </c>
      <c r="D11913" s="3" t="str">
        <f t="shared" si="2721"/>
        <v>12Go Link</v>
      </c>
      <c r="E11913" s="2" t="s">
        <v>3409</v>
      </c>
    </row>
    <row r="11914">
      <c r="A11914" s="2" t="s">
        <v>4967</v>
      </c>
      <c r="B11914" s="2" t="s">
        <v>5027</v>
      </c>
      <c r="C11914" s="2" t="s">
        <v>6391</v>
      </c>
      <c r="D11914" s="3" t="str">
        <f t="shared" ref="D11914:D11916" si="2722">HYPERLINK("https://12go.asia/en/travel/Induruwa/Unawatuna", "12Go Link")</f>
        <v>12Go Link</v>
      </c>
      <c r="E11914" s="2" t="s">
        <v>286</v>
      </c>
    </row>
    <row r="11915">
      <c r="A11915" s="2" t="s">
        <v>4967</v>
      </c>
      <c r="B11915" s="2" t="s">
        <v>5027</v>
      </c>
      <c r="C11915" s="2" t="s">
        <v>6391</v>
      </c>
      <c r="D11915" s="3" t="str">
        <f t="shared" si="2722"/>
        <v>12Go Link</v>
      </c>
      <c r="E11915" s="2" t="s">
        <v>4139</v>
      </c>
    </row>
    <row r="11916">
      <c r="A11916" s="2" t="s">
        <v>4967</v>
      </c>
      <c r="B11916" s="2" t="s">
        <v>5027</v>
      </c>
      <c r="C11916" s="2" t="s">
        <v>6391</v>
      </c>
      <c r="D11916" s="3" t="str">
        <f t="shared" si="2722"/>
        <v>12Go Link</v>
      </c>
      <c r="E11916" s="2" t="s">
        <v>3409</v>
      </c>
    </row>
    <row r="11917">
      <c r="A11917" s="2" t="s">
        <v>4967</v>
      </c>
      <c r="B11917" s="2" t="s">
        <v>5029</v>
      </c>
      <c r="C11917" s="2" t="s">
        <v>6392</v>
      </c>
      <c r="D11917" s="3" t="str">
        <f t="shared" ref="D11917:D11919" si="2723">HYPERLINK("https://12go.asia/en/travel/Induruwa/Attanagalla", "12Go Link")</f>
        <v>12Go Link</v>
      </c>
      <c r="E11917" s="2" t="s">
        <v>286</v>
      </c>
    </row>
    <row r="11918">
      <c r="A11918" s="2" t="s">
        <v>4967</v>
      </c>
      <c r="B11918" s="2" t="s">
        <v>5029</v>
      </c>
      <c r="C11918" s="2" t="s">
        <v>6392</v>
      </c>
      <c r="D11918" s="3" t="str">
        <f t="shared" si="2723"/>
        <v>12Go Link</v>
      </c>
      <c r="E11918" s="2" t="s">
        <v>4139</v>
      </c>
    </row>
    <row r="11919">
      <c r="A11919" s="2" t="s">
        <v>4967</v>
      </c>
      <c r="B11919" s="2" t="s">
        <v>5029</v>
      </c>
      <c r="C11919" s="2" t="s">
        <v>6392</v>
      </c>
      <c r="D11919" s="3" t="str">
        <f t="shared" si="2723"/>
        <v>12Go Link</v>
      </c>
      <c r="E11919" s="2" t="s">
        <v>3409</v>
      </c>
    </row>
    <row r="11920">
      <c r="A11920" s="2" t="s">
        <v>4967</v>
      </c>
      <c r="B11920" s="2" t="s">
        <v>5031</v>
      </c>
      <c r="C11920" s="2" t="s">
        <v>6393</v>
      </c>
      <c r="D11920" s="3" t="str">
        <f t="shared" ref="D11920:D11922" si="2724">HYPERLINK("https://12go.asia/en/travel/Induruwa/Moronthuduwa", "12Go Link")</f>
        <v>12Go Link</v>
      </c>
      <c r="E11920" s="2" t="s">
        <v>286</v>
      </c>
    </row>
    <row r="11921">
      <c r="A11921" s="2" t="s">
        <v>4967</v>
      </c>
      <c r="B11921" s="2" t="s">
        <v>5031</v>
      </c>
      <c r="C11921" s="2" t="s">
        <v>6393</v>
      </c>
      <c r="D11921" s="3" t="str">
        <f t="shared" si="2724"/>
        <v>12Go Link</v>
      </c>
      <c r="E11921" s="2" t="s">
        <v>4139</v>
      </c>
    </row>
    <row r="11922">
      <c r="A11922" s="2" t="s">
        <v>4967</v>
      </c>
      <c r="B11922" s="2" t="s">
        <v>5031</v>
      </c>
      <c r="C11922" s="2" t="s">
        <v>6393</v>
      </c>
      <c r="D11922" s="3" t="str">
        <f t="shared" si="2724"/>
        <v>12Go Link</v>
      </c>
      <c r="E11922" s="2" t="s">
        <v>3409</v>
      </c>
    </row>
    <row r="11923">
      <c r="A11923" s="2" t="s">
        <v>4967</v>
      </c>
      <c r="B11923" s="2" t="s">
        <v>5031</v>
      </c>
      <c r="C11923" s="2" t="s">
        <v>6394</v>
      </c>
      <c r="D11923" s="3" t="str">
        <f t="shared" ref="D11923:D11925" si="2725">HYPERLINK("https://12go.asia/en/travel/Induruwa/Waskaduwa", "12Go Link")</f>
        <v>12Go Link</v>
      </c>
      <c r="E11923" s="2" t="s">
        <v>286</v>
      </c>
    </row>
    <row r="11924">
      <c r="A11924" s="2" t="s">
        <v>4967</v>
      </c>
      <c r="B11924" s="2" t="s">
        <v>5031</v>
      </c>
      <c r="C11924" s="2" t="s">
        <v>6394</v>
      </c>
      <c r="D11924" s="3" t="str">
        <f t="shared" si="2725"/>
        <v>12Go Link</v>
      </c>
      <c r="E11924" s="2" t="s">
        <v>4139</v>
      </c>
    </row>
    <row r="11925">
      <c r="A11925" s="2" t="s">
        <v>4967</v>
      </c>
      <c r="B11925" s="2" t="s">
        <v>5031</v>
      </c>
      <c r="C11925" s="2" t="s">
        <v>6394</v>
      </c>
      <c r="D11925" s="3" t="str">
        <f t="shared" si="2725"/>
        <v>12Go Link</v>
      </c>
      <c r="E11925" s="2" t="s">
        <v>3409</v>
      </c>
    </row>
    <row r="11926">
      <c r="A11926" s="2" t="s">
        <v>4967</v>
      </c>
      <c r="B11926" s="2" t="s">
        <v>5034</v>
      </c>
      <c r="C11926" s="2" t="s">
        <v>6395</v>
      </c>
      <c r="D11926" s="3" t="str">
        <f t="shared" ref="D11926:D11928" si="2726">HYPERLINK("https://12go.asia/en/travel/Induruwa/Weddagala", "12Go Link")</f>
        <v>12Go Link</v>
      </c>
      <c r="E11926" s="2" t="s">
        <v>286</v>
      </c>
    </row>
    <row r="11927">
      <c r="A11927" s="2" t="s">
        <v>4967</v>
      </c>
      <c r="B11927" s="2" t="s">
        <v>5034</v>
      </c>
      <c r="C11927" s="2" t="s">
        <v>6395</v>
      </c>
      <c r="D11927" s="3" t="str">
        <f t="shared" si="2726"/>
        <v>12Go Link</v>
      </c>
      <c r="E11927" s="2" t="s">
        <v>4139</v>
      </c>
    </row>
    <row r="11928">
      <c r="A11928" s="2" t="s">
        <v>4967</v>
      </c>
      <c r="B11928" s="2" t="s">
        <v>5034</v>
      </c>
      <c r="C11928" s="2" t="s">
        <v>6395</v>
      </c>
      <c r="D11928" s="3" t="str">
        <f t="shared" si="2726"/>
        <v>12Go Link</v>
      </c>
      <c r="E11928" s="2" t="s">
        <v>3409</v>
      </c>
    </row>
    <row r="11929">
      <c r="A11929" s="2" t="s">
        <v>4967</v>
      </c>
      <c r="B11929" s="2" t="s">
        <v>5036</v>
      </c>
      <c r="C11929" s="2" t="s">
        <v>6396</v>
      </c>
      <c r="D11929" s="3" t="str">
        <f t="shared" ref="D11929:D11931" si="2727">HYPERLINK("https://12go.asia/en/travel/Induruwa/Weligatta", "12Go Link")</f>
        <v>12Go Link</v>
      </c>
      <c r="E11929" s="2" t="s">
        <v>286</v>
      </c>
    </row>
    <row r="11930">
      <c r="A11930" s="2" t="s">
        <v>4967</v>
      </c>
      <c r="B11930" s="2" t="s">
        <v>5036</v>
      </c>
      <c r="C11930" s="2" t="s">
        <v>6396</v>
      </c>
      <c r="D11930" s="3" t="str">
        <f t="shared" si="2727"/>
        <v>12Go Link</v>
      </c>
      <c r="E11930" s="2" t="s">
        <v>4139</v>
      </c>
    </row>
    <row r="11931">
      <c r="A11931" s="2" t="s">
        <v>4967</v>
      </c>
      <c r="B11931" s="2" t="s">
        <v>5036</v>
      </c>
      <c r="C11931" s="2" t="s">
        <v>6396</v>
      </c>
      <c r="D11931" s="3" t="str">
        <f t="shared" si="2727"/>
        <v>12Go Link</v>
      </c>
      <c r="E11931" s="2" t="s">
        <v>3409</v>
      </c>
    </row>
    <row r="11932">
      <c r="A11932" s="2" t="s">
        <v>4967</v>
      </c>
      <c r="B11932" s="2" t="s">
        <v>5038</v>
      </c>
      <c r="C11932" s="2" t="s">
        <v>6397</v>
      </c>
      <c r="D11932" s="3" t="str">
        <f t="shared" ref="D11932:D11934" si="2728">HYPERLINK("https://12go.asia/en/travel/Induruwa/Akuressa", "12Go Link")</f>
        <v>12Go Link</v>
      </c>
      <c r="E11932" s="2" t="s">
        <v>286</v>
      </c>
    </row>
    <row r="11933">
      <c r="A11933" s="2" t="s">
        <v>4967</v>
      </c>
      <c r="B11933" s="2" t="s">
        <v>5038</v>
      </c>
      <c r="C11933" s="2" t="s">
        <v>6397</v>
      </c>
      <c r="D11933" s="3" t="str">
        <f t="shared" si="2728"/>
        <v>12Go Link</v>
      </c>
      <c r="E11933" s="2" t="s">
        <v>4139</v>
      </c>
    </row>
    <row r="11934">
      <c r="A11934" s="2" t="s">
        <v>4967</v>
      </c>
      <c r="B11934" s="2" t="s">
        <v>5038</v>
      </c>
      <c r="C11934" s="2" t="s">
        <v>6397</v>
      </c>
      <c r="D11934" s="3" t="str">
        <f t="shared" si="2728"/>
        <v>12Go Link</v>
      </c>
      <c r="E11934" s="2" t="s">
        <v>3409</v>
      </c>
    </row>
    <row r="11935">
      <c r="A11935" s="2" t="s">
        <v>4967</v>
      </c>
      <c r="B11935" s="2" t="s">
        <v>5040</v>
      </c>
      <c r="C11935" s="2" t="s">
        <v>6398</v>
      </c>
      <c r="D11935" s="3" t="str">
        <f t="shared" ref="D11935:D11937" si="2729">HYPERLINK("https://12go.asia/en/travel/Induruwa/Wilpattu", "12Go Link")</f>
        <v>12Go Link</v>
      </c>
      <c r="E11935" s="2" t="s">
        <v>286</v>
      </c>
    </row>
    <row r="11936">
      <c r="A11936" s="2" t="s">
        <v>4967</v>
      </c>
      <c r="B11936" s="2" t="s">
        <v>5040</v>
      </c>
      <c r="C11936" s="2" t="s">
        <v>6398</v>
      </c>
      <c r="D11936" s="3" t="str">
        <f t="shared" si="2729"/>
        <v>12Go Link</v>
      </c>
      <c r="E11936" s="2" t="s">
        <v>4139</v>
      </c>
    </row>
    <row r="11937">
      <c r="A11937" s="2" t="s">
        <v>4967</v>
      </c>
      <c r="B11937" s="2" t="s">
        <v>5040</v>
      </c>
      <c r="C11937" s="2" t="s">
        <v>6398</v>
      </c>
      <c r="D11937" s="3" t="str">
        <f t="shared" si="2729"/>
        <v>12Go Link</v>
      </c>
      <c r="E11937" s="2" t="s">
        <v>3409</v>
      </c>
    </row>
    <row r="11938">
      <c r="A11938" s="2" t="s">
        <v>4969</v>
      </c>
      <c r="B11938" s="2" t="s">
        <v>4918</v>
      </c>
      <c r="C11938" s="2" t="s">
        <v>6399</v>
      </c>
      <c r="D11938" s="3" t="str">
        <f t="shared" ref="D11938:D11940" si="2730">HYPERLINK("https://12go.asia/en/travel/Jaffna/Adams-Peak", "12Go Link")</f>
        <v>12Go Link</v>
      </c>
      <c r="E11938" s="2" t="s">
        <v>286</v>
      </c>
    </row>
    <row r="11939">
      <c r="A11939" s="2" t="s">
        <v>4969</v>
      </c>
      <c r="B11939" s="2" t="s">
        <v>4918</v>
      </c>
      <c r="C11939" s="2" t="s">
        <v>6399</v>
      </c>
      <c r="D11939" s="3" t="str">
        <f t="shared" si="2730"/>
        <v>12Go Link</v>
      </c>
      <c r="E11939" s="2" t="s">
        <v>4139</v>
      </c>
    </row>
    <row r="11940">
      <c r="A11940" s="2" t="s">
        <v>4969</v>
      </c>
      <c r="B11940" s="2" t="s">
        <v>4918</v>
      </c>
      <c r="C11940" s="2" t="s">
        <v>6399</v>
      </c>
      <c r="D11940" s="3" t="str">
        <f t="shared" si="2730"/>
        <v>12Go Link</v>
      </c>
      <c r="E11940" s="2" t="s">
        <v>3409</v>
      </c>
    </row>
    <row r="11941">
      <c r="A11941" s="2" t="s">
        <v>4969</v>
      </c>
      <c r="B11941" s="2" t="s">
        <v>4919</v>
      </c>
      <c r="C11941" s="2" t="s">
        <v>6400</v>
      </c>
      <c r="D11941" s="3" t="str">
        <f t="shared" ref="D11941:D11943" si="2731">HYPERLINK("https://12go.asia/en/travel/Jaffna/Ahangama", "12Go Link")</f>
        <v>12Go Link</v>
      </c>
      <c r="E11941" s="2" t="s">
        <v>286</v>
      </c>
    </row>
    <row r="11942">
      <c r="A11942" s="2" t="s">
        <v>4969</v>
      </c>
      <c r="B11942" s="2" t="s">
        <v>4919</v>
      </c>
      <c r="C11942" s="2" t="s">
        <v>6400</v>
      </c>
      <c r="D11942" s="3" t="str">
        <f t="shared" si="2731"/>
        <v>12Go Link</v>
      </c>
      <c r="E11942" s="2" t="s">
        <v>4139</v>
      </c>
    </row>
    <row r="11943">
      <c r="A11943" s="2" t="s">
        <v>4969</v>
      </c>
      <c r="B11943" s="2" t="s">
        <v>4919</v>
      </c>
      <c r="C11943" s="2" t="s">
        <v>6400</v>
      </c>
      <c r="D11943" s="3" t="str">
        <f t="shared" si="2731"/>
        <v>12Go Link</v>
      </c>
      <c r="E11943" s="2" t="s">
        <v>3409</v>
      </c>
    </row>
    <row r="11944">
      <c r="A11944" s="2" t="s">
        <v>4969</v>
      </c>
      <c r="B11944" s="2" t="s">
        <v>4921</v>
      </c>
      <c r="C11944" s="2" t="s">
        <v>6401</v>
      </c>
      <c r="D11944" s="3" t="str">
        <f t="shared" ref="D11944:D11946" si="2732">HYPERLINK("https://12go.asia/en/travel/Jaffna/Ahungalla", "12Go Link")</f>
        <v>12Go Link</v>
      </c>
      <c r="E11944" s="2" t="s">
        <v>286</v>
      </c>
    </row>
    <row r="11945">
      <c r="A11945" s="2" t="s">
        <v>4969</v>
      </c>
      <c r="B11945" s="2" t="s">
        <v>4921</v>
      </c>
      <c r="C11945" s="2" t="s">
        <v>6401</v>
      </c>
      <c r="D11945" s="3" t="str">
        <f t="shared" si="2732"/>
        <v>12Go Link</v>
      </c>
      <c r="E11945" s="2" t="s">
        <v>4139</v>
      </c>
    </row>
    <row r="11946">
      <c r="A11946" s="2" t="s">
        <v>4969</v>
      </c>
      <c r="B11946" s="2" t="s">
        <v>4921</v>
      </c>
      <c r="C11946" s="2" t="s">
        <v>6401</v>
      </c>
      <c r="D11946" s="3" t="str">
        <f t="shared" si="2732"/>
        <v>12Go Link</v>
      </c>
      <c r="E11946" s="2" t="s">
        <v>3409</v>
      </c>
    </row>
    <row r="11947">
      <c r="A11947" s="2" t="s">
        <v>4969</v>
      </c>
      <c r="B11947" s="2" t="s">
        <v>4923</v>
      </c>
      <c r="C11947" s="2" t="s">
        <v>6402</v>
      </c>
      <c r="D11947" s="3" t="str">
        <f t="shared" ref="D11947:D11949" si="2733">HYPERLINK("https://12go.asia/en/travel/Jaffna/Aluthgama", "12Go Link")</f>
        <v>12Go Link</v>
      </c>
      <c r="E11947" s="2" t="s">
        <v>286</v>
      </c>
    </row>
    <row r="11948">
      <c r="A11948" s="2" t="s">
        <v>4969</v>
      </c>
      <c r="B11948" s="2" t="s">
        <v>4923</v>
      </c>
      <c r="C11948" s="2" t="s">
        <v>6402</v>
      </c>
      <c r="D11948" s="3" t="str">
        <f t="shared" si="2733"/>
        <v>12Go Link</v>
      </c>
      <c r="E11948" s="2" t="s">
        <v>4139</v>
      </c>
    </row>
    <row r="11949">
      <c r="A11949" s="2" t="s">
        <v>4969</v>
      </c>
      <c r="B11949" s="2" t="s">
        <v>4923</v>
      </c>
      <c r="C11949" s="2" t="s">
        <v>6402</v>
      </c>
      <c r="D11949" s="3" t="str">
        <f t="shared" si="2733"/>
        <v>12Go Link</v>
      </c>
      <c r="E11949" s="2" t="s">
        <v>3409</v>
      </c>
    </row>
    <row r="11950">
      <c r="A11950" s="2" t="s">
        <v>4969</v>
      </c>
      <c r="B11950" s="2" t="s">
        <v>4925</v>
      </c>
      <c r="C11950" s="2" t="s">
        <v>6403</v>
      </c>
      <c r="D11950" s="3" t="str">
        <f t="shared" ref="D11950:D11952" si="2734">HYPERLINK("https://12go.asia/en/travel/Jaffna/Ambalangoda", "12Go Link")</f>
        <v>12Go Link</v>
      </c>
      <c r="E11950" s="2" t="s">
        <v>286</v>
      </c>
    </row>
    <row r="11951">
      <c r="A11951" s="2" t="s">
        <v>4969</v>
      </c>
      <c r="B11951" s="2" t="s">
        <v>4925</v>
      </c>
      <c r="C11951" s="2" t="s">
        <v>6403</v>
      </c>
      <c r="D11951" s="3" t="str">
        <f t="shared" si="2734"/>
        <v>12Go Link</v>
      </c>
      <c r="E11951" s="2" t="s">
        <v>4139</v>
      </c>
    </row>
    <row r="11952">
      <c r="A11952" s="2" t="s">
        <v>4969</v>
      </c>
      <c r="B11952" s="2" t="s">
        <v>4925</v>
      </c>
      <c r="C11952" s="2" t="s">
        <v>6403</v>
      </c>
      <c r="D11952" s="3" t="str">
        <f t="shared" si="2734"/>
        <v>12Go Link</v>
      </c>
      <c r="E11952" s="2" t="s">
        <v>3409</v>
      </c>
    </row>
    <row r="11953">
      <c r="A11953" s="2" t="s">
        <v>4969</v>
      </c>
      <c r="B11953" s="2" t="s">
        <v>4927</v>
      </c>
      <c r="C11953" s="2" t="s">
        <v>6404</v>
      </c>
      <c r="D11953" s="3" t="str">
        <f t="shared" ref="D11953:D11955" si="2735">HYPERLINK("https://12go.asia/en/travel/Jaffna/Ambalantota", "12Go Link")</f>
        <v>12Go Link</v>
      </c>
      <c r="E11953" s="2" t="s">
        <v>286</v>
      </c>
    </row>
    <row r="11954">
      <c r="A11954" s="2" t="s">
        <v>4969</v>
      </c>
      <c r="B11954" s="2" t="s">
        <v>4927</v>
      </c>
      <c r="C11954" s="2" t="s">
        <v>6404</v>
      </c>
      <c r="D11954" s="3" t="str">
        <f t="shared" si="2735"/>
        <v>12Go Link</v>
      </c>
      <c r="E11954" s="2" t="s">
        <v>4139</v>
      </c>
    </row>
    <row r="11955">
      <c r="A11955" s="2" t="s">
        <v>4969</v>
      </c>
      <c r="B11955" s="2" t="s">
        <v>4927</v>
      </c>
      <c r="C11955" s="2" t="s">
        <v>6404</v>
      </c>
      <c r="D11955" s="3" t="str">
        <f t="shared" si="2735"/>
        <v>12Go Link</v>
      </c>
      <c r="E11955" s="2" t="s">
        <v>3409</v>
      </c>
    </row>
    <row r="11956">
      <c r="A11956" s="2" t="s">
        <v>4969</v>
      </c>
      <c r="B11956" s="2" t="s">
        <v>4929</v>
      </c>
      <c r="C11956" s="2" t="s">
        <v>6405</v>
      </c>
      <c r="D11956" s="3" t="str">
        <f t="shared" ref="D11956:D11958" si="2736">HYPERLINK("https://12go.asia/en/travel/Jaffna/Anuradhapura", "12Go Link")</f>
        <v>12Go Link</v>
      </c>
      <c r="E11956" s="2" t="s">
        <v>286</v>
      </c>
    </row>
    <row r="11957">
      <c r="A11957" s="2" t="s">
        <v>4969</v>
      </c>
      <c r="B11957" s="2" t="s">
        <v>4929</v>
      </c>
      <c r="C11957" s="2" t="s">
        <v>6405</v>
      </c>
      <c r="D11957" s="3" t="str">
        <f t="shared" si="2736"/>
        <v>12Go Link</v>
      </c>
      <c r="E11957" s="2" t="s">
        <v>4139</v>
      </c>
    </row>
    <row r="11958">
      <c r="A11958" s="2" t="s">
        <v>4969</v>
      </c>
      <c r="B11958" s="2" t="s">
        <v>4929</v>
      </c>
      <c r="C11958" s="2" t="s">
        <v>6405</v>
      </c>
      <c r="D11958" s="3" t="str">
        <f t="shared" si="2736"/>
        <v>12Go Link</v>
      </c>
      <c r="E11958" s="2" t="s">
        <v>3409</v>
      </c>
    </row>
    <row r="11959">
      <c r="A11959" s="2" t="s">
        <v>4969</v>
      </c>
      <c r="B11959" s="2" t="s">
        <v>4931</v>
      </c>
      <c r="C11959" s="2" t="s">
        <v>6406</v>
      </c>
      <c r="D11959" s="3" t="str">
        <f t="shared" ref="D11959:D11961" si="2737">HYPERLINK("https://12go.asia/en/travel/Jaffna/Arugam-bay", "12Go Link")</f>
        <v>12Go Link</v>
      </c>
      <c r="E11959" s="2" t="s">
        <v>286</v>
      </c>
    </row>
    <row r="11960">
      <c r="A11960" s="2" t="s">
        <v>4969</v>
      </c>
      <c r="B11960" s="2" t="s">
        <v>4931</v>
      </c>
      <c r="C11960" s="2" t="s">
        <v>6406</v>
      </c>
      <c r="D11960" s="3" t="str">
        <f t="shared" si="2737"/>
        <v>12Go Link</v>
      </c>
      <c r="E11960" s="2" t="s">
        <v>4139</v>
      </c>
    </row>
    <row r="11961">
      <c r="A11961" s="2" t="s">
        <v>4969</v>
      </c>
      <c r="B11961" s="2" t="s">
        <v>4931</v>
      </c>
      <c r="C11961" s="2" t="s">
        <v>6406</v>
      </c>
      <c r="D11961" s="3" t="str">
        <f t="shared" si="2737"/>
        <v>12Go Link</v>
      </c>
      <c r="E11961" s="2" t="s">
        <v>3409</v>
      </c>
    </row>
    <row r="11962">
      <c r="A11962" s="2" t="s">
        <v>4969</v>
      </c>
      <c r="B11962" s="2" t="s">
        <v>4933</v>
      </c>
      <c r="C11962" s="2" t="s">
        <v>6407</v>
      </c>
      <c r="D11962" s="3" t="str">
        <f t="shared" ref="D11962:D11964" si="2738">HYPERLINK("https://12go.asia/en/travel/Jaffna/balapitiya", "12Go Link")</f>
        <v>12Go Link</v>
      </c>
      <c r="E11962" s="2" t="s">
        <v>286</v>
      </c>
    </row>
    <row r="11963">
      <c r="A11963" s="2" t="s">
        <v>4969</v>
      </c>
      <c r="B11963" s="2" t="s">
        <v>4933</v>
      </c>
      <c r="C11963" s="2" t="s">
        <v>6407</v>
      </c>
      <c r="D11963" s="3" t="str">
        <f t="shared" si="2738"/>
        <v>12Go Link</v>
      </c>
      <c r="E11963" s="2" t="s">
        <v>4139</v>
      </c>
    </row>
    <row r="11964">
      <c r="A11964" s="2" t="s">
        <v>4969</v>
      </c>
      <c r="B11964" s="2" t="s">
        <v>4933</v>
      </c>
      <c r="C11964" s="2" t="s">
        <v>6407</v>
      </c>
      <c r="D11964" s="3" t="str">
        <f t="shared" si="2738"/>
        <v>12Go Link</v>
      </c>
      <c r="E11964" s="2" t="s">
        <v>3409</v>
      </c>
    </row>
    <row r="11965">
      <c r="A11965" s="2" t="s">
        <v>4969</v>
      </c>
      <c r="B11965" s="2" t="s">
        <v>4935</v>
      </c>
      <c r="C11965" s="2" t="s">
        <v>6408</v>
      </c>
      <c r="D11965" s="3" t="str">
        <f t="shared" ref="D11965:D11967" si="2739">HYPERLINK("https://12go.asia/en/travel/Jaffna/Batticaloa", "12Go Link")</f>
        <v>12Go Link</v>
      </c>
      <c r="E11965" s="2" t="s">
        <v>286</v>
      </c>
    </row>
    <row r="11966">
      <c r="A11966" s="2" t="s">
        <v>4969</v>
      </c>
      <c r="B11966" s="2" t="s">
        <v>4935</v>
      </c>
      <c r="C11966" s="2" t="s">
        <v>6408</v>
      </c>
      <c r="D11966" s="3" t="str">
        <f t="shared" si="2739"/>
        <v>12Go Link</v>
      </c>
      <c r="E11966" s="2" t="s">
        <v>4139</v>
      </c>
    </row>
    <row r="11967">
      <c r="A11967" s="2" t="s">
        <v>4969</v>
      </c>
      <c r="B11967" s="2" t="s">
        <v>4935</v>
      </c>
      <c r="C11967" s="2" t="s">
        <v>6408</v>
      </c>
      <c r="D11967" s="3" t="str">
        <f t="shared" si="2739"/>
        <v>12Go Link</v>
      </c>
      <c r="E11967" s="2" t="s">
        <v>3409</v>
      </c>
    </row>
    <row r="11968">
      <c r="A11968" s="2" t="s">
        <v>4969</v>
      </c>
      <c r="B11968" s="2" t="s">
        <v>4937</v>
      </c>
      <c r="C11968" s="2" t="s">
        <v>6409</v>
      </c>
      <c r="D11968" s="3" t="str">
        <f t="shared" ref="D11968:D11970" si="2740">HYPERLINK("https://12go.asia/en/travel/Jaffna/Bentota", "12Go Link")</f>
        <v>12Go Link</v>
      </c>
      <c r="E11968" s="2" t="s">
        <v>286</v>
      </c>
    </row>
    <row r="11969">
      <c r="A11969" s="2" t="s">
        <v>4969</v>
      </c>
      <c r="B11969" s="2" t="s">
        <v>4937</v>
      </c>
      <c r="C11969" s="2" t="s">
        <v>6409</v>
      </c>
      <c r="D11969" s="3" t="str">
        <f t="shared" si="2740"/>
        <v>12Go Link</v>
      </c>
      <c r="E11969" s="2" t="s">
        <v>4139</v>
      </c>
    </row>
    <row r="11970">
      <c r="A11970" s="2" t="s">
        <v>4969</v>
      </c>
      <c r="B11970" s="2" t="s">
        <v>4937</v>
      </c>
      <c r="C11970" s="2" t="s">
        <v>6409</v>
      </c>
      <c r="D11970" s="3" t="str">
        <f t="shared" si="2740"/>
        <v>12Go Link</v>
      </c>
      <c r="E11970" s="2" t="s">
        <v>3409</v>
      </c>
    </row>
    <row r="11971">
      <c r="A11971" s="2" t="s">
        <v>4969</v>
      </c>
      <c r="B11971" s="2" t="s">
        <v>4939</v>
      </c>
      <c r="C11971" s="2" t="s">
        <v>6410</v>
      </c>
      <c r="D11971" s="3" t="str">
        <f t="shared" ref="D11971:D11973" si="2741">HYPERLINK("https://12go.asia/en/travel/Jaffna/Beruwala", "12Go Link")</f>
        <v>12Go Link</v>
      </c>
      <c r="E11971" s="2" t="s">
        <v>286</v>
      </c>
    </row>
    <row r="11972">
      <c r="A11972" s="2" t="s">
        <v>4969</v>
      </c>
      <c r="B11972" s="2" t="s">
        <v>4939</v>
      </c>
      <c r="C11972" s="2" t="s">
        <v>6410</v>
      </c>
      <c r="D11972" s="3" t="str">
        <f t="shared" si="2741"/>
        <v>12Go Link</v>
      </c>
      <c r="E11972" s="2" t="s">
        <v>4139</v>
      </c>
    </row>
    <row r="11973">
      <c r="A11973" s="2" t="s">
        <v>4969</v>
      </c>
      <c r="B11973" s="2" t="s">
        <v>4939</v>
      </c>
      <c r="C11973" s="2" t="s">
        <v>6410</v>
      </c>
      <c r="D11973" s="3" t="str">
        <f t="shared" si="2741"/>
        <v>12Go Link</v>
      </c>
      <c r="E11973" s="2" t="s">
        <v>3409</v>
      </c>
    </row>
    <row r="11974">
      <c r="A11974" s="2" t="s">
        <v>4969</v>
      </c>
      <c r="B11974" s="2" t="s">
        <v>4941</v>
      </c>
      <c r="C11974" s="2" t="s">
        <v>6411</v>
      </c>
      <c r="D11974" s="3" t="str">
        <f t="shared" ref="D11974:D11976" si="2742">HYPERLINK("https://12go.asia/en/travel/Jaffna/Bundala", "12Go Link")</f>
        <v>12Go Link</v>
      </c>
      <c r="E11974" s="2" t="s">
        <v>286</v>
      </c>
    </row>
    <row r="11975">
      <c r="A11975" s="2" t="s">
        <v>4969</v>
      </c>
      <c r="B11975" s="2" t="s">
        <v>4941</v>
      </c>
      <c r="C11975" s="2" t="s">
        <v>6411</v>
      </c>
      <c r="D11975" s="3" t="str">
        <f t="shared" si="2742"/>
        <v>12Go Link</v>
      </c>
      <c r="E11975" s="2" t="s">
        <v>4139</v>
      </c>
    </row>
    <row r="11976">
      <c r="A11976" s="2" t="s">
        <v>4969</v>
      </c>
      <c r="B11976" s="2" t="s">
        <v>4941</v>
      </c>
      <c r="C11976" s="2" t="s">
        <v>6411</v>
      </c>
      <c r="D11976" s="3" t="str">
        <f t="shared" si="2742"/>
        <v>12Go Link</v>
      </c>
      <c r="E11976" s="2" t="s">
        <v>3409</v>
      </c>
    </row>
    <row r="11977">
      <c r="A11977" s="2" t="s">
        <v>4969</v>
      </c>
      <c r="B11977" s="2" t="s">
        <v>4943</v>
      </c>
      <c r="C11977" s="2" t="s">
        <v>6412</v>
      </c>
      <c r="D11977" s="3" t="str">
        <f t="shared" ref="D11977:D11979" si="2743">HYPERLINK("https://12go.asia/en/travel/Jaffna/Bambalapitiya", "12Go Link")</f>
        <v>12Go Link</v>
      </c>
      <c r="E11977" s="2" t="s">
        <v>286</v>
      </c>
    </row>
    <row r="11978">
      <c r="A11978" s="2" t="s">
        <v>4969</v>
      </c>
      <c r="B11978" s="2" t="s">
        <v>4943</v>
      </c>
      <c r="C11978" s="2" t="s">
        <v>6412</v>
      </c>
      <c r="D11978" s="3" t="str">
        <f t="shared" si="2743"/>
        <v>12Go Link</v>
      </c>
      <c r="E11978" s="2" t="s">
        <v>4139</v>
      </c>
    </row>
    <row r="11979">
      <c r="A11979" s="2" t="s">
        <v>4969</v>
      </c>
      <c r="B11979" s="2" t="s">
        <v>4943</v>
      </c>
      <c r="C11979" s="2" t="s">
        <v>6412</v>
      </c>
      <c r="D11979" s="3" t="str">
        <f t="shared" si="2743"/>
        <v>12Go Link</v>
      </c>
      <c r="E11979" s="2" t="s">
        <v>3409</v>
      </c>
    </row>
    <row r="11980">
      <c r="A11980" s="2" t="s">
        <v>4969</v>
      </c>
      <c r="B11980" s="2" t="s">
        <v>4945</v>
      </c>
      <c r="C11980" s="2" t="s">
        <v>6413</v>
      </c>
      <c r="D11980" s="3" t="str">
        <f t="shared" ref="D11980:D11982" si="2744">HYPERLINK("https://12go.asia/en/travel/Jaffna/Bandaranaike-Airport", "12Go Link")</f>
        <v>12Go Link</v>
      </c>
      <c r="E11980" s="2" t="s">
        <v>286</v>
      </c>
    </row>
    <row r="11981">
      <c r="A11981" s="2" t="s">
        <v>4969</v>
      </c>
      <c r="B11981" s="2" t="s">
        <v>4945</v>
      </c>
      <c r="C11981" s="2" t="s">
        <v>6413</v>
      </c>
      <c r="D11981" s="3" t="str">
        <f t="shared" si="2744"/>
        <v>12Go Link</v>
      </c>
      <c r="E11981" s="2" t="s">
        <v>4139</v>
      </c>
    </row>
    <row r="11982">
      <c r="A11982" s="2" t="s">
        <v>4969</v>
      </c>
      <c r="B11982" s="2" t="s">
        <v>4945</v>
      </c>
      <c r="C11982" s="2" t="s">
        <v>6413</v>
      </c>
      <c r="D11982" s="3" t="str">
        <f t="shared" si="2744"/>
        <v>12Go Link</v>
      </c>
      <c r="E11982" s="2" t="s">
        <v>3409</v>
      </c>
    </row>
    <row r="11983">
      <c r="A11983" s="2" t="s">
        <v>4969</v>
      </c>
      <c r="B11983" s="2" t="s">
        <v>4947</v>
      </c>
      <c r="C11983" s="2" t="s">
        <v>6414</v>
      </c>
      <c r="D11983" s="3" t="str">
        <f t="shared" ref="D11983:D11985" si="2745">HYPERLINK("https://12go.asia/en/travel/Jaffna/Dambulla", "12Go Link")</f>
        <v>12Go Link</v>
      </c>
      <c r="E11983" s="2" t="s">
        <v>286</v>
      </c>
    </row>
    <row r="11984">
      <c r="A11984" s="2" t="s">
        <v>4969</v>
      </c>
      <c r="B11984" s="2" t="s">
        <v>4947</v>
      </c>
      <c r="C11984" s="2" t="s">
        <v>6414</v>
      </c>
      <c r="D11984" s="3" t="str">
        <f t="shared" si="2745"/>
        <v>12Go Link</v>
      </c>
      <c r="E11984" s="2" t="s">
        <v>4139</v>
      </c>
    </row>
    <row r="11985">
      <c r="A11985" s="2" t="s">
        <v>4969</v>
      </c>
      <c r="B11985" s="2" t="s">
        <v>4947</v>
      </c>
      <c r="C11985" s="2" t="s">
        <v>6414</v>
      </c>
      <c r="D11985" s="3" t="str">
        <f t="shared" si="2745"/>
        <v>12Go Link</v>
      </c>
      <c r="E11985" s="2" t="s">
        <v>3409</v>
      </c>
    </row>
    <row r="11986">
      <c r="A11986" s="2" t="s">
        <v>4969</v>
      </c>
      <c r="B11986" s="2" t="s">
        <v>4949</v>
      </c>
      <c r="C11986" s="2" t="s">
        <v>6415</v>
      </c>
      <c r="D11986" s="3" t="str">
        <f t="shared" ref="D11986:D11988" si="2746">HYPERLINK("https://12go.asia/en/travel/Jaffna/Deniyaya", "12Go Link")</f>
        <v>12Go Link</v>
      </c>
      <c r="E11986" s="2" t="s">
        <v>286</v>
      </c>
    </row>
    <row r="11987">
      <c r="A11987" s="2" t="s">
        <v>4969</v>
      </c>
      <c r="B11987" s="2" t="s">
        <v>4949</v>
      </c>
      <c r="C11987" s="2" t="s">
        <v>6415</v>
      </c>
      <c r="D11987" s="3" t="str">
        <f t="shared" si="2746"/>
        <v>12Go Link</v>
      </c>
      <c r="E11987" s="2" t="s">
        <v>4139</v>
      </c>
    </row>
    <row r="11988">
      <c r="A11988" s="2" t="s">
        <v>4969</v>
      </c>
      <c r="B11988" s="2" t="s">
        <v>4949</v>
      </c>
      <c r="C11988" s="2" t="s">
        <v>6415</v>
      </c>
      <c r="D11988" s="3" t="str">
        <f t="shared" si="2746"/>
        <v>12Go Link</v>
      </c>
      <c r="E11988" s="2" t="s">
        <v>3409</v>
      </c>
    </row>
    <row r="11989">
      <c r="A11989" s="2" t="s">
        <v>4969</v>
      </c>
      <c r="B11989" s="2" t="s">
        <v>4951</v>
      </c>
      <c r="C11989" s="2" t="s">
        <v>6416</v>
      </c>
      <c r="D11989" s="3" t="str">
        <f t="shared" ref="D11989:D11991" si="2747">HYPERLINK("https://12go.asia/en/travel/Jaffna/Dickwella", "12Go Link")</f>
        <v>12Go Link</v>
      </c>
      <c r="E11989" s="2" t="s">
        <v>286</v>
      </c>
    </row>
    <row r="11990">
      <c r="A11990" s="2" t="s">
        <v>4969</v>
      </c>
      <c r="B11990" s="2" t="s">
        <v>4951</v>
      </c>
      <c r="C11990" s="2" t="s">
        <v>6416</v>
      </c>
      <c r="D11990" s="3" t="str">
        <f t="shared" si="2747"/>
        <v>12Go Link</v>
      </c>
      <c r="E11990" s="2" t="s">
        <v>4139</v>
      </c>
    </row>
    <row r="11991">
      <c r="A11991" s="2" t="s">
        <v>4969</v>
      </c>
      <c r="B11991" s="2" t="s">
        <v>4951</v>
      </c>
      <c r="C11991" s="2" t="s">
        <v>6416</v>
      </c>
      <c r="D11991" s="3" t="str">
        <f t="shared" si="2747"/>
        <v>12Go Link</v>
      </c>
      <c r="E11991" s="2" t="s">
        <v>3409</v>
      </c>
    </row>
    <row r="11992">
      <c r="A11992" s="2" t="s">
        <v>4969</v>
      </c>
      <c r="B11992" s="2" t="s">
        <v>4951</v>
      </c>
      <c r="C11992" s="2" t="s">
        <v>6417</v>
      </c>
      <c r="D11992" s="3" t="str">
        <f t="shared" ref="D11992:D11994" si="2748">HYPERLINK("https://12go.asia/en/travel/Jaffna/Hiriketiya-beach", "12Go Link")</f>
        <v>12Go Link</v>
      </c>
      <c r="E11992" s="2" t="s">
        <v>286</v>
      </c>
    </row>
    <row r="11993">
      <c r="A11993" s="2" t="s">
        <v>4969</v>
      </c>
      <c r="B11993" s="2" t="s">
        <v>4951</v>
      </c>
      <c r="C11993" s="2" t="s">
        <v>6417</v>
      </c>
      <c r="D11993" s="3" t="str">
        <f t="shared" si="2748"/>
        <v>12Go Link</v>
      </c>
      <c r="E11993" s="2" t="s">
        <v>4139</v>
      </c>
    </row>
    <row r="11994">
      <c r="A11994" s="2" t="s">
        <v>4969</v>
      </c>
      <c r="B11994" s="2" t="s">
        <v>4951</v>
      </c>
      <c r="C11994" s="2" t="s">
        <v>6417</v>
      </c>
      <c r="D11994" s="3" t="str">
        <f t="shared" si="2748"/>
        <v>12Go Link</v>
      </c>
      <c r="E11994" s="2" t="s">
        <v>3409</v>
      </c>
    </row>
    <row r="11995">
      <c r="A11995" s="2" t="s">
        <v>4969</v>
      </c>
      <c r="B11995" s="2" t="s">
        <v>4954</v>
      </c>
      <c r="C11995" s="2" t="s">
        <v>6418</v>
      </c>
      <c r="D11995" s="3" t="str">
        <f t="shared" ref="D11995:D11997" si="2749">HYPERLINK("https://12go.asia/en/travel/Jaffna/Galle", "12Go Link")</f>
        <v>12Go Link</v>
      </c>
      <c r="E11995" s="2" t="s">
        <v>286</v>
      </c>
    </row>
    <row r="11996">
      <c r="A11996" s="2" t="s">
        <v>4969</v>
      </c>
      <c r="B11996" s="2" t="s">
        <v>4954</v>
      </c>
      <c r="C11996" s="2" t="s">
        <v>6418</v>
      </c>
      <c r="D11996" s="3" t="str">
        <f t="shared" si="2749"/>
        <v>12Go Link</v>
      </c>
      <c r="E11996" s="2" t="s">
        <v>4139</v>
      </c>
    </row>
    <row r="11997">
      <c r="A11997" s="2" t="s">
        <v>4969</v>
      </c>
      <c r="B11997" s="2" t="s">
        <v>4954</v>
      </c>
      <c r="C11997" s="2" t="s">
        <v>6418</v>
      </c>
      <c r="D11997" s="3" t="str">
        <f t="shared" si="2749"/>
        <v>12Go Link</v>
      </c>
      <c r="E11997" s="2" t="s">
        <v>3409</v>
      </c>
    </row>
    <row r="11998">
      <c r="A11998" s="2" t="s">
        <v>4969</v>
      </c>
      <c r="B11998" s="2" t="s">
        <v>4954</v>
      </c>
      <c r="C11998" s="2" t="s">
        <v>6419</v>
      </c>
      <c r="D11998" s="3" t="str">
        <f t="shared" ref="D11998:D12000" si="2750">HYPERLINK("https://12go.asia/en/travel/Jaffna/Talpe", "12Go Link")</f>
        <v>12Go Link</v>
      </c>
      <c r="E11998" s="2" t="s">
        <v>286</v>
      </c>
    </row>
    <row r="11999">
      <c r="A11999" s="2" t="s">
        <v>4969</v>
      </c>
      <c r="B11999" s="2" t="s">
        <v>4954</v>
      </c>
      <c r="C11999" s="2" t="s">
        <v>6419</v>
      </c>
      <c r="D11999" s="3" t="str">
        <f t="shared" si="2750"/>
        <v>12Go Link</v>
      </c>
      <c r="E11999" s="2" t="s">
        <v>4139</v>
      </c>
    </row>
    <row r="12000">
      <c r="A12000" s="2" t="s">
        <v>4969</v>
      </c>
      <c r="B12000" s="2" t="s">
        <v>4954</v>
      </c>
      <c r="C12000" s="2" t="s">
        <v>6419</v>
      </c>
      <c r="D12000" s="3" t="str">
        <f t="shared" si="2750"/>
        <v>12Go Link</v>
      </c>
      <c r="E12000" s="2" t="s">
        <v>3409</v>
      </c>
    </row>
    <row r="12001">
      <c r="A12001" s="2" t="s">
        <v>4969</v>
      </c>
      <c r="B12001" s="2" t="s">
        <v>4957</v>
      </c>
      <c r="C12001" s="2" t="s">
        <v>6420</v>
      </c>
      <c r="D12001" s="3" t="str">
        <f t="shared" ref="D12001:D12003" si="2751">HYPERLINK("https://12go.asia/en/travel/Jaffna/Habarana", "12Go Link")</f>
        <v>12Go Link</v>
      </c>
      <c r="E12001" s="2" t="s">
        <v>286</v>
      </c>
    </row>
    <row r="12002">
      <c r="A12002" s="2" t="s">
        <v>4969</v>
      </c>
      <c r="B12002" s="2" t="s">
        <v>4957</v>
      </c>
      <c r="C12002" s="2" t="s">
        <v>6420</v>
      </c>
      <c r="D12002" s="3" t="str">
        <f t="shared" si="2751"/>
        <v>12Go Link</v>
      </c>
      <c r="E12002" s="2" t="s">
        <v>4139</v>
      </c>
    </row>
    <row r="12003">
      <c r="A12003" s="2" t="s">
        <v>4969</v>
      </c>
      <c r="B12003" s="2" t="s">
        <v>4957</v>
      </c>
      <c r="C12003" s="2" t="s">
        <v>6420</v>
      </c>
      <c r="D12003" s="3" t="str">
        <f t="shared" si="2751"/>
        <v>12Go Link</v>
      </c>
      <c r="E12003" s="2" t="s">
        <v>3409</v>
      </c>
    </row>
    <row r="12004">
      <c r="A12004" s="2" t="s">
        <v>4969</v>
      </c>
      <c r="B12004" s="2" t="s">
        <v>4959</v>
      </c>
      <c r="C12004" s="2" t="s">
        <v>6421</v>
      </c>
      <c r="D12004" s="3" t="str">
        <f t="shared" ref="D12004:D12006" si="2752">HYPERLINK("https://12go.asia/en/travel/Jaffna/Ella", "12Go Link")</f>
        <v>12Go Link</v>
      </c>
      <c r="E12004" s="2" t="s">
        <v>286</v>
      </c>
    </row>
    <row r="12005">
      <c r="A12005" s="2" t="s">
        <v>4969</v>
      </c>
      <c r="B12005" s="2" t="s">
        <v>4959</v>
      </c>
      <c r="C12005" s="2" t="s">
        <v>6421</v>
      </c>
      <c r="D12005" s="3" t="str">
        <f t="shared" si="2752"/>
        <v>12Go Link</v>
      </c>
      <c r="E12005" s="2" t="s">
        <v>4139</v>
      </c>
    </row>
    <row r="12006">
      <c r="A12006" s="2" t="s">
        <v>4969</v>
      </c>
      <c r="B12006" s="2" t="s">
        <v>4959</v>
      </c>
      <c r="C12006" s="2" t="s">
        <v>6421</v>
      </c>
      <c r="D12006" s="3" t="str">
        <f t="shared" si="2752"/>
        <v>12Go Link</v>
      </c>
      <c r="E12006" s="2" t="s">
        <v>3409</v>
      </c>
    </row>
    <row r="12007">
      <c r="A12007" s="2" t="s">
        <v>4969</v>
      </c>
      <c r="B12007" s="2" t="s">
        <v>4961</v>
      </c>
      <c r="C12007" s="2" t="s">
        <v>6422</v>
      </c>
      <c r="D12007" s="3" t="str">
        <f t="shared" ref="D12007:D12009" si="2753">HYPERLINK("https://12go.asia/en/travel/Jaffna/Beragala", "12Go Link")</f>
        <v>12Go Link</v>
      </c>
      <c r="E12007" s="2" t="s">
        <v>286</v>
      </c>
    </row>
    <row r="12008">
      <c r="A12008" s="2" t="s">
        <v>4969</v>
      </c>
      <c r="B12008" s="2" t="s">
        <v>4961</v>
      </c>
      <c r="C12008" s="2" t="s">
        <v>6422</v>
      </c>
      <c r="D12008" s="3" t="str">
        <f t="shared" si="2753"/>
        <v>12Go Link</v>
      </c>
      <c r="E12008" s="2" t="s">
        <v>4139</v>
      </c>
    </row>
    <row r="12009">
      <c r="A12009" s="2" t="s">
        <v>4969</v>
      </c>
      <c r="B12009" s="2" t="s">
        <v>4961</v>
      </c>
      <c r="C12009" s="2" t="s">
        <v>6422</v>
      </c>
      <c r="D12009" s="3" t="str">
        <f t="shared" si="2753"/>
        <v>12Go Link</v>
      </c>
      <c r="E12009" s="2" t="s">
        <v>3409</v>
      </c>
    </row>
    <row r="12010">
      <c r="A12010" s="2" t="s">
        <v>4969</v>
      </c>
      <c r="B12010" s="2" t="s">
        <v>4963</v>
      </c>
      <c r="C12010" s="2" t="s">
        <v>6423</v>
      </c>
      <c r="D12010" s="3" t="str">
        <f t="shared" ref="D12010:D12012" si="2754">HYPERLINK("https://12go.asia/en/travel/Jaffna/Dick-oya", "12Go Link")</f>
        <v>12Go Link</v>
      </c>
      <c r="E12010" s="2" t="s">
        <v>286</v>
      </c>
    </row>
    <row r="12011">
      <c r="A12011" s="2" t="s">
        <v>4969</v>
      </c>
      <c r="B12011" s="2" t="s">
        <v>4963</v>
      </c>
      <c r="C12011" s="2" t="s">
        <v>6423</v>
      </c>
      <c r="D12011" s="3" t="str">
        <f t="shared" si="2754"/>
        <v>12Go Link</v>
      </c>
      <c r="E12011" s="2" t="s">
        <v>4139</v>
      </c>
    </row>
    <row r="12012">
      <c r="A12012" s="2" t="s">
        <v>4969</v>
      </c>
      <c r="B12012" s="2" t="s">
        <v>4963</v>
      </c>
      <c r="C12012" s="2" t="s">
        <v>6423</v>
      </c>
      <c r="D12012" s="3" t="str">
        <f t="shared" si="2754"/>
        <v>12Go Link</v>
      </c>
      <c r="E12012" s="2" t="s">
        <v>3409</v>
      </c>
    </row>
    <row r="12013">
      <c r="A12013" s="2" t="s">
        <v>4969</v>
      </c>
      <c r="B12013" s="2" t="s">
        <v>4965</v>
      </c>
      <c r="C12013" s="2" t="s">
        <v>6424</v>
      </c>
      <c r="D12013" s="3" t="str">
        <f t="shared" ref="D12013:D12015" si="2755">HYPERLINK("https://12go.asia/en/travel/Jaffna/Dodanduwa", "12Go Link")</f>
        <v>12Go Link</v>
      </c>
      <c r="E12013" s="2" t="s">
        <v>286</v>
      </c>
    </row>
    <row r="12014">
      <c r="A12014" s="2" t="s">
        <v>4969</v>
      </c>
      <c r="B12014" s="2" t="s">
        <v>4965</v>
      </c>
      <c r="C12014" s="2" t="s">
        <v>6424</v>
      </c>
      <c r="D12014" s="3" t="str">
        <f t="shared" si="2755"/>
        <v>12Go Link</v>
      </c>
      <c r="E12014" s="2" t="s">
        <v>4139</v>
      </c>
    </row>
    <row r="12015">
      <c r="A12015" s="2" t="s">
        <v>4969</v>
      </c>
      <c r="B12015" s="2" t="s">
        <v>4965</v>
      </c>
      <c r="C12015" s="2" t="s">
        <v>6424</v>
      </c>
      <c r="D12015" s="3" t="str">
        <f t="shared" si="2755"/>
        <v>12Go Link</v>
      </c>
      <c r="E12015" s="2" t="s">
        <v>3409</v>
      </c>
    </row>
    <row r="12016">
      <c r="A12016" s="2" t="s">
        <v>4969</v>
      </c>
      <c r="B12016" s="2" t="s">
        <v>4967</v>
      </c>
      <c r="C12016" s="2" t="s">
        <v>6425</v>
      </c>
      <c r="D12016" s="3" t="str">
        <f t="shared" ref="D12016:D12018" si="2756">HYPERLINK("https://12go.asia/en/travel/Jaffna/Induruwa", "12Go Link")</f>
        <v>12Go Link</v>
      </c>
      <c r="E12016" s="2" t="s">
        <v>286</v>
      </c>
    </row>
    <row r="12017">
      <c r="A12017" s="2" t="s">
        <v>4969</v>
      </c>
      <c r="B12017" s="2" t="s">
        <v>4967</v>
      </c>
      <c r="C12017" s="2" t="s">
        <v>6425</v>
      </c>
      <c r="D12017" s="3" t="str">
        <f t="shared" si="2756"/>
        <v>12Go Link</v>
      </c>
      <c r="E12017" s="2" t="s">
        <v>4139</v>
      </c>
    </row>
    <row r="12018">
      <c r="A12018" s="2" t="s">
        <v>4969</v>
      </c>
      <c r="B12018" s="2" t="s">
        <v>4967</v>
      </c>
      <c r="C12018" s="2" t="s">
        <v>6425</v>
      </c>
      <c r="D12018" s="3" t="str">
        <f t="shared" si="2756"/>
        <v>12Go Link</v>
      </c>
      <c r="E12018" s="2" t="s">
        <v>3409</v>
      </c>
    </row>
    <row r="12019">
      <c r="A12019" s="2" t="s">
        <v>4969</v>
      </c>
      <c r="B12019" s="2" t="s">
        <v>4971</v>
      </c>
      <c r="C12019" s="2" t="s">
        <v>6426</v>
      </c>
      <c r="D12019" s="3" t="str">
        <f t="shared" ref="D12019:D12021" si="2757">HYPERLINK("https://12go.asia/en/travel/Jaffna/Kalapuwa", "12Go Link")</f>
        <v>12Go Link</v>
      </c>
      <c r="E12019" s="2" t="s">
        <v>286</v>
      </c>
    </row>
    <row r="12020">
      <c r="A12020" s="2" t="s">
        <v>4969</v>
      </c>
      <c r="B12020" s="2" t="s">
        <v>4971</v>
      </c>
      <c r="C12020" s="2" t="s">
        <v>6426</v>
      </c>
      <c r="D12020" s="3" t="str">
        <f t="shared" si="2757"/>
        <v>12Go Link</v>
      </c>
      <c r="E12020" s="2" t="s">
        <v>4139</v>
      </c>
    </row>
    <row r="12021">
      <c r="A12021" s="2" t="s">
        <v>4969</v>
      </c>
      <c r="B12021" s="2" t="s">
        <v>4971</v>
      </c>
      <c r="C12021" s="2" t="s">
        <v>6426</v>
      </c>
      <c r="D12021" s="3" t="str">
        <f t="shared" si="2757"/>
        <v>12Go Link</v>
      </c>
      <c r="E12021" s="2" t="s">
        <v>3409</v>
      </c>
    </row>
    <row r="12022">
      <c r="A12022" s="2" t="s">
        <v>4969</v>
      </c>
      <c r="B12022" s="2" t="s">
        <v>4973</v>
      </c>
      <c r="C12022" s="2" t="s">
        <v>6427</v>
      </c>
      <c r="D12022" s="3" t="str">
        <f t="shared" ref="D12022:D12024" si="2758">HYPERLINK("https://12go.asia/en/travel/Jaffna/Ampitiya", "12Go Link")</f>
        <v>12Go Link</v>
      </c>
      <c r="E12022" s="2" t="s">
        <v>286</v>
      </c>
    </row>
    <row r="12023">
      <c r="A12023" s="2" t="s">
        <v>4969</v>
      </c>
      <c r="B12023" s="2" t="s">
        <v>4973</v>
      </c>
      <c r="C12023" s="2" t="s">
        <v>6427</v>
      </c>
      <c r="D12023" s="3" t="str">
        <f t="shared" si="2758"/>
        <v>12Go Link</v>
      </c>
      <c r="E12023" s="2" t="s">
        <v>4139</v>
      </c>
    </row>
    <row r="12024">
      <c r="A12024" s="2" t="s">
        <v>4969</v>
      </c>
      <c r="B12024" s="2" t="s">
        <v>4973</v>
      </c>
      <c r="C12024" s="2" t="s">
        <v>6427</v>
      </c>
      <c r="D12024" s="3" t="str">
        <f t="shared" si="2758"/>
        <v>12Go Link</v>
      </c>
      <c r="E12024" s="2" t="s">
        <v>3409</v>
      </c>
    </row>
    <row r="12025">
      <c r="A12025" s="2" t="s">
        <v>4969</v>
      </c>
      <c r="B12025" s="2" t="s">
        <v>4973</v>
      </c>
      <c r="C12025" s="2" t="s">
        <v>6428</v>
      </c>
      <c r="D12025" s="3" t="str">
        <f t="shared" ref="D12025:D12027" si="2759">HYPERLINK("https://12go.asia/en/travel/Jaffna/Digana", "12Go Link")</f>
        <v>12Go Link</v>
      </c>
      <c r="E12025" s="2" t="s">
        <v>286</v>
      </c>
    </row>
    <row r="12026">
      <c r="A12026" s="2" t="s">
        <v>4969</v>
      </c>
      <c r="B12026" s="2" t="s">
        <v>4973</v>
      </c>
      <c r="C12026" s="2" t="s">
        <v>6428</v>
      </c>
      <c r="D12026" s="3" t="str">
        <f t="shared" si="2759"/>
        <v>12Go Link</v>
      </c>
      <c r="E12026" s="2" t="s">
        <v>4139</v>
      </c>
    </row>
    <row r="12027">
      <c r="A12027" s="2" t="s">
        <v>4969</v>
      </c>
      <c r="B12027" s="2" t="s">
        <v>4973</v>
      </c>
      <c r="C12027" s="2" t="s">
        <v>6428</v>
      </c>
      <c r="D12027" s="3" t="str">
        <f t="shared" si="2759"/>
        <v>12Go Link</v>
      </c>
      <c r="E12027" s="2" t="s">
        <v>3409</v>
      </c>
    </row>
    <row r="12028">
      <c r="A12028" s="2" t="s">
        <v>4969</v>
      </c>
      <c r="B12028" s="2" t="s">
        <v>4976</v>
      </c>
      <c r="C12028" s="2" t="s">
        <v>6429</v>
      </c>
      <c r="D12028" s="3" t="str">
        <f t="shared" ref="D12028:D12030" si="2760">HYPERLINK("https://12go.asia/en/travel/Jaffna/Kataragama", "12Go Link")</f>
        <v>12Go Link</v>
      </c>
      <c r="E12028" s="2" t="s">
        <v>286</v>
      </c>
    </row>
    <row r="12029">
      <c r="A12029" s="2" t="s">
        <v>4969</v>
      </c>
      <c r="B12029" s="2" t="s">
        <v>4976</v>
      </c>
      <c r="C12029" s="2" t="s">
        <v>6429</v>
      </c>
      <c r="D12029" s="3" t="str">
        <f t="shared" si="2760"/>
        <v>12Go Link</v>
      </c>
      <c r="E12029" s="2" t="s">
        <v>4139</v>
      </c>
    </row>
    <row r="12030">
      <c r="A12030" s="2" t="s">
        <v>4969</v>
      </c>
      <c r="B12030" s="2" t="s">
        <v>4976</v>
      </c>
      <c r="C12030" s="2" t="s">
        <v>6429</v>
      </c>
      <c r="D12030" s="3" t="str">
        <f t="shared" si="2760"/>
        <v>12Go Link</v>
      </c>
      <c r="E12030" s="2" t="s">
        <v>3409</v>
      </c>
    </row>
    <row r="12031">
      <c r="A12031" s="2" t="s">
        <v>4969</v>
      </c>
      <c r="B12031" s="2" t="s">
        <v>4978</v>
      </c>
      <c r="C12031" s="2" t="s">
        <v>6430</v>
      </c>
      <c r="D12031" s="3" t="str">
        <f t="shared" ref="D12031:D12033" si="2761">HYPERLINK("https://12go.asia/en/travel/Jaffna/Alawathupitiya", "12Go Link")</f>
        <v>12Go Link</v>
      </c>
      <c r="E12031" s="2" t="s">
        <v>286</v>
      </c>
    </row>
    <row r="12032">
      <c r="A12032" s="2" t="s">
        <v>4969</v>
      </c>
      <c r="B12032" s="2" t="s">
        <v>4978</v>
      </c>
      <c r="C12032" s="2" t="s">
        <v>6430</v>
      </c>
      <c r="D12032" s="3" t="str">
        <f t="shared" si="2761"/>
        <v>12Go Link</v>
      </c>
      <c r="E12032" s="2" t="s">
        <v>4139</v>
      </c>
    </row>
    <row r="12033">
      <c r="A12033" s="2" t="s">
        <v>4969</v>
      </c>
      <c r="B12033" s="2" t="s">
        <v>4978</v>
      </c>
      <c r="C12033" s="2" t="s">
        <v>6430</v>
      </c>
      <c r="D12033" s="3" t="str">
        <f t="shared" si="2761"/>
        <v>12Go Link</v>
      </c>
      <c r="E12033" s="2" t="s">
        <v>3409</v>
      </c>
    </row>
    <row r="12034">
      <c r="A12034" s="2" t="s">
        <v>4969</v>
      </c>
      <c r="B12034" s="2" t="s">
        <v>4980</v>
      </c>
      <c r="C12034" s="2" t="s">
        <v>6431</v>
      </c>
      <c r="D12034" s="3" t="str">
        <f t="shared" ref="D12034:D12036" si="2762">HYPERLINK("https://12go.asia/en/travel/Jaffna/Pinnawala", "12Go Link")</f>
        <v>12Go Link</v>
      </c>
      <c r="E12034" s="2" t="s">
        <v>286</v>
      </c>
    </row>
    <row r="12035">
      <c r="A12035" s="2" t="s">
        <v>4969</v>
      </c>
      <c r="B12035" s="2" t="s">
        <v>4980</v>
      </c>
      <c r="C12035" s="2" t="s">
        <v>6431</v>
      </c>
      <c r="D12035" s="3" t="str">
        <f t="shared" si="2762"/>
        <v>12Go Link</v>
      </c>
      <c r="E12035" s="2" t="s">
        <v>4139</v>
      </c>
    </row>
    <row r="12036">
      <c r="A12036" s="2" t="s">
        <v>4969</v>
      </c>
      <c r="B12036" s="2" t="s">
        <v>4980</v>
      </c>
      <c r="C12036" s="2" t="s">
        <v>6431</v>
      </c>
      <c r="D12036" s="3" t="str">
        <f t="shared" si="2762"/>
        <v>12Go Link</v>
      </c>
      <c r="E12036" s="2" t="s">
        <v>3409</v>
      </c>
    </row>
    <row r="12037">
      <c r="A12037" s="2" t="s">
        <v>4969</v>
      </c>
      <c r="B12037" s="2" t="s">
        <v>4982</v>
      </c>
      <c r="C12037" s="2" t="s">
        <v>6432</v>
      </c>
      <c r="D12037" s="3" t="str">
        <f t="shared" ref="D12037:D12039" si="2763">HYPERLINK("https://12go.asia/en/travel/Jaffna/Kitulgala", "12Go Link")</f>
        <v>12Go Link</v>
      </c>
      <c r="E12037" s="2" t="s">
        <v>286</v>
      </c>
    </row>
    <row r="12038">
      <c r="A12038" s="2" t="s">
        <v>4969</v>
      </c>
      <c r="B12038" s="2" t="s">
        <v>4982</v>
      </c>
      <c r="C12038" s="2" t="s">
        <v>6432</v>
      </c>
      <c r="D12038" s="3" t="str">
        <f t="shared" si="2763"/>
        <v>12Go Link</v>
      </c>
      <c r="E12038" s="2" t="s">
        <v>4139</v>
      </c>
    </row>
    <row r="12039">
      <c r="A12039" s="2" t="s">
        <v>4969</v>
      </c>
      <c r="B12039" s="2" t="s">
        <v>4982</v>
      </c>
      <c r="C12039" s="2" t="s">
        <v>6432</v>
      </c>
      <c r="D12039" s="3" t="str">
        <f t="shared" si="2763"/>
        <v>12Go Link</v>
      </c>
      <c r="E12039" s="2" t="s">
        <v>3409</v>
      </c>
    </row>
    <row r="12040">
      <c r="A12040" s="2" t="s">
        <v>4969</v>
      </c>
      <c r="B12040" s="2" t="s">
        <v>4984</v>
      </c>
      <c r="C12040" s="2" t="s">
        <v>6433</v>
      </c>
      <c r="D12040" s="3" t="str">
        <f t="shared" ref="D12040:D12042" si="2764">HYPERLINK("https://12go.asia/en/travel/Jaffna/Habaraduwa", "12Go Link")</f>
        <v>12Go Link</v>
      </c>
      <c r="E12040" s="2" t="s">
        <v>286</v>
      </c>
    </row>
    <row r="12041">
      <c r="A12041" s="2" t="s">
        <v>4969</v>
      </c>
      <c r="B12041" s="2" t="s">
        <v>4984</v>
      </c>
      <c r="C12041" s="2" t="s">
        <v>6433</v>
      </c>
      <c r="D12041" s="3" t="str">
        <f t="shared" si="2764"/>
        <v>12Go Link</v>
      </c>
      <c r="E12041" s="2" t="s">
        <v>4139</v>
      </c>
    </row>
    <row r="12042">
      <c r="A12042" s="2" t="s">
        <v>4969</v>
      </c>
      <c r="B12042" s="2" t="s">
        <v>4984</v>
      </c>
      <c r="C12042" s="2" t="s">
        <v>6433</v>
      </c>
      <c r="D12042" s="3" t="str">
        <f t="shared" si="2764"/>
        <v>12Go Link</v>
      </c>
      <c r="E12042" s="2" t="s">
        <v>3409</v>
      </c>
    </row>
    <row r="12043">
      <c r="A12043" s="2" t="s">
        <v>4969</v>
      </c>
      <c r="B12043" s="2" t="s">
        <v>4986</v>
      </c>
      <c r="C12043" s="2" t="s">
        <v>6434</v>
      </c>
      <c r="D12043" s="3" t="str">
        <f t="shared" ref="D12043:D12045" si="2765">HYPERLINK("https://12go.asia/en/travel/Jaffna/Kosgoda", "12Go Link")</f>
        <v>12Go Link</v>
      </c>
      <c r="E12043" s="2" t="s">
        <v>286</v>
      </c>
    </row>
    <row r="12044">
      <c r="A12044" s="2" t="s">
        <v>4969</v>
      </c>
      <c r="B12044" s="2" t="s">
        <v>4986</v>
      </c>
      <c r="C12044" s="2" t="s">
        <v>6434</v>
      </c>
      <c r="D12044" s="3" t="str">
        <f t="shared" si="2765"/>
        <v>12Go Link</v>
      </c>
      <c r="E12044" s="2" t="s">
        <v>4139</v>
      </c>
    </row>
    <row r="12045">
      <c r="A12045" s="2" t="s">
        <v>4969</v>
      </c>
      <c r="B12045" s="2" t="s">
        <v>4986</v>
      </c>
      <c r="C12045" s="2" t="s">
        <v>6434</v>
      </c>
      <c r="D12045" s="3" t="str">
        <f t="shared" si="2765"/>
        <v>12Go Link</v>
      </c>
      <c r="E12045" s="2" t="s">
        <v>3409</v>
      </c>
    </row>
    <row r="12046">
      <c r="A12046" s="2" t="s">
        <v>4969</v>
      </c>
      <c r="B12046" s="2" t="s">
        <v>4988</v>
      </c>
      <c r="C12046" s="2" t="s">
        <v>6435</v>
      </c>
      <c r="D12046" s="3" t="str">
        <f t="shared" ref="D12046:D12048" si="2766">HYPERLINK("https://12go.asia/en/travel/Jaffna/Kuchchaveli", "12Go Link")</f>
        <v>12Go Link</v>
      </c>
      <c r="E12046" s="2" t="s">
        <v>286</v>
      </c>
    </row>
    <row r="12047">
      <c r="A12047" s="2" t="s">
        <v>4969</v>
      </c>
      <c r="B12047" s="2" t="s">
        <v>4988</v>
      </c>
      <c r="C12047" s="2" t="s">
        <v>6435</v>
      </c>
      <c r="D12047" s="3" t="str">
        <f t="shared" si="2766"/>
        <v>12Go Link</v>
      </c>
      <c r="E12047" s="2" t="s">
        <v>4139</v>
      </c>
    </row>
    <row r="12048">
      <c r="A12048" s="2" t="s">
        <v>4969</v>
      </c>
      <c r="B12048" s="2" t="s">
        <v>4988</v>
      </c>
      <c r="C12048" s="2" t="s">
        <v>6435</v>
      </c>
      <c r="D12048" s="3" t="str">
        <f t="shared" si="2766"/>
        <v>12Go Link</v>
      </c>
      <c r="E12048" s="2" t="s">
        <v>3409</v>
      </c>
    </row>
    <row r="12049">
      <c r="A12049" s="2" t="s">
        <v>4969</v>
      </c>
      <c r="B12049" s="2" t="s">
        <v>4990</v>
      </c>
      <c r="C12049" s="2" t="s">
        <v>6436</v>
      </c>
      <c r="D12049" s="3" t="str">
        <f t="shared" ref="D12049:D12051" si="2767">HYPERLINK("https://12go.asia/en/travel/Jaffna/Mannar", "12Go Link")</f>
        <v>12Go Link</v>
      </c>
      <c r="E12049" s="2" t="s">
        <v>286</v>
      </c>
    </row>
    <row r="12050">
      <c r="A12050" s="2" t="s">
        <v>4969</v>
      </c>
      <c r="B12050" s="2" t="s">
        <v>4990</v>
      </c>
      <c r="C12050" s="2" t="s">
        <v>6436</v>
      </c>
      <c r="D12050" s="3" t="str">
        <f t="shared" si="2767"/>
        <v>12Go Link</v>
      </c>
      <c r="E12050" s="2" t="s">
        <v>4139</v>
      </c>
    </row>
    <row r="12051">
      <c r="A12051" s="2" t="s">
        <v>4969</v>
      </c>
      <c r="B12051" s="2" t="s">
        <v>4990</v>
      </c>
      <c r="C12051" s="2" t="s">
        <v>6436</v>
      </c>
      <c r="D12051" s="3" t="str">
        <f t="shared" si="2767"/>
        <v>12Go Link</v>
      </c>
      <c r="E12051" s="2" t="s">
        <v>3409</v>
      </c>
    </row>
    <row r="12052">
      <c r="A12052" s="2" t="s">
        <v>4969</v>
      </c>
      <c r="B12052" s="2" t="s">
        <v>4992</v>
      </c>
      <c r="C12052" s="2" t="s">
        <v>6437</v>
      </c>
      <c r="D12052" s="3" t="str">
        <f t="shared" ref="D12052:D12054" si="2768">HYPERLINK("https://12go.asia/en/travel/Jaffna/Kinigama", "12Go Link")</f>
        <v>12Go Link</v>
      </c>
      <c r="E12052" s="2" t="s">
        <v>286</v>
      </c>
    </row>
    <row r="12053">
      <c r="A12053" s="2" t="s">
        <v>4969</v>
      </c>
      <c r="B12053" s="2" t="s">
        <v>4992</v>
      </c>
      <c r="C12053" s="2" t="s">
        <v>6437</v>
      </c>
      <c r="D12053" s="3" t="str">
        <f t="shared" si="2768"/>
        <v>12Go Link</v>
      </c>
      <c r="E12053" s="2" t="s">
        <v>4139</v>
      </c>
    </row>
    <row r="12054">
      <c r="A12054" s="2" t="s">
        <v>4969</v>
      </c>
      <c r="B12054" s="2" t="s">
        <v>4992</v>
      </c>
      <c r="C12054" s="2" t="s">
        <v>6437</v>
      </c>
      <c r="D12054" s="3" t="str">
        <f t="shared" si="2768"/>
        <v>12Go Link</v>
      </c>
      <c r="E12054" s="2" t="s">
        <v>3409</v>
      </c>
    </row>
    <row r="12055">
      <c r="A12055" s="2" t="s">
        <v>4969</v>
      </c>
      <c r="B12055" s="2" t="s">
        <v>4994</v>
      </c>
      <c r="C12055" s="2" t="s">
        <v>6438</v>
      </c>
      <c r="D12055" s="3" t="str">
        <f t="shared" ref="D12055:D12057" si="2769">HYPERLINK("https://12go.asia/en/travel/Jaffna/Kalamatiya", "12Go Link")</f>
        <v>12Go Link</v>
      </c>
      <c r="E12055" s="2" t="s">
        <v>286</v>
      </c>
    </row>
    <row r="12056">
      <c r="A12056" s="2" t="s">
        <v>4969</v>
      </c>
      <c r="B12056" s="2" t="s">
        <v>4994</v>
      </c>
      <c r="C12056" s="2" t="s">
        <v>6438</v>
      </c>
      <c r="D12056" s="3" t="str">
        <f t="shared" si="2769"/>
        <v>12Go Link</v>
      </c>
      <c r="E12056" s="2" t="s">
        <v>4139</v>
      </c>
    </row>
    <row r="12057">
      <c r="A12057" s="2" t="s">
        <v>4969</v>
      </c>
      <c r="B12057" s="2" t="s">
        <v>4994</v>
      </c>
      <c r="C12057" s="2" t="s">
        <v>6438</v>
      </c>
      <c r="D12057" s="3" t="str">
        <f t="shared" si="2769"/>
        <v>12Go Link</v>
      </c>
      <c r="E12057" s="2" t="s">
        <v>3409</v>
      </c>
    </row>
    <row r="12058">
      <c r="A12058" s="2" t="s">
        <v>4969</v>
      </c>
      <c r="B12058" s="2" t="s">
        <v>4996</v>
      </c>
      <c r="C12058" s="2" t="s">
        <v>6439</v>
      </c>
      <c r="D12058" s="3" t="str">
        <f t="shared" ref="D12058:D12060" si="2770">HYPERLINK("https://12go.asia/en/travel/Jaffna/mirissa", "12Go Link")</f>
        <v>12Go Link</v>
      </c>
      <c r="E12058" s="2" t="s">
        <v>286</v>
      </c>
    </row>
    <row r="12059">
      <c r="A12059" s="2" t="s">
        <v>4969</v>
      </c>
      <c r="B12059" s="2" t="s">
        <v>4996</v>
      </c>
      <c r="C12059" s="2" t="s">
        <v>6439</v>
      </c>
      <c r="D12059" s="3" t="str">
        <f t="shared" si="2770"/>
        <v>12Go Link</v>
      </c>
      <c r="E12059" s="2" t="s">
        <v>4139</v>
      </c>
    </row>
    <row r="12060">
      <c r="A12060" s="2" t="s">
        <v>4969</v>
      </c>
      <c r="B12060" s="2" t="s">
        <v>4996</v>
      </c>
      <c r="C12060" s="2" t="s">
        <v>6439</v>
      </c>
      <c r="D12060" s="3" t="str">
        <f t="shared" si="2770"/>
        <v>12Go Link</v>
      </c>
      <c r="E12060" s="2" t="s">
        <v>3409</v>
      </c>
    </row>
    <row r="12061">
      <c r="A12061" s="2" t="s">
        <v>4969</v>
      </c>
      <c r="B12061" s="2" t="s">
        <v>4998</v>
      </c>
      <c r="C12061" s="2" t="s">
        <v>6440</v>
      </c>
      <c r="D12061" s="3" t="str">
        <f t="shared" ref="D12061:D12063" si="2771">HYPERLINK("https://12go.asia/en/travel/Jaffna/Nanu-Oya", "12Go Link")</f>
        <v>12Go Link</v>
      </c>
      <c r="E12061" s="2" t="s">
        <v>286</v>
      </c>
    </row>
    <row r="12062">
      <c r="A12062" s="2" t="s">
        <v>4969</v>
      </c>
      <c r="B12062" s="2" t="s">
        <v>4998</v>
      </c>
      <c r="C12062" s="2" t="s">
        <v>6440</v>
      </c>
      <c r="D12062" s="3" t="str">
        <f t="shared" si="2771"/>
        <v>12Go Link</v>
      </c>
      <c r="E12062" s="2" t="s">
        <v>4139</v>
      </c>
    </row>
    <row r="12063">
      <c r="A12063" s="2" t="s">
        <v>4969</v>
      </c>
      <c r="B12063" s="2" t="s">
        <v>4998</v>
      </c>
      <c r="C12063" s="2" t="s">
        <v>6440</v>
      </c>
      <c r="D12063" s="3" t="str">
        <f t="shared" si="2771"/>
        <v>12Go Link</v>
      </c>
      <c r="E12063" s="2" t="s">
        <v>3409</v>
      </c>
    </row>
    <row r="12064">
      <c r="A12064" s="2" t="s">
        <v>4969</v>
      </c>
      <c r="B12064" s="2" t="s">
        <v>5000</v>
      </c>
      <c r="C12064" s="2" t="s">
        <v>6441</v>
      </c>
      <c r="D12064" s="3" t="str">
        <f t="shared" ref="D12064:D12066" si="2772">HYPERLINK("https://12go.asia/en/travel/Jaffna/Dalupotha", "12Go Link")</f>
        <v>12Go Link</v>
      </c>
      <c r="E12064" s="2" t="s">
        <v>286</v>
      </c>
    </row>
    <row r="12065">
      <c r="A12065" s="2" t="s">
        <v>4969</v>
      </c>
      <c r="B12065" s="2" t="s">
        <v>5000</v>
      </c>
      <c r="C12065" s="2" t="s">
        <v>6441</v>
      </c>
      <c r="D12065" s="3" t="str">
        <f t="shared" si="2772"/>
        <v>12Go Link</v>
      </c>
      <c r="E12065" s="2" t="s">
        <v>4139</v>
      </c>
    </row>
    <row r="12066">
      <c r="A12066" s="2" t="s">
        <v>4969</v>
      </c>
      <c r="B12066" s="2" t="s">
        <v>5000</v>
      </c>
      <c r="C12066" s="2" t="s">
        <v>6441</v>
      </c>
      <c r="D12066" s="3" t="str">
        <f t="shared" si="2772"/>
        <v>12Go Link</v>
      </c>
      <c r="E12066" s="2" t="s">
        <v>3409</v>
      </c>
    </row>
    <row r="12067">
      <c r="A12067" s="2" t="s">
        <v>4969</v>
      </c>
      <c r="B12067" s="2" t="s">
        <v>5000</v>
      </c>
      <c r="C12067" s="2" t="s">
        <v>6442</v>
      </c>
      <c r="D12067" s="3" t="str">
        <f t="shared" ref="D12067:D12069" si="2773">HYPERLINK("https://12go.asia/en/travel/Jaffna/Waikkal", "12Go Link")</f>
        <v>12Go Link</v>
      </c>
      <c r="E12067" s="2" t="s">
        <v>286</v>
      </c>
    </row>
    <row r="12068">
      <c r="A12068" s="2" t="s">
        <v>4969</v>
      </c>
      <c r="B12068" s="2" t="s">
        <v>5000</v>
      </c>
      <c r="C12068" s="2" t="s">
        <v>6442</v>
      </c>
      <c r="D12068" s="3" t="str">
        <f t="shared" si="2773"/>
        <v>12Go Link</v>
      </c>
      <c r="E12068" s="2" t="s">
        <v>4139</v>
      </c>
    </row>
    <row r="12069">
      <c r="A12069" s="2" t="s">
        <v>4969</v>
      </c>
      <c r="B12069" s="2" t="s">
        <v>5000</v>
      </c>
      <c r="C12069" s="2" t="s">
        <v>6442</v>
      </c>
      <c r="D12069" s="3" t="str">
        <f t="shared" si="2773"/>
        <v>12Go Link</v>
      </c>
      <c r="E12069" s="2" t="s">
        <v>3409</v>
      </c>
    </row>
    <row r="12070">
      <c r="A12070" s="2" t="s">
        <v>4969</v>
      </c>
      <c r="B12070" s="2" t="s">
        <v>5003</v>
      </c>
      <c r="C12070" s="2" t="s">
        <v>6443</v>
      </c>
      <c r="D12070" s="3" t="str">
        <f t="shared" ref="D12070:D12072" si="2774">HYPERLINK("https://12go.asia/en/travel/Jaffna/Nilaveli", "12Go Link")</f>
        <v>12Go Link</v>
      </c>
      <c r="E12070" s="2" t="s">
        <v>286</v>
      </c>
    </row>
    <row r="12071">
      <c r="A12071" s="2" t="s">
        <v>4969</v>
      </c>
      <c r="B12071" s="2" t="s">
        <v>5003</v>
      </c>
      <c r="C12071" s="2" t="s">
        <v>6443</v>
      </c>
      <c r="D12071" s="3" t="str">
        <f t="shared" si="2774"/>
        <v>12Go Link</v>
      </c>
      <c r="E12071" s="2" t="s">
        <v>4139</v>
      </c>
    </row>
    <row r="12072">
      <c r="A12072" s="2" t="s">
        <v>4969</v>
      </c>
      <c r="B12072" s="2" t="s">
        <v>5003</v>
      </c>
      <c r="C12072" s="2" t="s">
        <v>6443</v>
      </c>
      <c r="D12072" s="3" t="str">
        <f t="shared" si="2774"/>
        <v>12Go Link</v>
      </c>
      <c r="E12072" s="2" t="s">
        <v>3409</v>
      </c>
    </row>
    <row r="12073">
      <c r="A12073" s="2" t="s">
        <v>4969</v>
      </c>
      <c r="B12073" s="2" t="s">
        <v>5005</v>
      </c>
      <c r="C12073" s="2" t="s">
        <v>6444</v>
      </c>
      <c r="D12073" s="3" t="str">
        <f t="shared" ref="D12073:D12075" si="2775">HYPERLINK("https://12go.asia/en/travel/Jaffna/Kotmale", "12Go Link")</f>
        <v>12Go Link</v>
      </c>
      <c r="E12073" s="2" t="s">
        <v>286</v>
      </c>
    </row>
    <row r="12074">
      <c r="A12074" s="2" t="s">
        <v>4969</v>
      </c>
      <c r="B12074" s="2" t="s">
        <v>5005</v>
      </c>
      <c r="C12074" s="2" t="s">
        <v>6444</v>
      </c>
      <c r="D12074" s="3" t="str">
        <f t="shared" si="2775"/>
        <v>12Go Link</v>
      </c>
      <c r="E12074" s="2" t="s">
        <v>4139</v>
      </c>
    </row>
    <row r="12075">
      <c r="A12075" s="2" t="s">
        <v>4969</v>
      </c>
      <c r="B12075" s="2" t="s">
        <v>5005</v>
      </c>
      <c r="C12075" s="2" t="s">
        <v>6444</v>
      </c>
      <c r="D12075" s="3" t="str">
        <f t="shared" si="2775"/>
        <v>12Go Link</v>
      </c>
      <c r="E12075" s="2" t="s">
        <v>3409</v>
      </c>
    </row>
    <row r="12076">
      <c r="A12076" s="2" t="s">
        <v>4969</v>
      </c>
      <c r="B12076" s="2" t="s">
        <v>5007</v>
      </c>
      <c r="C12076" s="2" t="s">
        <v>6445</v>
      </c>
      <c r="D12076" s="3" t="str">
        <f t="shared" ref="D12076:D12078" si="2776">HYPERLINK("https://12go.asia/en/travel/Jaffna/Pasikuda", "12Go Link")</f>
        <v>12Go Link</v>
      </c>
      <c r="E12076" s="2" t="s">
        <v>286</v>
      </c>
    </row>
    <row r="12077">
      <c r="A12077" s="2" t="s">
        <v>4969</v>
      </c>
      <c r="B12077" s="2" t="s">
        <v>5007</v>
      </c>
      <c r="C12077" s="2" t="s">
        <v>6445</v>
      </c>
      <c r="D12077" s="3" t="str">
        <f t="shared" si="2776"/>
        <v>12Go Link</v>
      </c>
      <c r="E12077" s="2" t="s">
        <v>4139</v>
      </c>
    </row>
    <row r="12078">
      <c r="A12078" s="2" t="s">
        <v>4969</v>
      </c>
      <c r="B12078" s="2" t="s">
        <v>5007</v>
      </c>
      <c r="C12078" s="2" t="s">
        <v>6445</v>
      </c>
      <c r="D12078" s="3" t="str">
        <f t="shared" si="2776"/>
        <v>12Go Link</v>
      </c>
      <c r="E12078" s="2" t="s">
        <v>3409</v>
      </c>
    </row>
    <row r="12079">
      <c r="A12079" s="2" t="s">
        <v>4969</v>
      </c>
      <c r="B12079" s="2" t="s">
        <v>5009</v>
      </c>
      <c r="C12079" s="2" t="s">
        <v>6446</v>
      </c>
      <c r="D12079" s="3" t="str">
        <f t="shared" ref="D12079:D12081" si="2777">HYPERLINK("https://12go.asia/en/travel/Jaffna/Galoya", "12Go Link")</f>
        <v>12Go Link</v>
      </c>
      <c r="E12079" s="2" t="s">
        <v>286</v>
      </c>
    </row>
    <row r="12080">
      <c r="A12080" s="2" t="s">
        <v>4969</v>
      </c>
      <c r="B12080" s="2" t="s">
        <v>5009</v>
      </c>
      <c r="C12080" s="2" t="s">
        <v>6446</v>
      </c>
      <c r="D12080" s="3" t="str">
        <f t="shared" si="2777"/>
        <v>12Go Link</v>
      </c>
      <c r="E12080" s="2" t="s">
        <v>4139</v>
      </c>
    </row>
    <row r="12081">
      <c r="A12081" s="2" t="s">
        <v>4969</v>
      </c>
      <c r="B12081" s="2" t="s">
        <v>5009</v>
      </c>
      <c r="C12081" s="2" t="s">
        <v>6446</v>
      </c>
      <c r="D12081" s="3" t="str">
        <f t="shared" si="2777"/>
        <v>12Go Link</v>
      </c>
      <c r="E12081" s="2" t="s">
        <v>3409</v>
      </c>
    </row>
    <row r="12082">
      <c r="A12082" s="2" t="s">
        <v>4969</v>
      </c>
      <c r="B12082" s="2" t="s">
        <v>5011</v>
      </c>
      <c r="C12082" s="2" t="s">
        <v>6447</v>
      </c>
      <c r="D12082" s="3" t="str">
        <f t="shared" ref="D12082:D12084" si="2778">HYPERLINK("https://12go.asia/en/travel/Jaffna/Kalpitiya", "12Go Link")</f>
        <v>12Go Link</v>
      </c>
      <c r="E12082" s="2" t="s">
        <v>286</v>
      </c>
    </row>
    <row r="12083">
      <c r="A12083" s="2" t="s">
        <v>4969</v>
      </c>
      <c r="B12083" s="2" t="s">
        <v>5011</v>
      </c>
      <c r="C12083" s="2" t="s">
        <v>6447</v>
      </c>
      <c r="D12083" s="3" t="str">
        <f t="shared" si="2778"/>
        <v>12Go Link</v>
      </c>
      <c r="E12083" s="2" t="s">
        <v>4139</v>
      </c>
    </row>
    <row r="12084">
      <c r="A12084" s="2" t="s">
        <v>4969</v>
      </c>
      <c r="B12084" s="2" t="s">
        <v>5011</v>
      </c>
      <c r="C12084" s="2" t="s">
        <v>6447</v>
      </c>
      <c r="D12084" s="3" t="str">
        <f t="shared" si="2778"/>
        <v>12Go Link</v>
      </c>
      <c r="E12084" s="2" t="s">
        <v>3409</v>
      </c>
    </row>
    <row r="12085">
      <c r="A12085" s="2" t="s">
        <v>4969</v>
      </c>
      <c r="B12085" s="2" t="s">
        <v>5011</v>
      </c>
      <c r="C12085" s="2" t="s">
        <v>6448</v>
      </c>
      <c r="D12085" s="3" t="str">
        <f t="shared" ref="D12085:D12087" si="2779">HYPERLINK("https://12go.asia/en/travel/Jaffna/Marawila", "12Go Link")</f>
        <v>12Go Link</v>
      </c>
      <c r="E12085" s="2" t="s">
        <v>286</v>
      </c>
    </row>
    <row r="12086">
      <c r="A12086" s="2" t="s">
        <v>4969</v>
      </c>
      <c r="B12086" s="2" t="s">
        <v>5011</v>
      </c>
      <c r="C12086" s="2" t="s">
        <v>6448</v>
      </c>
      <c r="D12086" s="3" t="str">
        <f t="shared" si="2779"/>
        <v>12Go Link</v>
      </c>
      <c r="E12086" s="2" t="s">
        <v>4139</v>
      </c>
    </row>
    <row r="12087">
      <c r="A12087" s="2" t="s">
        <v>4969</v>
      </c>
      <c r="B12087" s="2" t="s">
        <v>5011</v>
      </c>
      <c r="C12087" s="2" t="s">
        <v>6448</v>
      </c>
      <c r="D12087" s="3" t="str">
        <f t="shared" si="2779"/>
        <v>12Go Link</v>
      </c>
      <c r="E12087" s="2" t="s">
        <v>3409</v>
      </c>
    </row>
    <row r="12088">
      <c r="A12088" s="2" t="s">
        <v>4969</v>
      </c>
      <c r="B12088" s="2" t="s">
        <v>5014</v>
      </c>
      <c r="C12088" s="2" t="s">
        <v>6449</v>
      </c>
      <c r="D12088" s="3" t="str">
        <f t="shared" ref="D12088:D12090" si="2780">HYPERLINK("https://12go.asia/en/travel/Jaffna/Kiriella", "12Go Link")</f>
        <v>12Go Link</v>
      </c>
      <c r="E12088" s="2" t="s">
        <v>286</v>
      </c>
    </row>
    <row r="12089">
      <c r="A12089" s="2" t="s">
        <v>4969</v>
      </c>
      <c r="B12089" s="2" t="s">
        <v>5014</v>
      </c>
      <c r="C12089" s="2" t="s">
        <v>6449</v>
      </c>
      <c r="D12089" s="3" t="str">
        <f t="shared" si="2780"/>
        <v>12Go Link</v>
      </c>
      <c r="E12089" s="2" t="s">
        <v>4139</v>
      </c>
    </row>
    <row r="12090">
      <c r="A12090" s="2" t="s">
        <v>4969</v>
      </c>
      <c r="B12090" s="2" t="s">
        <v>5014</v>
      </c>
      <c r="C12090" s="2" t="s">
        <v>6449</v>
      </c>
      <c r="D12090" s="3" t="str">
        <f t="shared" si="2780"/>
        <v>12Go Link</v>
      </c>
      <c r="E12090" s="2" t="s">
        <v>3409</v>
      </c>
    </row>
    <row r="12091">
      <c r="A12091" s="2" t="s">
        <v>4969</v>
      </c>
      <c r="B12091" s="2" t="s">
        <v>5016</v>
      </c>
      <c r="C12091" s="2" t="s">
        <v>6450</v>
      </c>
      <c r="D12091" s="3" t="str">
        <f t="shared" ref="D12091:D12093" si="2781">HYPERLINK("https://12go.asia/en/travel/Jaffna/Pidurangala", "12Go Link")</f>
        <v>12Go Link</v>
      </c>
      <c r="E12091" s="2" t="s">
        <v>286</v>
      </c>
    </row>
    <row r="12092">
      <c r="A12092" s="2" t="s">
        <v>4969</v>
      </c>
      <c r="B12092" s="2" t="s">
        <v>5016</v>
      </c>
      <c r="C12092" s="2" t="s">
        <v>6450</v>
      </c>
      <c r="D12092" s="3" t="str">
        <f t="shared" si="2781"/>
        <v>12Go Link</v>
      </c>
      <c r="E12092" s="2" t="s">
        <v>4139</v>
      </c>
    </row>
    <row r="12093">
      <c r="A12093" s="2" t="s">
        <v>4969</v>
      </c>
      <c r="B12093" s="2" t="s">
        <v>5016</v>
      </c>
      <c r="C12093" s="2" t="s">
        <v>6450</v>
      </c>
      <c r="D12093" s="3" t="str">
        <f t="shared" si="2781"/>
        <v>12Go Link</v>
      </c>
      <c r="E12093" s="2" t="s">
        <v>3409</v>
      </c>
    </row>
    <row r="12094">
      <c r="A12094" s="2" t="s">
        <v>4969</v>
      </c>
      <c r="B12094" s="2" t="s">
        <v>5018</v>
      </c>
      <c r="C12094" s="2" t="s">
        <v>6451</v>
      </c>
      <c r="D12094" s="3" t="str">
        <f t="shared" ref="D12094:D12096" si="2782">HYPERLINK("https://12go.asia/en/travel/Jaffna/Rekawa", "12Go Link")</f>
        <v>12Go Link</v>
      </c>
      <c r="E12094" s="2" t="s">
        <v>286</v>
      </c>
    </row>
    <row r="12095">
      <c r="A12095" s="2" t="s">
        <v>4969</v>
      </c>
      <c r="B12095" s="2" t="s">
        <v>5018</v>
      </c>
      <c r="C12095" s="2" t="s">
        <v>6451</v>
      </c>
      <c r="D12095" s="3" t="str">
        <f t="shared" si="2782"/>
        <v>12Go Link</v>
      </c>
      <c r="E12095" s="2" t="s">
        <v>4139</v>
      </c>
    </row>
    <row r="12096">
      <c r="A12096" s="2" t="s">
        <v>4969</v>
      </c>
      <c r="B12096" s="2" t="s">
        <v>5018</v>
      </c>
      <c r="C12096" s="2" t="s">
        <v>6451</v>
      </c>
      <c r="D12096" s="3" t="str">
        <f t="shared" si="2782"/>
        <v>12Go Link</v>
      </c>
      <c r="E12096" s="2" t="s">
        <v>3409</v>
      </c>
    </row>
    <row r="12097">
      <c r="A12097" s="2" t="s">
        <v>4969</v>
      </c>
      <c r="B12097" s="2" t="s">
        <v>5020</v>
      </c>
      <c r="C12097" s="2" t="s">
        <v>6452</v>
      </c>
      <c r="D12097" s="3" t="str">
        <f t="shared" ref="D12097:D12099" si="2783">HYPERLINK("https://12go.asia/en/travel/Jaffna/Tissamaharama", "12Go Link")</f>
        <v>12Go Link</v>
      </c>
      <c r="E12097" s="2" t="s">
        <v>286</v>
      </c>
    </row>
    <row r="12098">
      <c r="A12098" s="2" t="s">
        <v>4969</v>
      </c>
      <c r="B12098" s="2" t="s">
        <v>5020</v>
      </c>
      <c r="C12098" s="2" t="s">
        <v>6452</v>
      </c>
      <c r="D12098" s="3" t="str">
        <f t="shared" si="2783"/>
        <v>12Go Link</v>
      </c>
      <c r="E12098" s="2" t="s">
        <v>4139</v>
      </c>
    </row>
    <row r="12099">
      <c r="A12099" s="2" t="s">
        <v>4969</v>
      </c>
      <c r="B12099" s="2" t="s">
        <v>5020</v>
      </c>
      <c r="C12099" s="2" t="s">
        <v>6452</v>
      </c>
      <c r="D12099" s="3" t="str">
        <f t="shared" si="2783"/>
        <v>12Go Link</v>
      </c>
      <c r="E12099" s="2" t="s">
        <v>3409</v>
      </c>
    </row>
    <row r="12100">
      <c r="A12100" s="2" t="s">
        <v>4969</v>
      </c>
      <c r="B12100" s="2" t="s">
        <v>5020</v>
      </c>
      <c r="C12100" s="2" t="s">
        <v>6453</v>
      </c>
      <c r="D12100" s="3" t="str">
        <f t="shared" ref="D12100:D12102" si="2784">HYPERLINK("https://12go.asia/en/travel/Jaffna/Yala-Park", "12Go Link")</f>
        <v>12Go Link</v>
      </c>
      <c r="E12100" s="2" t="s">
        <v>286</v>
      </c>
    </row>
    <row r="12101">
      <c r="A12101" s="2" t="s">
        <v>4969</v>
      </c>
      <c r="B12101" s="2" t="s">
        <v>5020</v>
      </c>
      <c r="C12101" s="2" t="s">
        <v>6453</v>
      </c>
      <c r="D12101" s="3" t="str">
        <f t="shared" si="2784"/>
        <v>12Go Link</v>
      </c>
      <c r="E12101" s="2" t="s">
        <v>4139</v>
      </c>
    </row>
    <row r="12102">
      <c r="A12102" s="2" t="s">
        <v>4969</v>
      </c>
      <c r="B12102" s="2" t="s">
        <v>5020</v>
      </c>
      <c r="C12102" s="2" t="s">
        <v>6453</v>
      </c>
      <c r="D12102" s="3" t="str">
        <f t="shared" si="2784"/>
        <v>12Go Link</v>
      </c>
      <c r="E12102" s="2" t="s">
        <v>3409</v>
      </c>
    </row>
    <row r="12103">
      <c r="A12103" s="2" t="s">
        <v>4969</v>
      </c>
      <c r="B12103" s="2" t="s">
        <v>5023</v>
      </c>
      <c r="C12103" s="2" t="s">
        <v>6454</v>
      </c>
      <c r="D12103" s="3" t="str">
        <f t="shared" ref="D12103:D12105" si="2785">HYPERLINK("https://12go.asia/en/travel/Jaffna/Nilaweli", "12Go Link")</f>
        <v>12Go Link</v>
      </c>
      <c r="E12103" s="2" t="s">
        <v>286</v>
      </c>
    </row>
    <row r="12104">
      <c r="A12104" s="2" t="s">
        <v>4969</v>
      </c>
      <c r="B12104" s="2" t="s">
        <v>5023</v>
      </c>
      <c r="C12104" s="2" t="s">
        <v>6454</v>
      </c>
      <c r="D12104" s="3" t="str">
        <f t="shared" si="2785"/>
        <v>12Go Link</v>
      </c>
      <c r="E12104" s="2" t="s">
        <v>4139</v>
      </c>
    </row>
    <row r="12105">
      <c r="A12105" s="2" t="s">
        <v>4969</v>
      </c>
      <c r="B12105" s="2" t="s">
        <v>5023</v>
      </c>
      <c r="C12105" s="2" t="s">
        <v>6454</v>
      </c>
      <c r="D12105" s="3" t="str">
        <f t="shared" si="2785"/>
        <v>12Go Link</v>
      </c>
      <c r="E12105" s="2" t="s">
        <v>3409</v>
      </c>
    </row>
    <row r="12106">
      <c r="A12106" s="2" t="s">
        <v>4969</v>
      </c>
      <c r="B12106" s="2" t="s">
        <v>5025</v>
      </c>
      <c r="C12106" s="2" t="s">
        <v>6455</v>
      </c>
      <c r="D12106" s="3" t="str">
        <f t="shared" ref="D12106:D12108" si="2786">HYPERLINK("https://12go.asia/en/travel/Jaffna/Udawalawa", "12Go Link")</f>
        <v>12Go Link</v>
      </c>
      <c r="E12106" s="2" t="s">
        <v>286</v>
      </c>
    </row>
    <row r="12107">
      <c r="A12107" s="2" t="s">
        <v>4969</v>
      </c>
      <c r="B12107" s="2" t="s">
        <v>5025</v>
      </c>
      <c r="C12107" s="2" t="s">
        <v>6455</v>
      </c>
      <c r="D12107" s="3" t="str">
        <f t="shared" si="2786"/>
        <v>12Go Link</v>
      </c>
      <c r="E12107" s="2" t="s">
        <v>4139</v>
      </c>
    </row>
    <row r="12108">
      <c r="A12108" s="2" t="s">
        <v>4969</v>
      </c>
      <c r="B12108" s="2" t="s">
        <v>5025</v>
      </c>
      <c r="C12108" s="2" t="s">
        <v>6455</v>
      </c>
      <c r="D12108" s="3" t="str">
        <f t="shared" si="2786"/>
        <v>12Go Link</v>
      </c>
      <c r="E12108" s="2" t="s">
        <v>3409</v>
      </c>
    </row>
    <row r="12109">
      <c r="A12109" s="2" t="s">
        <v>4969</v>
      </c>
      <c r="B12109" s="2" t="s">
        <v>5027</v>
      </c>
      <c r="C12109" s="2" t="s">
        <v>6456</v>
      </c>
      <c r="D12109" s="3" t="str">
        <f t="shared" ref="D12109:D12111" si="2787">HYPERLINK("https://12go.asia/en/travel/Jaffna/Unawatuna", "12Go Link")</f>
        <v>12Go Link</v>
      </c>
      <c r="E12109" s="2" t="s">
        <v>286</v>
      </c>
    </row>
    <row r="12110">
      <c r="A12110" s="2" t="s">
        <v>4969</v>
      </c>
      <c r="B12110" s="2" t="s">
        <v>5027</v>
      </c>
      <c r="C12110" s="2" t="s">
        <v>6456</v>
      </c>
      <c r="D12110" s="3" t="str">
        <f t="shared" si="2787"/>
        <v>12Go Link</v>
      </c>
      <c r="E12110" s="2" t="s">
        <v>4139</v>
      </c>
    </row>
    <row r="12111">
      <c r="A12111" s="2" t="s">
        <v>4969</v>
      </c>
      <c r="B12111" s="2" t="s">
        <v>5027</v>
      </c>
      <c r="C12111" s="2" t="s">
        <v>6456</v>
      </c>
      <c r="D12111" s="3" t="str">
        <f t="shared" si="2787"/>
        <v>12Go Link</v>
      </c>
      <c r="E12111" s="2" t="s">
        <v>3409</v>
      </c>
    </row>
    <row r="12112">
      <c r="A12112" s="2" t="s">
        <v>4969</v>
      </c>
      <c r="B12112" s="2" t="s">
        <v>5029</v>
      </c>
      <c r="C12112" s="2" t="s">
        <v>6457</v>
      </c>
      <c r="D12112" s="3" t="str">
        <f t="shared" ref="D12112:D12114" si="2788">HYPERLINK("https://12go.asia/en/travel/Jaffna/Attanagalla", "12Go Link")</f>
        <v>12Go Link</v>
      </c>
      <c r="E12112" s="2" t="s">
        <v>286</v>
      </c>
    </row>
    <row r="12113">
      <c r="A12113" s="2" t="s">
        <v>4969</v>
      </c>
      <c r="B12113" s="2" t="s">
        <v>5029</v>
      </c>
      <c r="C12113" s="2" t="s">
        <v>6457</v>
      </c>
      <c r="D12113" s="3" t="str">
        <f t="shared" si="2788"/>
        <v>12Go Link</v>
      </c>
      <c r="E12113" s="2" t="s">
        <v>4139</v>
      </c>
    </row>
    <row r="12114">
      <c r="A12114" s="2" t="s">
        <v>4969</v>
      </c>
      <c r="B12114" s="2" t="s">
        <v>5029</v>
      </c>
      <c r="C12114" s="2" t="s">
        <v>6457</v>
      </c>
      <c r="D12114" s="3" t="str">
        <f t="shared" si="2788"/>
        <v>12Go Link</v>
      </c>
      <c r="E12114" s="2" t="s">
        <v>3409</v>
      </c>
    </row>
    <row r="12115">
      <c r="A12115" s="2" t="s">
        <v>4969</v>
      </c>
      <c r="B12115" s="2" t="s">
        <v>5031</v>
      </c>
      <c r="C12115" s="2" t="s">
        <v>6458</v>
      </c>
      <c r="D12115" s="3" t="str">
        <f t="shared" ref="D12115:D12117" si="2789">HYPERLINK("https://12go.asia/en/travel/Jaffna/Moronthuduwa", "12Go Link")</f>
        <v>12Go Link</v>
      </c>
      <c r="E12115" s="2" t="s">
        <v>286</v>
      </c>
    </row>
    <row r="12116">
      <c r="A12116" s="2" t="s">
        <v>4969</v>
      </c>
      <c r="B12116" s="2" t="s">
        <v>5031</v>
      </c>
      <c r="C12116" s="2" t="s">
        <v>6458</v>
      </c>
      <c r="D12116" s="3" t="str">
        <f t="shared" si="2789"/>
        <v>12Go Link</v>
      </c>
      <c r="E12116" s="2" t="s">
        <v>4139</v>
      </c>
    </row>
    <row r="12117">
      <c r="A12117" s="2" t="s">
        <v>4969</v>
      </c>
      <c r="B12117" s="2" t="s">
        <v>5031</v>
      </c>
      <c r="C12117" s="2" t="s">
        <v>6458</v>
      </c>
      <c r="D12117" s="3" t="str">
        <f t="shared" si="2789"/>
        <v>12Go Link</v>
      </c>
      <c r="E12117" s="2" t="s">
        <v>3409</v>
      </c>
    </row>
    <row r="12118">
      <c r="A12118" s="2" t="s">
        <v>4969</v>
      </c>
      <c r="B12118" s="2" t="s">
        <v>5031</v>
      </c>
      <c r="C12118" s="2" t="s">
        <v>6459</v>
      </c>
      <c r="D12118" s="3" t="str">
        <f t="shared" ref="D12118:D12120" si="2790">HYPERLINK("https://12go.asia/en/travel/Jaffna/Waskaduwa", "12Go Link")</f>
        <v>12Go Link</v>
      </c>
      <c r="E12118" s="2" t="s">
        <v>286</v>
      </c>
    </row>
    <row r="12119">
      <c r="A12119" s="2" t="s">
        <v>4969</v>
      </c>
      <c r="B12119" s="2" t="s">
        <v>5031</v>
      </c>
      <c r="C12119" s="2" t="s">
        <v>6459</v>
      </c>
      <c r="D12119" s="3" t="str">
        <f t="shared" si="2790"/>
        <v>12Go Link</v>
      </c>
      <c r="E12119" s="2" t="s">
        <v>4139</v>
      </c>
    </row>
    <row r="12120">
      <c r="A12120" s="2" t="s">
        <v>4969</v>
      </c>
      <c r="B12120" s="2" t="s">
        <v>5031</v>
      </c>
      <c r="C12120" s="2" t="s">
        <v>6459</v>
      </c>
      <c r="D12120" s="3" t="str">
        <f t="shared" si="2790"/>
        <v>12Go Link</v>
      </c>
      <c r="E12120" s="2" t="s">
        <v>3409</v>
      </c>
    </row>
    <row r="12121">
      <c r="A12121" s="2" t="s">
        <v>4969</v>
      </c>
      <c r="B12121" s="2" t="s">
        <v>5034</v>
      </c>
      <c r="C12121" s="2" t="s">
        <v>6460</v>
      </c>
      <c r="D12121" s="3" t="str">
        <f t="shared" ref="D12121:D12123" si="2791">HYPERLINK("https://12go.asia/en/travel/Jaffna/Weddagala", "12Go Link")</f>
        <v>12Go Link</v>
      </c>
      <c r="E12121" s="2" t="s">
        <v>286</v>
      </c>
    </row>
    <row r="12122">
      <c r="A12122" s="2" t="s">
        <v>4969</v>
      </c>
      <c r="B12122" s="2" t="s">
        <v>5034</v>
      </c>
      <c r="C12122" s="2" t="s">
        <v>6460</v>
      </c>
      <c r="D12122" s="3" t="str">
        <f t="shared" si="2791"/>
        <v>12Go Link</v>
      </c>
      <c r="E12122" s="2" t="s">
        <v>4139</v>
      </c>
    </row>
    <row r="12123">
      <c r="A12123" s="2" t="s">
        <v>4969</v>
      </c>
      <c r="B12123" s="2" t="s">
        <v>5034</v>
      </c>
      <c r="C12123" s="2" t="s">
        <v>6460</v>
      </c>
      <c r="D12123" s="3" t="str">
        <f t="shared" si="2791"/>
        <v>12Go Link</v>
      </c>
      <c r="E12123" s="2" t="s">
        <v>3409</v>
      </c>
    </row>
    <row r="12124">
      <c r="A12124" s="2" t="s">
        <v>4969</v>
      </c>
      <c r="B12124" s="2" t="s">
        <v>5036</v>
      </c>
      <c r="C12124" s="2" t="s">
        <v>6461</v>
      </c>
      <c r="D12124" s="3" t="str">
        <f t="shared" ref="D12124:D12126" si="2792">HYPERLINK("https://12go.asia/en/travel/Jaffna/Weligatta", "12Go Link")</f>
        <v>12Go Link</v>
      </c>
      <c r="E12124" s="2" t="s">
        <v>286</v>
      </c>
    </row>
    <row r="12125">
      <c r="A12125" s="2" t="s">
        <v>4969</v>
      </c>
      <c r="B12125" s="2" t="s">
        <v>5036</v>
      </c>
      <c r="C12125" s="2" t="s">
        <v>6461</v>
      </c>
      <c r="D12125" s="3" t="str">
        <f t="shared" si="2792"/>
        <v>12Go Link</v>
      </c>
      <c r="E12125" s="2" t="s">
        <v>4139</v>
      </c>
    </row>
    <row r="12126">
      <c r="A12126" s="2" t="s">
        <v>4969</v>
      </c>
      <c r="B12126" s="2" t="s">
        <v>5036</v>
      </c>
      <c r="C12126" s="2" t="s">
        <v>6461</v>
      </c>
      <c r="D12126" s="3" t="str">
        <f t="shared" si="2792"/>
        <v>12Go Link</v>
      </c>
      <c r="E12126" s="2" t="s">
        <v>3409</v>
      </c>
    </row>
    <row r="12127">
      <c r="A12127" s="2" t="s">
        <v>4969</v>
      </c>
      <c r="B12127" s="2" t="s">
        <v>5038</v>
      </c>
      <c r="C12127" s="2" t="s">
        <v>6462</v>
      </c>
      <c r="D12127" s="3" t="str">
        <f t="shared" ref="D12127:D12129" si="2793">HYPERLINK("https://12go.asia/en/travel/Jaffna/Akuressa", "12Go Link")</f>
        <v>12Go Link</v>
      </c>
      <c r="E12127" s="2" t="s">
        <v>286</v>
      </c>
    </row>
    <row r="12128">
      <c r="A12128" s="2" t="s">
        <v>4969</v>
      </c>
      <c r="B12128" s="2" t="s">
        <v>5038</v>
      </c>
      <c r="C12128" s="2" t="s">
        <v>6462</v>
      </c>
      <c r="D12128" s="3" t="str">
        <f t="shared" si="2793"/>
        <v>12Go Link</v>
      </c>
      <c r="E12128" s="2" t="s">
        <v>4139</v>
      </c>
    </row>
    <row r="12129">
      <c r="A12129" s="2" t="s">
        <v>4969</v>
      </c>
      <c r="B12129" s="2" t="s">
        <v>5038</v>
      </c>
      <c r="C12129" s="2" t="s">
        <v>6462</v>
      </c>
      <c r="D12129" s="3" t="str">
        <f t="shared" si="2793"/>
        <v>12Go Link</v>
      </c>
      <c r="E12129" s="2" t="s">
        <v>3409</v>
      </c>
    </row>
    <row r="12130">
      <c r="A12130" s="2" t="s">
        <v>4969</v>
      </c>
      <c r="B12130" s="2" t="s">
        <v>5040</v>
      </c>
      <c r="C12130" s="2" t="s">
        <v>6463</v>
      </c>
      <c r="D12130" s="3" t="str">
        <f t="shared" ref="D12130:D12132" si="2794">HYPERLINK("https://12go.asia/en/travel/Jaffna/Wilpattu", "12Go Link")</f>
        <v>12Go Link</v>
      </c>
      <c r="E12130" s="2" t="s">
        <v>286</v>
      </c>
    </row>
    <row r="12131">
      <c r="A12131" s="2" t="s">
        <v>4969</v>
      </c>
      <c r="B12131" s="2" t="s">
        <v>5040</v>
      </c>
      <c r="C12131" s="2" t="s">
        <v>6463</v>
      </c>
      <c r="D12131" s="3" t="str">
        <f t="shared" si="2794"/>
        <v>12Go Link</v>
      </c>
      <c r="E12131" s="2" t="s">
        <v>4139</v>
      </c>
    </row>
    <row r="12132">
      <c r="A12132" s="2" t="s">
        <v>4969</v>
      </c>
      <c r="B12132" s="2" t="s">
        <v>5040</v>
      </c>
      <c r="C12132" s="2" t="s">
        <v>6463</v>
      </c>
      <c r="D12132" s="3" t="str">
        <f t="shared" si="2794"/>
        <v>12Go Link</v>
      </c>
      <c r="E12132" s="2" t="s">
        <v>3409</v>
      </c>
    </row>
    <row r="12133">
      <c r="A12133" s="2" t="s">
        <v>4971</v>
      </c>
      <c r="B12133" s="2" t="s">
        <v>4918</v>
      </c>
      <c r="C12133" s="2" t="s">
        <v>6464</v>
      </c>
      <c r="D12133" s="3" t="str">
        <f t="shared" ref="D12133:D12135" si="2795">HYPERLINK("https://12go.asia/en/travel/Kalapuwa/Adams-Peak", "12Go Link")</f>
        <v>12Go Link</v>
      </c>
      <c r="E12133" s="2" t="s">
        <v>286</v>
      </c>
    </row>
    <row r="12134">
      <c r="A12134" s="2" t="s">
        <v>4971</v>
      </c>
      <c r="B12134" s="2" t="s">
        <v>4918</v>
      </c>
      <c r="C12134" s="2" t="s">
        <v>6464</v>
      </c>
      <c r="D12134" s="3" t="str">
        <f t="shared" si="2795"/>
        <v>12Go Link</v>
      </c>
      <c r="E12134" s="2" t="s">
        <v>4139</v>
      </c>
    </row>
    <row r="12135">
      <c r="A12135" s="2" t="s">
        <v>4971</v>
      </c>
      <c r="B12135" s="2" t="s">
        <v>4918</v>
      </c>
      <c r="C12135" s="2" t="s">
        <v>6464</v>
      </c>
      <c r="D12135" s="3" t="str">
        <f t="shared" si="2795"/>
        <v>12Go Link</v>
      </c>
      <c r="E12135" s="2" t="s">
        <v>3409</v>
      </c>
    </row>
    <row r="12136">
      <c r="A12136" s="2" t="s">
        <v>4971</v>
      </c>
      <c r="B12136" s="2" t="s">
        <v>4919</v>
      </c>
      <c r="C12136" s="2" t="s">
        <v>6465</v>
      </c>
      <c r="D12136" s="3" t="str">
        <f t="shared" ref="D12136:D12138" si="2796">HYPERLINK("https://12go.asia/en/travel/Kalapuwa/Ahangama", "12Go Link")</f>
        <v>12Go Link</v>
      </c>
      <c r="E12136" s="2" t="s">
        <v>286</v>
      </c>
    </row>
    <row r="12137">
      <c r="A12137" s="2" t="s">
        <v>4971</v>
      </c>
      <c r="B12137" s="2" t="s">
        <v>4919</v>
      </c>
      <c r="C12137" s="2" t="s">
        <v>6465</v>
      </c>
      <c r="D12137" s="3" t="str">
        <f t="shared" si="2796"/>
        <v>12Go Link</v>
      </c>
      <c r="E12137" s="2" t="s">
        <v>4139</v>
      </c>
    </row>
    <row r="12138">
      <c r="A12138" s="2" t="s">
        <v>4971</v>
      </c>
      <c r="B12138" s="2" t="s">
        <v>4919</v>
      </c>
      <c r="C12138" s="2" t="s">
        <v>6465</v>
      </c>
      <c r="D12138" s="3" t="str">
        <f t="shared" si="2796"/>
        <v>12Go Link</v>
      </c>
      <c r="E12138" s="2" t="s">
        <v>3409</v>
      </c>
    </row>
    <row r="12139">
      <c r="A12139" s="2" t="s">
        <v>4971</v>
      </c>
      <c r="B12139" s="2" t="s">
        <v>4921</v>
      </c>
      <c r="C12139" s="2" t="s">
        <v>6466</v>
      </c>
      <c r="D12139" s="3" t="str">
        <f t="shared" ref="D12139:D12141" si="2797">HYPERLINK("https://12go.asia/en/travel/Kalapuwa/Ahungalla", "12Go Link")</f>
        <v>12Go Link</v>
      </c>
      <c r="E12139" s="2" t="s">
        <v>286</v>
      </c>
    </row>
    <row r="12140">
      <c r="A12140" s="2" t="s">
        <v>4971</v>
      </c>
      <c r="B12140" s="2" t="s">
        <v>4921</v>
      </c>
      <c r="C12140" s="2" t="s">
        <v>6466</v>
      </c>
      <c r="D12140" s="3" t="str">
        <f t="shared" si="2797"/>
        <v>12Go Link</v>
      </c>
      <c r="E12140" s="2" t="s">
        <v>4139</v>
      </c>
    </row>
    <row r="12141">
      <c r="A12141" s="2" t="s">
        <v>4971</v>
      </c>
      <c r="B12141" s="2" t="s">
        <v>4921</v>
      </c>
      <c r="C12141" s="2" t="s">
        <v>6466</v>
      </c>
      <c r="D12141" s="3" t="str">
        <f t="shared" si="2797"/>
        <v>12Go Link</v>
      </c>
      <c r="E12141" s="2" t="s">
        <v>3409</v>
      </c>
    </row>
    <row r="12142">
      <c r="A12142" s="2" t="s">
        <v>4971</v>
      </c>
      <c r="B12142" s="2" t="s">
        <v>4923</v>
      </c>
      <c r="C12142" s="2" t="s">
        <v>6467</v>
      </c>
      <c r="D12142" s="3" t="str">
        <f t="shared" ref="D12142:D12144" si="2798">HYPERLINK("https://12go.asia/en/travel/Kalapuwa/Aluthgama", "12Go Link")</f>
        <v>12Go Link</v>
      </c>
      <c r="E12142" s="2" t="s">
        <v>286</v>
      </c>
    </row>
    <row r="12143">
      <c r="A12143" s="2" t="s">
        <v>4971</v>
      </c>
      <c r="B12143" s="2" t="s">
        <v>4923</v>
      </c>
      <c r="C12143" s="2" t="s">
        <v>6467</v>
      </c>
      <c r="D12143" s="3" t="str">
        <f t="shared" si="2798"/>
        <v>12Go Link</v>
      </c>
      <c r="E12143" s="2" t="s">
        <v>4139</v>
      </c>
    </row>
    <row r="12144">
      <c r="A12144" s="2" t="s">
        <v>4971</v>
      </c>
      <c r="B12144" s="2" t="s">
        <v>4923</v>
      </c>
      <c r="C12144" s="2" t="s">
        <v>6467</v>
      </c>
      <c r="D12144" s="3" t="str">
        <f t="shared" si="2798"/>
        <v>12Go Link</v>
      </c>
      <c r="E12144" s="2" t="s">
        <v>3409</v>
      </c>
    </row>
    <row r="12145">
      <c r="A12145" s="2" t="s">
        <v>4971</v>
      </c>
      <c r="B12145" s="2" t="s">
        <v>4925</v>
      </c>
      <c r="C12145" s="2" t="s">
        <v>6468</v>
      </c>
      <c r="D12145" s="3" t="str">
        <f t="shared" ref="D12145:D12147" si="2799">HYPERLINK("https://12go.asia/en/travel/Kalapuwa/Ambalangoda", "12Go Link")</f>
        <v>12Go Link</v>
      </c>
      <c r="E12145" s="2" t="s">
        <v>286</v>
      </c>
    </row>
    <row r="12146">
      <c r="A12146" s="2" t="s">
        <v>4971</v>
      </c>
      <c r="B12146" s="2" t="s">
        <v>4925</v>
      </c>
      <c r="C12146" s="2" t="s">
        <v>6468</v>
      </c>
      <c r="D12146" s="3" t="str">
        <f t="shared" si="2799"/>
        <v>12Go Link</v>
      </c>
      <c r="E12146" s="2" t="s">
        <v>4139</v>
      </c>
    </row>
    <row r="12147">
      <c r="A12147" s="2" t="s">
        <v>4971</v>
      </c>
      <c r="B12147" s="2" t="s">
        <v>4925</v>
      </c>
      <c r="C12147" s="2" t="s">
        <v>6468</v>
      </c>
      <c r="D12147" s="3" t="str">
        <f t="shared" si="2799"/>
        <v>12Go Link</v>
      </c>
      <c r="E12147" s="2" t="s">
        <v>3409</v>
      </c>
    </row>
    <row r="12148">
      <c r="A12148" s="2" t="s">
        <v>4971</v>
      </c>
      <c r="B12148" s="2" t="s">
        <v>4927</v>
      </c>
      <c r="C12148" s="2" t="s">
        <v>6469</v>
      </c>
      <c r="D12148" s="3" t="str">
        <f t="shared" ref="D12148:D12150" si="2800">HYPERLINK("https://12go.asia/en/travel/Kalapuwa/Ambalantota", "12Go Link")</f>
        <v>12Go Link</v>
      </c>
      <c r="E12148" s="2" t="s">
        <v>286</v>
      </c>
    </row>
    <row r="12149">
      <c r="A12149" s="2" t="s">
        <v>4971</v>
      </c>
      <c r="B12149" s="2" t="s">
        <v>4927</v>
      </c>
      <c r="C12149" s="2" t="s">
        <v>6469</v>
      </c>
      <c r="D12149" s="3" t="str">
        <f t="shared" si="2800"/>
        <v>12Go Link</v>
      </c>
      <c r="E12149" s="2" t="s">
        <v>4139</v>
      </c>
    </row>
    <row r="12150">
      <c r="A12150" s="2" t="s">
        <v>4971</v>
      </c>
      <c r="B12150" s="2" t="s">
        <v>4927</v>
      </c>
      <c r="C12150" s="2" t="s">
        <v>6469</v>
      </c>
      <c r="D12150" s="3" t="str">
        <f t="shared" si="2800"/>
        <v>12Go Link</v>
      </c>
      <c r="E12150" s="2" t="s">
        <v>3409</v>
      </c>
    </row>
    <row r="12151">
      <c r="A12151" s="2" t="s">
        <v>4971</v>
      </c>
      <c r="B12151" s="2" t="s">
        <v>4929</v>
      </c>
      <c r="C12151" s="2" t="s">
        <v>6470</v>
      </c>
      <c r="D12151" s="3" t="str">
        <f t="shared" ref="D12151:D12153" si="2801">HYPERLINK("https://12go.asia/en/travel/Kalapuwa/Anuradhapura", "12Go Link")</f>
        <v>12Go Link</v>
      </c>
      <c r="E12151" s="2" t="s">
        <v>286</v>
      </c>
    </row>
    <row r="12152">
      <c r="A12152" s="2" t="s">
        <v>4971</v>
      </c>
      <c r="B12152" s="2" t="s">
        <v>4929</v>
      </c>
      <c r="C12152" s="2" t="s">
        <v>6470</v>
      </c>
      <c r="D12152" s="3" t="str">
        <f t="shared" si="2801"/>
        <v>12Go Link</v>
      </c>
      <c r="E12152" s="2" t="s">
        <v>4139</v>
      </c>
    </row>
    <row r="12153">
      <c r="A12153" s="2" t="s">
        <v>4971</v>
      </c>
      <c r="B12153" s="2" t="s">
        <v>4929</v>
      </c>
      <c r="C12153" s="2" t="s">
        <v>6470</v>
      </c>
      <c r="D12153" s="3" t="str">
        <f t="shared" si="2801"/>
        <v>12Go Link</v>
      </c>
      <c r="E12153" s="2" t="s">
        <v>3409</v>
      </c>
    </row>
    <row r="12154">
      <c r="A12154" s="2" t="s">
        <v>4971</v>
      </c>
      <c r="B12154" s="2" t="s">
        <v>4931</v>
      </c>
      <c r="C12154" s="2" t="s">
        <v>6471</v>
      </c>
      <c r="D12154" s="3" t="str">
        <f t="shared" ref="D12154:D12156" si="2802">HYPERLINK("https://12go.asia/en/travel/Kalapuwa/Arugam-bay", "12Go Link")</f>
        <v>12Go Link</v>
      </c>
      <c r="E12154" s="2" t="s">
        <v>286</v>
      </c>
    </row>
    <row r="12155">
      <c r="A12155" s="2" t="s">
        <v>4971</v>
      </c>
      <c r="B12155" s="2" t="s">
        <v>4931</v>
      </c>
      <c r="C12155" s="2" t="s">
        <v>6471</v>
      </c>
      <c r="D12155" s="3" t="str">
        <f t="shared" si="2802"/>
        <v>12Go Link</v>
      </c>
      <c r="E12155" s="2" t="s">
        <v>4139</v>
      </c>
    </row>
    <row r="12156">
      <c r="A12156" s="2" t="s">
        <v>4971</v>
      </c>
      <c r="B12156" s="2" t="s">
        <v>4931</v>
      </c>
      <c r="C12156" s="2" t="s">
        <v>6471</v>
      </c>
      <c r="D12156" s="3" t="str">
        <f t="shared" si="2802"/>
        <v>12Go Link</v>
      </c>
      <c r="E12156" s="2" t="s">
        <v>3409</v>
      </c>
    </row>
    <row r="12157">
      <c r="A12157" s="2" t="s">
        <v>4971</v>
      </c>
      <c r="B12157" s="2" t="s">
        <v>4933</v>
      </c>
      <c r="C12157" s="2" t="s">
        <v>6472</v>
      </c>
      <c r="D12157" s="3" t="str">
        <f t="shared" ref="D12157:D12159" si="2803">HYPERLINK("https://12go.asia/en/travel/Kalapuwa/balapitiya", "12Go Link")</f>
        <v>12Go Link</v>
      </c>
      <c r="E12157" s="2" t="s">
        <v>286</v>
      </c>
    </row>
    <row r="12158">
      <c r="A12158" s="2" t="s">
        <v>4971</v>
      </c>
      <c r="B12158" s="2" t="s">
        <v>4933</v>
      </c>
      <c r="C12158" s="2" t="s">
        <v>6472</v>
      </c>
      <c r="D12158" s="3" t="str">
        <f t="shared" si="2803"/>
        <v>12Go Link</v>
      </c>
      <c r="E12158" s="2" t="s">
        <v>4139</v>
      </c>
    </row>
    <row r="12159">
      <c r="A12159" s="2" t="s">
        <v>4971</v>
      </c>
      <c r="B12159" s="2" t="s">
        <v>4933</v>
      </c>
      <c r="C12159" s="2" t="s">
        <v>6472</v>
      </c>
      <c r="D12159" s="3" t="str">
        <f t="shared" si="2803"/>
        <v>12Go Link</v>
      </c>
      <c r="E12159" s="2" t="s">
        <v>3409</v>
      </c>
    </row>
    <row r="12160">
      <c r="A12160" s="2" t="s">
        <v>4971</v>
      </c>
      <c r="B12160" s="2" t="s">
        <v>4935</v>
      </c>
      <c r="C12160" s="2" t="s">
        <v>6473</v>
      </c>
      <c r="D12160" s="3" t="str">
        <f t="shared" ref="D12160:D12162" si="2804">HYPERLINK("https://12go.asia/en/travel/Kalapuwa/Batticaloa", "12Go Link")</f>
        <v>12Go Link</v>
      </c>
      <c r="E12160" s="2" t="s">
        <v>286</v>
      </c>
    </row>
    <row r="12161">
      <c r="A12161" s="2" t="s">
        <v>4971</v>
      </c>
      <c r="B12161" s="2" t="s">
        <v>4935</v>
      </c>
      <c r="C12161" s="2" t="s">
        <v>6473</v>
      </c>
      <c r="D12161" s="3" t="str">
        <f t="shared" si="2804"/>
        <v>12Go Link</v>
      </c>
      <c r="E12161" s="2" t="s">
        <v>4139</v>
      </c>
    </row>
    <row r="12162">
      <c r="A12162" s="2" t="s">
        <v>4971</v>
      </c>
      <c r="B12162" s="2" t="s">
        <v>4935</v>
      </c>
      <c r="C12162" s="2" t="s">
        <v>6473</v>
      </c>
      <c r="D12162" s="3" t="str">
        <f t="shared" si="2804"/>
        <v>12Go Link</v>
      </c>
      <c r="E12162" s="2" t="s">
        <v>3409</v>
      </c>
    </row>
    <row r="12163">
      <c r="A12163" s="2" t="s">
        <v>4971</v>
      </c>
      <c r="B12163" s="2" t="s">
        <v>4937</v>
      </c>
      <c r="C12163" s="2" t="s">
        <v>6474</v>
      </c>
      <c r="D12163" s="3" t="str">
        <f t="shared" ref="D12163:D12165" si="2805">HYPERLINK("https://12go.asia/en/travel/Kalapuwa/Bentota", "12Go Link")</f>
        <v>12Go Link</v>
      </c>
      <c r="E12163" s="2" t="s">
        <v>286</v>
      </c>
    </row>
    <row r="12164">
      <c r="A12164" s="2" t="s">
        <v>4971</v>
      </c>
      <c r="B12164" s="2" t="s">
        <v>4937</v>
      </c>
      <c r="C12164" s="2" t="s">
        <v>6474</v>
      </c>
      <c r="D12164" s="3" t="str">
        <f t="shared" si="2805"/>
        <v>12Go Link</v>
      </c>
      <c r="E12164" s="2" t="s">
        <v>4139</v>
      </c>
    </row>
    <row r="12165">
      <c r="A12165" s="2" t="s">
        <v>4971</v>
      </c>
      <c r="B12165" s="2" t="s">
        <v>4937</v>
      </c>
      <c r="C12165" s="2" t="s">
        <v>6474</v>
      </c>
      <c r="D12165" s="3" t="str">
        <f t="shared" si="2805"/>
        <v>12Go Link</v>
      </c>
      <c r="E12165" s="2" t="s">
        <v>3409</v>
      </c>
    </row>
    <row r="12166">
      <c r="A12166" s="2" t="s">
        <v>4971</v>
      </c>
      <c r="B12166" s="2" t="s">
        <v>4939</v>
      </c>
      <c r="C12166" s="2" t="s">
        <v>6475</v>
      </c>
      <c r="D12166" s="3" t="str">
        <f t="shared" ref="D12166:D12168" si="2806">HYPERLINK("https://12go.asia/en/travel/Kalapuwa/Beruwala", "12Go Link")</f>
        <v>12Go Link</v>
      </c>
      <c r="E12166" s="2" t="s">
        <v>286</v>
      </c>
    </row>
    <row r="12167">
      <c r="A12167" s="2" t="s">
        <v>4971</v>
      </c>
      <c r="B12167" s="2" t="s">
        <v>4939</v>
      </c>
      <c r="C12167" s="2" t="s">
        <v>6475</v>
      </c>
      <c r="D12167" s="3" t="str">
        <f t="shared" si="2806"/>
        <v>12Go Link</v>
      </c>
      <c r="E12167" s="2" t="s">
        <v>4139</v>
      </c>
    </row>
    <row r="12168">
      <c r="A12168" s="2" t="s">
        <v>4971</v>
      </c>
      <c r="B12168" s="2" t="s">
        <v>4939</v>
      </c>
      <c r="C12168" s="2" t="s">
        <v>6475</v>
      </c>
      <c r="D12168" s="3" t="str">
        <f t="shared" si="2806"/>
        <v>12Go Link</v>
      </c>
      <c r="E12168" s="2" t="s">
        <v>3409</v>
      </c>
    </row>
    <row r="12169">
      <c r="A12169" s="2" t="s">
        <v>4971</v>
      </c>
      <c r="B12169" s="2" t="s">
        <v>4941</v>
      </c>
      <c r="C12169" s="2" t="s">
        <v>6476</v>
      </c>
      <c r="D12169" s="3" t="str">
        <f t="shared" ref="D12169:D12171" si="2807">HYPERLINK("https://12go.asia/en/travel/Kalapuwa/Bundala", "12Go Link")</f>
        <v>12Go Link</v>
      </c>
      <c r="E12169" s="2" t="s">
        <v>286</v>
      </c>
    </row>
    <row r="12170">
      <c r="A12170" s="2" t="s">
        <v>4971</v>
      </c>
      <c r="B12170" s="2" t="s">
        <v>4941</v>
      </c>
      <c r="C12170" s="2" t="s">
        <v>6476</v>
      </c>
      <c r="D12170" s="3" t="str">
        <f t="shared" si="2807"/>
        <v>12Go Link</v>
      </c>
      <c r="E12170" s="2" t="s">
        <v>4139</v>
      </c>
    </row>
    <row r="12171">
      <c r="A12171" s="2" t="s">
        <v>4971</v>
      </c>
      <c r="B12171" s="2" t="s">
        <v>4941</v>
      </c>
      <c r="C12171" s="2" t="s">
        <v>6476</v>
      </c>
      <c r="D12171" s="3" t="str">
        <f t="shared" si="2807"/>
        <v>12Go Link</v>
      </c>
      <c r="E12171" s="2" t="s">
        <v>3409</v>
      </c>
    </row>
    <row r="12172">
      <c r="A12172" s="2" t="s">
        <v>4971</v>
      </c>
      <c r="B12172" s="2" t="s">
        <v>4943</v>
      </c>
      <c r="C12172" s="2" t="s">
        <v>6477</v>
      </c>
      <c r="D12172" s="3" t="str">
        <f t="shared" ref="D12172:D12174" si="2808">HYPERLINK("https://12go.asia/en/travel/Kalapuwa/Bambalapitiya", "12Go Link")</f>
        <v>12Go Link</v>
      </c>
      <c r="E12172" s="2" t="s">
        <v>286</v>
      </c>
    </row>
    <row r="12173">
      <c r="A12173" s="2" t="s">
        <v>4971</v>
      </c>
      <c r="B12173" s="2" t="s">
        <v>4943</v>
      </c>
      <c r="C12173" s="2" t="s">
        <v>6477</v>
      </c>
      <c r="D12173" s="3" t="str">
        <f t="shared" si="2808"/>
        <v>12Go Link</v>
      </c>
      <c r="E12173" s="2" t="s">
        <v>4139</v>
      </c>
    </row>
    <row r="12174">
      <c r="A12174" s="2" t="s">
        <v>4971</v>
      </c>
      <c r="B12174" s="2" t="s">
        <v>4943</v>
      </c>
      <c r="C12174" s="2" t="s">
        <v>6477</v>
      </c>
      <c r="D12174" s="3" t="str">
        <f t="shared" si="2808"/>
        <v>12Go Link</v>
      </c>
      <c r="E12174" s="2" t="s">
        <v>3409</v>
      </c>
    </row>
    <row r="12175">
      <c r="A12175" s="2" t="s">
        <v>4971</v>
      </c>
      <c r="B12175" s="2" t="s">
        <v>4945</v>
      </c>
      <c r="C12175" s="2" t="s">
        <v>6478</v>
      </c>
      <c r="D12175" s="3" t="str">
        <f t="shared" ref="D12175:D12177" si="2809">HYPERLINK("https://12go.asia/en/travel/Kalapuwa/Bandaranaike-Airport", "12Go Link")</f>
        <v>12Go Link</v>
      </c>
      <c r="E12175" s="2" t="s">
        <v>286</v>
      </c>
    </row>
    <row r="12176">
      <c r="A12176" s="2" t="s">
        <v>4971</v>
      </c>
      <c r="B12176" s="2" t="s">
        <v>4945</v>
      </c>
      <c r="C12176" s="2" t="s">
        <v>6478</v>
      </c>
      <c r="D12176" s="3" t="str">
        <f t="shared" si="2809"/>
        <v>12Go Link</v>
      </c>
      <c r="E12176" s="2" t="s">
        <v>4139</v>
      </c>
    </row>
    <row r="12177">
      <c r="A12177" s="2" t="s">
        <v>4971</v>
      </c>
      <c r="B12177" s="2" t="s">
        <v>4945</v>
      </c>
      <c r="C12177" s="2" t="s">
        <v>6478</v>
      </c>
      <c r="D12177" s="3" t="str">
        <f t="shared" si="2809"/>
        <v>12Go Link</v>
      </c>
      <c r="E12177" s="2" t="s">
        <v>3409</v>
      </c>
    </row>
    <row r="12178">
      <c r="A12178" s="2" t="s">
        <v>4971</v>
      </c>
      <c r="B12178" s="2" t="s">
        <v>4947</v>
      </c>
      <c r="C12178" s="2" t="s">
        <v>6479</v>
      </c>
      <c r="D12178" s="3" t="str">
        <f t="shared" ref="D12178:D12180" si="2810">HYPERLINK("https://12go.asia/en/travel/Kalapuwa/Dambulla", "12Go Link")</f>
        <v>12Go Link</v>
      </c>
      <c r="E12178" s="2" t="s">
        <v>286</v>
      </c>
    </row>
    <row r="12179">
      <c r="A12179" s="2" t="s">
        <v>4971</v>
      </c>
      <c r="B12179" s="2" t="s">
        <v>4947</v>
      </c>
      <c r="C12179" s="2" t="s">
        <v>6479</v>
      </c>
      <c r="D12179" s="3" t="str">
        <f t="shared" si="2810"/>
        <v>12Go Link</v>
      </c>
      <c r="E12179" s="2" t="s">
        <v>4139</v>
      </c>
    </row>
    <row r="12180">
      <c r="A12180" s="2" t="s">
        <v>4971</v>
      </c>
      <c r="B12180" s="2" t="s">
        <v>4947</v>
      </c>
      <c r="C12180" s="2" t="s">
        <v>6479</v>
      </c>
      <c r="D12180" s="3" t="str">
        <f t="shared" si="2810"/>
        <v>12Go Link</v>
      </c>
      <c r="E12180" s="2" t="s">
        <v>3409</v>
      </c>
    </row>
    <row r="12181">
      <c r="A12181" s="2" t="s">
        <v>4971</v>
      </c>
      <c r="B12181" s="2" t="s">
        <v>4949</v>
      </c>
      <c r="C12181" s="2" t="s">
        <v>6480</v>
      </c>
      <c r="D12181" s="3" t="str">
        <f t="shared" ref="D12181:D12183" si="2811">HYPERLINK("https://12go.asia/en/travel/Kalapuwa/Deniyaya", "12Go Link")</f>
        <v>12Go Link</v>
      </c>
      <c r="E12181" s="2" t="s">
        <v>286</v>
      </c>
    </row>
    <row r="12182">
      <c r="A12182" s="2" t="s">
        <v>4971</v>
      </c>
      <c r="B12182" s="2" t="s">
        <v>4949</v>
      </c>
      <c r="C12182" s="2" t="s">
        <v>6480</v>
      </c>
      <c r="D12182" s="3" t="str">
        <f t="shared" si="2811"/>
        <v>12Go Link</v>
      </c>
      <c r="E12182" s="2" t="s">
        <v>4139</v>
      </c>
    </row>
    <row r="12183">
      <c r="A12183" s="2" t="s">
        <v>4971</v>
      </c>
      <c r="B12183" s="2" t="s">
        <v>4949</v>
      </c>
      <c r="C12183" s="2" t="s">
        <v>6480</v>
      </c>
      <c r="D12183" s="3" t="str">
        <f t="shared" si="2811"/>
        <v>12Go Link</v>
      </c>
      <c r="E12183" s="2" t="s">
        <v>3409</v>
      </c>
    </row>
    <row r="12184">
      <c r="A12184" s="2" t="s">
        <v>4971</v>
      </c>
      <c r="B12184" s="2" t="s">
        <v>4951</v>
      </c>
      <c r="C12184" s="2" t="s">
        <v>6481</v>
      </c>
      <c r="D12184" s="3" t="str">
        <f t="shared" ref="D12184:D12186" si="2812">HYPERLINK("https://12go.asia/en/travel/Kalapuwa/Dickwella", "12Go Link")</f>
        <v>12Go Link</v>
      </c>
      <c r="E12184" s="2" t="s">
        <v>286</v>
      </c>
    </row>
    <row r="12185">
      <c r="A12185" s="2" t="s">
        <v>4971</v>
      </c>
      <c r="B12185" s="2" t="s">
        <v>4951</v>
      </c>
      <c r="C12185" s="2" t="s">
        <v>6481</v>
      </c>
      <c r="D12185" s="3" t="str">
        <f t="shared" si="2812"/>
        <v>12Go Link</v>
      </c>
      <c r="E12185" s="2" t="s">
        <v>4139</v>
      </c>
    </row>
    <row r="12186">
      <c r="A12186" s="2" t="s">
        <v>4971</v>
      </c>
      <c r="B12186" s="2" t="s">
        <v>4951</v>
      </c>
      <c r="C12186" s="2" t="s">
        <v>6481</v>
      </c>
      <c r="D12186" s="3" t="str">
        <f t="shared" si="2812"/>
        <v>12Go Link</v>
      </c>
      <c r="E12186" s="2" t="s">
        <v>3409</v>
      </c>
    </row>
    <row r="12187">
      <c r="A12187" s="2" t="s">
        <v>4971</v>
      </c>
      <c r="B12187" s="2" t="s">
        <v>4951</v>
      </c>
      <c r="C12187" s="2" t="s">
        <v>6482</v>
      </c>
      <c r="D12187" s="3" t="str">
        <f t="shared" ref="D12187:D12189" si="2813">HYPERLINK("https://12go.asia/en/travel/Kalapuwa/Hiriketiya-beach", "12Go Link")</f>
        <v>12Go Link</v>
      </c>
      <c r="E12187" s="2" t="s">
        <v>286</v>
      </c>
    </row>
    <row r="12188">
      <c r="A12188" s="2" t="s">
        <v>4971</v>
      </c>
      <c r="B12188" s="2" t="s">
        <v>4951</v>
      </c>
      <c r="C12188" s="2" t="s">
        <v>6482</v>
      </c>
      <c r="D12188" s="3" t="str">
        <f t="shared" si="2813"/>
        <v>12Go Link</v>
      </c>
      <c r="E12188" s="2" t="s">
        <v>4139</v>
      </c>
    </row>
    <row r="12189">
      <c r="A12189" s="2" t="s">
        <v>4971</v>
      </c>
      <c r="B12189" s="2" t="s">
        <v>4951</v>
      </c>
      <c r="C12189" s="2" t="s">
        <v>6482</v>
      </c>
      <c r="D12189" s="3" t="str">
        <f t="shared" si="2813"/>
        <v>12Go Link</v>
      </c>
      <c r="E12189" s="2" t="s">
        <v>3409</v>
      </c>
    </row>
    <row r="12190">
      <c r="A12190" s="2" t="s">
        <v>4971</v>
      </c>
      <c r="B12190" s="2" t="s">
        <v>4954</v>
      </c>
      <c r="C12190" s="2" t="s">
        <v>6483</v>
      </c>
      <c r="D12190" s="3" t="str">
        <f t="shared" ref="D12190:D12192" si="2814">HYPERLINK("https://12go.asia/en/travel/Kalapuwa/Galle", "12Go Link")</f>
        <v>12Go Link</v>
      </c>
      <c r="E12190" s="2" t="s">
        <v>286</v>
      </c>
    </row>
    <row r="12191">
      <c r="A12191" s="2" t="s">
        <v>4971</v>
      </c>
      <c r="B12191" s="2" t="s">
        <v>4954</v>
      </c>
      <c r="C12191" s="2" t="s">
        <v>6483</v>
      </c>
      <c r="D12191" s="3" t="str">
        <f t="shared" si="2814"/>
        <v>12Go Link</v>
      </c>
      <c r="E12191" s="2" t="s">
        <v>4139</v>
      </c>
    </row>
    <row r="12192">
      <c r="A12192" s="2" t="s">
        <v>4971</v>
      </c>
      <c r="B12192" s="2" t="s">
        <v>4954</v>
      </c>
      <c r="C12192" s="2" t="s">
        <v>6483</v>
      </c>
      <c r="D12192" s="3" t="str">
        <f t="shared" si="2814"/>
        <v>12Go Link</v>
      </c>
      <c r="E12192" s="2" t="s">
        <v>3409</v>
      </c>
    </row>
    <row r="12193">
      <c r="A12193" s="2" t="s">
        <v>4971</v>
      </c>
      <c r="B12193" s="2" t="s">
        <v>4954</v>
      </c>
      <c r="C12193" s="2" t="s">
        <v>6484</v>
      </c>
      <c r="D12193" s="3" t="str">
        <f t="shared" ref="D12193:D12195" si="2815">HYPERLINK("https://12go.asia/en/travel/Kalapuwa/Talpe", "12Go Link")</f>
        <v>12Go Link</v>
      </c>
      <c r="E12193" s="2" t="s">
        <v>286</v>
      </c>
    </row>
    <row r="12194">
      <c r="A12194" s="2" t="s">
        <v>4971</v>
      </c>
      <c r="B12194" s="2" t="s">
        <v>4954</v>
      </c>
      <c r="C12194" s="2" t="s">
        <v>6484</v>
      </c>
      <c r="D12194" s="3" t="str">
        <f t="shared" si="2815"/>
        <v>12Go Link</v>
      </c>
      <c r="E12194" s="2" t="s">
        <v>4139</v>
      </c>
    </row>
    <row r="12195">
      <c r="A12195" s="2" t="s">
        <v>4971</v>
      </c>
      <c r="B12195" s="2" t="s">
        <v>4954</v>
      </c>
      <c r="C12195" s="2" t="s">
        <v>6484</v>
      </c>
      <c r="D12195" s="3" t="str">
        <f t="shared" si="2815"/>
        <v>12Go Link</v>
      </c>
      <c r="E12195" s="2" t="s">
        <v>3409</v>
      </c>
    </row>
    <row r="12196">
      <c r="A12196" s="2" t="s">
        <v>4971</v>
      </c>
      <c r="B12196" s="2" t="s">
        <v>4954</v>
      </c>
      <c r="C12196" s="2" t="s">
        <v>6485</v>
      </c>
      <c r="D12196" s="3" t="str">
        <f>HYPERLINK("https://12go.asia/en/travel/Kalutara-South/Galle", "12Go Link")</f>
        <v>12Go Link</v>
      </c>
      <c r="E12196" s="2" t="s">
        <v>5080</v>
      </c>
    </row>
    <row r="12197">
      <c r="A12197" s="2" t="s">
        <v>4971</v>
      </c>
      <c r="B12197" s="2" t="s">
        <v>4957</v>
      </c>
      <c r="C12197" s="2" t="s">
        <v>6486</v>
      </c>
      <c r="D12197" s="3" t="str">
        <f t="shared" ref="D12197:D12199" si="2816">HYPERLINK("https://12go.asia/en/travel/Kalapuwa/Habarana", "12Go Link")</f>
        <v>12Go Link</v>
      </c>
      <c r="E12197" s="2" t="s">
        <v>286</v>
      </c>
    </row>
    <row r="12198">
      <c r="A12198" s="2" t="s">
        <v>4971</v>
      </c>
      <c r="B12198" s="2" t="s">
        <v>4957</v>
      </c>
      <c r="C12198" s="2" t="s">
        <v>6486</v>
      </c>
      <c r="D12198" s="3" t="str">
        <f t="shared" si="2816"/>
        <v>12Go Link</v>
      </c>
      <c r="E12198" s="2" t="s">
        <v>4139</v>
      </c>
    </row>
    <row r="12199">
      <c r="A12199" s="2" t="s">
        <v>4971</v>
      </c>
      <c r="B12199" s="2" t="s">
        <v>4957</v>
      </c>
      <c r="C12199" s="2" t="s">
        <v>6486</v>
      </c>
      <c r="D12199" s="3" t="str">
        <f t="shared" si="2816"/>
        <v>12Go Link</v>
      </c>
      <c r="E12199" s="2" t="s">
        <v>3409</v>
      </c>
    </row>
    <row r="12200">
      <c r="A12200" s="2" t="s">
        <v>4971</v>
      </c>
      <c r="B12200" s="2" t="s">
        <v>4959</v>
      </c>
      <c r="C12200" s="2" t="s">
        <v>6487</v>
      </c>
      <c r="D12200" s="3" t="str">
        <f t="shared" ref="D12200:D12202" si="2817">HYPERLINK("https://12go.asia/en/travel/Kalapuwa/Ella", "12Go Link")</f>
        <v>12Go Link</v>
      </c>
      <c r="E12200" s="2" t="s">
        <v>286</v>
      </c>
    </row>
    <row r="12201">
      <c r="A12201" s="2" t="s">
        <v>4971</v>
      </c>
      <c r="B12201" s="2" t="s">
        <v>4959</v>
      </c>
      <c r="C12201" s="2" t="s">
        <v>6487</v>
      </c>
      <c r="D12201" s="3" t="str">
        <f t="shared" si="2817"/>
        <v>12Go Link</v>
      </c>
      <c r="E12201" s="2" t="s">
        <v>4139</v>
      </c>
    </row>
    <row r="12202">
      <c r="A12202" s="2" t="s">
        <v>4971</v>
      </c>
      <c r="B12202" s="2" t="s">
        <v>4959</v>
      </c>
      <c r="C12202" s="2" t="s">
        <v>6487</v>
      </c>
      <c r="D12202" s="3" t="str">
        <f t="shared" si="2817"/>
        <v>12Go Link</v>
      </c>
      <c r="E12202" s="2" t="s">
        <v>3409</v>
      </c>
    </row>
    <row r="12203">
      <c r="A12203" s="2" t="s">
        <v>4971</v>
      </c>
      <c r="B12203" s="2" t="s">
        <v>4961</v>
      </c>
      <c r="C12203" s="2" t="s">
        <v>6488</v>
      </c>
      <c r="D12203" s="3" t="str">
        <f t="shared" ref="D12203:D12205" si="2818">HYPERLINK("https://12go.asia/en/travel/Kalapuwa/Beragala", "12Go Link")</f>
        <v>12Go Link</v>
      </c>
      <c r="E12203" s="2" t="s">
        <v>286</v>
      </c>
    </row>
    <row r="12204">
      <c r="A12204" s="2" t="s">
        <v>4971</v>
      </c>
      <c r="B12204" s="2" t="s">
        <v>4961</v>
      </c>
      <c r="C12204" s="2" t="s">
        <v>6488</v>
      </c>
      <c r="D12204" s="3" t="str">
        <f t="shared" si="2818"/>
        <v>12Go Link</v>
      </c>
      <c r="E12204" s="2" t="s">
        <v>4139</v>
      </c>
    </row>
    <row r="12205">
      <c r="A12205" s="2" t="s">
        <v>4971</v>
      </c>
      <c r="B12205" s="2" t="s">
        <v>4961</v>
      </c>
      <c r="C12205" s="2" t="s">
        <v>6488</v>
      </c>
      <c r="D12205" s="3" t="str">
        <f t="shared" si="2818"/>
        <v>12Go Link</v>
      </c>
      <c r="E12205" s="2" t="s">
        <v>3409</v>
      </c>
    </row>
    <row r="12206">
      <c r="A12206" s="2" t="s">
        <v>4971</v>
      </c>
      <c r="B12206" s="2" t="s">
        <v>4963</v>
      </c>
      <c r="C12206" s="2" t="s">
        <v>6489</v>
      </c>
      <c r="D12206" s="3" t="str">
        <f t="shared" ref="D12206:D12208" si="2819">HYPERLINK("https://12go.asia/en/travel/Kalapuwa/Dick-oya", "12Go Link")</f>
        <v>12Go Link</v>
      </c>
      <c r="E12206" s="2" t="s">
        <v>286</v>
      </c>
    </row>
    <row r="12207">
      <c r="A12207" s="2" t="s">
        <v>4971</v>
      </c>
      <c r="B12207" s="2" t="s">
        <v>4963</v>
      </c>
      <c r="C12207" s="2" t="s">
        <v>6489</v>
      </c>
      <c r="D12207" s="3" t="str">
        <f t="shared" si="2819"/>
        <v>12Go Link</v>
      </c>
      <c r="E12207" s="2" t="s">
        <v>4139</v>
      </c>
    </row>
    <row r="12208">
      <c r="A12208" s="2" t="s">
        <v>4971</v>
      </c>
      <c r="B12208" s="2" t="s">
        <v>4963</v>
      </c>
      <c r="C12208" s="2" t="s">
        <v>6489</v>
      </c>
      <c r="D12208" s="3" t="str">
        <f t="shared" si="2819"/>
        <v>12Go Link</v>
      </c>
      <c r="E12208" s="2" t="s">
        <v>3409</v>
      </c>
    </row>
    <row r="12209">
      <c r="A12209" s="2" t="s">
        <v>4971</v>
      </c>
      <c r="B12209" s="2" t="s">
        <v>4965</v>
      </c>
      <c r="C12209" s="2" t="s">
        <v>6490</v>
      </c>
      <c r="D12209" s="3" t="str">
        <f t="shared" ref="D12209:D12211" si="2820">HYPERLINK("https://12go.asia/en/travel/Kalapuwa/Dodanduwa", "12Go Link")</f>
        <v>12Go Link</v>
      </c>
      <c r="E12209" s="2" t="s">
        <v>286</v>
      </c>
    </row>
    <row r="12210">
      <c r="A12210" s="2" t="s">
        <v>4971</v>
      </c>
      <c r="B12210" s="2" t="s">
        <v>4965</v>
      </c>
      <c r="C12210" s="2" t="s">
        <v>6490</v>
      </c>
      <c r="D12210" s="3" t="str">
        <f t="shared" si="2820"/>
        <v>12Go Link</v>
      </c>
      <c r="E12210" s="2" t="s">
        <v>4139</v>
      </c>
    </row>
    <row r="12211">
      <c r="A12211" s="2" t="s">
        <v>4971</v>
      </c>
      <c r="B12211" s="2" t="s">
        <v>4965</v>
      </c>
      <c r="C12211" s="2" t="s">
        <v>6490</v>
      </c>
      <c r="D12211" s="3" t="str">
        <f t="shared" si="2820"/>
        <v>12Go Link</v>
      </c>
      <c r="E12211" s="2" t="s">
        <v>3409</v>
      </c>
    </row>
    <row r="12212">
      <c r="A12212" s="2" t="s">
        <v>4971</v>
      </c>
      <c r="B12212" s="2" t="s">
        <v>4967</v>
      </c>
      <c r="C12212" s="2" t="s">
        <v>6491</v>
      </c>
      <c r="D12212" s="3" t="str">
        <f t="shared" ref="D12212:D12214" si="2821">HYPERLINK("https://12go.asia/en/travel/Kalapuwa/Induruwa", "12Go Link")</f>
        <v>12Go Link</v>
      </c>
      <c r="E12212" s="2" t="s">
        <v>286</v>
      </c>
    </row>
    <row r="12213">
      <c r="A12213" s="2" t="s">
        <v>4971</v>
      </c>
      <c r="B12213" s="2" t="s">
        <v>4967</v>
      </c>
      <c r="C12213" s="2" t="s">
        <v>6491</v>
      </c>
      <c r="D12213" s="3" t="str">
        <f t="shared" si="2821"/>
        <v>12Go Link</v>
      </c>
      <c r="E12213" s="2" t="s">
        <v>4139</v>
      </c>
    </row>
    <row r="12214">
      <c r="A12214" s="2" t="s">
        <v>4971</v>
      </c>
      <c r="B12214" s="2" t="s">
        <v>4967</v>
      </c>
      <c r="C12214" s="2" t="s">
        <v>6491</v>
      </c>
      <c r="D12214" s="3" t="str">
        <f t="shared" si="2821"/>
        <v>12Go Link</v>
      </c>
      <c r="E12214" s="2" t="s">
        <v>3409</v>
      </c>
    </row>
    <row r="12215">
      <c r="A12215" s="2" t="s">
        <v>4971</v>
      </c>
      <c r="B12215" s="2" t="s">
        <v>4969</v>
      </c>
      <c r="C12215" s="2" t="s">
        <v>6492</v>
      </c>
      <c r="D12215" s="3" t="str">
        <f t="shared" ref="D12215:D12217" si="2822">HYPERLINK("https://12go.asia/en/travel/Kalapuwa/Jaffna", "12Go Link")</f>
        <v>12Go Link</v>
      </c>
      <c r="E12215" s="2" t="s">
        <v>286</v>
      </c>
    </row>
    <row r="12216">
      <c r="A12216" s="2" t="s">
        <v>4971</v>
      </c>
      <c r="B12216" s="2" t="s">
        <v>4969</v>
      </c>
      <c r="C12216" s="2" t="s">
        <v>6492</v>
      </c>
      <c r="D12216" s="3" t="str">
        <f t="shared" si="2822"/>
        <v>12Go Link</v>
      </c>
      <c r="E12216" s="2" t="s">
        <v>4139</v>
      </c>
    </row>
    <row r="12217">
      <c r="A12217" s="2" t="s">
        <v>4971</v>
      </c>
      <c r="B12217" s="2" t="s">
        <v>4969</v>
      </c>
      <c r="C12217" s="2" t="s">
        <v>6492</v>
      </c>
      <c r="D12217" s="3" t="str">
        <f t="shared" si="2822"/>
        <v>12Go Link</v>
      </c>
      <c r="E12217" s="2" t="s">
        <v>3409</v>
      </c>
    </row>
    <row r="12218">
      <c r="A12218" s="2" t="s">
        <v>4971</v>
      </c>
      <c r="B12218" s="2" t="s">
        <v>4973</v>
      </c>
      <c r="C12218" s="2" t="s">
        <v>6493</v>
      </c>
      <c r="D12218" s="3" t="str">
        <f t="shared" ref="D12218:D12220" si="2823">HYPERLINK("https://12go.asia/en/travel/Kalapuwa/Ampitiya", "12Go Link")</f>
        <v>12Go Link</v>
      </c>
      <c r="E12218" s="2" t="s">
        <v>286</v>
      </c>
    </row>
    <row r="12219">
      <c r="A12219" s="2" t="s">
        <v>4971</v>
      </c>
      <c r="B12219" s="2" t="s">
        <v>4973</v>
      </c>
      <c r="C12219" s="2" t="s">
        <v>6493</v>
      </c>
      <c r="D12219" s="3" t="str">
        <f t="shared" si="2823"/>
        <v>12Go Link</v>
      </c>
      <c r="E12219" s="2" t="s">
        <v>4139</v>
      </c>
    </row>
    <row r="12220">
      <c r="A12220" s="2" t="s">
        <v>4971</v>
      </c>
      <c r="B12220" s="2" t="s">
        <v>4973</v>
      </c>
      <c r="C12220" s="2" t="s">
        <v>6493</v>
      </c>
      <c r="D12220" s="3" t="str">
        <f t="shared" si="2823"/>
        <v>12Go Link</v>
      </c>
      <c r="E12220" s="2" t="s">
        <v>3409</v>
      </c>
    </row>
    <row r="12221">
      <c r="A12221" s="2" t="s">
        <v>4971</v>
      </c>
      <c r="B12221" s="2" t="s">
        <v>4973</v>
      </c>
      <c r="C12221" s="2" t="s">
        <v>6494</v>
      </c>
      <c r="D12221" s="3" t="str">
        <f t="shared" ref="D12221:D12223" si="2824">HYPERLINK("https://12go.asia/en/travel/Kalapuwa/Digana", "12Go Link")</f>
        <v>12Go Link</v>
      </c>
      <c r="E12221" s="2" t="s">
        <v>286</v>
      </c>
    </row>
    <row r="12222">
      <c r="A12222" s="2" t="s">
        <v>4971</v>
      </c>
      <c r="B12222" s="2" t="s">
        <v>4973</v>
      </c>
      <c r="C12222" s="2" t="s">
        <v>6494</v>
      </c>
      <c r="D12222" s="3" t="str">
        <f t="shared" si="2824"/>
        <v>12Go Link</v>
      </c>
      <c r="E12222" s="2" t="s">
        <v>4139</v>
      </c>
    </row>
    <row r="12223">
      <c r="A12223" s="2" t="s">
        <v>4971</v>
      </c>
      <c r="B12223" s="2" t="s">
        <v>4973</v>
      </c>
      <c r="C12223" s="2" t="s">
        <v>6494</v>
      </c>
      <c r="D12223" s="3" t="str">
        <f t="shared" si="2824"/>
        <v>12Go Link</v>
      </c>
      <c r="E12223" s="2" t="s">
        <v>3409</v>
      </c>
    </row>
    <row r="12224">
      <c r="A12224" s="2" t="s">
        <v>4971</v>
      </c>
      <c r="B12224" s="2" t="s">
        <v>4976</v>
      </c>
      <c r="C12224" s="2" t="s">
        <v>6495</v>
      </c>
      <c r="D12224" s="3" t="str">
        <f t="shared" ref="D12224:D12226" si="2825">HYPERLINK("https://12go.asia/en/travel/Kalapuwa/Kataragama", "12Go Link")</f>
        <v>12Go Link</v>
      </c>
      <c r="E12224" s="2" t="s">
        <v>286</v>
      </c>
    </row>
    <row r="12225">
      <c r="A12225" s="2" t="s">
        <v>4971</v>
      </c>
      <c r="B12225" s="2" t="s">
        <v>4976</v>
      </c>
      <c r="C12225" s="2" t="s">
        <v>6495</v>
      </c>
      <c r="D12225" s="3" t="str">
        <f t="shared" si="2825"/>
        <v>12Go Link</v>
      </c>
      <c r="E12225" s="2" t="s">
        <v>4139</v>
      </c>
    </row>
    <row r="12226">
      <c r="A12226" s="2" t="s">
        <v>4971</v>
      </c>
      <c r="B12226" s="2" t="s">
        <v>4976</v>
      </c>
      <c r="C12226" s="2" t="s">
        <v>6495</v>
      </c>
      <c r="D12226" s="3" t="str">
        <f t="shared" si="2825"/>
        <v>12Go Link</v>
      </c>
      <c r="E12226" s="2" t="s">
        <v>3409</v>
      </c>
    </row>
    <row r="12227">
      <c r="A12227" s="2" t="s">
        <v>4971</v>
      </c>
      <c r="B12227" s="2" t="s">
        <v>4978</v>
      </c>
      <c r="C12227" s="2" t="s">
        <v>6496</v>
      </c>
      <c r="D12227" s="3" t="str">
        <f t="shared" ref="D12227:D12229" si="2826">HYPERLINK("https://12go.asia/en/travel/Kalapuwa/Alawathupitiya", "12Go Link")</f>
        <v>12Go Link</v>
      </c>
      <c r="E12227" s="2" t="s">
        <v>286</v>
      </c>
    </row>
    <row r="12228">
      <c r="A12228" s="2" t="s">
        <v>4971</v>
      </c>
      <c r="B12228" s="2" t="s">
        <v>4978</v>
      </c>
      <c r="C12228" s="2" t="s">
        <v>6496</v>
      </c>
      <c r="D12228" s="3" t="str">
        <f t="shared" si="2826"/>
        <v>12Go Link</v>
      </c>
      <c r="E12228" s="2" t="s">
        <v>4139</v>
      </c>
    </row>
    <row r="12229">
      <c r="A12229" s="2" t="s">
        <v>4971</v>
      </c>
      <c r="B12229" s="2" t="s">
        <v>4978</v>
      </c>
      <c r="C12229" s="2" t="s">
        <v>6496</v>
      </c>
      <c r="D12229" s="3" t="str">
        <f t="shared" si="2826"/>
        <v>12Go Link</v>
      </c>
      <c r="E12229" s="2" t="s">
        <v>3409</v>
      </c>
    </row>
    <row r="12230">
      <c r="A12230" s="2" t="s">
        <v>4971</v>
      </c>
      <c r="B12230" s="2" t="s">
        <v>4980</v>
      </c>
      <c r="C12230" s="2" t="s">
        <v>6497</v>
      </c>
      <c r="D12230" s="3" t="str">
        <f t="shared" ref="D12230:D12232" si="2827">HYPERLINK("https://12go.asia/en/travel/Kalapuwa/Pinnawala", "12Go Link")</f>
        <v>12Go Link</v>
      </c>
      <c r="E12230" s="2" t="s">
        <v>286</v>
      </c>
    </row>
    <row r="12231">
      <c r="A12231" s="2" t="s">
        <v>4971</v>
      </c>
      <c r="B12231" s="2" t="s">
        <v>4980</v>
      </c>
      <c r="C12231" s="2" t="s">
        <v>6497</v>
      </c>
      <c r="D12231" s="3" t="str">
        <f t="shared" si="2827"/>
        <v>12Go Link</v>
      </c>
      <c r="E12231" s="2" t="s">
        <v>4139</v>
      </c>
    </row>
    <row r="12232">
      <c r="A12232" s="2" t="s">
        <v>4971</v>
      </c>
      <c r="B12232" s="2" t="s">
        <v>4980</v>
      </c>
      <c r="C12232" s="2" t="s">
        <v>6497</v>
      </c>
      <c r="D12232" s="3" t="str">
        <f t="shared" si="2827"/>
        <v>12Go Link</v>
      </c>
      <c r="E12232" s="2" t="s">
        <v>3409</v>
      </c>
    </row>
    <row r="12233">
      <c r="A12233" s="2" t="s">
        <v>4971</v>
      </c>
      <c r="B12233" s="2" t="s">
        <v>4982</v>
      </c>
      <c r="C12233" s="2" t="s">
        <v>6498</v>
      </c>
      <c r="D12233" s="3" t="str">
        <f t="shared" ref="D12233:D12235" si="2828">HYPERLINK("https://12go.asia/en/travel/Kalapuwa/Kitulgala", "12Go Link")</f>
        <v>12Go Link</v>
      </c>
      <c r="E12233" s="2" t="s">
        <v>286</v>
      </c>
    </row>
    <row r="12234">
      <c r="A12234" s="2" t="s">
        <v>4971</v>
      </c>
      <c r="B12234" s="2" t="s">
        <v>4982</v>
      </c>
      <c r="C12234" s="2" t="s">
        <v>6498</v>
      </c>
      <c r="D12234" s="3" t="str">
        <f t="shared" si="2828"/>
        <v>12Go Link</v>
      </c>
      <c r="E12234" s="2" t="s">
        <v>4139</v>
      </c>
    </row>
    <row r="12235">
      <c r="A12235" s="2" t="s">
        <v>4971</v>
      </c>
      <c r="B12235" s="2" t="s">
        <v>4982</v>
      </c>
      <c r="C12235" s="2" t="s">
        <v>6498</v>
      </c>
      <c r="D12235" s="3" t="str">
        <f t="shared" si="2828"/>
        <v>12Go Link</v>
      </c>
      <c r="E12235" s="2" t="s">
        <v>3409</v>
      </c>
    </row>
    <row r="12236">
      <c r="A12236" s="2" t="s">
        <v>4971</v>
      </c>
      <c r="B12236" s="2" t="s">
        <v>4984</v>
      </c>
      <c r="C12236" s="2" t="s">
        <v>6499</v>
      </c>
      <c r="D12236" s="3" t="str">
        <f t="shared" ref="D12236:D12238" si="2829">HYPERLINK("https://12go.asia/en/travel/Kalapuwa/Habaraduwa", "12Go Link")</f>
        <v>12Go Link</v>
      </c>
      <c r="E12236" s="2" t="s">
        <v>286</v>
      </c>
    </row>
    <row r="12237">
      <c r="A12237" s="2" t="s">
        <v>4971</v>
      </c>
      <c r="B12237" s="2" t="s">
        <v>4984</v>
      </c>
      <c r="C12237" s="2" t="s">
        <v>6499</v>
      </c>
      <c r="D12237" s="3" t="str">
        <f t="shared" si="2829"/>
        <v>12Go Link</v>
      </c>
      <c r="E12237" s="2" t="s">
        <v>4139</v>
      </c>
    </row>
    <row r="12238">
      <c r="A12238" s="2" t="s">
        <v>4971</v>
      </c>
      <c r="B12238" s="2" t="s">
        <v>4984</v>
      </c>
      <c r="C12238" s="2" t="s">
        <v>6499</v>
      </c>
      <c r="D12238" s="3" t="str">
        <f t="shared" si="2829"/>
        <v>12Go Link</v>
      </c>
      <c r="E12238" s="2" t="s">
        <v>3409</v>
      </c>
    </row>
    <row r="12239">
      <c r="A12239" s="2" t="s">
        <v>4971</v>
      </c>
      <c r="B12239" s="2" t="s">
        <v>4986</v>
      </c>
      <c r="C12239" s="2" t="s">
        <v>6500</v>
      </c>
      <c r="D12239" s="3" t="str">
        <f t="shared" ref="D12239:D12241" si="2830">HYPERLINK("https://12go.asia/en/travel/Kalapuwa/Kosgoda", "12Go Link")</f>
        <v>12Go Link</v>
      </c>
      <c r="E12239" s="2" t="s">
        <v>286</v>
      </c>
    </row>
    <row r="12240">
      <c r="A12240" s="2" t="s">
        <v>4971</v>
      </c>
      <c r="B12240" s="2" t="s">
        <v>4986</v>
      </c>
      <c r="C12240" s="2" t="s">
        <v>6500</v>
      </c>
      <c r="D12240" s="3" t="str">
        <f t="shared" si="2830"/>
        <v>12Go Link</v>
      </c>
      <c r="E12240" s="2" t="s">
        <v>4139</v>
      </c>
    </row>
    <row r="12241">
      <c r="A12241" s="2" t="s">
        <v>4971</v>
      </c>
      <c r="B12241" s="2" t="s">
        <v>4986</v>
      </c>
      <c r="C12241" s="2" t="s">
        <v>6500</v>
      </c>
      <c r="D12241" s="3" t="str">
        <f t="shared" si="2830"/>
        <v>12Go Link</v>
      </c>
      <c r="E12241" s="2" t="s">
        <v>3409</v>
      </c>
    </row>
    <row r="12242">
      <c r="A12242" s="2" t="s">
        <v>4971</v>
      </c>
      <c r="B12242" s="2" t="s">
        <v>4988</v>
      </c>
      <c r="C12242" s="2" t="s">
        <v>6501</v>
      </c>
      <c r="D12242" s="3" t="str">
        <f t="shared" ref="D12242:D12244" si="2831">HYPERLINK("https://12go.asia/en/travel/Kalapuwa/Kuchchaveli", "12Go Link")</f>
        <v>12Go Link</v>
      </c>
      <c r="E12242" s="2" t="s">
        <v>286</v>
      </c>
    </row>
    <row r="12243">
      <c r="A12243" s="2" t="s">
        <v>4971</v>
      </c>
      <c r="B12243" s="2" t="s">
        <v>4988</v>
      </c>
      <c r="C12243" s="2" t="s">
        <v>6501</v>
      </c>
      <c r="D12243" s="3" t="str">
        <f t="shared" si="2831"/>
        <v>12Go Link</v>
      </c>
      <c r="E12243" s="2" t="s">
        <v>4139</v>
      </c>
    </row>
    <row r="12244">
      <c r="A12244" s="2" t="s">
        <v>4971</v>
      </c>
      <c r="B12244" s="2" t="s">
        <v>4988</v>
      </c>
      <c r="C12244" s="2" t="s">
        <v>6501</v>
      </c>
      <c r="D12244" s="3" t="str">
        <f t="shared" si="2831"/>
        <v>12Go Link</v>
      </c>
      <c r="E12244" s="2" t="s">
        <v>3409</v>
      </c>
    </row>
    <row r="12245">
      <c r="A12245" s="2" t="s">
        <v>4971</v>
      </c>
      <c r="B12245" s="2" t="s">
        <v>4990</v>
      </c>
      <c r="C12245" s="2" t="s">
        <v>6502</v>
      </c>
      <c r="D12245" s="3" t="str">
        <f t="shared" ref="D12245:D12247" si="2832">HYPERLINK("https://12go.asia/en/travel/Kalapuwa/Mannar", "12Go Link")</f>
        <v>12Go Link</v>
      </c>
      <c r="E12245" s="2" t="s">
        <v>286</v>
      </c>
    </row>
    <row r="12246">
      <c r="A12246" s="2" t="s">
        <v>4971</v>
      </c>
      <c r="B12246" s="2" t="s">
        <v>4990</v>
      </c>
      <c r="C12246" s="2" t="s">
        <v>6502</v>
      </c>
      <c r="D12246" s="3" t="str">
        <f t="shared" si="2832"/>
        <v>12Go Link</v>
      </c>
      <c r="E12246" s="2" t="s">
        <v>4139</v>
      </c>
    </row>
    <row r="12247">
      <c r="A12247" s="2" t="s">
        <v>4971</v>
      </c>
      <c r="B12247" s="2" t="s">
        <v>4990</v>
      </c>
      <c r="C12247" s="2" t="s">
        <v>6502</v>
      </c>
      <c r="D12247" s="3" t="str">
        <f t="shared" si="2832"/>
        <v>12Go Link</v>
      </c>
      <c r="E12247" s="2" t="s">
        <v>3409</v>
      </c>
    </row>
    <row r="12248">
      <c r="A12248" s="2" t="s">
        <v>4971</v>
      </c>
      <c r="B12248" s="2" t="s">
        <v>4992</v>
      </c>
      <c r="C12248" s="2" t="s">
        <v>6503</v>
      </c>
      <c r="D12248" s="3" t="str">
        <f t="shared" ref="D12248:D12250" si="2833">HYPERLINK("https://12go.asia/en/travel/Kalapuwa/Kinigama", "12Go Link")</f>
        <v>12Go Link</v>
      </c>
      <c r="E12248" s="2" t="s">
        <v>286</v>
      </c>
    </row>
    <row r="12249">
      <c r="A12249" s="2" t="s">
        <v>4971</v>
      </c>
      <c r="B12249" s="2" t="s">
        <v>4992</v>
      </c>
      <c r="C12249" s="2" t="s">
        <v>6503</v>
      </c>
      <c r="D12249" s="3" t="str">
        <f t="shared" si="2833"/>
        <v>12Go Link</v>
      </c>
      <c r="E12249" s="2" t="s">
        <v>4139</v>
      </c>
    </row>
    <row r="12250">
      <c r="A12250" s="2" t="s">
        <v>4971</v>
      </c>
      <c r="B12250" s="2" t="s">
        <v>4992</v>
      </c>
      <c r="C12250" s="2" t="s">
        <v>6503</v>
      </c>
      <c r="D12250" s="3" t="str">
        <f t="shared" si="2833"/>
        <v>12Go Link</v>
      </c>
      <c r="E12250" s="2" t="s">
        <v>3409</v>
      </c>
    </row>
    <row r="12251">
      <c r="A12251" s="2" t="s">
        <v>4971</v>
      </c>
      <c r="B12251" s="2" t="s">
        <v>4994</v>
      </c>
      <c r="C12251" s="2" t="s">
        <v>6504</v>
      </c>
      <c r="D12251" s="3" t="str">
        <f t="shared" ref="D12251:D12253" si="2834">HYPERLINK("https://12go.asia/en/travel/Kalapuwa/Kalamatiya", "12Go Link")</f>
        <v>12Go Link</v>
      </c>
      <c r="E12251" s="2" t="s">
        <v>286</v>
      </c>
    </row>
    <row r="12252">
      <c r="A12252" s="2" t="s">
        <v>4971</v>
      </c>
      <c r="B12252" s="2" t="s">
        <v>4994</v>
      </c>
      <c r="C12252" s="2" t="s">
        <v>6504</v>
      </c>
      <c r="D12252" s="3" t="str">
        <f t="shared" si="2834"/>
        <v>12Go Link</v>
      </c>
      <c r="E12252" s="2" t="s">
        <v>4139</v>
      </c>
    </row>
    <row r="12253">
      <c r="A12253" s="2" t="s">
        <v>4971</v>
      </c>
      <c r="B12253" s="2" t="s">
        <v>4994</v>
      </c>
      <c r="C12253" s="2" t="s">
        <v>6504</v>
      </c>
      <c r="D12253" s="3" t="str">
        <f t="shared" si="2834"/>
        <v>12Go Link</v>
      </c>
      <c r="E12253" s="2" t="s">
        <v>3409</v>
      </c>
    </row>
    <row r="12254">
      <c r="A12254" s="2" t="s">
        <v>4971</v>
      </c>
      <c r="B12254" s="2" t="s">
        <v>4994</v>
      </c>
      <c r="C12254" s="2" t="s">
        <v>6505</v>
      </c>
      <c r="D12254" s="3" t="str">
        <f>HYPERLINK("https://12go.asia/en/travel/Kalutara-South/Matara", "12Go Link")</f>
        <v>12Go Link</v>
      </c>
      <c r="E12254" s="2" t="s">
        <v>5080</v>
      </c>
    </row>
    <row r="12255">
      <c r="A12255" s="2" t="s">
        <v>4971</v>
      </c>
      <c r="B12255" s="2" t="s">
        <v>4996</v>
      </c>
      <c r="C12255" s="2" t="s">
        <v>6506</v>
      </c>
      <c r="D12255" s="3" t="str">
        <f t="shared" ref="D12255:D12257" si="2835">HYPERLINK("https://12go.asia/en/travel/Kalapuwa/mirissa", "12Go Link")</f>
        <v>12Go Link</v>
      </c>
      <c r="E12255" s="2" t="s">
        <v>286</v>
      </c>
    </row>
    <row r="12256">
      <c r="A12256" s="2" t="s">
        <v>4971</v>
      </c>
      <c r="B12256" s="2" t="s">
        <v>4996</v>
      </c>
      <c r="C12256" s="2" t="s">
        <v>6506</v>
      </c>
      <c r="D12256" s="3" t="str">
        <f t="shared" si="2835"/>
        <v>12Go Link</v>
      </c>
      <c r="E12256" s="2" t="s">
        <v>4139</v>
      </c>
    </row>
    <row r="12257">
      <c r="A12257" s="2" t="s">
        <v>4971</v>
      </c>
      <c r="B12257" s="2" t="s">
        <v>4996</v>
      </c>
      <c r="C12257" s="2" t="s">
        <v>6506</v>
      </c>
      <c r="D12257" s="3" t="str">
        <f t="shared" si="2835"/>
        <v>12Go Link</v>
      </c>
      <c r="E12257" s="2" t="s">
        <v>3409</v>
      </c>
    </row>
    <row r="12258">
      <c r="A12258" s="2" t="s">
        <v>4971</v>
      </c>
      <c r="B12258" s="2" t="s">
        <v>5204</v>
      </c>
      <c r="C12258" s="2" t="s">
        <v>6507</v>
      </c>
      <c r="D12258" s="3" t="str">
        <f>HYPERLINK("https://12go.asia/en/travel/Kalutara-South/Moratuwa", "12Go Link")</f>
        <v>12Go Link</v>
      </c>
      <c r="E12258" s="2" t="s">
        <v>5206</v>
      </c>
    </row>
    <row r="12259">
      <c r="A12259" s="2" t="s">
        <v>4971</v>
      </c>
      <c r="B12259" s="2" t="s">
        <v>4998</v>
      </c>
      <c r="C12259" s="2" t="s">
        <v>6508</v>
      </c>
      <c r="D12259" s="3" t="str">
        <f t="shared" ref="D12259:D12261" si="2836">HYPERLINK("https://12go.asia/en/travel/Kalapuwa/Nanu-Oya", "12Go Link")</f>
        <v>12Go Link</v>
      </c>
      <c r="E12259" s="2" t="s">
        <v>286</v>
      </c>
    </row>
    <row r="12260">
      <c r="A12260" s="2" t="s">
        <v>4971</v>
      </c>
      <c r="B12260" s="2" t="s">
        <v>4998</v>
      </c>
      <c r="C12260" s="2" t="s">
        <v>6508</v>
      </c>
      <c r="D12260" s="3" t="str">
        <f t="shared" si="2836"/>
        <v>12Go Link</v>
      </c>
      <c r="E12260" s="2" t="s">
        <v>4139</v>
      </c>
    </row>
    <row r="12261">
      <c r="A12261" s="2" t="s">
        <v>4971</v>
      </c>
      <c r="B12261" s="2" t="s">
        <v>4998</v>
      </c>
      <c r="C12261" s="2" t="s">
        <v>6508</v>
      </c>
      <c r="D12261" s="3" t="str">
        <f t="shared" si="2836"/>
        <v>12Go Link</v>
      </c>
      <c r="E12261" s="2" t="s">
        <v>3409</v>
      </c>
    </row>
    <row r="12262">
      <c r="A12262" s="2" t="s">
        <v>4971</v>
      </c>
      <c r="B12262" s="2" t="s">
        <v>5000</v>
      </c>
      <c r="C12262" s="2" t="s">
        <v>6509</v>
      </c>
      <c r="D12262" s="3" t="str">
        <f t="shared" ref="D12262:D12264" si="2837">HYPERLINK("https://12go.asia/en/travel/Kalapuwa/Dalupotha", "12Go Link")</f>
        <v>12Go Link</v>
      </c>
      <c r="E12262" s="2" t="s">
        <v>286</v>
      </c>
    </row>
    <row r="12263">
      <c r="A12263" s="2" t="s">
        <v>4971</v>
      </c>
      <c r="B12263" s="2" t="s">
        <v>5000</v>
      </c>
      <c r="C12263" s="2" t="s">
        <v>6509</v>
      </c>
      <c r="D12263" s="3" t="str">
        <f t="shared" si="2837"/>
        <v>12Go Link</v>
      </c>
      <c r="E12263" s="2" t="s">
        <v>4139</v>
      </c>
    </row>
    <row r="12264">
      <c r="A12264" s="2" t="s">
        <v>4971</v>
      </c>
      <c r="B12264" s="2" t="s">
        <v>5000</v>
      </c>
      <c r="C12264" s="2" t="s">
        <v>6509</v>
      </c>
      <c r="D12264" s="3" t="str">
        <f t="shared" si="2837"/>
        <v>12Go Link</v>
      </c>
      <c r="E12264" s="2" t="s">
        <v>3409</v>
      </c>
    </row>
    <row r="12265">
      <c r="A12265" s="2" t="s">
        <v>4971</v>
      </c>
      <c r="B12265" s="2" t="s">
        <v>5000</v>
      </c>
      <c r="C12265" s="2" t="s">
        <v>6510</v>
      </c>
      <c r="D12265" s="3" t="str">
        <f t="shared" ref="D12265:D12267" si="2838">HYPERLINK("https://12go.asia/en/travel/Kalapuwa/Waikkal", "12Go Link")</f>
        <v>12Go Link</v>
      </c>
      <c r="E12265" s="2" t="s">
        <v>286</v>
      </c>
    </row>
    <row r="12266">
      <c r="A12266" s="2" t="s">
        <v>4971</v>
      </c>
      <c r="B12266" s="2" t="s">
        <v>5000</v>
      </c>
      <c r="C12266" s="2" t="s">
        <v>6510</v>
      </c>
      <c r="D12266" s="3" t="str">
        <f t="shared" si="2838"/>
        <v>12Go Link</v>
      </c>
      <c r="E12266" s="2" t="s">
        <v>4139</v>
      </c>
    </row>
    <row r="12267">
      <c r="A12267" s="2" t="s">
        <v>4971</v>
      </c>
      <c r="B12267" s="2" t="s">
        <v>5000</v>
      </c>
      <c r="C12267" s="2" t="s">
        <v>6510</v>
      </c>
      <c r="D12267" s="3" t="str">
        <f t="shared" si="2838"/>
        <v>12Go Link</v>
      </c>
      <c r="E12267" s="2" t="s">
        <v>3409</v>
      </c>
    </row>
    <row r="12268">
      <c r="A12268" s="2" t="s">
        <v>4971</v>
      </c>
      <c r="B12268" s="2" t="s">
        <v>5003</v>
      </c>
      <c r="C12268" s="2" t="s">
        <v>6511</v>
      </c>
      <c r="D12268" s="3" t="str">
        <f t="shared" ref="D12268:D12270" si="2839">HYPERLINK("https://12go.asia/en/travel/Kalapuwa/Nilaveli", "12Go Link")</f>
        <v>12Go Link</v>
      </c>
      <c r="E12268" s="2" t="s">
        <v>286</v>
      </c>
    </row>
    <row r="12269">
      <c r="A12269" s="2" t="s">
        <v>4971</v>
      </c>
      <c r="B12269" s="2" t="s">
        <v>5003</v>
      </c>
      <c r="C12269" s="2" t="s">
        <v>6511</v>
      </c>
      <c r="D12269" s="3" t="str">
        <f t="shared" si="2839"/>
        <v>12Go Link</v>
      </c>
      <c r="E12269" s="2" t="s">
        <v>4139</v>
      </c>
    </row>
    <row r="12270">
      <c r="A12270" s="2" t="s">
        <v>4971</v>
      </c>
      <c r="B12270" s="2" t="s">
        <v>5003</v>
      </c>
      <c r="C12270" s="2" t="s">
        <v>6511</v>
      </c>
      <c r="D12270" s="3" t="str">
        <f t="shared" si="2839"/>
        <v>12Go Link</v>
      </c>
      <c r="E12270" s="2" t="s">
        <v>3409</v>
      </c>
    </row>
    <row r="12271">
      <c r="A12271" s="2" t="s">
        <v>4971</v>
      </c>
      <c r="B12271" s="2" t="s">
        <v>5005</v>
      </c>
      <c r="C12271" s="2" t="s">
        <v>6512</v>
      </c>
      <c r="D12271" s="3" t="str">
        <f t="shared" ref="D12271:D12273" si="2840">HYPERLINK("https://12go.asia/en/travel/Kalapuwa/Kotmale", "12Go Link")</f>
        <v>12Go Link</v>
      </c>
      <c r="E12271" s="2" t="s">
        <v>286</v>
      </c>
    </row>
    <row r="12272">
      <c r="A12272" s="2" t="s">
        <v>4971</v>
      </c>
      <c r="B12272" s="2" t="s">
        <v>5005</v>
      </c>
      <c r="C12272" s="2" t="s">
        <v>6512</v>
      </c>
      <c r="D12272" s="3" t="str">
        <f t="shared" si="2840"/>
        <v>12Go Link</v>
      </c>
      <c r="E12272" s="2" t="s">
        <v>4139</v>
      </c>
    </row>
    <row r="12273">
      <c r="A12273" s="2" t="s">
        <v>4971</v>
      </c>
      <c r="B12273" s="2" t="s">
        <v>5005</v>
      </c>
      <c r="C12273" s="2" t="s">
        <v>6512</v>
      </c>
      <c r="D12273" s="3" t="str">
        <f t="shared" si="2840"/>
        <v>12Go Link</v>
      </c>
      <c r="E12273" s="2" t="s">
        <v>3409</v>
      </c>
    </row>
    <row r="12274">
      <c r="A12274" s="2" t="s">
        <v>4971</v>
      </c>
      <c r="B12274" s="2" t="s">
        <v>5007</v>
      </c>
      <c r="C12274" s="2" t="s">
        <v>6513</v>
      </c>
      <c r="D12274" s="3" t="str">
        <f t="shared" ref="D12274:D12276" si="2841">HYPERLINK("https://12go.asia/en/travel/Kalapuwa/Pasikuda", "12Go Link")</f>
        <v>12Go Link</v>
      </c>
      <c r="E12274" s="2" t="s">
        <v>286</v>
      </c>
    </row>
    <row r="12275">
      <c r="A12275" s="2" t="s">
        <v>4971</v>
      </c>
      <c r="B12275" s="2" t="s">
        <v>5007</v>
      </c>
      <c r="C12275" s="2" t="s">
        <v>6513</v>
      </c>
      <c r="D12275" s="3" t="str">
        <f t="shared" si="2841"/>
        <v>12Go Link</v>
      </c>
      <c r="E12275" s="2" t="s">
        <v>4139</v>
      </c>
    </row>
    <row r="12276">
      <c r="A12276" s="2" t="s">
        <v>4971</v>
      </c>
      <c r="B12276" s="2" t="s">
        <v>5007</v>
      </c>
      <c r="C12276" s="2" t="s">
        <v>6513</v>
      </c>
      <c r="D12276" s="3" t="str">
        <f t="shared" si="2841"/>
        <v>12Go Link</v>
      </c>
      <c r="E12276" s="2" t="s">
        <v>3409</v>
      </c>
    </row>
    <row r="12277">
      <c r="A12277" s="2" t="s">
        <v>4971</v>
      </c>
      <c r="B12277" s="2" t="s">
        <v>5009</v>
      </c>
      <c r="C12277" s="2" t="s">
        <v>6514</v>
      </c>
      <c r="D12277" s="3" t="str">
        <f t="shared" ref="D12277:D12279" si="2842">HYPERLINK("https://12go.asia/en/travel/Kalapuwa/Galoya", "12Go Link")</f>
        <v>12Go Link</v>
      </c>
      <c r="E12277" s="2" t="s">
        <v>286</v>
      </c>
    </row>
    <row r="12278">
      <c r="A12278" s="2" t="s">
        <v>4971</v>
      </c>
      <c r="B12278" s="2" t="s">
        <v>5009</v>
      </c>
      <c r="C12278" s="2" t="s">
        <v>6514</v>
      </c>
      <c r="D12278" s="3" t="str">
        <f t="shared" si="2842"/>
        <v>12Go Link</v>
      </c>
      <c r="E12278" s="2" t="s">
        <v>4139</v>
      </c>
    </row>
    <row r="12279">
      <c r="A12279" s="2" t="s">
        <v>4971</v>
      </c>
      <c r="B12279" s="2" t="s">
        <v>5009</v>
      </c>
      <c r="C12279" s="2" t="s">
        <v>6514</v>
      </c>
      <c r="D12279" s="3" t="str">
        <f t="shared" si="2842"/>
        <v>12Go Link</v>
      </c>
      <c r="E12279" s="2" t="s">
        <v>3409</v>
      </c>
    </row>
    <row r="12280">
      <c r="A12280" s="2" t="s">
        <v>4971</v>
      </c>
      <c r="B12280" s="2" t="s">
        <v>5011</v>
      </c>
      <c r="C12280" s="2" t="s">
        <v>6515</v>
      </c>
      <c r="D12280" s="3" t="str">
        <f t="shared" ref="D12280:D12282" si="2843">HYPERLINK("https://12go.asia/en/travel/Kalapuwa/Kalpitiya", "12Go Link")</f>
        <v>12Go Link</v>
      </c>
      <c r="E12280" s="2" t="s">
        <v>286</v>
      </c>
    </row>
    <row r="12281">
      <c r="A12281" s="2" t="s">
        <v>4971</v>
      </c>
      <c r="B12281" s="2" t="s">
        <v>5011</v>
      </c>
      <c r="C12281" s="2" t="s">
        <v>6515</v>
      </c>
      <c r="D12281" s="3" t="str">
        <f t="shared" si="2843"/>
        <v>12Go Link</v>
      </c>
      <c r="E12281" s="2" t="s">
        <v>4139</v>
      </c>
    </row>
    <row r="12282">
      <c r="A12282" s="2" t="s">
        <v>4971</v>
      </c>
      <c r="B12282" s="2" t="s">
        <v>5011</v>
      </c>
      <c r="C12282" s="2" t="s">
        <v>6515</v>
      </c>
      <c r="D12282" s="3" t="str">
        <f t="shared" si="2843"/>
        <v>12Go Link</v>
      </c>
      <c r="E12282" s="2" t="s">
        <v>3409</v>
      </c>
    </row>
    <row r="12283">
      <c r="A12283" s="2" t="s">
        <v>4971</v>
      </c>
      <c r="B12283" s="2" t="s">
        <v>5011</v>
      </c>
      <c r="C12283" s="2" t="s">
        <v>6516</v>
      </c>
      <c r="D12283" s="3" t="str">
        <f t="shared" ref="D12283:D12285" si="2844">HYPERLINK("https://12go.asia/en/travel/Kalapuwa/Marawila", "12Go Link")</f>
        <v>12Go Link</v>
      </c>
      <c r="E12283" s="2" t="s">
        <v>286</v>
      </c>
    </row>
    <row r="12284">
      <c r="A12284" s="2" t="s">
        <v>4971</v>
      </c>
      <c r="B12284" s="2" t="s">
        <v>5011</v>
      </c>
      <c r="C12284" s="2" t="s">
        <v>6516</v>
      </c>
      <c r="D12284" s="3" t="str">
        <f t="shared" si="2844"/>
        <v>12Go Link</v>
      </c>
      <c r="E12284" s="2" t="s">
        <v>4139</v>
      </c>
    </row>
    <row r="12285">
      <c r="A12285" s="2" t="s">
        <v>4971</v>
      </c>
      <c r="B12285" s="2" t="s">
        <v>5011</v>
      </c>
      <c r="C12285" s="2" t="s">
        <v>6516</v>
      </c>
      <c r="D12285" s="3" t="str">
        <f t="shared" si="2844"/>
        <v>12Go Link</v>
      </c>
      <c r="E12285" s="2" t="s">
        <v>3409</v>
      </c>
    </row>
    <row r="12286">
      <c r="A12286" s="2" t="s">
        <v>4971</v>
      </c>
      <c r="B12286" s="2" t="s">
        <v>5014</v>
      </c>
      <c r="C12286" s="2" t="s">
        <v>6517</v>
      </c>
      <c r="D12286" s="3" t="str">
        <f t="shared" ref="D12286:D12288" si="2845">HYPERLINK("https://12go.asia/en/travel/Kalapuwa/Kiriella", "12Go Link")</f>
        <v>12Go Link</v>
      </c>
      <c r="E12286" s="2" t="s">
        <v>286</v>
      </c>
    </row>
    <row r="12287">
      <c r="A12287" s="2" t="s">
        <v>4971</v>
      </c>
      <c r="B12287" s="2" t="s">
        <v>5014</v>
      </c>
      <c r="C12287" s="2" t="s">
        <v>6517</v>
      </c>
      <c r="D12287" s="3" t="str">
        <f t="shared" si="2845"/>
        <v>12Go Link</v>
      </c>
      <c r="E12287" s="2" t="s">
        <v>4139</v>
      </c>
    </row>
    <row r="12288">
      <c r="A12288" s="2" t="s">
        <v>4971</v>
      </c>
      <c r="B12288" s="2" t="s">
        <v>5014</v>
      </c>
      <c r="C12288" s="2" t="s">
        <v>6517</v>
      </c>
      <c r="D12288" s="3" t="str">
        <f t="shared" si="2845"/>
        <v>12Go Link</v>
      </c>
      <c r="E12288" s="2" t="s">
        <v>3409</v>
      </c>
    </row>
    <row r="12289">
      <c r="A12289" s="2" t="s">
        <v>4971</v>
      </c>
      <c r="B12289" s="2" t="s">
        <v>5016</v>
      </c>
      <c r="C12289" s="2" t="s">
        <v>6518</v>
      </c>
      <c r="D12289" s="3" t="str">
        <f t="shared" ref="D12289:D12291" si="2846">HYPERLINK("https://12go.asia/en/travel/Kalapuwa/Pidurangala", "12Go Link")</f>
        <v>12Go Link</v>
      </c>
      <c r="E12289" s="2" t="s">
        <v>286</v>
      </c>
    </row>
    <row r="12290">
      <c r="A12290" s="2" t="s">
        <v>4971</v>
      </c>
      <c r="B12290" s="2" t="s">
        <v>5016</v>
      </c>
      <c r="C12290" s="2" t="s">
        <v>6518</v>
      </c>
      <c r="D12290" s="3" t="str">
        <f t="shared" si="2846"/>
        <v>12Go Link</v>
      </c>
      <c r="E12290" s="2" t="s">
        <v>4139</v>
      </c>
    </row>
    <row r="12291">
      <c r="A12291" s="2" t="s">
        <v>4971</v>
      </c>
      <c r="B12291" s="2" t="s">
        <v>5016</v>
      </c>
      <c r="C12291" s="2" t="s">
        <v>6518</v>
      </c>
      <c r="D12291" s="3" t="str">
        <f t="shared" si="2846"/>
        <v>12Go Link</v>
      </c>
      <c r="E12291" s="2" t="s">
        <v>3409</v>
      </c>
    </row>
    <row r="12292">
      <c r="A12292" s="2" t="s">
        <v>4971</v>
      </c>
      <c r="B12292" s="2" t="s">
        <v>5018</v>
      </c>
      <c r="C12292" s="2" t="s">
        <v>6519</v>
      </c>
      <c r="D12292" s="3" t="str">
        <f t="shared" ref="D12292:D12294" si="2847">HYPERLINK("https://12go.asia/en/travel/Kalapuwa/Rekawa", "12Go Link")</f>
        <v>12Go Link</v>
      </c>
      <c r="E12292" s="2" t="s">
        <v>286</v>
      </c>
    </row>
    <row r="12293">
      <c r="A12293" s="2" t="s">
        <v>4971</v>
      </c>
      <c r="B12293" s="2" t="s">
        <v>5018</v>
      </c>
      <c r="C12293" s="2" t="s">
        <v>6519</v>
      </c>
      <c r="D12293" s="3" t="str">
        <f t="shared" si="2847"/>
        <v>12Go Link</v>
      </c>
      <c r="E12293" s="2" t="s">
        <v>4139</v>
      </c>
    </row>
    <row r="12294">
      <c r="A12294" s="2" t="s">
        <v>4971</v>
      </c>
      <c r="B12294" s="2" t="s">
        <v>5018</v>
      </c>
      <c r="C12294" s="2" t="s">
        <v>6519</v>
      </c>
      <c r="D12294" s="3" t="str">
        <f t="shared" si="2847"/>
        <v>12Go Link</v>
      </c>
      <c r="E12294" s="2" t="s">
        <v>3409</v>
      </c>
    </row>
    <row r="12295">
      <c r="A12295" s="2" t="s">
        <v>4971</v>
      </c>
      <c r="B12295" s="2" t="s">
        <v>5020</v>
      </c>
      <c r="C12295" s="2" t="s">
        <v>6520</v>
      </c>
      <c r="D12295" s="3" t="str">
        <f t="shared" ref="D12295:D12297" si="2848">HYPERLINK("https://12go.asia/en/travel/Kalapuwa/Tissamaharama", "12Go Link")</f>
        <v>12Go Link</v>
      </c>
      <c r="E12295" s="2" t="s">
        <v>286</v>
      </c>
    </row>
    <row r="12296">
      <c r="A12296" s="2" t="s">
        <v>4971</v>
      </c>
      <c r="B12296" s="2" t="s">
        <v>5020</v>
      </c>
      <c r="C12296" s="2" t="s">
        <v>6520</v>
      </c>
      <c r="D12296" s="3" t="str">
        <f t="shared" si="2848"/>
        <v>12Go Link</v>
      </c>
      <c r="E12296" s="2" t="s">
        <v>4139</v>
      </c>
    </row>
    <row r="12297">
      <c r="A12297" s="2" t="s">
        <v>4971</v>
      </c>
      <c r="B12297" s="2" t="s">
        <v>5020</v>
      </c>
      <c r="C12297" s="2" t="s">
        <v>6520</v>
      </c>
      <c r="D12297" s="3" t="str">
        <f t="shared" si="2848"/>
        <v>12Go Link</v>
      </c>
      <c r="E12297" s="2" t="s">
        <v>3409</v>
      </c>
    </row>
    <row r="12298">
      <c r="A12298" s="2" t="s">
        <v>4971</v>
      </c>
      <c r="B12298" s="2" t="s">
        <v>5020</v>
      </c>
      <c r="C12298" s="2" t="s">
        <v>6521</v>
      </c>
      <c r="D12298" s="3" t="str">
        <f t="shared" ref="D12298:D12300" si="2849">HYPERLINK("https://12go.asia/en/travel/Kalapuwa/Yala-Park", "12Go Link")</f>
        <v>12Go Link</v>
      </c>
      <c r="E12298" s="2" t="s">
        <v>286</v>
      </c>
    </row>
    <row r="12299">
      <c r="A12299" s="2" t="s">
        <v>4971</v>
      </c>
      <c r="B12299" s="2" t="s">
        <v>5020</v>
      </c>
      <c r="C12299" s="2" t="s">
        <v>6521</v>
      </c>
      <c r="D12299" s="3" t="str">
        <f t="shared" si="2849"/>
        <v>12Go Link</v>
      </c>
      <c r="E12299" s="2" t="s">
        <v>4139</v>
      </c>
    </row>
    <row r="12300">
      <c r="A12300" s="2" t="s">
        <v>4971</v>
      </c>
      <c r="B12300" s="2" t="s">
        <v>5020</v>
      </c>
      <c r="C12300" s="2" t="s">
        <v>6521</v>
      </c>
      <c r="D12300" s="3" t="str">
        <f t="shared" si="2849"/>
        <v>12Go Link</v>
      </c>
      <c r="E12300" s="2" t="s">
        <v>3409</v>
      </c>
    </row>
    <row r="12301">
      <c r="A12301" s="2" t="s">
        <v>4971</v>
      </c>
      <c r="B12301" s="2" t="s">
        <v>5023</v>
      </c>
      <c r="C12301" s="2" t="s">
        <v>6522</v>
      </c>
      <c r="D12301" s="3" t="str">
        <f t="shared" ref="D12301:D12303" si="2850">HYPERLINK("https://12go.asia/en/travel/Kalapuwa/Nilaweli", "12Go Link")</f>
        <v>12Go Link</v>
      </c>
      <c r="E12301" s="2" t="s">
        <v>286</v>
      </c>
    </row>
    <row r="12302">
      <c r="A12302" s="2" t="s">
        <v>4971</v>
      </c>
      <c r="B12302" s="2" t="s">
        <v>5023</v>
      </c>
      <c r="C12302" s="2" t="s">
        <v>6522</v>
      </c>
      <c r="D12302" s="3" t="str">
        <f t="shared" si="2850"/>
        <v>12Go Link</v>
      </c>
      <c r="E12302" s="2" t="s">
        <v>4139</v>
      </c>
    </row>
    <row r="12303">
      <c r="A12303" s="2" t="s">
        <v>4971</v>
      </c>
      <c r="B12303" s="2" t="s">
        <v>5023</v>
      </c>
      <c r="C12303" s="2" t="s">
        <v>6522</v>
      </c>
      <c r="D12303" s="3" t="str">
        <f t="shared" si="2850"/>
        <v>12Go Link</v>
      </c>
      <c r="E12303" s="2" t="s">
        <v>3409</v>
      </c>
    </row>
    <row r="12304">
      <c r="A12304" s="2" t="s">
        <v>4971</v>
      </c>
      <c r="B12304" s="2" t="s">
        <v>5025</v>
      </c>
      <c r="C12304" s="2" t="s">
        <v>6523</v>
      </c>
      <c r="D12304" s="3" t="str">
        <f t="shared" ref="D12304:D12306" si="2851">HYPERLINK("https://12go.asia/en/travel/Kalapuwa/Udawalawa", "12Go Link")</f>
        <v>12Go Link</v>
      </c>
      <c r="E12304" s="2" t="s">
        <v>286</v>
      </c>
    </row>
    <row r="12305">
      <c r="A12305" s="2" t="s">
        <v>4971</v>
      </c>
      <c r="B12305" s="2" t="s">
        <v>5025</v>
      </c>
      <c r="C12305" s="2" t="s">
        <v>6523</v>
      </c>
      <c r="D12305" s="3" t="str">
        <f t="shared" si="2851"/>
        <v>12Go Link</v>
      </c>
      <c r="E12305" s="2" t="s">
        <v>4139</v>
      </c>
    </row>
    <row r="12306">
      <c r="A12306" s="2" t="s">
        <v>4971</v>
      </c>
      <c r="B12306" s="2" t="s">
        <v>5025</v>
      </c>
      <c r="C12306" s="2" t="s">
        <v>6523</v>
      </c>
      <c r="D12306" s="3" t="str">
        <f t="shared" si="2851"/>
        <v>12Go Link</v>
      </c>
      <c r="E12306" s="2" t="s">
        <v>3409</v>
      </c>
    </row>
    <row r="12307">
      <c r="A12307" s="2" t="s">
        <v>4971</v>
      </c>
      <c r="B12307" s="2" t="s">
        <v>5027</v>
      </c>
      <c r="C12307" s="2" t="s">
        <v>6524</v>
      </c>
      <c r="D12307" s="3" t="str">
        <f t="shared" ref="D12307:D12309" si="2852">HYPERLINK("https://12go.asia/en/travel/Kalapuwa/Unawatuna", "12Go Link")</f>
        <v>12Go Link</v>
      </c>
      <c r="E12307" s="2" t="s">
        <v>286</v>
      </c>
    </row>
    <row r="12308">
      <c r="A12308" s="2" t="s">
        <v>4971</v>
      </c>
      <c r="B12308" s="2" t="s">
        <v>5027</v>
      </c>
      <c r="C12308" s="2" t="s">
        <v>6524</v>
      </c>
      <c r="D12308" s="3" t="str">
        <f t="shared" si="2852"/>
        <v>12Go Link</v>
      </c>
      <c r="E12308" s="2" t="s">
        <v>4139</v>
      </c>
    </row>
    <row r="12309">
      <c r="A12309" s="2" t="s">
        <v>4971</v>
      </c>
      <c r="B12309" s="2" t="s">
        <v>5027</v>
      </c>
      <c r="C12309" s="2" t="s">
        <v>6524</v>
      </c>
      <c r="D12309" s="3" t="str">
        <f t="shared" si="2852"/>
        <v>12Go Link</v>
      </c>
      <c r="E12309" s="2" t="s">
        <v>3409</v>
      </c>
    </row>
    <row r="12310">
      <c r="A12310" s="2" t="s">
        <v>4971</v>
      </c>
      <c r="B12310" s="2" t="s">
        <v>5029</v>
      </c>
      <c r="C12310" s="2" t="s">
        <v>6525</v>
      </c>
      <c r="D12310" s="3" t="str">
        <f t="shared" ref="D12310:D12312" si="2853">HYPERLINK("https://12go.asia/en/travel/Kalapuwa/Attanagalla", "12Go Link")</f>
        <v>12Go Link</v>
      </c>
      <c r="E12310" s="2" t="s">
        <v>286</v>
      </c>
    </row>
    <row r="12311">
      <c r="A12311" s="2" t="s">
        <v>4971</v>
      </c>
      <c r="B12311" s="2" t="s">
        <v>5029</v>
      </c>
      <c r="C12311" s="2" t="s">
        <v>6525</v>
      </c>
      <c r="D12311" s="3" t="str">
        <f t="shared" si="2853"/>
        <v>12Go Link</v>
      </c>
      <c r="E12311" s="2" t="s">
        <v>4139</v>
      </c>
    </row>
    <row r="12312">
      <c r="A12312" s="2" t="s">
        <v>4971</v>
      </c>
      <c r="B12312" s="2" t="s">
        <v>5029</v>
      </c>
      <c r="C12312" s="2" t="s">
        <v>6525</v>
      </c>
      <c r="D12312" s="3" t="str">
        <f t="shared" si="2853"/>
        <v>12Go Link</v>
      </c>
      <c r="E12312" s="2" t="s">
        <v>3409</v>
      </c>
    </row>
    <row r="12313">
      <c r="A12313" s="2" t="s">
        <v>4971</v>
      </c>
      <c r="B12313" s="2" t="s">
        <v>5031</v>
      </c>
      <c r="C12313" s="2" t="s">
        <v>6526</v>
      </c>
      <c r="D12313" s="3" t="str">
        <f t="shared" ref="D12313:D12315" si="2854">HYPERLINK("https://12go.asia/en/travel/Kalapuwa/Moronthuduwa", "12Go Link")</f>
        <v>12Go Link</v>
      </c>
      <c r="E12313" s="2" t="s">
        <v>286</v>
      </c>
    </row>
    <row r="12314">
      <c r="A12314" s="2" t="s">
        <v>4971</v>
      </c>
      <c r="B12314" s="2" t="s">
        <v>5031</v>
      </c>
      <c r="C12314" s="2" t="s">
        <v>6526</v>
      </c>
      <c r="D12314" s="3" t="str">
        <f t="shared" si="2854"/>
        <v>12Go Link</v>
      </c>
      <c r="E12314" s="2" t="s">
        <v>4139</v>
      </c>
    </row>
    <row r="12315">
      <c r="A12315" s="2" t="s">
        <v>4971</v>
      </c>
      <c r="B12315" s="2" t="s">
        <v>5031</v>
      </c>
      <c r="C12315" s="2" t="s">
        <v>6526</v>
      </c>
      <c r="D12315" s="3" t="str">
        <f t="shared" si="2854"/>
        <v>12Go Link</v>
      </c>
      <c r="E12315" s="2" t="s">
        <v>3409</v>
      </c>
    </row>
    <row r="12316">
      <c r="A12316" s="2" t="s">
        <v>4971</v>
      </c>
      <c r="B12316" s="2" t="s">
        <v>5031</v>
      </c>
      <c r="C12316" s="2" t="s">
        <v>6527</v>
      </c>
      <c r="D12316" s="3" t="str">
        <f t="shared" ref="D12316:D12318" si="2855">HYPERLINK("https://12go.asia/en/travel/Kalapuwa/Waskaduwa", "12Go Link")</f>
        <v>12Go Link</v>
      </c>
      <c r="E12316" s="2" t="s">
        <v>286</v>
      </c>
    </row>
    <row r="12317">
      <c r="A12317" s="2" t="s">
        <v>4971</v>
      </c>
      <c r="B12317" s="2" t="s">
        <v>5031</v>
      </c>
      <c r="C12317" s="2" t="s">
        <v>6527</v>
      </c>
      <c r="D12317" s="3" t="str">
        <f t="shared" si="2855"/>
        <v>12Go Link</v>
      </c>
      <c r="E12317" s="2" t="s">
        <v>4139</v>
      </c>
    </row>
    <row r="12318">
      <c r="A12318" s="2" t="s">
        <v>4971</v>
      </c>
      <c r="B12318" s="2" t="s">
        <v>5031</v>
      </c>
      <c r="C12318" s="2" t="s">
        <v>6527</v>
      </c>
      <c r="D12318" s="3" t="str">
        <f t="shared" si="2855"/>
        <v>12Go Link</v>
      </c>
      <c r="E12318" s="2" t="s">
        <v>3409</v>
      </c>
    </row>
    <row r="12319">
      <c r="A12319" s="2" t="s">
        <v>4971</v>
      </c>
      <c r="B12319" s="2" t="s">
        <v>5034</v>
      </c>
      <c r="C12319" s="2" t="s">
        <v>6528</v>
      </c>
      <c r="D12319" s="3" t="str">
        <f t="shared" ref="D12319:D12321" si="2856">HYPERLINK("https://12go.asia/en/travel/Kalapuwa/Weddagala", "12Go Link")</f>
        <v>12Go Link</v>
      </c>
      <c r="E12319" s="2" t="s">
        <v>286</v>
      </c>
    </row>
    <row r="12320">
      <c r="A12320" s="2" t="s">
        <v>4971</v>
      </c>
      <c r="B12320" s="2" t="s">
        <v>5034</v>
      </c>
      <c r="C12320" s="2" t="s">
        <v>6528</v>
      </c>
      <c r="D12320" s="3" t="str">
        <f t="shared" si="2856"/>
        <v>12Go Link</v>
      </c>
      <c r="E12320" s="2" t="s">
        <v>4139</v>
      </c>
    </row>
    <row r="12321">
      <c r="A12321" s="2" t="s">
        <v>4971</v>
      </c>
      <c r="B12321" s="2" t="s">
        <v>5034</v>
      </c>
      <c r="C12321" s="2" t="s">
        <v>6528</v>
      </c>
      <c r="D12321" s="3" t="str">
        <f t="shared" si="2856"/>
        <v>12Go Link</v>
      </c>
      <c r="E12321" s="2" t="s">
        <v>3409</v>
      </c>
    </row>
    <row r="12322">
      <c r="A12322" s="2" t="s">
        <v>4971</v>
      </c>
      <c r="B12322" s="2" t="s">
        <v>5036</v>
      </c>
      <c r="C12322" s="2" t="s">
        <v>6529</v>
      </c>
      <c r="D12322" s="3" t="str">
        <f t="shared" ref="D12322:D12324" si="2857">HYPERLINK("https://12go.asia/en/travel/Kalapuwa/Weligatta", "12Go Link")</f>
        <v>12Go Link</v>
      </c>
      <c r="E12322" s="2" t="s">
        <v>286</v>
      </c>
    </row>
    <row r="12323">
      <c r="A12323" s="2" t="s">
        <v>4971</v>
      </c>
      <c r="B12323" s="2" t="s">
        <v>5036</v>
      </c>
      <c r="C12323" s="2" t="s">
        <v>6529</v>
      </c>
      <c r="D12323" s="3" t="str">
        <f t="shared" si="2857"/>
        <v>12Go Link</v>
      </c>
      <c r="E12323" s="2" t="s">
        <v>4139</v>
      </c>
    </row>
    <row r="12324">
      <c r="A12324" s="2" t="s">
        <v>4971</v>
      </c>
      <c r="B12324" s="2" t="s">
        <v>5036</v>
      </c>
      <c r="C12324" s="2" t="s">
        <v>6529</v>
      </c>
      <c r="D12324" s="3" t="str">
        <f t="shared" si="2857"/>
        <v>12Go Link</v>
      </c>
      <c r="E12324" s="2" t="s">
        <v>3409</v>
      </c>
    </row>
    <row r="12325">
      <c r="A12325" s="2" t="s">
        <v>4971</v>
      </c>
      <c r="B12325" s="2" t="s">
        <v>5038</v>
      </c>
      <c r="C12325" s="2" t="s">
        <v>6530</v>
      </c>
      <c r="D12325" s="3" t="str">
        <f t="shared" ref="D12325:D12327" si="2858">HYPERLINK("https://12go.asia/en/travel/Kalapuwa/Akuressa", "12Go Link")</f>
        <v>12Go Link</v>
      </c>
      <c r="E12325" s="2" t="s">
        <v>286</v>
      </c>
    </row>
    <row r="12326">
      <c r="A12326" s="2" t="s">
        <v>4971</v>
      </c>
      <c r="B12326" s="2" t="s">
        <v>5038</v>
      </c>
      <c r="C12326" s="2" t="s">
        <v>6530</v>
      </c>
      <c r="D12326" s="3" t="str">
        <f t="shared" si="2858"/>
        <v>12Go Link</v>
      </c>
      <c r="E12326" s="2" t="s">
        <v>4139</v>
      </c>
    </row>
    <row r="12327">
      <c r="A12327" s="2" t="s">
        <v>4971</v>
      </c>
      <c r="B12327" s="2" t="s">
        <v>5038</v>
      </c>
      <c r="C12327" s="2" t="s">
        <v>6530</v>
      </c>
      <c r="D12327" s="3" t="str">
        <f t="shared" si="2858"/>
        <v>12Go Link</v>
      </c>
      <c r="E12327" s="2" t="s">
        <v>3409</v>
      </c>
    </row>
    <row r="12328">
      <c r="A12328" s="2" t="s">
        <v>4971</v>
      </c>
      <c r="B12328" s="2" t="s">
        <v>5040</v>
      </c>
      <c r="C12328" s="2" t="s">
        <v>6531</v>
      </c>
      <c r="D12328" s="3" t="str">
        <f t="shared" ref="D12328:D12330" si="2859">HYPERLINK("https://12go.asia/en/travel/Kalapuwa/Wilpattu", "12Go Link")</f>
        <v>12Go Link</v>
      </c>
      <c r="E12328" s="2" t="s">
        <v>286</v>
      </c>
    </row>
    <row r="12329">
      <c r="A12329" s="2" t="s">
        <v>4971</v>
      </c>
      <c r="B12329" s="2" t="s">
        <v>5040</v>
      </c>
      <c r="C12329" s="2" t="s">
        <v>6531</v>
      </c>
      <c r="D12329" s="3" t="str">
        <f t="shared" si="2859"/>
        <v>12Go Link</v>
      </c>
      <c r="E12329" s="2" t="s">
        <v>4139</v>
      </c>
    </row>
    <row r="12330">
      <c r="A12330" s="2" t="s">
        <v>4971</v>
      </c>
      <c r="B12330" s="2" t="s">
        <v>5040</v>
      </c>
      <c r="C12330" s="2" t="s">
        <v>6531</v>
      </c>
      <c r="D12330" s="3" t="str">
        <f t="shared" si="2859"/>
        <v>12Go Link</v>
      </c>
      <c r="E12330" s="2" t="s">
        <v>3409</v>
      </c>
    </row>
    <row r="12331">
      <c r="A12331" s="2" t="s">
        <v>4973</v>
      </c>
      <c r="B12331" s="2" t="s">
        <v>4918</v>
      </c>
      <c r="C12331" s="2" t="s">
        <v>6532</v>
      </c>
      <c r="D12331" s="3" t="str">
        <f t="shared" ref="D12331:D12333" si="2860">HYPERLINK("https://12go.asia/en/travel/Ampitiya/Adams-Peak", "12Go Link")</f>
        <v>12Go Link</v>
      </c>
      <c r="E12331" s="2" t="s">
        <v>286</v>
      </c>
    </row>
    <row r="12332">
      <c r="A12332" s="2" t="s">
        <v>4973</v>
      </c>
      <c r="B12332" s="2" t="s">
        <v>4918</v>
      </c>
      <c r="C12332" s="2" t="s">
        <v>6532</v>
      </c>
      <c r="D12332" s="3" t="str">
        <f t="shared" si="2860"/>
        <v>12Go Link</v>
      </c>
      <c r="E12332" s="2" t="s">
        <v>4139</v>
      </c>
    </row>
    <row r="12333">
      <c r="A12333" s="2" t="s">
        <v>4973</v>
      </c>
      <c r="B12333" s="2" t="s">
        <v>4918</v>
      </c>
      <c r="C12333" s="2" t="s">
        <v>6532</v>
      </c>
      <c r="D12333" s="3" t="str">
        <f t="shared" si="2860"/>
        <v>12Go Link</v>
      </c>
      <c r="E12333" s="2" t="s">
        <v>3409</v>
      </c>
    </row>
    <row r="12334">
      <c r="A12334" s="2" t="s">
        <v>4973</v>
      </c>
      <c r="B12334" s="2" t="s">
        <v>4929</v>
      </c>
      <c r="C12334" s="2" t="s">
        <v>6533</v>
      </c>
      <c r="D12334" s="3" t="str">
        <f t="shared" ref="D12334:D12336" si="2861">HYPERLINK("https://12go.asia/en/travel/Ampitiya/Anuradhapura", "12Go Link")</f>
        <v>12Go Link</v>
      </c>
      <c r="E12334" s="2" t="s">
        <v>286</v>
      </c>
    </row>
    <row r="12335">
      <c r="A12335" s="2" t="s">
        <v>4973</v>
      </c>
      <c r="B12335" s="2" t="s">
        <v>4929</v>
      </c>
      <c r="C12335" s="2" t="s">
        <v>6533</v>
      </c>
      <c r="D12335" s="3" t="str">
        <f t="shared" si="2861"/>
        <v>12Go Link</v>
      </c>
      <c r="E12335" s="2" t="s">
        <v>4139</v>
      </c>
    </row>
    <row r="12336">
      <c r="A12336" s="2" t="s">
        <v>4973</v>
      </c>
      <c r="B12336" s="2" t="s">
        <v>4929</v>
      </c>
      <c r="C12336" s="2" t="s">
        <v>6533</v>
      </c>
      <c r="D12336" s="3" t="str">
        <f t="shared" si="2861"/>
        <v>12Go Link</v>
      </c>
      <c r="E12336" s="2" t="s">
        <v>3409</v>
      </c>
    </row>
    <row r="12337">
      <c r="A12337" s="2" t="s">
        <v>4973</v>
      </c>
      <c r="B12337" s="2" t="s">
        <v>4931</v>
      </c>
      <c r="C12337" s="2" t="s">
        <v>6534</v>
      </c>
      <c r="D12337" s="3" t="str">
        <f t="shared" ref="D12337:D12339" si="2862">HYPERLINK("https://12go.asia/en/travel/Ampitiya/Arugam-bay", "12Go Link")</f>
        <v>12Go Link</v>
      </c>
      <c r="E12337" s="2" t="s">
        <v>286</v>
      </c>
    </row>
    <row r="12338">
      <c r="A12338" s="2" t="s">
        <v>4973</v>
      </c>
      <c r="B12338" s="2" t="s">
        <v>4931</v>
      </c>
      <c r="C12338" s="2" t="s">
        <v>6534</v>
      </c>
      <c r="D12338" s="3" t="str">
        <f t="shared" si="2862"/>
        <v>12Go Link</v>
      </c>
      <c r="E12338" s="2" t="s">
        <v>4139</v>
      </c>
    </row>
    <row r="12339">
      <c r="A12339" s="2" t="s">
        <v>4973</v>
      </c>
      <c r="B12339" s="2" t="s">
        <v>4931</v>
      </c>
      <c r="C12339" s="2" t="s">
        <v>6534</v>
      </c>
      <c r="D12339" s="3" t="str">
        <f t="shared" si="2862"/>
        <v>12Go Link</v>
      </c>
      <c r="E12339" s="2" t="s">
        <v>3409</v>
      </c>
    </row>
    <row r="12340">
      <c r="A12340" s="2" t="s">
        <v>4973</v>
      </c>
      <c r="B12340" s="2" t="s">
        <v>4935</v>
      </c>
      <c r="C12340" s="2" t="s">
        <v>6535</v>
      </c>
      <c r="D12340" s="3" t="str">
        <f t="shared" ref="D12340:D12342" si="2863">HYPERLINK("https://12go.asia/en/travel/Ampitiya/Batticaloa", "12Go Link")</f>
        <v>12Go Link</v>
      </c>
      <c r="E12340" s="2" t="s">
        <v>286</v>
      </c>
    </row>
    <row r="12341">
      <c r="A12341" s="2" t="s">
        <v>4973</v>
      </c>
      <c r="B12341" s="2" t="s">
        <v>4935</v>
      </c>
      <c r="C12341" s="2" t="s">
        <v>6535</v>
      </c>
      <c r="D12341" s="3" t="str">
        <f t="shared" si="2863"/>
        <v>12Go Link</v>
      </c>
      <c r="E12341" s="2" t="s">
        <v>4139</v>
      </c>
    </row>
    <row r="12342">
      <c r="A12342" s="2" t="s">
        <v>4973</v>
      </c>
      <c r="B12342" s="2" t="s">
        <v>4935</v>
      </c>
      <c r="C12342" s="2" t="s">
        <v>6535</v>
      </c>
      <c r="D12342" s="3" t="str">
        <f t="shared" si="2863"/>
        <v>12Go Link</v>
      </c>
      <c r="E12342" s="2" t="s">
        <v>3409</v>
      </c>
    </row>
    <row r="12343">
      <c r="A12343" s="2" t="s">
        <v>4973</v>
      </c>
      <c r="B12343" s="2" t="s">
        <v>4939</v>
      </c>
      <c r="C12343" s="2" t="s">
        <v>6536</v>
      </c>
      <c r="D12343" s="3" t="str">
        <f t="shared" ref="D12343:D12345" si="2864">HYPERLINK("https://12go.asia/en/travel/Ampitiya/Beruwala", "12Go Link")</f>
        <v>12Go Link</v>
      </c>
      <c r="E12343" s="2" t="s">
        <v>286</v>
      </c>
    </row>
    <row r="12344">
      <c r="A12344" s="2" t="s">
        <v>4973</v>
      </c>
      <c r="B12344" s="2" t="s">
        <v>4939</v>
      </c>
      <c r="C12344" s="2" t="s">
        <v>6536</v>
      </c>
      <c r="D12344" s="3" t="str">
        <f t="shared" si="2864"/>
        <v>12Go Link</v>
      </c>
      <c r="E12344" s="2" t="s">
        <v>4139</v>
      </c>
    </row>
    <row r="12345">
      <c r="A12345" s="2" t="s">
        <v>4973</v>
      </c>
      <c r="B12345" s="2" t="s">
        <v>4939</v>
      </c>
      <c r="C12345" s="2" t="s">
        <v>6536</v>
      </c>
      <c r="D12345" s="3" t="str">
        <f t="shared" si="2864"/>
        <v>12Go Link</v>
      </c>
      <c r="E12345" s="2" t="s">
        <v>3409</v>
      </c>
    </row>
    <row r="12346">
      <c r="A12346" s="2" t="s">
        <v>4973</v>
      </c>
      <c r="B12346" s="2" t="s">
        <v>4941</v>
      </c>
      <c r="C12346" s="2" t="s">
        <v>6537</v>
      </c>
      <c r="D12346" s="3" t="str">
        <f t="shared" ref="D12346:D12348" si="2865">HYPERLINK("https://12go.asia/en/travel/Ampitiya/Bundala", "12Go Link")</f>
        <v>12Go Link</v>
      </c>
      <c r="E12346" s="2" t="s">
        <v>286</v>
      </c>
    </row>
    <row r="12347">
      <c r="A12347" s="2" t="s">
        <v>4973</v>
      </c>
      <c r="B12347" s="2" t="s">
        <v>4941</v>
      </c>
      <c r="C12347" s="2" t="s">
        <v>6537</v>
      </c>
      <c r="D12347" s="3" t="str">
        <f t="shared" si="2865"/>
        <v>12Go Link</v>
      </c>
      <c r="E12347" s="2" t="s">
        <v>4139</v>
      </c>
    </row>
    <row r="12348">
      <c r="A12348" s="2" t="s">
        <v>4973</v>
      </c>
      <c r="B12348" s="2" t="s">
        <v>4941</v>
      </c>
      <c r="C12348" s="2" t="s">
        <v>6537</v>
      </c>
      <c r="D12348" s="3" t="str">
        <f t="shared" si="2865"/>
        <v>12Go Link</v>
      </c>
      <c r="E12348" s="2" t="s">
        <v>3409</v>
      </c>
    </row>
    <row r="12349">
      <c r="A12349" s="2" t="s">
        <v>4973</v>
      </c>
      <c r="B12349" s="2" t="s">
        <v>4945</v>
      </c>
      <c r="C12349" s="2" t="s">
        <v>6538</v>
      </c>
      <c r="D12349" s="3" t="str">
        <f t="shared" ref="D12349:D12351" si="2866">HYPERLINK("https://12go.asia/en/travel/Ampitiya/Bandaranaike-Airport", "12Go Link")</f>
        <v>12Go Link</v>
      </c>
      <c r="E12349" s="2" t="s">
        <v>286</v>
      </c>
    </row>
    <row r="12350">
      <c r="A12350" s="2" t="s">
        <v>4973</v>
      </c>
      <c r="B12350" s="2" t="s">
        <v>4945</v>
      </c>
      <c r="C12350" s="2" t="s">
        <v>6538</v>
      </c>
      <c r="D12350" s="3" t="str">
        <f t="shared" si="2866"/>
        <v>12Go Link</v>
      </c>
      <c r="E12350" s="2" t="s">
        <v>4139</v>
      </c>
    </row>
    <row r="12351">
      <c r="A12351" s="2" t="s">
        <v>4973</v>
      </c>
      <c r="B12351" s="2" t="s">
        <v>4945</v>
      </c>
      <c r="C12351" s="2" t="s">
        <v>6538</v>
      </c>
      <c r="D12351" s="3" t="str">
        <f t="shared" si="2866"/>
        <v>12Go Link</v>
      </c>
      <c r="E12351" s="2" t="s">
        <v>3409</v>
      </c>
    </row>
    <row r="12352">
      <c r="A12352" s="2" t="s">
        <v>4973</v>
      </c>
      <c r="B12352" s="2" t="s">
        <v>4947</v>
      </c>
      <c r="C12352" s="2" t="s">
        <v>6539</v>
      </c>
      <c r="D12352" s="3" t="str">
        <f t="shared" ref="D12352:D12354" si="2867">HYPERLINK("https://12go.asia/en/travel/Ampitiya/Dambulla", "12Go Link")</f>
        <v>12Go Link</v>
      </c>
      <c r="E12352" s="2" t="s">
        <v>286</v>
      </c>
    </row>
    <row r="12353">
      <c r="A12353" s="2" t="s">
        <v>4973</v>
      </c>
      <c r="B12353" s="2" t="s">
        <v>4947</v>
      </c>
      <c r="C12353" s="2" t="s">
        <v>6539</v>
      </c>
      <c r="D12353" s="3" t="str">
        <f t="shared" si="2867"/>
        <v>12Go Link</v>
      </c>
      <c r="E12353" s="2" t="s">
        <v>4139</v>
      </c>
    </row>
    <row r="12354">
      <c r="A12354" s="2" t="s">
        <v>4973</v>
      </c>
      <c r="B12354" s="2" t="s">
        <v>4947</v>
      </c>
      <c r="C12354" s="2" t="s">
        <v>6539</v>
      </c>
      <c r="D12354" s="3" t="str">
        <f t="shared" si="2867"/>
        <v>12Go Link</v>
      </c>
      <c r="E12354" s="2" t="s">
        <v>3409</v>
      </c>
    </row>
    <row r="12355">
      <c r="A12355" s="2" t="s">
        <v>4973</v>
      </c>
      <c r="B12355" s="2" t="s">
        <v>4949</v>
      </c>
      <c r="C12355" s="2" t="s">
        <v>6540</v>
      </c>
      <c r="D12355" s="3" t="str">
        <f t="shared" ref="D12355:D12357" si="2868">HYPERLINK("https://12go.asia/en/travel/Ampitiya/Deniyaya", "12Go Link")</f>
        <v>12Go Link</v>
      </c>
      <c r="E12355" s="2" t="s">
        <v>286</v>
      </c>
    </row>
    <row r="12356">
      <c r="A12356" s="2" t="s">
        <v>4973</v>
      </c>
      <c r="B12356" s="2" t="s">
        <v>4949</v>
      </c>
      <c r="C12356" s="2" t="s">
        <v>6540</v>
      </c>
      <c r="D12356" s="3" t="str">
        <f t="shared" si="2868"/>
        <v>12Go Link</v>
      </c>
      <c r="E12356" s="2" t="s">
        <v>4139</v>
      </c>
    </row>
    <row r="12357">
      <c r="A12357" s="2" t="s">
        <v>4973</v>
      </c>
      <c r="B12357" s="2" t="s">
        <v>4949</v>
      </c>
      <c r="C12357" s="2" t="s">
        <v>6540</v>
      </c>
      <c r="D12357" s="3" t="str">
        <f t="shared" si="2868"/>
        <v>12Go Link</v>
      </c>
      <c r="E12357" s="2" t="s">
        <v>3409</v>
      </c>
    </row>
    <row r="12358">
      <c r="A12358" s="2" t="s">
        <v>4973</v>
      </c>
      <c r="B12358" s="2" t="s">
        <v>4951</v>
      </c>
      <c r="C12358" s="2" t="s">
        <v>6541</v>
      </c>
      <c r="D12358" s="3" t="str">
        <f t="shared" ref="D12358:D12360" si="2869">HYPERLINK("https://12go.asia/en/travel/Ampitiya/Dickwella", "12Go Link")</f>
        <v>12Go Link</v>
      </c>
      <c r="E12358" s="2" t="s">
        <v>286</v>
      </c>
    </row>
    <row r="12359">
      <c r="A12359" s="2" t="s">
        <v>4973</v>
      </c>
      <c r="B12359" s="2" t="s">
        <v>4951</v>
      </c>
      <c r="C12359" s="2" t="s">
        <v>6541</v>
      </c>
      <c r="D12359" s="3" t="str">
        <f t="shared" si="2869"/>
        <v>12Go Link</v>
      </c>
      <c r="E12359" s="2" t="s">
        <v>4139</v>
      </c>
    </row>
    <row r="12360">
      <c r="A12360" s="2" t="s">
        <v>4973</v>
      </c>
      <c r="B12360" s="2" t="s">
        <v>4951</v>
      </c>
      <c r="C12360" s="2" t="s">
        <v>6541</v>
      </c>
      <c r="D12360" s="3" t="str">
        <f t="shared" si="2869"/>
        <v>12Go Link</v>
      </c>
      <c r="E12360" s="2" t="s">
        <v>3409</v>
      </c>
    </row>
    <row r="12361">
      <c r="A12361" s="2" t="s">
        <v>4973</v>
      </c>
      <c r="B12361" s="2" t="s">
        <v>4951</v>
      </c>
      <c r="C12361" s="2" t="s">
        <v>6542</v>
      </c>
      <c r="D12361" s="3" t="str">
        <f t="shared" ref="D12361:D12363" si="2870">HYPERLINK("https://12go.asia/en/travel/Ampitiya/Hiriketiya-beach", "12Go Link")</f>
        <v>12Go Link</v>
      </c>
      <c r="E12361" s="2" t="s">
        <v>286</v>
      </c>
    </row>
    <row r="12362">
      <c r="A12362" s="2" t="s">
        <v>4973</v>
      </c>
      <c r="B12362" s="2" t="s">
        <v>4951</v>
      </c>
      <c r="C12362" s="2" t="s">
        <v>6542</v>
      </c>
      <c r="D12362" s="3" t="str">
        <f t="shared" si="2870"/>
        <v>12Go Link</v>
      </c>
      <c r="E12362" s="2" t="s">
        <v>4139</v>
      </c>
    </row>
    <row r="12363">
      <c r="A12363" s="2" t="s">
        <v>4973</v>
      </c>
      <c r="B12363" s="2" t="s">
        <v>4951</v>
      </c>
      <c r="C12363" s="2" t="s">
        <v>6542</v>
      </c>
      <c r="D12363" s="3" t="str">
        <f t="shared" si="2870"/>
        <v>12Go Link</v>
      </c>
      <c r="E12363" s="2" t="s">
        <v>3409</v>
      </c>
    </row>
    <row r="12364">
      <c r="A12364" s="2" t="s">
        <v>4973</v>
      </c>
      <c r="B12364" s="2" t="s">
        <v>4954</v>
      </c>
      <c r="C12364" s="2" t="s">
        <v>6543</v>
      </c>
      <c r="D12364" s="3" t="str">
        <f t="shared" ref="D12364:D12366" si="2871">HYPERLINK("https://12go.asia/en/travel/Ampitiya/Talpe", "12Go Link")</f>
        <v>12Go Link</v>
      </c>
      <c r="E12364" s="2" t="s">
        <v>286</v>
      </c>
    </row>
    <row r="12365">
      <c r="A12365" s="2" t="s">
        <v>4973</v>
      </c>
      <c r="B12365" s="2" t="s">
        <v>4954</v>
      </c>
      <c r="C12365" s="2" t="s">
        <v>6543</v>
      </c>
      <c r="D12365" s="3" t="str">
        <f t="shared" si="2871"/>
        <v>12Go Link</v>
      </c>
      <c r="E12365" s="2" t="s">
        <v>4139</v>
      </c>
    </row>
    <row r="12366">
      <c r="A12366" s="2" t="s">
        <v>4973</v>
      </c>
      <c r="B12366" s="2" t="s">
        <v>4954</v>
      </c>
      <c r="C12366" s="2" t="s">
        <v>6543</v>
      </c>
      <c r="D12366" s="3" t="str">
        <f t="shared" si="2871"/>
        <v>12Go Link</v>
      </c>
      <c r="E12366" s="2" t="s">
        <v>3409</v>
      </c>
    </row>
    <row r="12367">
      <c r="A12367" s="2" t="s">
        <v>4973</v>
      </c>
      <c r="B12367" s="2" t="s">
        <v>4961</v>
      </c>
      <c r="C12367" s="2" t="s">
        <v>6544</v>
      </c>
      <c r="D12367" s="3" t="str">
        <f t="shared" ref="D12367:D12369" si="2872">HYPERLINK("https://12go.asia/en/travel/Ampitiya/Beragala", "12Go Link")</f>
        <v>12Go Link</v>
      </c>
      <c r="E12367" s="2" t="s">
        <v>286</v>
      </c>
    </row>
    <row r="12368">
      <c r="A12368" s="2" t="s">
        <v>4973</v>
      </c>
      <c r="B12368" s="2" t="s">
        <v>4961</v>
      </c>
      <c r="C12368" s="2" t="s">
        <v>6544</v>
      </c>
      <c r="D12368" s="3" t="str">
        <f t="shared" si="2872"/>
        <v>12Go Link</v>
      </c>
      <c r="E12368" s="2" t="s">
        <v>4139</v>
      </c>
    </row>
    <row r="12369">
      <c r="A12369" s="2" t="s">
        <v>4973</v>
      </c>
      <c r="B12369" s="2" t="s">
        <v>4961</v>
      </c>
      <c r="C12369" s="2" t="s">
        <v>6544</v>
      </c>
      <c r="D12369" s="3" t="str">
        <f t="shared" si="2872"/>
        <v>12Go Link</v>
      </c>
      <c r="E12369" s="2" t="s">
        <v>3409</v>
      </c>
    </row>
    <row r="12370">
      <c r="A12370" s="2" t="s">
        <v>4973</v>
      </c>
      <c r="B12370" s="2" t="s">
        <v>4963</v>
      </c>
      <c r="C12370" s="2" t="s">
        <v>6545</v>
      </c>
      <c r="D12370" s="3" t="str">
        <f t="shared" ref="D12370:D12372" si="2873">HYPERLINK("https://12go.asia/en/travel/Ampitiya/Dick-oya", "12Go Link")</f>
        <v>12Go Link</v>
      </c>
      <c r="E12370" s="2" t="s">
        <v>286</v>
      </c>
    </row>
    <row r="12371">
      <c r="A12371" s="2" t="s">
        <v>4973</v>
      </c>
      <c r="B12371" s="2" t="s">
        <v>4963</v>
      </c>
      <c r="C12371" s="2" t="s">
        <v>6545</v>
      </c>
      <c r="D12371" s="3" t="str">
        <f t="shared" si="2873"/>
        <v>12Go Link</v>
      </c>
      <c r="E12371" s="2" t="s">
        <v>4139</v>
      </c>
    </row>
    <row r="12372">
      <c r="A12372" s="2" t="s">
        <v>4973</v>
      </c>
      <c r="B12372" s="2" t="s">
        <v>4963</v>
      </c>
      <c r="C12372" s="2" t="s">
        <v>6545</v>
      </c>
      <c r="D12372" s="3" t="str">
        <f t="shared" si="2873"/>
        <v>12Go Link</v>
      </c>
      <c r="E12372" s="2" t="s">
        <v>3409</v>
      </c>
    </row>
    <row r="12373">
      <c r="A12373" s="2" t="s">
        <v>4973</v>
      </c>
      <c r="B12373" s="2" t="s">
        <v>4967</v>
      </c>
      <c r="C12373" s="2" t="s">
        <v>6546</v>
      </c>
      <c r="D12373" s="3" t="str">
        <f t="shared" ref="D12373:D12375" si="2874">HYPERLINK("https://12go.asia/en/travel/Ampitiya/Induruwa", "12Go Link")</f>
        <v>12Go Link</v>
      </c>
      <c r="E12373" s="2" t="s">
        <v>286</v>
      </c>
    </row>
    <row r="12374">
      <c r="A12374" s="2" t="s">
        <v>4973</v>
      </c>
      <c r="B12374" s="2" t="s">
        <v>4967</v>
      </c>
      <c r="C12374" s="2" t="s">
        <v>6546</v>
      </c>
      <c r="D12374" s="3" t="str">
        <f t="shared" si="2874"/>
        <v>12Go Link</v>
      </c>
      <c r="E12374" s="2" t="s">
        <v>4139</v>
      </c>
    </row>
    <row r="12375">
      <c r="A12375" s="2" t="s">
        <v>4973</v>
      </c>
      <c r="B12375" s="2" t="s">
        <v>4967</v>
      </c>
      <c r="C12375" s="2" t="s">
        <v>6546</v>
      </c>
      <c r="D12375" s="3" t="str">
        <f t="shared" si="2874"/>
        <v>12Go Link</v>
      </c>
      <c r="E12375" s="2" t="s">
        <v>3409</v>
      </c>
    </row>
    <row r="12376">
      <c r="A12376" s="2" t="s">
        <v>4973</v>
      </c>
      <c r="B12376" s="2" t="s">
        <v>4969</v>
      </c>
      <c r="C12376" s="2" t="s">
        <v>6547</v>
      </c>
      <c r="D12376" s="3" t="str">
        <f t="shared" ref="D12376:D12378" si="2875">HYPERLINK("https://12go.asia/en/travel/Ampitiya/Jaffna", "12Go Link")</f>
        <v>12Go Link</v>
      </c>
      <c r="E12376" s="2" t="s">
        <v>286</v>
      </c>
    </row>
    <row r="12377">
      <c r="A12377" s="2" t="s">
        <v>4973</v>
      </c>
      <c r="B12377" s="2" t="s">
        <v>4969</v>
      </c>
      <c r="C12377" s="2" t="s">
        <v>6547</v>
      </c>
      <c r="D12377" s="3" t="str">
        <f t="shared" si="2875"/>
        <v>12Go Link</v>
      </c>
      <c r="E12377" s="2" t="s">
        <v>4139</v>
      </c>
    </row>
    <row r="12378">
      <c r="A12378" s="2" t="s">
        <v>4973</v>
      </c>
      <c r="B12378" s="2" t="s">
        <v>4969</v>
      </c>
      <c r="C12378" s="2" t="s">
        <v>6547</v>
      </c>
      <c r="D12378" s="3" t="str">
        <f t="shared" si="2875"/>
        <v>12Go Link</v>
      </c>
      <c r="E12378" s="2" t="s">
        <v>3409</v>
      </c>
    </row>
    <row r="12379">
      <c r="A12379" s="2" t="s">
        <v>4973</v>
      </c>
      <c r="B12379" s="2" t="s">
        <v>4971</v>
      </c>
      <c r="C12379" s="2" t="s">
        <v>6548</v>
      </c>
      <c r="D12379" s="3" t="str">
        <f t="shared" ref="D12379:D12381" si="2876">HYPERLINK("https://12go.asia/en/travel/Ampitiya/Kalapuwa", "12Go Link")</f>
        <v>12Go Link</v>
      </c>
      <c r="E12379" s="2" t="s">
        <v>286</v>
      </c>
    </row>
    <row r="12380">
      <c r="A12380" s="2" t="s">
        <v>4973</v>
      </c>
      <c r="B12380" s="2" t="s">
        <v>4971</v>
      </c>
      <c r="C12380" s="2" t="s">
        <v>6548</v>
      </c>
      <c r="D12380" s="3" t="str">
        <f t="shared" si="2876"/>
        <v>12Go Link</v>
      </c>
      <c r="E12380" s="2" t="s">
        <v>4139</v>
      </c>
    </row>
    <row r="12381">
      <c r="A12381" s="2" t="s">
        <v>4973</v>
      </c>
      <c r="B12381" s="2" t="s">
        <v>4971</v>
      </c>
      <c r="C12381" s="2" t="s">
        <v>6548</v>
      </c>
      <c r="D12381" s="3" t="str">
        <f t="shared" si="2876"/>
        <v>12Go Link</v>
      </c>
      <c r="E12381" s="2" t="s">
        <v>3409</v>
      </c>
    </row>
    <row r="12382">
      <c r="A12382" s="2" t="s">
        <v>4973</v>
      </c>
      <c r="B12382" s="2" t="s">
        <v>4973</v>
      </c>
      <c r="C12382" s="2" t="s">
        <v>6549</v>
      </c>
      <c r="D12382" s="3" t="str">
        <f t="shared" ref="D12382:D12384" si="2877">HYPERLINK("https://12go.asia/en/travel/Ampitiya/Digana", "12Go Link")</f>
        <v>12Go Link</v>
      </c>
      <c r="E12382" s="2" t="s">
        <v>286</v>
      </c>
    </row>
    <row r="12383">
      <c r="A12383" s="2" t="s">
        <v>4973</v>
      </c>
      <c r="B12383" s="2" t="s">
        <v>4973</v>
      </c>
      <c r="C12383" s="2" t="s">
        <v>6549</v>
      </c>
      <c r="D12383" s="3" t="str">
        <f t="shared" si="2877"/>
        <v>12Go Link</v>
      </c>
      <c r="E12383" s="2" t="s">
        <v>4139</v>
      </c>
    </row>
    <row r="12384">
      <c r="A12384" s="2" t="s">
        <v>4973</v>
      </c>
      <c r="B12384" s="2" t="s">
        <v>4973</v>
      </c>
      <c r="C12384" s="2" t="s">
        <v>6549</v>
      </c>
      <c r="D12384" s="3" t="str">
        <f t="shared" si="2877"/>
        <v>12Go Link</v>
      </c>
      <c r="E12384" s="2" t="s">
        <v>3409</v>
      </c>
    </row>
    <row r="12385">
      <c r="A12385" s="2" t="s">
        <v>4973</v>
      </c>
      <c r="B12385" s="2" t="s">
        <v>4976</v>
      </c>
      <c r="C12385" s="2" t="s">
        <v>6550</v>
      </c>
      <c r="D12385" s="3" t="str">
        <f t="shared" ref="D12385:D12387" si="2878">HYPERLINK("https://12go.asia/en/travel/Ampitiya/Kataragama", "12Go Link")</f>
        <v>12Go Link</v>
      </c>
      <c r="E12385" s="2" t="s">
        <v>286</v>
      </c>
    </row>
    <row r="12386">
      <c r="A12386" s="2" t="s">
        <v>4973</v>
      </c>
      <c r="B12386" s="2" t="s">
        <v>4976</v>
      </c>
      <c r="C12386" s="2" t="s">
        <v>6550</v>
      </c>
      <c r="D12386" s="3" t="str">
        <f t="shared" si="2878"/>
        <v>12Go Link</v>
      </c>
      <c r="E12386" s="2" t="s">
        <v>4139</v>
      </c>
    </row>
    <row r="12387">
      <c r="A12387" s="2" t="s">
        <v>4973</v>
      </c>
      <c r="B12387" s="2" t="s">
        <v>4976</v>
      </c>
      <c r="C12387" s="2" t="s">
        <v>6550</v>
      </c>
      <c r="D12387" s="3" t="str">
        <f t="shared" si="2878"/>
        <v>12Go Link</v>
      </c>
      <c r="E12387" s="2" t="s">
        <v>3409</v>
      </c>
    </row>
    <row r="12388">
      <c r="A12388" s="2" t="s">
        <v>4973</v>
      </c>
      <c r="B12388" s="2" t="s">
        <v>4978</v>
      </c>
      <c r="C12388" s="2" t="s">
        <v>6551</v>
      </c>
      <c r="D12388" s="3" t="str">
        <f t="shared" ref="D12388:D12390" si="2879">HYPERLINK("https://12go.asia/en/travel/Ampitiya/Alawathupitiya", "12Go Link")</f>
        <v>12Go Link</v>
      </c>
      <c r="E12388" s="2" t="s">
        <v>286</v>
      </c>
    </row>
    <row r="12389">
      <c r="A12389" s="2" t="s">
        <v>4973</v>
      </c>
      <c r="B12389" s="2" t="s">
        <v>4978</v>
      </c>
      <c r="C12389" s="2" t="s">
        <v>6551</v>
      </c>
      <c r="D12389" s="3" t="str">
        <f t="shared" si="2879"/>
        <v>12Go Link</v>
      </c>
      <c r="E12389" s="2" t="s">
        <v>4139</v>
      </c>
    </row>
    <row r="12390">
      <c r="A12390" s="2" t="s">
        <v>4973</v>
      </c>
      <c r="B12390" s="2" t="s">
        <v>4978</v>
      </c>
      <c r="C12390" s="2" t="s">
        <v>6551</v>
      </c>
      <c r="D12390" s="3" t="str">
        <f t="shared" si="2879"/>
        <v>12Go Link</v>
      </c>
      <c r="E12390" s="2" t="s">
        <v>3409</v>
      </c>
    </row>
    <row r="12391">
      <c r="A12391" s="2" t="s">
        <v>4973</v>
      </c>
      <c r="B12391" s="2" t="s">
        <v>4980</v>
      </c>
      <c r="C12391" s="2" t="s">
        <v>6552</v>
      </c>
      <c r="D12391" s="3" t="str">
        <f t="shared" ref="D12391:D12393" si="2880">HYPERLINK("https://12go.asia/en/travel/Ampitiya/Pinnawala", "12Go Link")</f>
        <v>12Go Link</v>
      </c>
      <c r="E12391" s="2" t="s">
        <v>286</v>
      </c>
    </row>
    <row r="12392">
      <c r="A12392" s="2" t="s">
        <v>4973</v>
      </c>
      <c r="B12392" s="2" t="s">
        <v>4980</v>
      </c>
      <c r="C12392" s="2" t="s">
        <v>6552</v>
      </c>
      <c r="D12392" s="3" t="str">
        <f t="shared" si="2880"/>
        <v>12Go Link</v>
      </c>
      <c r="E12392" s="2" t="s">
        <v>4139</v>
      </c>
    </row>
    <row r="12393">
      <c r="A12393" s="2" t="s">
        <v>4973</v>
      </c>
      <c r="B12393" s="2" t="s">
        <v>4980</v>
      </c>
      <c r="C12393" s="2" t="s">
        <v>6552</v>
      </c>
      <c r="D12393" s="3" t="str">
        <f t="shared" si="2880"/>
        <v>12Go Link</v>
      </c>
      <c r="E12393" s="2" t="s">
        <v>3409</v>
      </c>
    </row>
    <row r="12394">
      <c r="A12394" s="2" t="s">
        <v>4973</v>
      </c>
      <c r="B12394" s="2" t="s">
        <v>4982</v>
      </c>
      <c r="C12394" s="2" t="s">
        <v>6553</v>
      </c>
      <c r="D12394" s="3" t="str">
        <f t="shared" ref="D12394:D12396" si="2881">HYPERLINK("https://12go.asia/en/travel/Ampitiya/Kitulgala", "12Go Link")</f>
        <v>12Go Link</v>
      </c>
      <c r="E12394" s="2" t="s">
        <v>286</v>
      </c>
    </row>
    <row r="12395">
      <c r="A12395" s="2" t="s">
        <v>4973</v>
      </c>
      <c r="B12395" s="2" t="s">
        <v>4982</v>
      </c>
      <c r="C12395" s="2" t="s">
        <v>6553</v>
      </c>
      <c r="D12395" s="3" t="str">
        <f t="shared" si="2881"/>
        <v>12Go Link</v>
      </c>
      <c r="E12395" s="2" t="s">
        <v>4139</v>
      </c>
    </row>
    <row r="12396">
      <c r="A12396" s="2" t="s">
        <v>4973</v>
      </c>
      <c r="B12396" s="2" t="s">
        <v>4982</v>
      </c>
      <c r="C12396" s="2" t="s">
        <v>6553</v>
      </c>
      <c r="D12396" s="3" t="str">
        <f t="shared" si="2881"/>
        <v>12Go Link</v>
      </c>
      <c r="E12396" s="2" t="s">
        <v>3409</v>
      </c>
    </row>
    <row r="12397">
      <c r="A12397" s="2" t="s">
        <v>4973</v>
      </c>
      <c r="B12397" s="2" t="s">
        <v>4984</v>
      </c>
      <c r="C12397" s="2" t="s">
        <v>6554</v>
      </c>
      <c r="D12397" s="3" t="str">
        <f t="shared" ref="D12397:D12399" si="2882">HYPERLINK("https://12go.asia/en/travel/Ampitiya/Habaraduwa", "12Go Link")</f>
        <v>12Go Link</v>
      </c>
      <c r="E12397" s="2" t="s">
        <v>286</v>
      </c>
    </row>
    <row r="12398">
      <c r="A12398" s="2" t="s">
        <v>4973</v>
      </c>
      <c r="B12398" s="2" t="s">
        <v>4984</v>
      </c>
      <c r="C12398" s="2" t="s">
        <v>6554</v>
      </c>
      <c r="D12398" s="3" t="str">
        <f t="shared" si="2882"/>
        <v>12Go Link</v>
      </c>
      <c r="E12398" s="2" t="s">
        <v>4139</v>
      </c>
    </row>
    <row r="12399">
      <c r="A12399" s="2" t="s">
        <v>4973</v>
      </c>
      <c r="B12399" s="2" t="s">
        <v>4984</v>
      </c>
      <c r="C12399" s="2" t="s">
        <v>6554</v>
      </c>
      <c r="D12399" s="3" t="str">
        <f t="shared" si="2882"/>
        <v>12Go Link</v>
      </c>
      <c r="E12399" s="2" t="s">
        <v>3409</v>
      </c>
    </row>
    <row r="12400">
      <c r="A12400" s="2" t="s">
        <v>4973</v>
      </c>
      <c r="B12400" s="2" t="s">
        <v>4988</v>
      </c>
      <c r="C12400" s="2" t="s">
        <v>6555</v>
      </c>
      <c r="D12400" s="3" t="str">
        <f t="shared" ref="D12400:D12402" si="2883">HYPERLINK("https://12go.asia/en/travel/Ampitiya/Kuchchaveli", "12Go Link")</f>
        <v>12Go Link</v>
      </c>
      <c r="E12400" s="2" t="s">
        <v>286</v>
      </c>
    </row>
    <row r="12401">
      <c r="A12401" s="2" t="s">
        <v>4973</v>
      </c>
      <c r="B12401" s="2" t="s">
        <v>4988</v>
      </c>
      <c r="C12401" s="2" t="s">
        <v>6555</v>
      </c>
      <c r="D12401" s="3" t="str">
        <f t="shared" si="2883"/>
        <v>12Go Link</v>
      </c>
      <c r="E12401" s="2" t="s">
        <v>4139</v>
      </c>
    </row>
    <row r="12402">
      <c r="A12402" s="2" t="s">
        <v>4973</v>
      </c>
      <c r="B12402" s="2" t="s">
        <v>4988</v>
      </c>
      <c r="C12402" s="2" t="s">
        <v>6555</v>
      </c>
      <c r="D12402" s="3" t="str">
        <f t="shared" si="2883"/>
        <v>12Go Link</v>
      </c>
      <c r="E12402" s="2" t="s">
        <v>3409</v>
      </c>
    </row>
    <row r="12403">
      <c r="A12403" s="2" t="s">
        <v>4973</v>
      </c>
      <c r="B12403" s="2" t="s">
        <v>4990</v>
      </c>
      <c r="C12403" s="2" t="s">
        <v>6556</v>
      </c>
      <c r="D12403" s="3" t="str">
        <f t="shared" ref="D12403:D12405" si="2884">HYPERLINK("https://12go.asia/en/travel/Ampitiya/Mannar", "12Go Link")</f>
        <v>12Go Link</v>
      </c>
      <c r="E12403" s="2" t="s">
        <v>286</v>
      </c>
    </row>
    <row r="12404">
      <c r="A12404" s="2" t="s">
        <v>4973</v>
      </c>
      <c r="B12404" s="2" t="s">
        <v>4990</v>
      </c>
      <c r="C12404" s="2" t="s">
        <v>6556</v>
      </c>
      <c r="D12404" s="3" t="str">
        <f t="shared" si="2884"/>
        <v>12Go Link</v>
      </c>
      <c r="E12404" s="2" t="s">
        <v>4139</v>
      </c>
    </row>
    <row r="12405">
      <c r="A12405" s="2" t="s">
        <v>4973</v>
      </c>
      <c r="B12405" s="2" t="s">
        <v>4990</v>
      </c>
      <c r="C12405" s="2" t="s">
        <v>6556</v>
      </c>
      <c r="D12405" s="3" t="str">
        <f t="shared" si="2884"/>
        <v>12Go Link</v>
      </c>
      <c r="E12405" s="2" t="s">
        <v>3409</v>
      </c>
    </row>
    <row r="12406">
      <c r="A12406" s="2" t="s">
        <v>4973</v>
      </c>
      <c r="B12406" s="2" t="s">
        <v>4992</v>
      </c>
      <c r="C12406" s="2" t="s">
        <v>6557</v>
      </c>
      <c r="D12406" s="3" t="str">
        <f t="shared" ref="D12406:D12408" si="2885">HYPERLINK("https://12go.asia/en/travel/Ampitiya/Kinigama", "12Go Link")</f>
        <v>12Go Link</v>
      </c>
      <c r="E12406" s="2" t="s">
        <v>286</v>
      </c>
    </row>
    <row r="12407">
      <c r="A12407" s="2" t="s">
        <v>4973</v>
      </c>
      <c r="B12407" s="2" t="s">
        <v>4992</v>
      </c>
      <c r="C12407" s="2" t="s">
        <v>6557</v>
      </c>
      <c r="D12407" s="3" t="str">
        <f t="shared" si="2885"/>
        <v>12Go Link</v>
      </c>
      <c r="E12407" s="2" t="s">
        <v>4139</v>
      </c>
    </row>
    <row r="12408">
      <c r="A12408" s="2" t="s">
        <v>4973</v>
      </c>
      <c r="B12408" s="2" t="s">
        <v>4992</v>
      </c>
      <c r="C12408" s="2" t="s">
        <v>6557</v>
      </c>
      <c r="D12408" s="3" t="str">
        <f t="shared" si="2885"/>
        <v>12Go Link</v>
      </c>
      <c r="E12408" s="2" t="s">
        <v>3409</v>
      </c>
    </row>
    <row r="12409">
      <c r="A12409" s="2" t="s">
        <v>4973</v>
      </c>
      <c r="B12409" s="2" t="s">
        <v>4998</v>
      </c>
      <c r="C12409" s="2" t="s">
        <v>6558</v>
      </c>
      <c r="D12409" s="3" t="str">
        <f t="shared" ref="D12409:D12411" si="2886">HYPERLINK("https://12go.asia/en/travel/Ampitiya/Nanu-Oya", "12Go Link")</f>
        <v>12Go Link</v>
      </c>
      <c r="E12409" s="2" t="s">
        <v>286</v>
      </c>
    </row>
    <row r="12410">
      <c r="A12410" s="2" t="s">
        <v>4973</v>
      </c>
      <c r="B12410" s="2" t="s">
        <v>4998</v>
      </c>
      <c r="C12410" s="2" t="s">
        <v>6558</v>
      </c>
      <c r="D12410" s="3" t="str">
        <f t="shared" si="2886"/>
        <v>12Go Link</v>
      </c>
      <c r="E12410" s="2" t="s">
        <v>4139</v>
      </c>
    </row>
    <row r="12411">
      <c r="A12411" s="2" t="s">
        <v>4973</v>
      </c>
      <c r="B12411" s="2" t="s">
        <v>4998</v>
      </c>
      <c r="C12411" s="2" t="s">
        <v>6558</v>
      </c>
      <c r="D12411" s="3" t="str">
        <f t="shared" si="2886"/>
        <v>12Go Link</v>
      </c>
      <c r="E12411" s="2" t="s">
        <v>3409</v>
      </c>
    </row>
    <row r="12412">
      <c r="A12412" s="2" t="s">
        <v>4973</v>
      </c>
      <c r="B12412" s="2" t="s">
        <v>5000</v>
      </c>
      <c r="C12412" s="2" t="s">
        <v>6559</v>
      </c>
      <c r="D12412" s="3" t="str">
        <f t="shared" ref="D12412:D12414" si="2887">HYPERLINK("https://12go.asia/en/travel/Ampitiya/Waikkal", "12Go Link")</f>
        <v>12Go Link</v>
      </c>
      <c r="E12412" s="2" t="s">
        <v>286</v>
      </c>
    </row>
    <row r="12413">
      <c r="A12413" s="2" t="s">
        <v>4973</v>
      </c>
      <c r="B12413" s="2" t="s">
        <v>5000</v>
      </c>
      <c r="C12413" s="2" t="s">
        <v>6559</v>
      </c>
      <c r="D12413" s="3" t="str">
        <f t="shared" si="2887"/>
        <v>12Go Link</v>
      </c>
      <c r="E12413" s="2" t="s">
        <v>4139</v>
      </c>
    </row>
    <row r="12414">
      <c r="A12414" s="2" t="s">
        <v>4973</v>
      </c>
      <c r="B12414" s="2" t="s">
        <v>5000</v>
      </c>
      <c r="C12414" s="2" t="s">
        <v>6559</v>
      </c>
      <c r="D12414" s="3" t="str">
        <f t="shared" si="2887"/>
        <v>12Go Link</v>
      </c>
      <c r="E12414" s="2" t="s">
        <v>3409</v>
      </c>
    </row>
    <row r="12415">
      <c r="A12415" s="2" t="s">
        <v>4973</v>
      </c>
      <c r="B12415" s="2" t="s">
        <v>5003</v>
      </c>
      <c r="C12415" s="2" t="s">
        <v>6560</v>
      </c>
      <c r="D12415" s="3" t="str">
        <f t="shared" ref="D12415:D12417" si="2888">HYPERLINK("https://12go.asia/en/travel/Ampitiya/Nilaveli", "12Go Link")</f>
        <v>12Go Link</v>
      </c>
      <c r="E12415" s="2" t="s">
        <v>286</v>
      </c>
    </row>
    <row r="12416">
      <c r="A12416" s="2" t="s">
        <v>4973</v>
      </c>
      <c r="B12416" s="2" t="s">
        <v>5003</v>
      </c>
      <c r="C12416" s="2" t="s">
        <v>6560</v>
      </c>
      <c r="D12416" s="3" t="str">
        <f t="shared" si="2888"/>
        <v>12Go Link</v>
      </c>
      <c r="E12416" s="2" t="s">
        <v>4139</v>
      </c>
    </row>
    <row r="12417">
      <c r="A12417" s="2" t="s">
        <v>4973</v>
      </c>
      <c r="B12417" s="2" t="s">
        <v>5003</v>
      </c>
      <c r="C12417" s="2" t="s">
        <v>6560</v>
      </c>
      <c r="D12417" s="3" t="str">
        <f t="shared" si="2888"/>
        <v>12Go Link</v>
      </c>
      <c r="E12417" s="2" t="s">
        <v>3409</v>
      </c>
    </row>
    <row r="12418">
      <c r="A12418" s="2" t="s">
        <v>4973</v>
      </c>
      <c r="B12418" s="2" t="s">
        <v>5007</v>
      </c>
      <c r="C12418" s="2" t="s">
        <v>6561</v>
      </c>
      <c r="D12418" s="3" t="str">
        <f t="shared" ref="D12418:D12420" si="2889">HYPERLINK("https://12go.asia/en/travel/Ampitiya/Pasikuda", "12Go Link")</f>
        <v>12Go Link</v>
      </c>
      <c r="E12418" s="2" t="s">
        <v>286</v>
      </c>
    </row>
    <row r="12419">
      <c r="A12419" s="2" t="s">
        <v>4973</v>
      </c>
      <c r="B12419" s="2" t="s">
        <v>5007</v>
      </c>
      <c r="C12419" s="2" t="s">
        <v>6561</v>
      </c>
      <c r="D12419" s="3" t="str">
        <f t="shared" si="2889"/>
        <v>12Go Link</v>
      </c>
      <c r="E12419" s="2" t="s">
        <v>4139</v>
      </c>
    </row>
    <row r="12420">
      <c r="A12420" s="2" t="s">
        <v>4973</v>
      </c>
      <c r="B12420" s="2" t="s">
        <v>5007</v>
      </c>
      <c r="C12420" s="2" t="s">
        <v>6561</v>
      </c>
      <c r="D12420" s="3" t="str">
        <f t="shared" si="2889"/>
        <v>12Go Link</v>
      </c>
      <c r="E12420" s="2" t="s">
        <v>3409</v>
      </c>
    </row>
    <row r="12421">
      <c r="A12421" s="2" t="s">
        <v>4973</v>
      </c>
      <c r="B12421" s="2" t="s">
        <v>5009</v>
      </c>
      <c r="C12421" s="2" t="s">
        <v>6562</v>
      </c>
      <c r="D12421" s="3" t="str">
        <f t="shared" ref="D12421:D12423" si="2890">HYPERLINK("https://12go.asia/en/travel/Ampitiya/Galoya", "12Go Link")</f>
        <v>12Go Link</v>
      </c>
      <c r="E12421" s="2" t="s">
        <v>286</v>
      </c>
    </row>
    <row r="12422">
      <c r="A12422" s="2" t="s">
        <v>4973</v>
      </c>
      <c r="B12422" s="2" t="s">
        <v>5009</v>
      </c>
      <c r="C12422" s="2" t="s">
        <v>6562</v>
      </c>
      <c r="D12422" s="3" t="str">
        <f t="shared" si="2890"/>
        <v>12Go Link</v>
      </c>
      <c r="E12422" s="2" t="s">
        <v>4139</v>
      </c>
    </row>
    <row r="12423">
      <c r="A12423" s="2" t="s">
        <v>4973</v>
      </c>
      <c r="B12423" s="2" t="s">
        <v>5009</v>
      </c>
      <c r="C12423" s="2" t="s">
        <v>6562</v>
      </c>
      <c r="D12423" s="3" t="str">
        <f t="shared" si="2890"/>
        <v>12Go Link</v>
      </c>
      <c r="E12423" s="2" t="s">
        <v>3409</v>
      </c>
    </row>
    <row r="12424">
      <c r="A12424" s="2" t="s">
        <v>4973</v>
      </c>
      <c r="B12424" s="2" t="s">
        <v>5011</v>
      </c>
      <c r="C12424" s="2" t="s">
        <v>6563</v>
      </c>
      <c r="D12424" s="3" t="str">
        <f t="shared" ref="D12424:D12426" si="2891">HYPERLINK("https://12go.asia/en/travel/Ampitiya/Kalpitiya", "12Go Link")</f>
        <v>12Go Link</v>
      </c>
      <c r="E12424" s="2" t="s">
        <v>286</v>
      </c>
    </row>
    <row r="12425">
      <c r="A12425" s="2" t="s">
        <v>4973</v>
      </c>
      <c r="B12425" s="2" t="s">
        <v>5011</v>
      </c>
      <c r="C12425" s="2" t="s">
        <v>6563</v>
      </c>
      <c r="D12425" s="3" t="str">
        <f t="shared" si="2891"/>
        <v>12Go Link</v>
      </c>
      <c r="E12425" s="2" t="s">
        <v>4139</v>
      </c>
    </row>
    <row r="12426">
      <c r="A12426" s="2" t="s">
        <v>4973</v>
      </c>
      <c r="B12426" s="2" t="s">
        <v>5011</v>
      </c>
      <c r="C12426" s="2" t="s">
        <v>6563</v>
      </c>
      <c r="D12426" s="3" t="str">
        <f t="shared" si="2891"/>
        <v>12Go Link</v>
      </c>
      <c r="E12426" s="2" t="s">
        <v>3409</v>
      </c>
    </row>
    <row r="12427">
      <c r="A12427" s="2" t="s">
        <v>4973</v>
      </c>
      <c r="B12427" s="2" t="s">
        <v>5011</v>
      </c>
      <c r="C12427" s="2" t="s">
        <v>6564</v>
      </c>
      <c r="D12427" s="3" t="str">
        <f t="shared" ref="D12427:D12429" si="2892">HYPERLINK("https://12go.asia/en/travel/Ampitiya/Marawila", "12Go Link")</f>
        <v>12Go Link</v>
      </c>
      <c r="E12427" s="2" t="s">
        <v>286</v>
      </c>
    </row>
    <row r="12428">
      <c r="A12428" s="2" t="s">
        <v>4973</v>
      </c>
      <c r="B12428" s="2" t="s">
        <v>5011</v>
      </c>
      <c r="C12428" s="2" t="s">
        <v>6564</v>
      </c>
      <c r="D12428" s="3" t="str">
        <f t="shared" si="2892"/>
        <v>12Go Link</v>
      </c>
      <c r="E12428" s="2" t="s">
        <v>4139</v>
      </c>
    </row>
    <row r="12429">
      <c r="A12429" s="2" t="s">
        <v>4973</v>
      </c>
      <c r="B12429" s="2" t="s">
        <v>5011</v>
      </c>
      <c r="C12429" s="2" t="s">
        <v>6564</v>
      </c>
      <c r="D12429" s="3" t="str">
        <f t="shared" si="2892"/>
        <v>12Go Link</v>
      </c>
      <c r="E12429" s="2" t="s">
        <v>3409</v>
      </c>
    </row>
    <row r="12430">
      <c r="A12430" s="2" t="s">
        <v>4973</v>
      </c>
      <c r="B12430" s="2" t="s">
        <v>5014</v>
      </c>
      <c r="C12430" s="2" t="s">
        <v>6565</v>
      </c>
      <c r="D12430" s="3" t="str">
        <f t="shared" ref="D12430:D12432" si="2893">HYPERLINK("https://12go.asia/en/travel/Ampitiya/Kiriella", "12Go Link")</f>
        <v>12Go Link</v>
      </c>
      <c r="E12430" s="2" t="s">
        <v>286</v>
      </c>
    </row>
    <row r="12431">
      <c r="A12431" s="2" t="s">
        <v>4973</v>
      </c>
      <c r="B12431" s="2" t="s">
        <v>5014</v>
      </c>
      <c r="C12431" s="2" t="s">
        <v>6565</v>
      </c>
      <c r="D12431" s="3" t="str">
        <f t="shared" si="2893"/>
        <v>12Go Link</v>
      </c>
      <c r="E12431" s="2" t="s">
        <v>4139</v>
      </c>
    </row>
    <row r="12432">
      <c r="A12432" s="2" t="s">
        <v>4973</v>
      </c>
      <c r="B12432" s="2" t="s">
        <v>5014</v>
      </c>
      <c r="C12432" s="2" t="s">
        <v>6565</v>
      </c>
      <c r="D12432" s="3" t="str">
        <f t="shared" si="2893"/>
        <v>12Go Link</v>
      </c>
      <c r="E12432" s="2" t="s">
        <v>3409</v>
      </c>
    </row>
    <row r="12433">
      <c r="A12433" s="2" t="s">
        <v>4973</v>
      </c>
      <c r="B12433" s="2" t="s">
        <v>5018</v>
      </c>
      <c r="C12433" s="2" t="s">
        <v>6566</v>
      </c>
      <c r="D12433" s="3" t="str">
        <f t="shared" ref="D12433:D12435" si="2894">HYPERLINK("https://12go.asia/en/travel/Ampitiya/Rekawa", "12Go Link")</f>
        <v>12Go Link</v>
      </c>
      <c r="E12433" s="2" t="s">
        <v>286</v>
      </c>
    </row>
    <row r="12434">
      <c r="A12434" s="2" t="s">
        <v>4973</v>
      </c>
      <c r="B12434" s="2" t="s">
        <v>5018</v>
      </c>
      <c r="C12434" s="2" t="s">
        <v>6566</v>
      </c>
      <c r="D12434" s="3" t="str">
        <f t="shared" si="2894"/>
        <v>12Go Link</v>
      </c>
      <c r="E12434" s="2" t="s">
        <v>4139</v>
      </c>
    </row>
    <row r="12435">
      <c r="A12435" s="2" t="s">
        <v>4973</v>
      </c>
      <c r="B12435" s="2" t="s">
        <v>5018</v>
      </c>
      <c r="C12435" s="2" t="s">
        <v>6566</v>
      </c>
      <c r="D12435" s="3" t="str">
        <f t="shared" si="2894"/>
        <v>12Go Link</v>
      </c>
      <c r="E12435" s="2" t="s">
        <v>3409</v>
      </c>
    </row>
    <row r="12436">
      <c r="A12436" s="2" t="s">
        <v>4973</v>
      </c>
      <c r="B12436" s="2" t="s">
        <v>5020</v>
      </c>
      <c r="C12436" s="2" t="s">
        <v>6567</v>
      </c>
      <c r="D12436" s="3" t="str">
        <f t="shared" ref="D12436:D12438" si="2895">HYPERLINK("https://12go.asia/en/travel/Ampitiya/Tissamaharama", "12Go Link")</f>
        <v>12Go Link</v>
      </c>
      <c r="E12436" s="2" t="s">
        <v>286</v>
      </c>
    </row>
    <row r="12437">
      <c r="A12437" s="2" t="s">
        <v>4973</v>
      </c>
      <c r="B12437" s="2" t="s">
        <v>5020</v>
      </c>
      <c r="C12437" s="2" t="s">
        <v>6567</v>
      </c>
      <c r="D12437" s="3" t="str">
        <f t="shared" si="2895"/>
        <v>12Go Link</v>
      </c>
      <c r="E12437" s="2" t="s">
        <v>4139</v>
      </c>
    </row>
    <row r="12438">
      <c r="A12438" s="2" t="s">
        <v>4973</v>
      </c>
      <c r="B12438" s="2" t="s">
        <v>5020</v>
      </c>
      <c r="C12438" s="2" t="s">
        <v>6567</v>
      </c>
      <c r="D12438" s="3" t="str">
        <f t="shared" si="2895"/>
        <v>12Go Link</v>
      </c>
      <c r="E12438" s="2" t="s">
        <v>3409</v>
      </c>
    </row>
    <row r="12439">
      <c r="A12439" s="2" t="s">
        <v>4973</v>
      </c>
      <c r="B12439" s="2" t="s">
        <v>5020</v>
      </c>
      <c r="C12439" s="2" t="s">
        <v>6568</v>
      </c>
      <c r="D12439" s="3" t="str">
        <f t="shared" ref="D12439:D12441" si="2896">HYPERLINK("https://12go.asia/en/travel/Ampitiya/Yala-Park", "12Go Link")</f>
        <v>12Go Link</v>
      </c>
      <c r="E12439" s="2" t="s">
        <v>286</v>
      </c>
    </row>
    <row r="12440">
      <c r="A12440" s="2" t="s">
        <v>4973</v>
      </c>
      <c r="B12440" s="2" t="s">
        <v>5020</v>
      </c>
      <c r="C12440" s="2" t="s">
        <v>6568</v>
      </c>
      <c r="D12440" s="3" t="str">
        <f t="shared" si="2896"/>
        <v>12Go Link</v>
      </c>
      <c r="E12440" s="2" t="s">
        <v>4139</v>
      </c>
    </row>
    <row r="12441">
      <c r="A12441" s="2" t="s">
        <v>4973</v>
      </c>
      <c r="B12441" s="2" t="s">
        <v>5020</v>
      </c>
      <c r="C12441" s="2" t="s">
        <v>6568</v>
      </c>
      <c r="D12441" s="3" t="str">
        <f t="shared" si="2896"/>
        <v>12Go Link</v>
      </c>
      <c r="E12441" s="2" t="s">
        <v>3409</v>
      </c>
    </row>
    <row r="12442">
      <c r="A12442" s="2" t="s">
        <v>4973</v>
      </c>
      <c r="B12442" s="2" t="s">
        <v>5025</v>
      </c>
      <c r="C12442" s="2" t="s">
        <v>6569</v>
      </c>
      <c r="D12442" s="3" t="str">
        <f t="shared" ref="D12442:D12444" si="2897">HYPERLINK("https://12go.asia/en/travel/Ampitiya/Udawalawa", "12Go Link")</f>
        <v>12Go Link</v>
      </c>
      <c r="E12442" s="2" t="s">
        <v>286</v>
      </c>
    </row>
    <row r="12443">
      <c r="A12443" s="2" t="s">
        <v>4973</v>
      </c>
      <c r="B12443" s="2" t="s">
        <v>5025</v>
      </c>
      <c r="C12443" s="2" t="s">
        <v>6569</v>
      </c>
      <c r="D12443" s="3" t="str">
        <f t="shared" si="2897"/>
        <v>12Go Link</v>
      </c>
      <c r="E12443" s="2" t="s">
        <v>4139</v>
      </c>
    </row>
    <row r="12444">
      <c r="A12444" s="2" t="s">
        <v>4973</v>
      </c>
      <c r="B12444" s="2" t="s">
        <v>5025</v>
      </c>
      <c r="C12444" s="2" t="s">
        <v>6569</v>
      </c>
      <c r="D12444" s="3" t="str">
        <f t="shared" si="2897"/>
        <v>12Go Link</v>
      </c>
      <c r="E12444" s="2" t="s">
        <v>3409</v>
      </c>
    </row>
    <row r="12445">
      <c r="A12445" s="2" t="s">
        <v>4973</v>
      </c>
      <c r="B12445" s="2" t="s">
        <v>5029</v>
      </c>
      <c r="C12445" s="2" t="s">
        <v>6570</v>
      </c>
      <c r="D12445" s="3" t="str">
        <f t="shared" ref="D12445:D12447" si="2898">HYPERLINK("https://12go.asia/en/travel/Ampitiya/Attanagalla", "12Go Link")</f>
        <v>12Go Link</v>
      </c>
      <c r="E12445" s="2" t="s">
        <v>286</v>
      </c>
    </row>
    <row r="12446">
      <c r="A12446" s="2" t="s">
        <v>4973</v>
      </c>
      <c r="B12446" s="2" t="s">
        <v>5029</v>
      </c>
      <c r="C12446" s="2" t="s">
        <v>6570</v>
      </c>
      <c r="D12446" s="3" t="str">
        <f t="shared" si="2898"/>
        <v>12Go Link</v>
      </c>
      <c r="E12446" s="2" t="s">
        <v>4139</v>
      </c>
    </row>
    <row r="12447">
      <c r="A12447" s="2" t="s">
        <v>4973</v>
      </c>
      <c r="B12447" s="2" t="s">
        <v>5029</v>
      </c>
      <c r="C12447" s="2" t="s">
        <v>6570</v>
      </c>
      <c r="D12447" s="3" t="str">
        <f t="shared" si="2898"/>
        <v>12Go Link</v>
      </c>
      <c r="E12447" s="2" t="s">
        <v>3409</v>
      </c>
    </row>
    <row r="12448">
      <c r="A12448" s="2" t="s">
        <v>4973</v>
      </c>
      <c r="B12448" s="2" t="s">
        <v>5031</v>
      </c>
      <c r="C12448" s="2" t="s">
        <v>6571</v>
      </c>
      <c r="D12448" s="3" t="str">
        <f t="shared" ref="D12448:D12450" si="2899">HYPERLINK("https://12go.asia/en/travel/Ampitiya/Waskaduwa", "12Go Link")</f>
        <v>12Go Link</v>
      </c>
      <c r="E12448" s="2" t="s">
        <v>286</v>
      </c>
    </row>
    <row r="12449">
      <c r="A12449" s="2" t="s">
        <v>4973</v>
      </c>
      <c r="B12449" s="2" t="s">
        <v>5031</v>
      </c>
      <c r="C12449" s="2" t="s">
        <v>6571</v>
      </c>
      <c r="D12449" s="3" t="str">
        <f t="shared" si="2899"/>
        <v>12Go Link</v>
      </c>
      <c r="E12449" s="2" t="s">
        <v>4139</v>
      </c>
    </row>
    <row r="12450">
      <c r="A12450" s="2" t="s">
        <v>4973</v>
      </c>
      <c r="B12450" s="2" t="s">
        <v>5031</v>
      </c>
      <c r="C12450" s="2" t="s">
        <v>6571</v>
      </c>
      <c r="D12450" s="3" t="str">
        <f t="shared" si="2899"/>
        <v>12Go Link</v>
      </c>
      <c r="E12450" s="2" t="s">
        <v>3409</v>
      </c>
    </row>
    <row r="12451">
      <c r="A12451" s="2" t="s">
        <v>4973</v>
      </c>
      <c r="B12451" s="2" t="s">
        <v>5034</v>
      </c>
      <c r="C12451" s="2" t="s">
        <v>6572</v>
      </c>
      <c r="D12451" s="3" t="str">
        <f t="shared" ref="D12451:D12453" si="2900">HYPERLINK("https://12go.asia/en/travel/Ampitiya/Weddagala", "12Go Link")</f>
        <v>12Go Link</v>
      </c>
      <c r="E12451" s="2" t="s">
        <v>286</v>
      </c>
    </row>
    <row r="12452">
      <c r="A12452" s="2" t="s">
        <v>4973</v>
      </c>
      <c r="B12452" s="2" t="s">
        <v>5034</v>
      </c>
      <c r="C12452" s="2" t="s">
        <v>6572</v>
      </c>
      <c r="D12452" s="3" t="str">
        <f t="shared" si="2900"/>
        <v>12Go Link</v>
      </c>
      <c r="E12452" s="2" t="s">
        <v>4139</v>
      </c>
    </row>
    <row r="12453">
      <c r="A12453" s="2" t="s">
        <v>4973</v>
      </c>
      <c r="B12453" s="2" t="s">
        <v>5034</v>
      </c>
      <c r="C12453" s="2" t="s">
        <v>6572</v>
      </c>
      <c r="D12453" s="3" t="str">
        <f t="shared" si="2900"/>
        <v>12Go Link</v>
      </c>
      <c r="E12453" s="2" t="s">
        <v>3409</v>
      </c>
    </row>
    <row r="12454">
      <c r="A12454" s="2" t="s">
        <v>4973</v>
      </c>
      <c r="B12454" s="2" t="s">
        <v>5036</v>
      </c>
      <c r="C12454" s="2" t="s">
        <v>6573</v>
      </c>
      <c r="D12454" s="3" t="str">
        <f t="shared" ref="D12454:D12456" si="2901">HYPERLINK("https://12go.asia/en/travel/Ampitiya/Weligatta", "12Go Link")</f>
        <v>12Go Link</v>
      </c>
      <c r="E12454" s="2" t="s">
        <v>286</v>
      </c>
    </row>
    <row r="12455">
      <c r="A12455" s="2" t="s">
        <v>4973</v>
      </c>
      <c r="B12455" s="2" t="s">
        <v>5036</v>
      </c>
      <c r="C12455" s="2" t="s">
        <v>6573</v>
      </c>
      <c r="D12455" s="3" t="str">
        <f t="shared" si="2901"/>
        <v>12Go Link</v>
      </c>
      <c r="E12455" s="2" t="s">
        <v>4139</v>
      </c>
    </row>
    <row r="12456">
      <c r="A12456" s="2" t="s">
        <v>4973</v>
      </c>
      <c r="B12456" s="2" t="s">
        <v>5036</v>
      </c>
      <c r="C12456" s="2" t="s">
        <v>6573</v>
      </c>
      <c r="D12456" s="3" t="str">
        <f t="shared" si="2901"/>
        <v>12Go Link</v>
      </c>
      <c r="E12456" s="2" t="s">
        <v>3409</v>
      </c>
    </row>
    <row r="12457">
      <c r="A12457" s="2" t="s">
        <v>4973</v>
      </c>
      <c r="B12457" s="2" t="s">
        <v>5038</v>
      </c>
      <c r="C12457" s="2" t="s">
        <v>6574</v>
      </c>
      <c r="D12457" s="3" t="str">
        <f t="shared" ref="D12457:D12459" si="2902">HYPERLINK("https://12go.asia/en/travel/Ampitiya/Akuressa", "12Go Link")</f>
        <v>12Go Link</v>
      </c>
      <c r="E12457" s="2" t="s">
        <v>286</v>
      </c>
    </row>
    <row r="12458">
      <c r="A12458" s="2" t="s">
        <v>4973</v>
      </c>
      <c r="B12458" s="2" t="s">
        <v>5038</v>
      </c>
      <c r="C12458" s="2" t="s">
        <v>6574</v>
      </c>
      <c r="D12458" s="3" t="str">
        <f t="shared" si="2902"/>
        <v>12Go Link</v>
      </c>
      <c r="E12458" s="2" t="s">
        <v>4139</v>
      </c>
    </row>
    <row r="12459">
      <c r="A12459" s="2" t="s">
        <v>4973</v>
      </c>
      <c r="B12459" s="2" t="s">
        <v>5038</v>
      </c>
      <c r="C12459" s="2" t="s">
        <v>6574</v>
      </c>
      <c r="D12459" s="3" t="str">
        <f t="shared" si="2902"/>
        <v>12Go Link</v>
      </c>
      <c r="E12459" s="2" t="s">
        <v>3409</v>
      </c>
    </row>
    <row r="12460">
      <c r="A12460" s="2" t="s">
        <v>4973</v>
      </c>
      <c r="B12460" s="2" t="s">
        <v>5040</v>
      </c>
      <c r="C12460" s="2" t="s">
        <v>6575</v>
      </c>
      <c r="D12460" s="3" t="str">
        <f t="shared" ref="D12460:D12462" si="2903">HYPERLINK("https://12go.asia/en/travel/Ampitiya/Wilpattu", "12Go Link")</f>
        <v>12Go Link</v>
      </c>
      <c r="E12460" s="2" t="s">
        <v>286</v>
      </c>
    </row>
    <row r="12461">
      <c r="A12461" s="2" t="s">
        <v>4973</v>
      </c>
      <c r="B12461" s="2" t="s">
        <v>5040</v>
      </c>
      <c r="C12461" s="2" t="s">
        <v>6575</v>
      </c>
      <c r="D12461" s="3" t="str">
        <f t="shared" si="2903"/>
        <v>12Go Link</v>
      </c>
      <c r="E12461" s="2" t="s">
        <v>4139</v>
      </c>
    </row>
    <row r="12462">
      <c r="A12462" s="2" t="s">
        <v>4973</v>
      </c>
      <c r="B12462" s="2" t="s">
        <v>5040</v>
      </c>
      <c r="C12462" s="2" t="s">
        <v>6575</v>
      </c>
      <c r="D12462" s="3" t="str">
        <f t="shared" si="2903"/>
        <v>12Go Link</v>
      </c>
      <c r="E12462" s="2" t="s">
        <v>3409</v>
      </c>
    </row>
    <row r="12463">
      <c r="A12463" s="2" t="s">
        <v>4976</v>
      </c>
      <c r="B12463" s="2" t="s">
        <v>4945</v>
      </c>
      <c r="C12463" s="2" t="s">
        <v>6576</v>
      </c>
      <c r="D12463" s="3" t="str">
        <f t="shared" ref="D12463:D12465" si="2904">HYPERLINK("https://12go.asia/en/travel/Kataragama/Bandaranaike-Airport", "12Go Link")</f>
        <v>12Go Link</v>
      </c>
      <c r="E12463" s="2" t="s">
        <v>286</v>
      </c>
    </row>
    <row r="12464">
      <c r="A12464" s="2" t="s">
        <v>4976</v>
      </c>
      <c r="B12464" s="2" t="s">
        <v>4945</v>
      </c>
      <c r="C12464" s="2" t="s">
        <v>6576</v>
      </c>
      <c r="D12464" s="3" t="str">
        <f t="shared" si="2904"/>
        <v>12Go Link</v>
      </c>
      <c r="E12464" s="2" t="s">
        <v>4139</v>
      </c>
    </row>
    <row r="12465">
      <c r="A12465" s="2" t="s">
        <v>4976</v>
      </c>
      <c r="B12465" s="2" t="s">
        <v>4945</v>
      </c>
      <c r="C12465" s="2" t="s">
        <v>6576</v>
      </c>
      <c r="D12465" s="3" t="str">
        <f t="shared" si="2904"/>
        <v>12Go Link</v>
      </c>
      <c r="E12465" s="2" t="s">
        <v>3409</v>
      </c>
    </row>
    <row r="12466">
      <c r="A12466" s="2" t="s">
        <v>4976</v>
      </c>
      <c r="B12466" s="2" t="s">
        <v>4978</v>
      </c>
      <c r="C12466" s="2" t="s">
        <v>6577</v>
      </c>
      <c r="D12466" s="3" t="str">
        <f t="shared" ref="D12466:D12468" si="2905">HYPERLINK("https://12go.asia/en/travel/Kataragama/Alawathupitiya", "12Go Link")</f>
        <v>12Go Link</v>
      </c>
      <c r="E12466" s="2" t="s">
        <v>286</v>
      </c>
    </row>
    <row r="12467">
      <c r="A12467" s="2" t="s">
        <v>4976</v>
      </c>
      <c r="B12467" s="2" t="s">
        <v>4978</v>
      </c>
      <c r="C12467" s="2" t="s">
        <v>6577</v>
      </c>
      <c r="D12467" s="3" t="str">
        <f t="shared" si="2905"/>
        <v>12Go Link</v>
      </c>
      <c r="E12467" s="2" t="s">
        <v>4139</v>
      </c>
    </row>
    <row r="12468">
      <c r="A12468" s="2" t="s">
        <v>4976</v>
      </c>
      <c r="B12468" s="2" t="s">
        <v>4978</v>
      </c>
      <c r="C12468" s="2" t="s">
        <v>6577</v>
      </c>
      <c r="D12468" s="3" t="str">
        <f t="shared" si="2905"/>
        <v>12Go Link</v>
      </c>
      <c r="E12468" s="2" t="s">
        <v>3409</v>
      </c>
    </row>
    <row r="12469">
      <c r="A12469" s="2" t="s">
        <v>4976</v>
      </c>
      <c r="B12469" s="2" t="s">
        <v>5000</v>
      </c>
      <c r="C12469" s="2" t="s">
        <v>6578</v>
      </c>
      <c r="D12469" s="3" t="str">
        <f t="shared" ref="D12469:D12471" si="2906">HYPERLINK("https://12go.asia/en/travel/Kataragama/Dalupotha", "12Go Link")</f>
        <v>12Go Link</v>
      </c>
      <c r="E12469" s="2" t="s">
        <v>286</v>
      </c>
    </row>
    <row r="12470">
      <c r="A12470" s="2" t="s">
        <v>4976</v>
      </c>
      <c r="B12470" s="2" t="s">
        <v>5000</v>
      </c>
      <c r="C12470" s="2" t="s">
        <v>6578</v>
      </c>
      <c r="D12470" s="3" t="str">
        <f t="shared" si="2906"/>
        <v>12Go Link</v>
      </c>
      <c r="E12470" s="2" t="s">
        <v>4139</v>
      </c>
    </row>
    <row r="12471">
      <c r="A12471" s="2" t="s">
        <v>4976</v>
      </c>
      <c r="B12471" s="2" t="s">
        <v>5000</v>
      </c>
      <c r="C12471" s="2" t="s">
        <v>6578</v>
      </c>
      <c r="D12471" s="3" t="str">
        <f t="shared" si="2906"/>
        <v>12Go Link</v>
      </c>
      <c r="E12471" s="2" t="s">
        <v>3409</v>
      </c>
    </row>
    <row r="12472">
      <c r="A12472" s="2" t="s">
        <v>4976</v>
      </c>
      <c r="B12472" s="2" t="s">
        <v>5020</v>
      </c>
      <c r="C12472" s="2" t="s">
        <v>6579</v>
      </c>
      <c r="D12472" s="3" t="str">
        <f t="shared" ref="D12472:D12474" si="2907">HYPERLINK("https://12go.asia/en/travel/Kataragama/Tissamaharama", "12Go Link")</f>
        <v>12Go Link</v>
      </c>
      <c r="E12472" s="2" t="s">
        <v>286</v>
      </c>
    </row>
    <row r="12473">
      <c r="A12473" s="2" t="s">
        <v>4976</v>
      </c>
      <c r="B12473" s="2" t="s">
        <v>5020</v>
      </c>
      <c r="C12473" s="2" t="s">
        <v>6579</v>
      </c>
      <c r="D12473" s="3" t="str">
        <f t="shared" si="2907"/>
        <v>12Go Link</v>
      </c>
      <c r="E12473" s="2" t="s">
        <v>4139</v>
      </c>
    </row>
    <row r="12474">
      <c r="A12474" s="2" t="s">
        <v>4976</v>
      </c>
      <c r="B12474" s="2" t="s">
        <v>5020</v>
      </c>
      <c r="C12474" s="2" t="s">
        <v>6579</v>
      </c>
      <c r="D12474" s="3" t="str">
        <f t="shared" si="2907"/>
        <v>12Go Link</v>
      </c>
      <c r="E12474" s="2" t="s">
        <v>3409</v>
      </c>
    </row>
    <row r="12475">
      <c r="A12475" s="2" t="s">
        <v>4976</v>
      </c>
      <c r="B12475" s="2" t="s">
        <v>5020</v>
      </c>
      <c r="C12475" s="2" t="s">
        <v>6580</v>
      </c>
      <c r="D12475" s="3" t="str">
        <f t="shared" ref="D12475:D12477" si="2908">HYPERLINK("https://12go.asia/en/travel/Kataragama/Yala-Park", "12Go Link")</f>
        <v>12Go Link</v>
      </c>
      <c r="E12475" s="2" t="s">
        <v>286</v>
      </c>
    </row>
    <row r="12476">
      <c r="A12476" s="2" t="s">
        <v>4976</v>
      </c>
      <c r="B12476" s="2" t="s">
        <v>5020</v>
      </c>
      <c r="C12476" s="2" t="s">
        <v>6580</v>
      </c>
      <c r="D12476" s="3" t="str">
        <f t="shared" si="2908"/>
        <v>12Go Link</v>
      </c>
      <c r="E12476" s="2" t="s">
        <v>4139</v>
      </c>
    </row>
    <row r="12477">
      <c r="A12477" s="2" t="s">
        <v>4976</v>
      </c>
      <c r="B12477" s="2" t="s">
        <v>5020</v>
      </c>
      <c r="C12477" s="2" t="s">
        <v>6580</v>
      </c>
      <c r="D12477" s="3" t="str">
        <f t="shared" si="2908"/>
        <v>12Go Link</v>
      </c>
      <c r="E12477" s="2" t="s">
        <v>3409</v>
      </c>
    </row>
    <row r="12478">
      <c r="A12478" s="2" t="s">
        <v>4978</v>
      </c>
      <c r="B12478" s="2" t="s">
        <v>4918</v>
      </c>
      <c r="C12478" s="2" t="s">
        <v>6581</v>
      </c>
      <c r="D12478" s="3" t="str">
        <f t="shared" ref="D12478:D12480" si="2909">HYPERLINK("https://12go.asia/en/travel/Alawathupitiya/Adams-Peak", "12Go Link")</f>
        <v>12Go Link</v>
      </c>
      <c r="E12478" s="2" t="s">
        <v>286</v>
      </c>
    </row>
    <row r="12479">
      <c r="A12479" s="2" t="s">
        <v>4978</v>
      </c>
      <c r="B12479" s="2" t="s">
        <v>4918</v>
      </c>
      <c r="C12479" s="2" t="s">
        <v>6581</v>
      </c>
      <c r="D12479" s="3" t="str">
        <f t="shared" si="2909"/>
        <v>12Go Link</v>
      </c>
      <c r="E12479" s="2" t="s">
        <v>4139</v>
      </c>
    </row>
    <row r="12480">
      <c r="A12480" s="2" t="s">
        <v>4978</v>
      </c>
      <c r="B12480" s="2" t="s">
        <v>4918</v>
      </c>
      <c r="C12480" s="2" t="s">
        <v>6581</v>
      </c>
      <c r="D12480" s="3" t="str">
        <f t="shared" si="2909"/>
        <v>12Go Link</v>
      </c>
      <c r="E12480" s="2" t="s">
        <v>3409</v>
      </c>
    </row>
    <row r="12481">
      <c r="A12481" s="2" t="s">
        <v>4978</v>
      </c>
      <c r="B12481" s="2" t="s">
        <v>4919</v>
      </c>
      <c r="C12481" s="2" t="s">
        <v>6582</v>
      </c>
      <c r="D12481" s="3" t="str">
        <f t="shared" ref="D12481:D12483" si="2910">HYPERLINK("https://12go.asia/en/travel/Alawathupitiya/Ahangama", "12Go Link")</f>
        <v>12Go Link</v>
      </c>
      <c r="E12481" s="2" t="s">
        <v>286</v>
      </c>
    </row>
    <row r="12482">
      <c r="A12482" s="2" t="s">
        <v>4978</v>
      </c>
      <c r="B12482" s="2" t="s">
        <v>4919</v>
      </c>
      <c r="C12482" s="2" t="s">
        <v>6582</v>
      </c>
      <c r="D12482" s="3" t="str">
        <f t="shared" si="2910"/>
        <v>12Go Link</v>
      </c>
      <c r="E12482" s="2" t="s">
        <v>4139</v>
      </c>
    </row>
    <row r="12483">
      <c r="A12483" s="2" t="s">
        <v>4978</v>
      </c>
      <c r="B12483" s="2" t="s">
        <v>4919</v>
      </c>
      <c r="C12483" s="2" t="s">
        <v>6582</v>
      </c>
      <c r="D12483" s="3" t="str">
        <f t="shared" si="2910"/>
        <v>12Go Link</v>
      </c>
      <c r="E12483" s="2" t="s">
        <v>3409</v>
      </c>
    </row>
    <row r="12484">
      <c r="A12484" s="2" t="s">
        <v>4978</v>
      </c>
      <c r="B12484" s="2" t="s">
        <v>4921</v>
      </c>
      <c r="C12484" s="2" t="s">
        <v>6583</v>
      </c>
      <c r="D12484" s="3" t="str">
        <f t="shared" ref="D12484:D12486" si="2911">HYPERLINK("https://12go.asia/en/travel/Alawathupitiya/Ahungalla", "12Go Link")</f>
        <v>12Go Link</v>
      </c>
      <c r="E12484" s="2" t="s">
        <v>286</v>
      </c>
    </row>
    <row r="12485">
      <c r="A12485" s="2" t="s">
        <v>4978</v>
      </c>
      <c r="B12485" s="2" t="s">
        <v>4921</v>
      </c>
      <c r="C12485" s="2" t="s">
        <v>6583</v>
      </c>
      <c r="D12485" s="3" t="str">
        <f t="shared" si="2911"/>
        <v>12Go Link</v>
      </c>
      <c r="E12485" s="2" t="s">
        <v>4139</v>
      </c>
    </row>
    <row r="12486">
      <c r="A12486" s="2" t="s">
        <v>4978</v>
      </c>
      <c r="B12486" s="2" t="s">
        <v>4921</v>
      </c>
      <c r="C12486" s="2" t="s">
        <v>6583</v>
      </c>
      <c r="D12486" s="3" t="str">
        <f t="shared" si="2911"/>
        <v>12Go Link</v>
      </c>
      <c r="E12486" s="2" t="s">
        <v>3409</v>
      </c>
    </row>
    <row r="12487">
      <c r="A12487" s="2" t="s">
        <v>4978</v>
      </c>
      <c r="B12487" s="2" t="s">
        <v>4923</v>
      </c>
      <c r="C12487" s="2" t="s">
        <v>6584</v>
      </c>
      <c r="D12487" s="3" t="str">
        <f t="shared" ref="D12487:D12489" si="2912">HYPERLINK("https://12go.asia/en/travel/Alawathupitiya/Aluthgama", "12Go Link")</f>
        <v>12Go Link</v>
      </c>
      <c r="E12487" s="2" t="s">
        <v>286</v>
      </c>
    </row>
    <row r="12488">
      <c r="A12488" s="2" t="s">
        <v>4978</v>
      </c>
      <c r="B12488" s="2" t="s">
        <v>4923</v>
      </c>
      <c r="C12488" s="2" t="s">
        <v>6584</v>
      </c>
      <c r="D12488" s="3" t="str">
        <f t="shared" si="2912"/>
        <v>12Go Link</v>
      </c>
      <c r="E12488" s="2" t="s">
        <v>4139</v>
      </c>
    </row>
    <row r="12489">
      <c r="A12489" s="2" t="s">
        <v>4978</v>
      </c>
      <c r="B12489" s="2" t="s">
        <v>4923</v>
      </c>
      <c r="C12489" s="2" t="s">
        <v>6584</v>
      </c>
      <c r="D12489" s="3" t="str">
        <f t="shared" si="2912"/>
        <v>12Go Link</v>
      </c>
      <c r="E12489" s="2" t="s">
        <v>3409</v>
      </c>
    </row>
    <row r="12490">
      <c r="A12490" s="2" t="s">
        <v>4978</v>
      </c>
      <c r="B12490" s="2" t="s">
        <v>4925</v>
      </c>
      <c r="C12490" s="2" t="s">
        <v>6585</v>
      </c>
      <c r="D12490" s="3" t="str">
        <f t="shared" ref="D12490:D12492" si="2913">HYPERLINK("https://12go.asia/en/travel/Alawathupitiya/Ambalangoda", "12Go Link")</f>
        <v>12Go Link</v>
      </c>
      <c r="E12490" s="2" t="s">
        <v>286</v>
      </c>
    </row>
    <row r="12491">
      <c r="A12491" s="2" t="s">
        <v>4978</v>
      </c>
      <c r="B12491" s="2" t="s">
        <v>4925</v>
      </c>
      <c r="C12491" s="2" t="s">
        <v>6585</v>
      </c>
      <c r="D12491" s="3" t="str">
        <f t="shared" si="2913"/>
        <v>12Go Link</v>
      </c>
      <c r="E12491" s="2" t="s">
        <v>4139</v>
      </c>
    </row>
    <row r="12492">
      <c r="A12492" s="2" t="s">
        <v>4978</v>
      </c>
      <c r="B12492" s="2" t="s">
        <v>4925</v>
      </c>
      <c r="C12492" s="2" t="s">
        <v>6585</v>
      </c>
      <c r="D12492" s="3" t="str">
        <f t="shared" si="2913"/>
        <v>12Go Link</v>
      </c>
      <c r="E12492" s="2" t="s">
        <v>3409</v>
      </c>
    </row>
    <row r="12493">
      <c r="A12493" s="2" t="s">
        <v>4978</v>
      </c>
      <c r="B12493" s="2" t="s">
        <v>4927</v>
      </c>
      <c r="C12493" s="2" t="s">
        <v>6586</v>
      </c>
      <c r="D12493" s="3" t="str">
        <f t="shared" ref="D12493:D12495" si="2914">HYPERLINK("https://12go.asia/en/travel/Alawathupitiya/Ambalantota", "12Go Link")</f>
        <v>12Go Link</v>
      </c>
      <c r="E12493" s="2" t="s">
        <v>286</v>
      </c>
    </row>
    <row r="12494">
      <c r="A12494" s="2" t="s">
        <v>4978</v>
      </c>
      <c r="B12494" s="2" t="s">
        <v>4927</v>
      </c>
      <c r="C12494" s="2" t="s">
        <v>6586</v>
      </c>
      <c r="D12494" s="3" t="str">
        <f t="shared" si="2914"/>
        <v>12Go Link</v>
      </c>
      <c r="E12494" s="2" t="s">
        <v>4139</v>
      </c>
    </row>
    <row r="12495">
      <c r="A12495" s="2" t="s">
        <v>4978</v>
      </c>
      <c r="B12495" s="2" t="s">
        <v>4927</v>
      </c>
      <c r="C12495" s="2" t="s">
        <v>6586</v>
      </c>
      <c r="D12495" s="3" t="str">
        <f t="shared" si="2914"/>
        <v>12Go Link</v>
      </c>
      <c r="E12495" s="2" t="s">
        <v>3409</v>
      </c>
    </row>
    <row r="12496">
      <c r="A12496" s="2" t="s">
        <v>4978</v>
      </c>
      <c r="B12496" s="2" t="s">
        <v>4929</v>
      </c>
      <c r="C12496" s="2" t="s">
        <v>6587</v>
      </c>
      <c r="D12496" s="3" t="str">
        <f t="shared" ref="D12496:D12498" si="2915">HYPERLINK("https://12go.asia/en/travel/Alawathupitiya/Anuradhapura", "12Go Link")</f>
        <v>12Go Link</v>
      </c>
      <c r="E12496" s="2" t="s">
        <v>286</v>
      </c>
    </row>
    <row r="12497">
      <c r="A12497" s="2" t="s">
        <v>4978</v>
      </c>
      <c r="B12497" s="2" t="s">
        <v>4929</v>
      </c>
      <c r="C12497" s="2" t="s">
        <v>6587</v>
      </c>
      <c r="D12497" s="3" t="str">
        <f t="shared" si="2915"/>
        <v>12Go Link</v>
      </c>
      <c r="E12497" s="2" t="s">
        <v>4139</v>
      </c>
    </row>
    <row r="12498">
      <c r="A12498" s="2" t="s">
        <v>4978</v>
      </c>
      <c r="B12498" s="2" t="s">
        <v>4929</v>
      </c>
      <c r="C12498" s="2" t="s">
        <v>6587</v>
      </c>
      <c r="D12498" s="3" t="str">
        <f t="shared" si="2915"/>
        <v>12Go Link</v>
      </c>
      <c r="E12498" s="2" t="s">
        <v>3409</v>
      </c>
    </row>
    <row r="12499">
      <c r="A12499" s="2" t="s">
        <v>4978</v>
      </c>
      <c r="B12499" s="2" t="s">
        <v>4931</v>
      </c>
      <c r="C12499" s="2" t="s">
        <v>6588</v>
      </c>
      <c r="D12499" s="3" t="str">
        <f t="shared" ref="D12499:D12501" si="2916">HYPERLINK("https://12go.asia/en/travel/Alawathupitiya/Arugam-bay", "12Go Link")</f>
        <v>12Go Link</v>
      </c>
      <c r="E12499" s="2" t="s">
        <v>286</v>
      </c>
    </row>
    <row r="12500">
      <c r="A12500" s="2" t="s">
        <v>4978</v>
      </c>
      <c r="B12500" s="2" t="s">
        <v>4931</v>
      </c>
      <c r="C12500" s="2" t="s">
        <v>6588</v>
      </c>
      <c r="D12500" s="3" t="str">
        <f t="shared" si="2916"/>
        <v>12Go Link</v>
      </c>
      <c r="E12500" s="2" t="s">
        <v>4139</v>
      </c>
    </row>
    <row r="12501">
      <c r="A12501" s="2" t="s">
        <v>4978</v>
      </c>
      <c r="B12501" s="2" t="s">
        <v>4931</v>
      </c>
      <c r="C12501" s="2" t="s">
        <v>6588</v>
      </c>
      <c r="D12501" s="3" t="str">
        <f t="shared" si="2916"/>
        <v>12Go Link</v>
      </c>
      <c r="E12501" s="2" t="s">
        <v>3409</v>
      </c>
    </row>
    <row r="12502">
      <c r="A12502" s="2" t="s">
        <v>4978</v>
      </c>
      <c r="B12502" s="2" t="s">
        <v>4933</v>
      </c>
      <c r="C12502" s="2" t="s">
        <v>6589</v>
      </c>
      <c r="D12502" s="3" t="str">
        <f t="shared" ref="D12502:D12504" si="2917">HYPERLINK("https://12go.asia/en/travel/Alawathupitiya/balapitiya", "12Go Link")</f>
        <v>12Go Link</v>
      </c>
      <c r="E12502" s="2" t="s">
        <v>286</v>
      </c>
    </row>
    <row r="12503">
      <c r="A12503" s="2" t="s">
        <v>4978</v>
      </c>
      <c r="B12503" s="2" t="s">
        <v>4933</v>
      </c>
      <c r="C12503" s="2" t="s">
        <v>6589</v>
      </c>
      <c r="D12503" s="3" t="str">
        <f t="shared" si="2917"/>
        <v>12Go Link</v>
      </c>
      <c r="E12503" s="2" t="s">
        <v>4139</v>
      </c>
    </row>
    <row r="12504">
      <c r="A12504" s="2" t="s">
        <v>4978</v>
      </c>
      <c r="B12504" s="2" t="s">
        <v>4933</v>
      </c>
      <c r="C12504" s="2" t="s">
        <v>6589</v>
      </c>
      <c r="D12504" s="3" t="str">
        <f t="shared" si="2917"/>
        <v>12Go Link</v>
      </c>
      <c r="E12504" s="2" t="s">
        <v>3409</v>
      </c>
    </row>
    <row r="12505">
      <c r="A12505" s="2" t="s">
        <v>4978</v>
      </c>
      <c r="B12505" s="2" t="s">
        <v>4935</v>
      </c>
      <c r="C12505" s="2" t="s">
        <v>6590</v>
      </c>
      <c r="D12505" s="3" t="str">
        <f t="shared" ref="D12505:D12507" si="2918">HYPERLINK("https://12go.asia/en/travel/Alawathupitiya/Batticaloa", "12Go Link")</f>
        <v>12Go Link</v>
      </c>
      <c r="E12505" s="2" t="s">
        <v>286</v>
      </c>
    </row>
    <row r="12506">
      <c r="A12506" s="2" t="s">
        <v>4978</v>
      </c>
      <c r="B12506" s="2" t="s">
        <v>4935</v>
      </c>
      <c r="C12506" s="2" t="s">
        <v>6590</v>
      </c>
      <c r="D12506" s="3" t="str">
        <f t="shared" si="2918"/>
        <v>12Go Link</v>
      </c>
      <c r="E12506" s="2" t="s">
        <v>4139</v>
      </c>
    </row>
    <row r="12507">
      <c r="A12507" s="2" t="s">
        <v>4978</v>
      </c>
      <c r="B12507" s="2" t="s">
        <v>4935</v>
      </c>
      <c r="C12507" s="2" t="s">
        <v>6590</v>
      </c>
      <c r="D12507" s="3" t="str">
        <f t="shared" si="2918"/>
        <v>12Go Link</v>
      </c>
      <c r="E12507" s="2" t="s">
        <v>3409</v>
      </c>
    </row>
    <row r="12508">
      <c r="A12508" s="2" t="s">
        <v>4978</v>
      </c>
      <c r="B12508" s="2" t="s">
        <v>4937</v>
      </c>
      <c r="C12508" s="2" t="s">
        <v>6591</v>
      </c>
      <c r="D12508" s="3" t="str">
        <f t="shared" ref="D12508:D12510" si="2919">HYPERLINK("https://12go.asia/en/travel/Alawathupitiya/Bentota", "12Go Link")</f>
        <v>12Go Link</v>
      </c>
      <c r="E12508" s="2" t="s">
        <v>286</v>
      </c>
    </row>
    <row r="12509">
      <c r="A12509" s="2" t="s">
        <v>4978</v>
      </c>
      <c r="B12509" s="2" t="s">
        <v>4937</v>
      </c>
      <c r="C12509" s="2" t="s">
        <v>6591</v>
      </c>
      <c r="D12509" s="3" t="str">
        <f t="shared" si="2919"/>
        <v>12Go Link</v>
      </c>
      <c r="E12509" s="2" t="s">
        <v>4139</v>
      </c>
    </row>
    <row r="12510">
      <c r="A12510" s="2" t="s">
        <v>4978</v>
      </c>
      <c r="B12510" s="2" t="s">
        <v>4937</v>
      </c>
      <c r="C12510" s="2" t="s">
        <v>6591</v>
      </c>
      <c r="D12510" s="3" t="str">
        <f t="shared" si="2919"/>
        <v>12Go Link</v>
      </c>
      <c r="E12510" s="2" t="s">
        <v>3409</v>
      </c>
    </row>
    <row r="12511">
      <c r="A12511" s="2" t="s">
        <v>4978</v>
      </c>
      <c r="B12511" s="2" t="s">
        <v>4939</v>
      </c>
      <c r="C12511" s="2" t="s">
        <v>6592</v>
      </c>
      <c r="D12511" s="3" t="str">
        <f t="shared" ref="D12511:D12513" si="2920">HYPERLINK("https://12go.asia/en/travel/Alawathupitiya/Beruwala", "12Go Link")</f>
        <v>12Go Link</v>
      </c>
      <c r="E12511" s="2" t="s">
        <v>286</v>
      </c>
    </row>
    <row r="12512">
      <c r="A12512" s="2" t="s">
        <v>4978</v>
      </c>
      <c r="B12512" s="2" t="s">
        <v>4939</v>
      </c>
      <c r="C12512" s="2" t="s">
        <v>6592</v>
      </c>
      <c r="D12512" s="3" t="str">
        <f t="shared" si="2920"/>
        <v>12Go Link</v>
      </c>
      <c r="E12512" s="2" t="s">
        <v>4139</v>
      </c>
    </row>
    <row r="12513">
      <c r="A12513" s="2" t="s">
        <v>4978</v>
      </c>
      <c r="B12513" s="2" t="s">
        <v>4939</v>
      </c>
      <c r="C12513" s="2" t="s">
        <v>6592</v>
      </c>
      <c r="D12513" s="3" t="str">
        <f t="shared" si="2920"/>
        <v>12Go Link</v>
      </c>
      <c r="E12513" s="2" t="s">
        <v>3409</v>
      </c>
    </row>
    <row r="12514">
      <c r="A12514" s="2" t="s">
        <v>4978</v>
      </c>
      <c r="B12514" s="2" t="s">
        <v>4941</v>
      </c>
      <c r="C12514" s="2" t="s">
        <v>6593</v>
      </c>
      <c r="D12514" s="3" t="str">
        <f t="shared" ref="D12514:D12516" si="2921">HYPERLINK("https://12go.asia/en/travel/Alawathupitiya/Bundala", "12Go Link")</f>
        <v>12Go Link</v>
      </c>
      <c r="E12514" s="2" t="s">
        <v>286</v>
      </c>
    </row>
    <row r="12515">
      <c r="A12515" s="2" t="s">
        <v>4978</v>
      </c>
      <c r="B12515" s="2" t="s">
        <v>4941</v>
      </c>
      <c r="C12515" s="2" t="s">
        <v>6593</v>
      </c>
      <c r="D12515" s="3" t="str">
        <f t="shared" si="2921"/>
        <v>12Go Link</v>
      </c>
      <c r="E12515" s="2" t="s">
        <v>4139</v>
      </c>
    </row>
    <row r="12516">
      <c r="A12516" s="2" t="s">
        <v>4978</v>
      </c>
      <c r="B12516" s="2" t="s">
        <v>4941</v>
      </c>
      <c r="C12516" s="2" t="s">
        <v>6593</v>
      </c>
      <c r="D12516" s="3" t="str">
        <f t="shared" si="2921"/>
        <v>12Go Link</v>
      </c>
      <c r="E12516" s="2" t="s">
        <v>3409</v>
      </c>
    </row>
    <row r="12517">
      <c r="A12517" s="2" t="s">
        <v>4978</v>
      </c>
      <c r="B12517" s="2" t="s">
        <v>4943</v>
      </c>
      <c r="C12517" s="2" t="s">
        <v>6594</v>
      </c>
      <c r="D12517" s="3" t="str">
        <f t="shared" ref="D12517:D12519" si="2922">HYPERLINK("https://12go.asia/en/travel/Alawathupitiya/Bambalapitiya", "12Go Link")</f>
        <v>12Go Link</v>
      </c>
      <c r="E12517" s="2" t="s">
        <v>286</v>
      </c>
    </row>
    <row r="12518">
      <c r="A12518" s="2" t="s">
        <v>4978</v>
      </c>
      <c r="B12518" s="2" t="s">
        <v>4943</v>
      </c>
      <c r="C12518" s="2" t="s">
        <v>6594</v>
      </c>
      <c r="D12518" s="3" t="str">
        <f t="shared" si="2922"/>
        <v>12Go Link</v>
      </c>
      <c r="E12518" s="2" t="s">
        <v>4139</v>
      </c>
    </row>
    <row r="12519">
      <c r="A12519" s="2" t="s">
        <v>4978</v>
      </c>
      <c r="B12519" s="2" t="s">
        <v>4943</v>
      </c>
      <c r="C12519" s="2" t="s">
        <v>6594</v>
      </c>
      <c r="D12519" s="3" t="str">
        <f t="shared" si="2922"/>
        <v>12Go Link</v>
      </c>
      <c r="E12519" s="2" t="s">
        <v>3409</v>
      </c>
    </row>
    <row r="12520">
      <c r="A12520" s="2" t="s">
        <v>4978</v>
      </c>
      <c r="B12520" s="2" t="s">
        <v>4945</v>
      </c>
      <c r="C12520" s="2" t="s">
        <v>6595</v>
      </c>
      <c r="D12520" s="3" t="str">
        <f t="shared" ref="D12520:D12522" si="2923">HYPERLINK("https://12go.asia/en/travel/Alawathupitiya/Bandaranaike-Airport", "12Go Link")</f>
        <v>12Go Link</v>
      </c>
      <c r="E12520" s="2" t="s">
        <v>286</v>
      </c>
    </row>
    <row r="12521">
      <c r="A12521" s="2" t="s">
        <v>4978</v>
      </c>
      <c r="B12521" s="2" t="s">
        <v>4945</v>
      </c>
      <c r="C12521" s="2" t="s">
        <v>6595</v>
      </c>
      <c r="D12521" s="3" t="str">
        <f t="shared" si="2923"/>
        <v>12Go Link</v>
      </c>
      <c r="E12521" s="2" t="s">
        <v>4139</v>
      </c>
    </row>
    <row r="12522">
      <c r="A12522" s="2" t="s">
        <v>4978</v>
      </c>
      <c r="B12522" s="2" t="s">
        <v>4945</v>
      </c>
      <c r="C12522" s="2" t="s">
        <v>6595</v>
      </c>
      <c r="D12522" s="3" t="str">
        <f t="shared" si="2923"/>
        <v>12Go Link</v>
      </c>
      <c r="E12522" s="2" t="s">
        <v>3409</v>
      </c>
    </row>
    <row r="12523">
      <c r="A12523" s="2" t="s">
        <v>4978</v>
      </c>
      <c r="B12523" s="2" t="s">
        <v>4947</v>
      </c>
      <c r="C12523" s="2" t="s">
        <v>6596</v>
      </c>
      <c r="D12523" s="3" t="str">
        <f t="shared" ref="D12523:D12525" si="2924">HYPERLINK("https://12go.asia/en/travel/Alawathupitiya/Dambulla", "12Go Link")</f>
        <v>12Go Link</v>
      </c>
      <c r="E12523" s="2" t="s">
        <v>286</v>
      </c>
    </row>
    <row r="12524">
      <c r="A12524" s="2" t="s">
        <v>4978</v>
      </c>
      <c r="B12524" s="2" t="s">
        <v>4947</v>
      </c>
      <c r="C12524" s="2" t="s">
        <v>6596</v>
      </c>
      <c r="D12524" s="3" t="str">
        <f t="shared" si="2924"/>
        <v>12Go Link</v>
      </c>
      <c r="E12524" s="2" t="s">
        <v>4139</v>
      </c>
    </row>
    <row r="12525">
      <c r="A12525" s="2" t="s">
        <v>4978</v>
      </c>
      <c r="B12525" s="2" t="s">
        <v>4947</v>
      </c>
      <c r="C12525" s="2" t="s">
        <v>6596</v>
      </c>
      <c r="D12525" s="3" t="str">
        <f t="shared" si="2924"/>
        <v>12Go Link</v>
      </c>
      <c r="E12525" s="2" t="s">
        <v>3409</v>
      </c>
    </row>
    <row r="12526">
      <c r="A12526" s="2" t="s">
        <v>4978</v>
      </c>
      <c r="B12526" s="2" t="s">
        <v>4949</v>
      </c>
      <c r="C12526" s="2" t="s">
        <v>6597</v>
      </c>
      <c r="D12526" s="3" t="str">
        <f t="shared" ref="D12526:D12528" si="2925">HYPERLINK("https://12go.asia/en/travel/Alawathupitiya/Deniyaya", "12Go Link")</f>
        <v>12Go Link</v>
      </c>
      <c r="E12526" s="2" t="s">
        <v>286</v>
      </c>
    </row>
    <row r="12527">
      <c r="A12527" s="2" t="s">
        <v>4978</v>
      </c>
      <c r="B12527" s="2" t="s">
        <v>4949</v>
      </c>
      <c r="C12527" s="2" t="s">
        <v>6597</v>
      </c>
      <c r="D12527" s="3" t="str">
        <f t="shared" si="2925"/>
        <v>12Go Link</v>
      </c>
      <c r="E12527" s="2" t="s">
        <v>4139</v>
      </c>
    </row>
    <row r="12528">
      <c r="A12528" s="2" t="s">
        <v>4978</v>
      </c>
      <c r="B12528" s="2" t="s">
        <v>4949</v>
      </c>
      <c r="C12528" s="2" t="s">
        <v>6597</v>
      </c>
      <c r="D12528" s="3" t="str">
        <f t="shared" si="2925"/>
        <v>12Go Link</v>
      </c>
      <c r="E12528" s="2" t="s">
        <v>3409</v>
      </c>
    </row>
    <row r="12529">
      <c r="A12529" s="2" t="s">
        <v>4978</v>
      </c>
      <c r="B12529" s="2" t="s">
        <v>4951</v>
      </c>
      <c r="C12529" s="2" t="s">
        <v>6598</v>
      </c>
      <c r="D12529" s="3" t="str">
        <f t="shared" ref="D12529:D12531" si="2926">HYPERLINK("https://12go.asia/en/travel/Alawathupitiya/Dickwella", "12Go Link")</f>
        <v>12Go Link</v>
      </c>
      <c r="E12529" s="2" t="s">
        <v>286</v>
      </c>
    </row>
    <row r="12530">
      <c r="A12530" s="2" t="s">
        <v>4978</v>
      </c>
      <c r="B12530" s="2" t="s">
        <v>4951</v>
      </c>
      <c r="C12530" s="2" t="s">
        <v>6598</v>
      </c>
      <c r="D12530" s="3" t="str">
        <f t="shared" si="2926"/>
        <v>12Go Link</v>
      </c>
      <c r="E12530" s="2" t="s">
        <v>4139</v>
      </c>
    </row>
    <row r="12531">
      <c r="A12531" s="2" t="s">
        <v>4978</v>
      </c>
      <c r="B12531" s="2" t="s">
        <v>4951</v>
      </c>
      <c r="C12531" s="2" t="s">
        <v>6598</v>
      </c>
      <c r="D12531" s="3" t="str">
        <f t="shared" si="2926"/>
        <v>12Go Link</v>
      </c>
      <c r="E12531" s="2" t="s">
        <v>3409</v>
      </c>
    </row>
    <row r="12532">
      <c r="A12532" s="2" t="s">
        <v>4978</v>
      </c>
      <c r="B12532" s="2" t="s">
        <v>4951</v>
      </c>
      <c r="C12532" s="2" t="s">
        <v>6599</v>
      </c>
      <c r="D12532" s="3" t="str">
        <f t="shared" ref="D12532:D12534" si="2927">HYPERLINK("https://12go.asia/en/travel/Alawathupitiya/Hiriketiya-beach", "12Go Link")</f>
        <v>12Go Link</v>
      </c>
      <c r="E12532" s="2" t="s">
        <v>286</v>
      </c>
    </row>
    <row r="12533">
      <c r="A12533" s="2" t="s">
        <v>4978</v>
      </c>
      <c r="B12533" s="2" t="s">
        <v>4951</v>
      </c>
      <c r="C12533" s="2" t="s">
        <v>6599</v>
      </c>
      <c r="D12533" s="3" t="str">
        <f t="shared" si="2927"/>
        <v>12Go Link</v>
      </c>
      <c r="E12533" s="2" t="s">
        <v>4139</v>
      </c>
    </row>
    <row r="12534">
      <c r="A12534" s="2" t="s">
        <v>4978</v>
      </c>
      <c r="B12534" s="2" t="s">
        <v>4951</v>
      </c>
      <c r="C12534" s="2" t="s">
        <v>6599</v>
      </c>
      <c r="D12534" s="3" t="str">
        <f t="shared" si="2927"/>
        <v>12Go Link</v>
      </c>
      <c r="E12534" s="2" t="s">
        <v>3409</v>
      </c>
    </row>
    <row r="12535">
      <c r="A12535" s="2" t="s">
        <v>4978</v>
      </c>
      <c r="B12535" s="2" t="s">
        <v>4954</v>
      </c>
      <c r="C12535" s="2" t="s">
        <v>6600</v>
      </c>
      <c r="D12535" s="3" t="str">
        <f t="shared" ref="D12535:D12537" si="2928">HYPERLINK("https://12go.asia/en/travel/Alawathupitiya/Galle", "12Go Link")</f>
        <v>12Go Link</v>
      </c>
      <c r="E12535" s="2" t="s">
        <v>286</v>
      </c>
    </row>
    <row r="12536">
      <c r="A12536" s="2" t="s">
        <v>4978</v>
      </c>
      <c r="B12536" s="2" t="s">
        <v>4954</v>
      </c>
      <c r="C12536" s="2" t="s">
        <v>6600</v>
      </c>
      <c r="D12536" s="3" t="str">
        <f t="shared" si="2928"/>
        <v>12Go Link</v>
      </c>
      <c r="E12536" s="2" t="s">
        <v>4139</v>
      </c>
    </row>
    <row r="12537">
      <c r="A12537" s="2" t="s">
        <v>4978</v>
      </c>
      <c r="B12537" s="2" t="s">
        <v>4954</v>
      </c>
      <c r="C12537" s="2" t="s">
        <v>6600</v>
      </c>
      <c r="D12537" s="3" t="str">
        <f t="shared" si="2928"/>
        <v>12Go Link</v>
      </c>
      <c r="E12537" s="2" t="s">
        <v>3409</v>
      </c>
    </row>
    <row r="12538">
      <c r="A12538" s="2" t="s">
        <v>4978</v>
      </c>
      <c r="B12538" s="2" t="s">
        <v>4954</v>
      </c>
      <c r="C12538" s="2" t="s">
        <v>6601</v>
      </c>
      <c r="D12538" s="3" t="str">
        <f t="shared" ref="D12538:D12540" si="2929">HYPERLINK("https://12go.asia/en/travel/Alawathupitiya/Talpe", "12Go Link")</f>
        <v>12Go Link</v>
      </c>
      <c r="E12538" s="2" t="s">
        <v>286</v>
      </c>
    </row>
    <row r="12539">
      <c r="A12539" s="2" t="s">
        <v>4978</v>
      </c>
      <c r="B12539" s="2" t="s">
        <v>4954</v>
      </c>
      <c r="C12539" s="2" t="s">
        <v>6601</v>
      </c>
      <c r="D12539" s="3" t="str">
        <f t="shared" si="2929"/>
        <v>12Go Link</v>
      </c>
      <c r="E12539" s="2" t="s">
        <v>4139</v>
      </c>
    </row>
    <row r="12540">
      <c r="A12540" s="2" t="s">
        <v>4978</v>
      </c>
      <c r="B12540" s="2" t="s">
        <v>4954</v>
      </c>
      <c r="C12540" s="2" t="s">
        <v>6601</v>
      </c>
      <c r="D12540" s="3" t="str">
        <f t="shared" si="2929"/>
        <v>12Go Link</v>
      </c>
      <c r="E12540" s="2" t="s">
        <v>3409</v>
      </c>
    </row>
    <row r="12541">
      <c r="A12541" s="2" t="s">
        <v>4978</v>
      </c>
      <c r="B12541" s="2" t="s">
        <v>4957</v>
      </c>
      <c r="C12541" s="2" t="s">
        <v>6602</v>
      </c>
      <c r="D12541" s="3" t="str">
        <f t="shared" ref="D12541:D12543" si="2930">HYPERLINK("https://12go.asia/en/travel/Alawathupitiya/Habarana", "12Go Link")</f>
        <v>12Go Link</v>
      </c>
      <c r="E12541" s="2" t="s">
        <v>286</v>
      </c>
    </row>
    <row r="12542">
      <c r="A12542" s="2" t="s">
        <v>4978</v>
      </c>
      <c r="B12542" s="2" t="s">
        <v>4957</v>
      </c>
      <c r="C12542" s="2" t="s">
        <v>6602</v>
      </c>
      <c r="D12542" s="3" t="str">
        <f t="shared" si="2930"/>
        <v>12Go Link</v>
      </c>
      <c r="E12542" s="2" t="s">
        <v>4139</v>
      </c>
    </row>
    <row r="12543">
      <c r="A12543" s="2" t="s">
        <v>4978</v>
      </c>
      <c r="B12543" s="2" t="s">
        <v>4957</v>
      </c>
      <c r="C12543" s="2" t="s">
        <v>6602</v>
      </c>
      <c r="D12543" s="3" t="str">
        <f t="shared" si="2930"/>
        <v>12Go Link</v>
      </c>
      <c r="E12543" s="2" t="s">
        <v>3409</v>
      </c>
    </row>
    <row r="12544">
      <c r="A12544" s="2" t="s">
        <v>4978</v>
      </c>
      <c r="B12544" s="2" t="s">
        <v>4959</v>
      </c>
      <c r="C12544" s="2" t="s">
        <v>6603</v>
      </c>
      <c r="D12544" s="3" t="str">
        <f t="shared" ref="D12544:D12546" si="2931">HYPERLINK("https://12go.asia/en/travel/Alawathupitiya/Ella", "12Go Link")</f>
        <v>12Go Link</v>
      </c>
      <c r="E12544" s="2" t="s">
        <v>286</v>
      </c>
    </row>
    <row r="12545">
      <c r="A12545" s="2" t="s">
        <v>4978</v>
      </c>
      <c r="B12545" s="2" t="s">
        <v>4959</v>
      </c>
      <c r="C12545" s="2" t="s">
        <v>6603</v>
      </c>
      <c r="D12545" s="3" t="str">
        <f t="shared" si="2931"/>
        <v>12Go Link</v>
      </c>
      <c r="E12545" s="2" t="s">
        <v>4139</v>
      </c>
    </row>
    <row r="12546">
      <c r="A12546" s="2" t="s">
        <v>4978</v>
      </c>
      <c r="B12546" s="2" t="s">
        <v>4959</v>
      </c>
      <c r="C12546" s="2" t="s">
        <v>6603</v>
      </c>
      <c r="D12546" s="3" t="str">
        <f t="shared" si="2931"/>
        <v>12Go Link</v>
      </c>
      <c r="E12546" s="2" t="s">
        <v>3409</v>
      </c>
    </row>
    <row r="12547">
      <c r="A12547" s="2" t="s">
        <v>4978</v>
      </c>
      <c r="B12547" s="2" t="s">
        <v>4961</v>
      </c>
      <c r="C12547" s="2" t="s">
        <v>6604</v>
      </c>
      <c r="D12547" s="3" t="str">
        <f t="shared" ref="D12547:D12549" si="2932">HYPERLINK("https://12go.asia/en/travel/Alawathupitiya/Beragala", "12Go Link")</f>
        <v>12Go Link</v>
      </c>
      <c r="E12547" s="2" t="s">
        <v>286</v>
      </c>
    </row>
    <row r="12548">
      <c r="A12548" s="2" t="s">
        <v>4978</v>
      </c>
      <c r="B12548" s="2" t="s">
        <v>4961</v>
      </c>
      <c r="C12548" s="2" t="s">
        <v>6604</v>
      </c>
      <c r="D12548" s="3" t="str">
        <f t="shared" si="2932"/>
        <v>12Go Link</v>
      </c>
      <c r="E12548" s="2" t="s">
        <v>4139</v>
      </c>
    </row>
    <row r="12549">
      <c r="A12549" s="2" t="s">
        <v>4978</v>
      </c>
      <c r="B12549" s="2" t="s">
        <v>4961</v>
      </c>
      <c r="C12549" s="2" t="s">
        <v>6604</v>
      </c>
      <c r="D12549" s="3" t="str">
        <f t="shared" si="2932"/>
        <v>12Go Link</v>
      </c>
      <c r="E12549" s="2" t="s">
        <v>3409</v>
      </c>
    </row>
    <row r="12550">
      <c r="A12550" s="2" t="s">
        <v>4978</v>
      </c>
      <c r="B12550" s="2" t="s">
        <v>4963</v>
      </c>
      <c r="C12550" s="2" t="s">
        <v>6605</v>
      </c>
      <c r="D12550" s="3" t="str">
        <f t="shared" ref="D12550:D12552" si="2933">HYPERLINK("https://12go.asia/en/travel/Alawathupitiya/Dick-oya", "12Go Link")</f>
        <v>12Go Link</v>
      </c>
      <c r="E12550" s="2" t="s">
        <v>286</v>
      </c>
    </row>
    <row r="12551">
      <c r="A12551" s="2" t="s">
        <v>4978</v>
      </c>
      <c r="B12551" s="2" t="s">
        <v>4963</v>
      </c>
      <c r="C12551" s="2" t="s">
        <v>6605</v>
      </c>
      <c r="D12551" s="3" t="str">
        <f t="shared" si="2933"/>
        <v>12Go Link</v>
      </c>
      <c r="E12551" s="2" t="s">
        <v>4139</v>
      </c>
    </row>
    <row r="12552">
      <c r="A12552" s="2" t="s">
        <v>4978</v>
      </c>
      <c r="B12552" s="2" t="s">
        <v>4963</v>
      </c>
      <c r="C12552" s="2" t="s">
        <v>6605</v>
      </c>
      <c r="D12552" s="3" t="str">
        <f t="shared" si="2933"/>
        <v>12Go Link</v>
      </c>
      <c r="E12552" s="2" t="s">
        <v>3409</v>
      </c>
    </row>
    <row r="12553">
      <c r="A12553" s="2" t="s">
        <v>4978</v>
      </c>
      <c r="B12553" s="2" t="s">
        <v>4965</v>
      </c>
      <c r="C12553" s="2" t="s">
        <v>6606</v>
      </c>
      <c r="D12553" s="3" t="str">
        <f t="shared" ref="D12553:D12555" si="2934">HYPERLINK("https://12go.asia/en/travel/Alawathupitiya/Dodanduwa", "12Go Link")</f>
        <v>12Go Link</v>
      </c>
      <c r="E12553" s="2" t="s">
        <v>286</v>
      </c>
    </row>
    <row r="12554">
      <c r="A12554" s="2" t="s">
        <v>4978</v>
      </c>
      <c r="B12554" s="2" t="s">
        <v>4965</v>
      </c>
      <c r="C12554" s="2" t="s">
        <v>6606</v>
      </c>
      <c r="D12554" s="3" t="str">
        <f t="shared" si="2934"/>
        <v>12Go Link</v>
      </c>
      <c r="E12554" s="2" t="s">
        <v>4139</v>
      </c>
    </row>
    <row r="12555">
      <c r="A12555" s="2" t="s">
        <v>4978</v>
      </c>
      <c r="B12555" s="2" t="s">
        <v>4965</v>
      </c>
      <c r="C12555" s="2" t="s">
        <v>6606</v>
      </c>
      <c r="D12555" s="3" t="str">
        <f t="shared" si="2934"/>
        <v>12Go Link</v>
      </c>
      <c r="E12555" s="2" t="s">
        <v>3409</v>
      </c>
    </row>
    <row r="12556">
      <c r="A12556" s="2" t="s">
        <v>4978</v>
      </c>
      <c r="B12556" s="2" t="s">
        <v>4967</v>
      </c>
      <c r="C12556" s="2" t="s">
        <v>6607</v>
      </c>
      <c r="D12556" s="3" t="str">
        <f t="shared" ref="D12556:D12558" si="2935">HYPERLINK("https://12go.asia/en/travel/Alawathupitiya/Induruwa", "12Go Link")</f>
        <v>12Go Link</v>
      </c>
      <c r="E12556" s="2" t="s">
        <v>286</v>
      </c>
    </row>
    <row r="12557">
      <c r="A12557" s="2" t="s">
        <v>4978</v>
      </c>
      <c r="B12557" s="2" t="s">
        <v>4967</v>
      </c>
      <c r="C12557" s="2" t="s">
        <v>6607</v>
      </c>
      <c r="D12557" s="3" t="str">
        <f t="shared" si="2935"/>
        <v>12Go Link</v>
      </c>
      <c r="E12557" s="2" t="s">
        <v>4139</v>
      </c>
    </row>
    <row r="12558">
      <c r="A12558" s="2" t="s">
        <v>4978</v>
      </c>
      <c r="B12558" s="2" t="s">
        <v>4967</v>
      </c>
      <c r="C12558" s="2" t="s">
        <v>6607</v>
      </c>
      <c r="D12558" s="3" t="str">
        <f t="shared" si="2935"/>
        <v>12Go Link</v>
      </c>
      <c r="E12558" s="2" t="s">
        <v>3409</v>
      </c>
    </row>
    <row r="12559">
      <c r="A12559" s="2" t="s">
        <v>4978</v>
      </c>
      <c r="B12559" s="2" t="s">
        <v>4969</v>
      </c>
      <c r="C12559" s="2" t="s">
        <v>6608</v>
      </c>
      <c r="D12559" s="3" t="str">
        <f t="shared" ref="D12559:D12561" si="2936">HYPERLINK("https://12go.asia/en/travel/Alawathupitiya/Jaffna", "12Go Link")</f>
        <v>12Go Link</v>
      </c>
      <c r="E12559" s="2" t="s">
        <v>286</v>
      </c>
    </row>
    <row r="12560">
      <c r="A12560" s="2" t="s">
        <v>4978</v>
      </c>
      <c r="B12560" s="2" t="s">
        <v>4969</v>
      </c>
      <c r="C12560" s="2" t="s">
        <v>6608</v>
      </c>
      <c r="D12560" s="3" t="str">
        <f t="shared" si="2936"/>
        <v>12Go Link</v>
      </c>
      <c r="E12560" s="2" t="s">
        <v>4139</v>
      </c>
    </row>
    <row r="12561">
      <c r="A12561" s="2" t="s">
        <v>4978</v>
      </c>
      <c r="B12561" s="2" t="s">
        <v>4969</v>
      </c>
      <c r="C12561" s="2" t="s">
        <v>6608</v>
      </c>
      <c r="D12561" s="3" t="str">
        <f t="shared" si="2936"/>
        <v>12Go Link</v>
      </c>
      <c r="E12561" s="2" t="s">
        <v>3409</v>
      </c>
    </row>
    <row r="12562">
      <c r="A12562" s="2" t="s">
        <v>4978</v>
      </c>
      <c r="B12562" s="2" t="s">
        <v>4971</v>
      </c>
      <c r="C12562" s="2" t="s">
        <v>6609</v>
      </c>
      <c r="D12562" s="3" t="str">
        <f t="shared" ref="D12562:D12564" si="2937">HYPERLINK("https://12go.asia/en/travel/Alawathupitiya/Kalapuwa", "12Go Link")</f>
        <v>12Go Link</v>
      </c>
      <c r="E12562" s="2" t="s">
        <v>286</v>
      </c>
    </row>
    <row r="12563">
      <c r="A12563" s="2" t="s">
        <v>4978</v>
      </c>
      <c r="B12563" s="2" t="s">
        <v>4971</v>
      </c>
      <c r="C12563" s="2" t="s">
        <v>6609</v>
      </c>
      <c r="D12563" s="3" t="str">
        <f t="shared" si="2937"/>
        <v>12Go Link</v>
      </c>
      <c r="E12563" s="2" t="s">
        <v>4139</v>
      </c>
    </row>
    <row r="12564">
      <c r="A12564" s="2" t="s">
        <v>4978</v>
      </c>
      <c r="B12564" s="2" t="s">
        <v>4971</v>
      </c>
      <c r="C12564" s="2" t="s">
        <v>6609</v>
      </c>
      <c r="D12564" s="3" t="str">
        <f t="shared" si="2937"/>
        <v>12Go Link</v>
      </c>
      <c r="E12564" s="2" t="s">
        <v>3409</v>
      </c>
    </row>
    <row r="12565">
      <c r="A12565" s="2" t="s">
        <v>4978</v>
      </c>
      <c r="B12565" s="2" t="s">
        <v>4973</v>
      </c>
      <c r="C12565" s="2" t="s">
        <v>6610</v>
      </c>
      <c r="D12565" s="3" t="str">
        <f t="shared" ref="D12565:D12567" si="2938">HYPERLINK("https://12go.asia/en/travel/Alawathupitiya/Ampitiya", "12Go Link")</f>
        <v>12Go Link</v>
      </c>
      <c r="E12565" s="2" t="s">
        <v>286</v>
      </c>
    </row>
    <row r="12566">
      <c r="A12566" s="2" t="s">
        <v>4978</v>
      </c>
      <c r="B12566" s="2" t="s">
        <v>4973</v>
      </c>
      <c r="C12566" s="2" t="s">
        <v>6610</v>
      </c>
      <c r="D12566" s="3" t="str">
        <f t="shared" si="2938"/>
        <v>12Go Link</v>
      </c>
      <c r="E12566" s="2" t="s">
        <v>4139</v>
      </c>
    </row>
    <row r="12567">
      <c r="A12567" s="2" t="s">
        <v>4978</v>
      </c>
      <c r="B12567" s="2" t="s">
        <v>4973</v>
      </c>
      <c r="C12567" s="2" t="s">
        <v>6610</v>
      </c>
      <c r="D12567" s="3" t="str">
        <f t="shared" si="2938"/>
        <v>12Go Link</v>
      </c>
      <c r="E12567" s="2" t="s">
        <v>3409</v>
      </c>
    </row>
    <row r="12568">
      <c r="A12568" s="2" t="s">
        <v>4978</v>
      </c>
      <c r="B12568" s="2" t="s">
        <v>4973</v>
      </c>
      <c r="C12568" s="2" t="s">
        <v>6611</v>
      </c>
      <c r="D12568" s="3" t="str">
        <f t="shared" ref="D12568:D12570" si="2939">HYPERLINK("https://12go.asia/en/travel/Alawathupitiya/Digana", "12Go Link")</f>
        <v>12Go Link</v>
      </c>
      <c r="E12568" s="2" t="s">
        <v>286</v>
      </c>
    </row>
    <row r="12569">
      <c r="A12569" s="2" t="s">
        <v>4978</v>
      </c>
      <c r="B12569" s="2" t="s">
        <v>4973</v>
      </c>
      <c r="C12569" s="2" t="s">
        <v>6611</v>
      </c>
      <c r="D12569" s="3" t="str">
        <f t="shared" si="2939"/>
        <v>12Go Link</v>
      </c>
      <c r="E12569" s="2" t="s">
        <v>4139</v>
      </c>
    </row>
    <row r="12570">
      <c r="A12570" s="2" t="s">
        <v>4978</v>
      </c>
      <c r="B12570" s="2" t="s">
        <v>4973</v>
      </c>
      <c r="C12570" s="2" t="s">
        <v>6611</v>
      </c>
      <c r="D12570" s="3" t="str">
        <f t="shared" si="2939"/>
        <v>12Go Link</v>
      </c>
      <c r="E12570" s="2" t="s">
        <v>3409</v>
      </c>
    </row>
    <row r="12571">
      <c r="A12571" s="2" t="s">
        <v>4978</v>
      </c>
      <c r="B12571" s="2" t="s">
        <v>4976</v>
      </c>
      <c r="C12571" s="2" t="s">
        <v>6612</v>
      </c>
      <c r="D12571" s="3" t="str">
        <f t="shared" ref="D12571:D12573" si="2940">HYPERLINK("https://12go.asia/en/travel/Alawathupitiya/Kataragama", "12Go Link")</f>
        <v>12Go Link</v>
      </c>
      <c r="E12571" s="2" t="s">
        <v>286</v>
      </c>
    </row>
    <row r="12572">
      <c r="A12572" s="2" t="s">
        <v>4978</v>
      </c>
      <c r="B12572" s="2" t="s">
        <v>4976</v>
      </c>
      <c r="C12572" s="2" t="s">
        <v>6612</v>
      </c>
      <c r="D12572" s="3" t="str">
        <f t="shared" si="2940"/>
        <v>12Go Link</v>
      </c>
      <c r="E12572" s="2" t="s">
        <v>4139</v>
      </c>
    </row>
    <row r="12573">
      <c r="A12573" s="2" t="s">
        <v>4978</v>
      </c>
      <c r="B12573" s="2" t="s">
        <v>4976</v>
      </c>
      <c r="C12573" s="2" t="s">
        <v>6612</v>
      </c>
      <c r="D12573" s="3" t="str">
        <f t="shared" si="2940"/>
        <v>12Go Link</v>
      </c>
      <c r="E12573" s="2" t="s">
        <v>3409</v>
      </c>
    </row>
    <row r="12574">
      <c r="A12574" s="2" t="s">
        <v>4978</v>
      </c>
      <c r="B12574" s="2" t="s">
        <v>4980</v>
      </c>
      <c r="C12574" s="2" t="s">
        <v>6613</v>
      </c>
      <c r="D12574" s="3" t="str">
        <f t="shared" ref="D12574:D12576" si="2941">HYPERLINK("https://12go.asia/en/travel/Alawathupitiya/Pinnawala", "12Go Link")</f>
        <v>12Go Link</v>
      </c>
      <c r="E12574" s="2" t="s">
        <v>286</v>
      </c>
    </row>
    <row r="12575">
      <c r="A12575" s="2" t="s">
        <v>4978</v>
      </c>
      <c r="B12575" s="2" t="s">
        <v>4980</v>
      </c>
      <c r="C12575" s="2" t="s">
        <v>6613</v>
      </c>
      <c r="D12575" s="3" t="str">
        <f t="shared" si="2941"/>
        <v>12Go Link</v>
      </c>
      <c r="E12575" s="2" t="s">
        <v>4139</v>
      </c>
    </row>
    <row r="12576">
      <c r="A12576" s="2" t="s">
        <v>4978</v>
      </c>
      <c r="B12576" s="2" t="s">
        <v>4980</v>
      </c>
      <c r="C12576" s="2" t="s">
        <v>6613</v>
      </c>
      <c r="D12576" s="3" t="str">
        <f t="shared" si="2941"/>
        <v>12Go Link</v>
      </c>
      <c r="E12576" s="2" t="s">
        <v>3409</v>
      </c>
    </row>
    <row r="12577">
      <c r="A12577" s="2" t="s">
        <v>4978</v>
      </c>
      <c r="B12577" s="2" t="s">
        <v>4982</v>
      </c>
      <c r="C12577" s="2" t="s">
        <v>6614</v>
      </c>
      <c r="D12577" s="3" t="str">
        <f t="shared" ref="D12577:D12579" si="2942">HYPERLINK("https://12go.asia/en/travel/Alawathupitiya/Kitulgala", "12Go Link")</f>
        <v>12Go Link</v>
      </c>
      <c r="E12577" s="2" t="s">
        <v>286</v>
      </c>
    </row>
    <row r="12578">
      <c r="A12578" s="2" t="s">
        <v>4978</v>
      </c>
      <c r="B12578" s="2" t="s">
        <v>4982</v>
      </c>
      <c r="C12578" s="2" t="s">
        <v>6614</v>
      </c>
      <c r="D12578" s="3" t="str">
        <f t="shared" si="2942"/>
        <v>12Go Link</v>
      </c>
      <c r="E12578" s="2" t="s">
        <v>4139</v>
      </c>
    </row>
    <row r="12579">
      <c r="A12579" s="2" t="s">
        <v>4978</v>
      </c>
      <c r="B12579" s="2" t="s">
        <v>4982</v>
      </c>
      <c r="C12579" s="2" t="s">
        <v>6614</v>
      </c>
      <c r="D12579" s="3" t="str">
        <f t="shared" si="2942"/>
        <v>12Go Link</v>
      </c>
      <c r="E12579" s="2" t="s">
        <v>3409</v>
      </c>
    </row>
    <row r="12580">
      <c r="A12580" s="2" t="s">
        <v>4978</v>
      </c>
      <c r="B12580" s="2" t="s">
        <v>4984</v>
      </c>
      <c r="C12580" s="2" t="s">
        <v>6615</v>
      </c>
      <c r="D12580" s="3" t="str">
        <f t="shared" ref="D12580:D12582" si="2943">HYPERLINK("https://12go.asia/en/travel/Alawathupitiya/Habaraduwa", "12Go Link")</f>
        <v>12Go Link</v>
      </c>
      <c r="E12580" s="2" t="s">
        <v>286</v>
      </c>
    </row>
    <row r="12581">
      <c r="A12581" s="2" t="s">
        <v>4978</v>
      </c>
      <c r="B12581" s="2" t="s">
        <v>4984</v>
      </c>
      <c r="C12581" s="2" t="s">
        <v>6615</v>
      </c>
      <c r="D12581" s="3" t="str">
        <f t="shared" si="2943"/>
        <v>12Go Link</v>
      </c>
      <c r="E12581" s="2" t="s">
        <v>4139</v>
      </c>
    </row>
    <row r="12582">
      <c r="A12582" s="2" t="s">
        <v>4978</v>
      </c>
      <c r="B12582" s="2" t="s">
        <v>4984</v>
      </c>
      <c r="C12582" s="2" t="s">
        <v>6615</v>
      </c>
      <c r="D12582" s="3" t="str">
        <f t="shared" si="2943"/>
        <v>12Go Link</v>
      </c>
      <c r="E12582" s="2" t="s">
        <v>3409</v>
      </c>
    </row>
    <row r="12583">
      <c r="A12583" s="2" t="s">
        <v>4978</v>
      </c>
      <c r="B12583" s="2" t="s">
        <v>4986</v>
      </c>
      <c r="C12583" s="2" t="s">
        <v>6616</v>
      </c>
      <c r="D12583" s="3" t="str">
        <f t="shared" ref="D12583:D12585" si="2944">HYPERLINK("https://12go.asia/en/travel/Alawathupitiya/Kosgoda", "12Go Link")</f>
        <v>12Go Link</v>
      </c>
      <c r="E12583" s="2" t="s">
        <v>286</v>
      </c>
    </row>
    <row r="12584">
      <c r="A12584" s="2" t="s">
        <v>4978</v>
      </c>
      <c r="B12584" s="2" t="s">
        <v>4986</v>
      </c>
      <c r="C12584" s="2" t="s">
        <v>6616</v>
      </c>
      <c r="D12584" s="3" t="str">
        <f t="shared" si="2944"/>
        <v>12Go Link</v>
      </c>
      <c r="E12584" s="2" t="s">
        <v>4139</v>
      </c>
    </row>
    <row r="12585">
      <c r="A12585" s="2" t="s">
        <v>4978</v>
      </c>
      <c r="B12585" s="2" t="s">
        <v>4986</v>
      </c>
      <c r="C12585" s="2" t="s">
        <v>6616</v>
      </c>
      <c r="D12585" s="3" t="str">
        <f t="shared" si="2944"/>
        <v>12Go Link</v>
      </c>
      <c r="E12585" s="2" t="s">
        <v>3409</v>
      </c>
    </row>
    <row r="12586">
      <c r="A12586" s="2" t="s">
        <v>4978</v>
      </c>
      <c r="B12586" s="2" t="s">
        <v>4988</v>
      </c>
      <c r="C12586" s="2" t="s">
        <v>6617</v>
      </c>
      <c r="D12586" s="3" t="str">
        <f t="shared" ref="D12586:D12588" si="2945">HYPERLINK("https://12go.asia/en/travel/Alawathupitiya/Kuchchaveli", "12Go Link")</f>
        <v>12Go Link</v>
      </c>
      <c r="E12586" s="2" t="s">
        <v>286</v>
      </c>
    </row>
    <row r="12587">
      <c r="A12587" s="2" t="s">
        <v>4978</v>
      </c>
      <c r="B12587" s="2" t="s">
        <v>4988</v>
      </c>
      <c r="C12587" s="2" t="s">
        <v>6617</v>
      </c>
      <c r="D12587" s="3" t="str">
        <f t="shared" si="2945"/>
        <v>12Go Link</v>
      </c>
      <c r="E12587" s="2" t="s">
        <v>4139</v>
      </c>
    </row>
    <row r="12588">
      <c r="A12588" s="2" t="s">
        <v>4978</v>
      </c>
      <c r="B12588" s="2" t="s">
        <v>4988</v>
      </c>
      <c r="C12588" s="2" t="s">
        <v>6617</v>
      </c>
      <c r="D12588" s="3" t="str">
        <f t="shared" si="2945"/>
        <v>12Go Link</v>
      </c>
      <c r="E12588" s="2" t="s">
        <v>3409</v>
      </c>
    </row>
    <row r="12589">
      <c r="A12589" s="2" t="s">
        <v>4978</v>
      </c>
      <c r="B12589" s="2" t="s">
        <v>4990</v>
      </c>
      <c r="C12589" s="2" t="s">
        <v>6618</v>
      </c>
      <c r="D12589" s="3" t="str">
        <f t="shared" ref="D12589:D12591" si="2946">HYPERLINK("https://12go.asia/en/travel/Alawathupitiya/Mannar", "12Go Link")</f>
        <v>12Go Link</v>
      </c>
      <c r="E12589" s="2" t="s">
        <v>286</v>
      </c>
    </row>
    <row r="12590">
      <c r="A12590" s="2" t="s">
        <v>4978</v>
      </c>
      <c r="B12590" s="2" t="s">
        <v>4990</v>
      </c>
      <c r="C12590" s="2" t="s">
        <v>6618</v>
      </c>
      <c r="D12590" s="3" t="str">
        <f t="shared" si="2946"/>
        <v>12Go Link</v>
      </c>
      <c r="E12590" s="2" t="s">
        <v>4139</v>
      </c>
    </row>
    <row r="12591">
      <c r="A12591" s="2" t="s">
        <v>4978</v>
      </c>
      <c r="B12591" s="2" t="s">
        <v>4990</v>
      </c>
      <c r="C12591" s="2" t="s">
        <v>6618</v>
      </c>
      <c r="D12591" s="3" t="str">
        <f t="shared" si="2946"/>
        <v>12Go Link</v>
      </c>
      <c r="E12591" s="2" t="s">
        <v>3409</v>
      </c>
    </row>
    <row r="12592">
      <c r="A12592" s="2" t="s">
        <v>4978</v>
      </c>
      <c r="B12592" s="2" t="s">
        <v>4992</v>
      </c>
      <c r="C12592" s="2" t="s">
        <v>6619</v>
      </c>
      <c r="D12592" s="3" t="str">
        <f t="shared" ref="D12592:D12594" si="2947">HYPERLINK("https://12go.asia/en/travel/Alawathupitiya/Kinigama", "12Go Link")</f>
        <v>12Go Link</v>
      </c>
      <c r="E12592" s="2" t="s">
        <v>286</v>
      </c>
    </row>
    <row r="12593">
      <c r="A12593" s="2" t="s">
        <v>4978</v>
      </c>
      <c r="B12593" s="2" t="s">
        <v>4992</v>
      </c>
      <c r="C12593" s="2" t="s">
        <v>6619</v>
      </c>
      <c r="D12593" s="3" t="str">
        <f t="shared" si="2947"/>
        <v>12Go Link</v>
      </c>
      <c r="E12593" s="2" t="s">
        <v>4139</v>
      </c>
    </row>
    <row r="12594">
      <c r="A12594" s="2" t="s">
        <v>4978</v>
      </c>
      <c r="B12594" s="2" t="s">
        <v>4992</v>
      </c>
      <c r="C12594" s="2" t="s">
        <v>6619</v>
      </c>
      <c r="D12594" s="3" t="str">
        <f t="shared" si="2947"/>
        <v>12Go Link</v>
      </c>
      <c r="E12594" s="2" t="s">
        <v>3409</v>
      </c>
    </row>
    <row r="12595">
      <c r="A12595" s="2" t="s">
        <v>4978</v>
      </c>
      <c r="B12595" s="2" t="s">
        <v>4994</v>
      </c>
      <c r="C12595" s="2" t="s">
        <v>6620</v>
      </c>
      <c r="D12595" s="3" t="str">
        <f t="shared" ref="D12595:D12597" si="2948">HYPERLINK("https://12go.asia/en/travel/Alawathupitiya/Kalamatiya", "12Go Link")</f>
        <v>12Go Link</v>
      </c>
      <c r="E12595" s="2" t="s">
        <v>286</v>
      </c>
    </row>
    <row r="12596">
      <c r="A12596" s="2" t="s">
        <v>4978</v>
      </c>
      <c r="B12596" s="2" t="s">
        <v>4994</v>
      </c>
      <c r="C12596" s="2" t="s">
        <v>6620</v>
      </c>
      <c r="D12596" s="3" t="str">
        <f t="shared" si="2948"/>
        <v>12Go Link</v>
      </c>
      <c r="E12596" s="2" t="s">
        <v>4139</v>
      </c>
    </row>
    <row r="12597">
      <c r="A12597" s="2" t="s">
        <v>4978</v>
      </c>
      <c r="B12597" s="2" t="s">
        <v>4994</v>
      </c>
      <c r="C12597" s="2" t="s">
        <v>6620</v>
      </c>
      <c r="D12597" s="3" t="str">
        <f t="shared" si="2948"/>
        <v>12Go Link</v>
      </c>
      <c r="E12597" s="2" t="s">
        <v>3409</v>
      </c>
    </row>
    <row r="12598">
      <c r="A12598" s="2" t="s">
        <v>4978</v>
      </c>
      <c r="B12598" s="2" t="s">
        <v>4996</v>
      </c>
      <c r="C12598" s="2" t="s">
        <v>6621</v>
      </c>
      <c r="D12598" s="3" t="str">
        <f t="shared" ref="D12598:D12600" si="2949">HYPERLINK("https://12go.asia/en/travel/Alawathupitiya/mirissa", "12Go Link")</f>
        <v>12Go Link</v>
      </c>
      <c r="E12598" s="2" t="s">
        <v>286</v>
      </c>
    </row>
    <row r="12599">
      <c r="A12599" s="2" t="s">
        <v>4978</v>
      </c>
      <c r="B12599" s="2" t="s">
        <v>4996</v>
      </c>
      <c r="C12599" s="2" t="s">
        <v>6621</v>
      </c>
      <c r="D12599" s="3" t="str">
        <f t="shared" si="2949"/>
        <v>12Go Link</v>
      </c>
      <c r="E12599" s="2" t="s">
        <v>4139</v>
      </c>
    </row>
    <row r="12600">
      <c r="A12600" s="2" t="s">
        <v>4978</v>
      </c>
      <c r="B12600" s="2" t="s">
        <v>4996</v>
      </c>
      <c r="C12600" s="2" t="s">
        <v>6621</v>
      </c>
      <c r="D12600" s="3" t="str">
        <f t="shared" si="2949"/>
        <v>12Go Link</v>
      </c>
      <c r="E12600" s="2" t="s">
        <v>3409</v>
      </c>
    </row>
    <row r="12601">
      <c r="A12601" s="2" t="s">
        <v>4978</v>
      </c>
      <c r="B12601" s="2" t="s">
        <v>4998</v>
      </c>
      <c r="C12601" s="2" t="s">
        <v>6622</v>
      </c>
      <c r="D12601" s="3" t="str">
        <f t="shared" ref="D12601:D12603" si="2950">HYPERLINK("https://12go.asia/en/travel/Alawathupitiya/Nanu-Oya", "12Go Link")</f>
        <v>12Go Link</v>
      </c>
      <c r="E12601" s="2" t="s">
        <v>286</v>
      </c>
    </row>
    <row r="12602">
      <c r="A12602" s="2" t="s">
        <v>4978</v>
      </c>
      <c r="B12602" s="2" t="s">
        <v>4998</v>
      </c>
      <c r="C12602" s="2" t="s">
        <v>6622</v>
      </c>
      <c r="D12602" s="3" t="str">
        <f t="shared" si="2950"/>
        <v>12Go Link</v>
      </c>
      <c r="E12602" s="2" t="s">
        <v>4139</v>
      </c>
    </row>
    <row r="12603">
      <c r="A12603" s="2" t="s">
        <v>4978</v>
      </c>
      <c r="B12603" s="2" t="s">
        <v>4998</v>
      </c>
      <c r="C12603" s="2" t="s">
        <v>6622</v>
      </c>
      <c r="D12603" s="3" t="str">
        <f t="shared" si="2950"/>
        <v>12Go Link</v>
      </c>
      <c r="E12603" s="2" t="s">
        <v>3409</v>
      </c>
    </row>
    <row r="12604">
      <c r="A12604" s="2" t="s">
        <v>4978</v>
      </c>
      <c r="B12604" s="2" t="s">
        <v>5000</v>
      </c>
      <c r="C12604" s="2" t="s">
        <v>6623</v>
      </c>
      <c r="D12604" s="3" t="str">
        <f t="shared" ref="D12604:D12606" si="2951">HYPERLINK("https://12go.asia/en/travel/Alawathupitiya/Dalupotha", "12Go Link")</f>
        <v>12Go Link</v>
      </c>
      <c r="E12604" s="2" t="s">
        <v>286</v>
      </c>
    </row>
    <row r="12605">
      <c r="A12605" s="2" t="s">
        <v>4978</v>
      </c>
      <c r="B12605" s="2" t="s">
        <v>5000</v>
      </c>
      <c r="C12605" s="2" t="s">
        <v>6623</v>
      </c>
      <c r="D12605" s="3" t="str">
        <f t="shared" si="2951"/>
        <v>12Go Link</v>
      </c>
      <c r="E12605" s="2" t="s">
        <v>4139</v>
      </c>
    </row>
    <row r="12606">
      <c r="A12606" s="2" t="s">
        <v>4978</v>
      </c>
      <c r="B12606" s="2" t="s">
        <v>5000</v>
      </c>
      <c r="C12606" s="2" t="s">
        <v>6623</v>
      </c>
      <c r="D12606" s="3" t="str">
        <f t="shared" si="2951"/>
        <v>12Go Link</v>
      </c>
      <c r="E12606" s="2" t="s">
        <v>3409</v>
      </c>
    </row>
    <row r="12607">
      <c r="A12607" s="2" t="s">
        <v>4978</v>
      </c>
      <c r="B12607" s="2" t="s">
        <v>5000</v>
      </c>
      <c r="C12607" s="2" t="s">
        <v>6624</v>
      </c>
      <c r="D12607" s="3" t="str">
        <f t="shared" ref="D12607:D12609" si="2952">HYPERLINK("https://12go.asia/en/travel/Alawathupitiya/Waikkal", "12Go Link")</f>
        <v>12Go Link</v>
      </c>
      <c r="E12607" s="2" t="s">
        <v>286</v>
      </c>
    </row>
    <row r="12608">
      <c r="A12608" s="2" t="s">
        <v>4978</v>
      </c>
      <c r="B12608" s="2" t="s">
        <v>5000</v>
      </c>
      <c r="C12608" s="2" t="s">
        <v>6624</v>
      </c>
      <c r="D12608" s="3" t="str">
        <f t="shared" si="2952"/>
        <v>12Go Link</v>
      </c>
      <c r="E12608" s="2" t="s">
        <v>4139</v>
      </c>
    </row>
    <row r="12609">
      <c r="A12609" s="2" t="s">
        <v>4978</v>
      </c>
      <c r="B12609" s="2" t="s">
        <v>5000</v>
      </c>
      <c r="C12609" s="2" t="s">
        <v>6624</v>
      </c>
      <c r="D12609" s="3" t="str">
        <f t="shared" si="2952"/>
        <v>12Go Link</v>
      </c>
      <c r="E12609" s="2" t="s">
        <v>3409</v>
      </c>
    </row>
    <row r="12610">
      <c r="A12610" s="2" t="s">
        <v>4978</v>
      </c>
      <c r="B12610" s="2" t="s">
        <v>5003</v>
      </c>
      <c r="C12610" s="2" t="s">
        <v>6625</v>
      </c>
      <c r="D12610" s="3" t="str">
        <f t="shared" ref="D12610:D12612" si="2953">HYPERLINK("https://12go.asia/en/travel/Alawathupitiya/Nilaveli", "12Go Link")</f>
        <v>12Go Link</v>
      </c>
      <c r="E12610" s="2" t="s">
        <v>286</v>
      </c>
    </row>
    <row r="12611">
      <c r="A12611" s="2" t="s">
        <v>4978</v>
      </c>
      <c r="B12611" s="2" t="s">
        <v>5003</v>
      </c>
      <c r="C12611" s="2" t="s">
        <v>6625</v>
      </c>
      <c r="D12611" s="3" t="str">
        <f t="shared" si="2953"/>
        <v>12Go Link</v>
      </c>
      <c r="E12611" s="2" t="s">
        <v>4139</v>
      </c>
    </row>
    <row r="12612">
      <c r="A12612" s="2" t="s">
        <v>4978</v>
      </c>
      <c r="B12612" s="2" t="s">
        <v>5003</v>
      </c>
      <c r="C12612" s="2" t="s">
        <v>6625</v>
      </c>
      <c r="D12612" s="3" t="str">
        <f t="shared" si="2953"/>
        <v>12Go Link</v>
      </c>
      <c r="E12612" s="2" t="s">
        <v>3409</v>
      </c>
    </row>
    <row r="12613">
      <c r="A12613" s="2" t="s">
        <v>4978</v>
      </c>
      <c r="B12613" s="2" t="s">
        <v>5005</v>
      </c>
      <c r="C12613" s="2" t="s">
        <v>6626</v>
      </c>
      <c r="D12613" s="3" t="str">
        <f t="shared" ref="D12613:D12615" si="2954">HYPERLINK("https://12go.asia/en/travel/Alawathupitiya/Kotmale", "12Go Link")</f>
        <v>12Go Link</v>
      </c>
      <c r="E12613" s="2" t="s">
        <v>286</v>
      </c>
    </row>
    <row r="12614">
      <c r="A12614" s="2" t="s">
        <v>4978</v>
      </c>
      <c r="B12614" s="2" t="s">
        <v>5005</v>
      </c>
      <c r="C12614" s="2" t="s">
        <v>6626</v>
      </c>
      <c r="D12614" s="3" t="str">
        <f t="shared" si="2954"/>
        <v>12Go Link</v>
      </c>
      <c r="E12614" s="2" t="s">
        <v>4139</v>
      </c>
    </row>
    <row r="12615">
      <c r="A12615" s="2" t="s">
        <v>4978</v>
      </c>
      <c r="B12615" s="2" t="s">
        <v>5005</v>
      </c>
      <c r="C12615" s="2" t="s">
        <v>6626</v>
      </c>
      <c r="D12615" s="3" t="str">
        <f t="shared" si="2954"/>
        <v>12Go Link</v>
      </c>
      <c r="E12615" s="2" t="s">
        <v>3409</v>
      </c>
    </row>
    <row r="12616">
      <c r="A12616" s="2" t="s">
        <v>4978</v>
      </c>
      <c r="B12616" s="2" t="s">
        <v>5007</v>
      </c>
      <c r="C12616" s="2" t="s">
        <v>6627</v>
      </c>
      <c r="D12616" s="3" t="str">
        <f t="shared" ref="D12616:D12618" si="2955">HYPERLINK("https://12go.asia/en/travel/Alawathupitiya/Pasikuda", "12Go Link")</f>
        <v>12Go Link</v>
      </c>
      <c r="E12616" s="2" t="s">
        <v>286</v>
      </c>
    </row>
    <row r="12617">
      <c r="A12617" s="2" t="s">
        <v>4978</v>
      </c>
      <c r="B12617" s="2" t="s">
        <v>5007</v>
      </c>
      <c r="C12617" s="2" t="s">
        <v>6627</v>
      </c>
      <c r="D12617" s="3" t="str">
        <f t="shared" si="2955"/>
        <v>12Go Link</v>
      </c>
      <c r="E12617" s="2" t="s">
        <v>4139</v>
      </c>
    </row>
    <row r="12618">
      <c r="A12618" s="2" t="s">
        <v>4978</v>
      </c>
      <c r="B12618" s="2" t="s">
        <v>5007</v>
      </c>
      <c r="C12618" s="2" t="s">
        <v>6627</v>
      </c>
      <c r="D12618" s="3" t="str">
        <f t="shared" si="2955"/>
        <v>12Go Link</v>
      </c>
      <c r="E12618" s="2" t="s">
        <v>3409</v>
      </c>
    </row>
    <row r="12619">
      <c r="A12619" s="2" t="s">
        <v>4978</v>
      </c>
      <c r="B12619" s="2" t="s">
        <v>5009</v>
      </c>
      <c r="C12619" s="2" t="s">
        <v>6628</v>
      </c>
      <c r="D12619" s="3" t="str">
        <f t="shared" ref="D12619:D12621" si="2956">HYPERLINK("https://12go.asia/en/travel/Alawathupitiya/Galoya", "12Go Link")</f>
        <v>12Go Link</v>
      </c>
      <c r="E12619" s="2" t="s">
        <v>286</v>
      </c>
    </row>
    <row r="12620">
      <c r="A12620" s="2" t="s">
        <v>4978</v>
      </c>
      <c r="B12620" s="2" t="s">
        <v>5009</v>
      </c>
      <c r="C12620" s="2" t="s">
        <v>6628</v>
      </c>
      <c r="D12620" s="3" t="str">
        <f t="shared" si="2956"/>
        <v>12Go Link</v>
      </c>
      <c r="E12620" s="2" t="s">
        <v>4139</v>
      </c>
    </row>
    <row r="12621">
      <c r="A12621" s="2" t="s">
        <v>4978</v>
      </c>
      <c r="B12621" s="2" t="s">
        <v>5009</v>
      </c>
      <c r="C12621" s="2" t="s">
        <v>6628</v>
      </c>
      <c r="D12621" s="3" t="str">
        <f t="shared" si="2956"/>
        <v>12Go Link</v>
      </c>
      <c r="E12621" s="2" t="s">
        <v>3409</v>
      </c>
    </row>
    <row r="12622">
      <c r="A12622" s="2" t="s">
        <v>4978</v>
      </c>
      <c r="B12622" s="2" t="s">
        <v>5011</v>
      </c>
      <c r="C12622" s="2" t="s">
        <v>6629</v>
      </c>
      <c r="D12622" s="3" t="str">
        <f t="shared" ref="D12622:D12624" si="2957">HYPERLINK("https://12go.asia/en/travel/Alawathupitiya/Kalpitiya", "12Go Link")</f>
        <v>12Go Link</v>
      </c>
      <c r="E12622" s="2" t="s">
        <v>286</v>
      </c>
    </row>
    <row r="12623">
      <c r="A12623" s="2" t="s">
        <v>4978</v>
      </c>
      <c r="B12623" s="2" t="s">
        <v>5011</v>
      </c>
      <c r="C12623" s="2" t="s">
        <v>6629</v>
      </c>
      <c r="D12623" s="3" t="str">
        <f t="shared" si="2957"/>
        <v>12Go Link</v>
      </c>
      <c r="E12623" s="2" t="s">
        <v>4139</v>
      </c>
    </row>
    <row r="12624">
      <c r="A12624" s="2" t="s">
        <v>4978</v>
      </c>
      <c r="B12624" s="2" t="s">
        <v>5011</v>
      </c>
      <c r="C12624" s="2" t="s">
        <v>6629</v>
      </c>
      <c r="D12624" s="3" t="str">
        <f t="shared" si="2957"/>
        <v>12Go Link</v>
      </c>
      <c r="E12624" s="2" t="s">
        <v>3409</v>
      </c>
    </row>
    <row r="12625">
      <c r="A12625" s="2" t="s">
        <v>4978</v>
      </c>
      <c r="B12625" s="2" t="s">
        <v>5011</v>
      </c>
      <c r="C12625" s="2" t="s">
        <v>6630</v>
      </c>
      <c r="D12625" s="3" t="str">
        <f t="shared" ref="D12625:D12627" si="2958">HYPERLINK("https://12go.asia/en/travel/Alawathupitiya/Marawila", "12Go Link")</f>
        <v>12Go Link</v>
      </c>
      <c r="E12625" s="2" t="s">
        <v>286</v>
      </c>
    </row>
    <row r="12626">
      <c r="A12626" s="2" t="s">
        <v>4978</v>
      </c>
      <c r="B12626" s="2" t="s">
        <v>5011</v>
      </c>
      <c r="C12626" s="2" t="s">
        <v>6630</v>
      </c>
      <c r="D12626" s="3" t="str">
        <f t="shared" si="2958"/>
        <v>12Go Link</v>
      </c>
      <c r="E12626" s="2" t="s">
        <v>4139</v>
      </c>
    </row>
    <row r="12627">
      <c r="A12627" s="2" t="s">
        <v>4978</v>
      </c>
      <c r="B12627" s="2" t="s">
        <v>5011</v>
      </c>
      <c r="C12627" s="2" t="s">
        <v>6630</v>
      </c>
      <c r="D12627" s="3" t="str">
        <f t="shared" si="2958"/>
        <v>12Go Link</v>
      </c>
      <c r="E12627" s="2" t="s">
        <v>3409</v>
      </c>
    </row>
    <row r="12628">
      <c r="A12628" s="2" t="s">
        <v>4978</v>
      </c>
      <c r="B12628" s="2" t="s">
        <v>5014</v>
      </c>
      <c r="C12628" s="2" t="s">
        <v>6631</v>
      </c>
      <c r="D12628" s="3" t="str">
        <f t="shared" ref="D12628:D12630" si="2959">HYPERLINK("https://12go.asia/en/travel/Alawathupitiya/Kiriella", "12Go Link")</f>
        <v>12Go Link</v>
      </c>
      <c r="E12628" s="2" t="s">
        <v>286</v>
      </c>
    </row>
    <row r="12629">
      <c r="A12629" s="2" t="s">
        <v>4978</v>
      </c>
      <c r="B12629" s="2" t="s">
        <v>5014</v>
      </c>
      <c r="C12629" s="2" t="s">
        <v>6631</v>
      </c>
      <c r="D12629" s="3" t="str">
        <f t="shared" si="2959"/>
        <v>12Go Link</v>
      </c>
      <c r="E12629" s="2" t="s">
        <v>4139</v>
      </c>
    </row>
    <row r="12630">
      <c r="A12630" s="2" t="s">
        <v>4978</v>
      </c>
      <c r="B12630" s="2" t="s">
        <v>5014</v>
      </c>
      <c r="C12630" s="2" t="s">
        <v>6631</v>
      </c>
      <c r="D12630" s="3" t="str">
        <f t="shared" si="2959"/>
        <v>12Go Link</v>
      </c>
      <c r="E12630" s="2" t="s">
        <v>3409</v>
      </c>
    </row>
    <row r="12631">
      <c r="A12631" s="2" t="s">
        <v>4978</v>
      </c>
      <c r="B12631" s="2" t="s">
        <v>5016</v>
      </c>
      <c r="C12631" s="2" t="s">
        <v>6632</v>
      </c>
      <c r="D12631" s="3" t="str">
        <f t="shared" ref="D12631:D12633" si="2960">HYPERLINK("https://12go.asia/en/travel/Alawathupitiya/Pidurangala", "12Go Link")</f>
        <v>12Go Link</v>
      </c>
      <c r="E12631" s="2" t="s">
        <v>286</v>
      </c>
    </row>
    <row r="12632">
      <c r="A12632" s="2" t="s">
        <v>4978</v>
      </c>
      <c r="B12632" s="2" t="s">
        <v>5016</v>
      </c>
      <c r="C12632" s="2" t="s">
        <v>6632</v>
      </c>
      <c r="D12632" s="3" t="str">
        <f t="shared" si="2960"/>
        <v>12Go Link</v>
      </c>
      <c r="E12632" s="2" t="s">
        <v>4139</v>
      </c>
    </row>
    <row r="12633">
      <c r="A12633" s="2" t="s">
        <v>4978</v>
      </c>
      <c r="B12633" s="2" t="s">
        <v>5016</v>
      </c>
      <c r="C12633" s="2" t="s">
        <v>6632</v>
      </c>
      <c r="D12633" s="3" t="str">
        <f t="shared" si="2960"/>
        <v>12Go Link</v>
      </c>
      <c r="E12633" s="2" t="s">
        <v>3409</v>
      </c>
    </row>
    <row r="12634">
      <c r="A12634" s="2" t="s">
        <v>4978</v>
      </c>
      <c r="B12634" s="2" t="s">
        <v>5018</v>
      </c>
      <c r="C12634" s="2" t="s">
        <v>6633</v>
      </c>
      <c r="D12634" s="3" t="str">
        <f t="shared" ref="D12634:D12636" si="2961">HYPERLINK("https://12go.asia/en/travel/Alawathupitiya/Rekawa", "12Go Link")</f>
        <v>12Go Link</v>
      </c>
      <c r="E12634" s="2" t="s">
        <v>286</v>
      </c>
    </row>
    <row r="12635">
      <c r="A12635" s="2" t="s">
        <v>4978</v>
      </c>
      <c r="B12635" s="2" t="s">
        <v>5018</v>
      </c>
      <c r="C12635" s="2" t="s">
        <v>6633</v>
      </c>
      <c r="D12635" s="3" t="str">
        <f t="shared" si="2961"/>
        <v>12Go Link</v>
      </c>
      <c r="E12635" s="2" t="s">
        <v>4139</v>
      </c>
    </row>
    <row r="12636">
      <c r="A12636" s="2" t="s">
        <v>4978</v>
      </c>
      <c r="B12636" s="2" t="s">
        <v>5018</v>
      </c>
      <c r="C12636" s="2" t="s">
        <v>6633</v>
      </c>
      <c r="D12636" s="3" t="str">
        <f t="shared" si="2961"/>
        <v>12Go Link</v>
      </c>
      <c r="E12636" s="2" t="s">
        <v>3409</v>
      </c>
    </row>
    <row r="12637">
      <c r="A12637" s="2" t="s">
        <v>4978</v>
      </c>
      <c r="B12637" s="2" t="s">
        <v>5020</v>
      </c>
      <c r="C12637" s="2" t="s">
        <v>6634</v>
      </c>
      <c r="D12637" s="3" t="str">
        <f t="shared" ref="D12637:D12639" si="2962">HYPERLINK("https://12go.asia/en/travel/Alawathupitiya/Tissamaharama", "12Go Link")</f>
        <v>12Go Link</v>
      </c>
      <c r="E12637" s="2" t="s">
        <v>286</v>
      </c>
    </row>
    <row r="12638">
      <c r="A12638" s="2" t="s">
        <v>4978</v>
      </c>
      <c r="B12638" s="2" t="s">
        <v>5020</v>
      </c>
      <c r="C12638" s="2" t="s">
        <v>6634</v>
      </c>
      <c r="D12638" s="3" t="str">
        <f t="shared" si="2962"/>
        <v>12Go Link</v>
      </c>
      <c r="E12638" s="2" t="s">
        <v>4139</v>
      </c>
    </row>
    <row r="12639">
      <c r="A12639" s="2" t="s">
        <v>4978</v>
      </c>
      <c r="B12639" s="2" t="s">
        <v>5020</v>
      </c>
      <c r="C12639" s="2" t="s">
        <v>6634</v>
      </c>
      <c r="D12639" s="3" t="str">
        <f t="shared" si="2962"/>
        <v>12Go Link</v>
      </c>
      <c r="E12639" s="2" t="s">
        <v>3409</v>
      </c>
    </row>
    <row r="12640">
      <c r="A12640" s="2" t="s">
        <v>4978</v>
      </c>
      <c r="B12640" s="2" t="s">
        <v>5020</v>
      </c>
      <c r="C12640" s="2" t="s">
        <v>6635</v>
      </c>
      <c r="D12640" s="3" t="str">
        <f t="shared" ref="D12640:D12642" si="2963">HYPERLINK("https://12go.asia/en/travel/Alawathupitiya/Yala-Park", "12Go Link")</f>
        <v>12Go Link</v>
      </c>
      <c r="E12640" s="2" t="s">
        <v>286</v>
      </c>
    </row>
    <row r="12641">
      <c r="A12641" s="2" t="s">
        <v>4978</v>
      </c>
      <c r="B12641" s="2" t="s">
        <v>5020</v>
      </c>
      <c r="C12641" s="2" t="s">
        <v>6635</v>
      </c>
      <c r="D12641" s="3" t="str">
        <f t="shared" si="2963"/>
        <v>12Go Link</v>
      </c>
      <c r="E12641" s="2" t="s">
        <v>4139</v>
      </c>
    </row>
    <row r="12642">
      <c r="A12642" s="2" t="s">
        <v>4978</v>
      </c>
      <c r="B12642" s="2" t="s">
        <v>5020</v>
      </c>
      <c r="C12642" s="2" t="s">
        <v>6635</v>
      </c>
      <c r="D12642" s="3" t="str">
        <f t="shared" si="2963"/>
        <v>12Go Link</v>
      </c>
      <c r="E12642" s="2" t="s">
        <v>3409</v>
      </c>
    </row>
    <row r="12643">
      <c r="A12643" s="2" t="s">
        <v>4978</v>
      </c>
      <c r="B12643" s="2" t="s">
        <v>5023</v>
      </c>
      <c r="C12643" s="2" t="s">
        <v>6636</v>
      </c>
      <c r="D12643" s="3" t="str">
        <f t="shared" ref="D12643:D12645" si="2964">HYPERLINK("https://12go.asia/en/travel/Alawathupitiya/Nilaweli", "12Go Link")</f>
        <v>12Go Link</v>
      </c>
      <c r="E12643" s="2" t="s">
        <v>286</v>
      </c>
    </row>
    <row r="12644">
      <c r="A12644" s="2" t="s">
        <v>4978</v>
      </c>
      <c r="B12644" s="2" t="s">
        <v>5023</v>
      </c>
      <c r="C12644" s="2" t="s">
        <v>6636</v>
      </c>
      <c r="D12644" s="3" t="str">
        <f t="shared" si="2964"/>
        <v>12Go Link</v>
      </c>
      <c r="E12644" s="2" t="s">
        <v>4139</v>
      </c>
    </row>
    <row r="12645">
      <c r="A12645" s="2" t="s">
        <v>4978</v>
      </c>
      <c r="B12645" s="2" t="s">
        <v>5023</v>
      </c>
      <c r="C12645" s="2" t="s">
        <v>6636</v>
      </c>
      <c r="D12645" s="3" t="str">
        <f t="shared" si="2964"/>
        <v>12Go Link</v>
      </c>
      <c r="E12645" s="2" t="s">
        <v>3409</v>
      </c>
    </row>
    <row r="12646">
      <c r="A12646" s="2" t="s">
        <v>4978</v>
      </c>
      <c r="B12646" s="2" t="s">
        <v>5025</v>
      </c>
      <c r="C12646" s="2" t="s">
        <v>6637</v>
      </c>
      <c r="D12646" s="3" t="str">
        <f t="shared" ref="D12646:D12648" si="2965">HYPERLINK("https://12go.asia/en/travel/Alawathupitiya/Udawalawa", "12Go Link")</f>
        <v>12Go Link</v>
      </c>
      <c r="E12646" s="2" t="s">
        <v>286</v>
      </c>
    </row>
    <row r="12647">
      <c r="A12647" s="2" t="s">
        <v>4978</v>
      </c>
      <c r="B12647" s="2" t="s">
        <v>5025</v>
      </c>
      <c r="C12647" s="2" t="s">
        <v>6637</v>
      </c>
      <c r="D12647" s="3" t="str">
        <f t="shared" si="2965"/>
        <v>12Go Link</v>
      </c>
      <c r="E12647" s="2" t="s">
        <v>4139</v>
      </c>
    </row>
    <row r="12648">
      <c r="A12648" s="2" t="s">
        <v>4978</v>
      </c>
      <c r="B12648" s="2" t="s">
        <v>5025</v>
      </c>
      <c r="C12648" s="2" t="s">
        <v>6637</v>
      </c>
      <c r="D12648" s="3" t="str">
        <f t="shared" si="2965"/>
        <v>12Go Link</v>
      </c>
      <c r="E12648" s="2" t="s">
        <v>3409</v>
      </c>
    </row>
    <row r="12649">
      <c r="A12649" s="2" t="s">
        <v>4978</v>
      </c>
      <c r="B12649" s="2" t="s">
        <v>5027</v>
      </c>
      <c r="C12649" s="2" t="s">
        <v>6638</v>
      </c>
      <c r="D12649" s="3" t="str">
        <f t="shared" ref="D12649:D12651" si="2966">HYPERLINK("https://12go.asia/en/travel/Alawathupitiya/Unawatuna", "12Go Link")</f>
        <v>12Go Link</v>
      </c>
      <c r="E12649" s="2" t="s">
        <v>286</v>
      </c>
    </row>
    <row r="12650">
      <c r="A12650" s="2" t="s">
        <v>4978</v>
      </c>
      <c r="B12650" s="2" t="s">
        <v>5027</v>
      </c>
      <c r="C12650" s="2" t="s">
        <v>6638</v>
      </c>
      <c r="D12650" s="3" t="str">
        <f t="shared" si="2966"/>
        <v>12Go Link</v>
      </c>
      <c r="E12650" s="2" t="s">
        <v>4139</v>
      </c>
    </row>
    <row r="12651">
      <c r="A12651" s="2" t="s">
        <v>4978</v>
      </c>
      <c r="B12651" s="2" t="s">
        <v>5027</v>
      </c>
      <c r="C12651" s="2" t="s">
        <v>6638</v>
      </c>
      <c r="D12651" s="3" t="str">
        <f t="shared" si="2966"/>
        <v>12Go Link</v>
      </c>
      <c r="E12651" s="2" t="s">
        <v>3409</v>
      </c>
    </row>
    <row r="12652">
      <c r="A12652" s="2" t="s">
        <v>4978</v>
      </c>
      <c r="B12652" s="2" t="s">
        <v>5029</v>
      </c>
      <c r="C12652" s="2" t="s">
        <v>6639</v>
      </c>
      <c r="D12652" s="3" t="str">
        <f t="shared" ref="D12652:D12654" si="2967">HYPERLINK("https://12go.asia/en/travel/Alawathupitiya/Attanagalla", "12Go Link")</f>
        <v>12Go Link</v>
      </c>
      <c r="E12652" s="2" t="s">
        <v>286</v>
      </c>
    </row>
    <row r="12653">
      <c r="A12653" s="2" t="s">
        <v>4978</v>
      </c>
      <c r="B12653" s="2" t="s">
        <v>5029</v>
      </c>
      <c r="C12653" s="2" t="s">
        <v>6639</v>
      </c>
      <c r="D12653" s="3" t="str">
        <f t="shared" si="2967"/>
        <v>12Go Link</v>
      </c>
      <c r="E12653" s="2" t="s">
        <v>4139</v>
      </c>
    </row>
    <row r="12654">
      <c r="A12654" s="2" t="s">
        <v>4978</v>
      </c>
      <c r="B12654" s="2" t="s">
        <v>5029</v>
      </c>
      <c r="C12654" s="2" t="s">
        <v>6639</v>
      </c>
      <c r="D12654" s="3" t="str">
        <f t="shared" si="2967"/>
        <v>12Go Link</v>
      </c>
      <c r="E12654" s="2" t="s">
        <v>3409</v>
      </c>
    </row>
    <row r="12655">
      <c r="A12655" s="2" t="s">
        <v>4978</v>
      </c>
      <c r="B12655" s="2" t="s">
        <v>5031</v>
      </c>
      <c r="C12655" s="2" t="s">
        <v>6640</v>
      </c>
      <c r="D12655" s="3" t="str">
        <f t="shared" ref="D12655:D12657" si="2968">HYPERLINK("https://12go.asia/en/travel/Alawathupitiya/Moronthuduwa", "12Go Link")</f>
        <v>12Go Link</v>
      </c>
      <c r="E12655" s="2" t="s">
        <v>286</v>
      </c>
    </row>
    <row r="12656">
      <c r="A12656" s="2" t="s">
        <v>4978</v>
      </c>
      <c r="B12656" s="2" t="s">
        <v>5031</v>
      </c>
      <c r="C12656" s="2" t="s">
        <v>6640</v>
      </c>
      <c r="D12656" s="3" t="str">
        <f t="shared" si="2968"/>
        <v>12Go Link</v>
      </c>
      <c r="E12656" s="2" t="s">
        <v>4139</v>
      </c>
    </row>
    <row r="12657">
      <c r="A12657" s="2" t="s">
        <v>4978</v>
      </c>
      <c r="B12657" s="2" t="s">
        <v>5031</v>
      </c>
      <c r="C12657" s="2" t="s">
        <v>6640</v>
      </c>
      <c r="D12657" s="3" t="str">
        <f t="shared" si="2968"/>
        <v>12Go Link</v>
      </c>
      <c r="E12657" s="2" t="s">
        <v>3409</v>
      </c>
    </row>
    <row r="12658">
      <c r="A12658" s="2" t="s">
        <v>4978</v>
      </c>
      <c r="B12658" s="2" t="s">
        <v>5031</v>
      </c>
      <c r="C12658" s="2" t="s">
        <v>6641</v>
      </c>
      <c r="D12658" s="3" t="str">
        <f t="shared" ref="D12658:D12660" si="2969">HYPERLINK("https://12go.asia/en/travel/Alawathupitiya/Waskaduwa", "12Go Link")</f>
        <v>12Go Link</v>
      </c>
      <c r="E12658" s="2" t="s">
        <v>286</v>
      </c>
    </row>
    <row r="12659">
      <c r="A12659" s="2" t="s">
        <v>4978</v>
      </c>
      <c r="B12659" s="2" t="s">
        <v>5031</v>
      </c>
      <c r="C12659" s="2" t="s">
        <v>6641</v>
      </c>
      <c r="D12659" s="3" t="str">
        <f t="shared" si="2969"/>
        <v>12Go Link</v>
      </c>
      <c r="E12659" s="2" t="s">
        <v>4139</v>
      </c>
    </row>
    <row r="12660">
      <c r="A12660" s="2" t="s">
        <v>4978</v>
      </c>
      <c r="B12660" s="2" t="s">
        <v>5031</v>
      </c>
      <c r="C12660" s="2" t="s">
        <v>6641</v>
      </c>
      <c r="D12660" s="3" t="str">
        <f t="shared" si="2969"/>
        <v>12Go Link</v>
      </c>
      <c r="E12660" s="2" t="s">
        <v>3409</v>
      </c>
    </row>
    <row r="12661">
      <c r="A12661" s="2" t="s">
        <v>4978</v>
      </c>
      <c r="B12661" s="2" t="s">
        <v>5034</v>
      </c>
      <c r="C12661" s="2" t="s">
        <v>6642</v>
      </c>
      <c r="D12661" s="3" t="str">
        <f t="shared" ref="D12661:D12663" si="2970">HYPERLINK("https://12go.asia/en/travel/Alawathupitiya/Weddagala", "12Go Link")</f>
        <v>12Go Link</v>
      </c>
      <c r="E12661" s="2" t="s">
        <v>286</v>
      </c>
    </row>
    <row r="12662">
      <c r="A12662" s="2" t="s">
        <v>4978</v>
      </c>
      <c r="B12662" s="2" t="s">
        <v>5034</v>
      </c>
      <c r="C12662" s="2" t="s">
        <v>6642</v>
      </c>
      <c r="D12662" s="3" t="str">
        <f t="shared" si="2970"/>
        <v>12Go Link</v>
      </c>
      <c r="E12662" s="2" t="s">
        <v>4139</v>
      </c>
    </row>
    <row r="12663">
      <c r="A12663" s="2" t="s">
        <v>4978</v>
      </c>
      <c r="B12663" s="2" t="s">
        <v>5034</v>
      </c>
      <c r="C12663" s="2" t="s">
        <v>6642</v>
      </c>
      <c r="D12663" s="3" t="str">
        <f t="shared" si="2970"/>
        <v>12Go Link</v>
      </c>
      <c r="E12663" s="2" t="s">
        <v>3409</v>
      </c>
    </row>
    <row r="12664">
      <c r="A12664" s="2" t="s">
        <v>4978</v>
      </c>
      <c r="B12664" s="2" t="s">
        <v>5036</v>
      </c>
      <c r="C12664" s="2" t="s">
        <v>6643</v>
      </c>
      <c r="D12664" s="3" t="str">
        <f t="shared" ref="D12664:D12666" si="2971">HYPERLINK("https://12go.asia/en/travel/Alawathupitiya/Weligatta", "12Go Link")</f>
        <v>12Go Link</v>
      </c>
      <c r="E12664" s="2" t="s">
        <v>286</v>
      </c>
    </row>
    <row r="12665">
      <c r="A12665" s="2" t="s">
        <v>4978</v>
      </c>
      <c r="B12665" s="2" t="s">
        <v>5036</v>
      </c>
      <c r="C12665" s="2" t="s">
        <v>6643</v>
      </c>
      <c r="D12665" s="3" t="str">
        <f t="shared" si="2971"/>
        <v>12Go Link</v>
      </c>
      <c r="E12665" s="2" t="s">
        <v>4139</v>
      </c>
    </row>
    <row r="12666">
      <c r="A12666" s="2" t="s">
        <v>4978</v>
      </c>
      <c r="B12666" s="2" t="s">
        <v>5036</v>
      </c>
      <c r="C12666" s="2" t="s">
        <v>6643</v>
      </c>
      <c r="D12666" s="3" t="str">
        <f t="shared" si="2971"/>
        <v>12Go Link</v>
      </c>
      <c r="E12666" s="2" t="s">
        <v>3409</v>
      </c>
    </row>
    <row r="12667">
      <c r="A12667" s="2" t="s">
        <v>4978</v>
      </c>
      <c r="B12667" s="2" t="s">
        <v>5038</v>
      </c>
      <c r="C12667" s="2" t="s">
        <v>6644</v>
      </c>
      <c r="D12667" s="3" t="str">
        <f t="shared" ref="D12667:D12669" si="2972">HYPERLINK("https://12go.asia/en/travel/Alawathupitiya/Akuressa", "12Go Link")</f>
        <v>12Go Link</v>
      </c>
      <c r="E12667" s="2" t="s">
        <v>286</v>
      </c>
    </row>
    <row r="12668">
      <c r="A12668" s="2" t="s">
        <v>4978</v>
      </c>
      <c r="B12668" s="2" t="s">
        <v>5038</v>
      </c>
      <c r="C12668" s="2" t="s">
        <v>6644</v>
      </c>
      <c r="D12668" s="3" t="str">
        <f t="shared" si="2972"/>
        <v>12Go Link</v>
      </c>
      <c r="E12668" s="2" t="s">
        <v>4139</v>
      </c>
    </row>
    <row r="12669">
      <c r="A12669" s="2" t="s">
        <v>4978</v>
      </c>
      <c r="B12669" s="2" t="s">
        <v>5038</v>
      </c>
      <c r="C12669" s="2" t="s">
        <v>6644</v>
      </c>
      <c r="D12669" s="3" t="str">
        <f t="shared" si="2972"/>
        <v>12Go Link</v>
      </c>
      <c r="E12669" s="2" t="s">
        <v>3409</v>
      </c>
    </row>
    <row r="12670">
      <c r="A12670" s="2" t="s">
        <v>4978</v>
      </c>
      <c r="B12670" s="2" t="s">
        <v>5040</v>
      </c>
      <c r="C12670" s="2" t="s">
        <v>6645</v>
      </c>
      <c r="D12670" s="3" t="str">
        <f t="shared" ref="D12670:D12672" si="2973">HYPERLINK("https://12go.asia/en/travel/Alawathupitiya/Wilpattu", "12Go Link")</f>
        <v>12Go Link</v>
      </c>
      <c r="E12670" s="2" t="s">
        <v>286</v>
      </c>
    </row>
    <row r="12671">
      <c r="A12671" s="2" t="s">
        <v>4978</v>
      </c>
      <c r="B12671" s="2" t="s">
        <v>5040</v>
      </c>
      <c r="C12671" s="2" t="s">
        <v>6645</v>
      </c>
      <c r="D12671" s="3" t="str">
        <f t="shared" si="2973"/>
        <v>12Go Link</v>
      </c>
      <c r="E12671" s="2" t="s">
        <v>4139</v>
      </c>
    </row>
    <row r="12672">
      <c r="A12672" s="2" t="s">
        <v>4978</v>
      </c>
      <c r="B12672" s="2" t="s">
        <v>5040</v>
      </c>
      <c r="C12672" s="2" t="s">
        <v>6645</v>
      </c>
      <c r="D12672" s="3" t="str">
        <f t="shared" si="2973"/>
        <v>12Go Link</v>
      </c>
      <c r="E12672" s="2" t="s">
        <v>3409</v>
      </c>
    </row>
    <row r="12673">
      <c r="A12673" s="2" t="s">
        <v>4982</v>
      </c>
      <c r="B12673" s="2" t="s">
        <v>4918</v>
      </c>
      <c r="C12673" s="2" t="s">
        <v>6646</v>
      </c>
      <c r="D12673" s="3" t="str">
        <f t="shared" ref="D12673:D12675" si="2974">HYPERLINK("https://12go.asia/en/travel/Kitulgala/Adams-Peak", "12Go Link")</f>
        <v>12Go Link</v>
      </c>
      <c r="E12673" s="2" t="s">
        <v>286</v>
      </c>
    </row>
    <row r="12674">
      <c r="A12674" s="2" t="s">
        <v>4982</v>
      </c>
      <c r="B12674" s="2" t="s">
        <v>4918</v>
      </c>
      <c r="C12674" s="2" t="s">
        <v>6646</v>
      </c>
      <c r="D12674" s="3" t="str">
        <f t="shared" si="2974"/>
        <v>12Go Link</v>
      </c>
      <c r="E12674" s="2" t="s">
        <v>4139</v>
      </c>
    </row>
    <row r="12675">
      <c r="A12675" s="2" t="s">
        <v>4982</v>
      </c>
      <c r="B12675" s="2" t="s">
        <v>4918</v>
      </c>
      <c r="C12675" s="2" t="s">
        <v>6646</v>
      </c>
      <c r="D12675" s="3" t="str">
        <f t="shared" si="2974"/>
        <v>12Go Link</v>
      </c>
      <c r="E12675" s="2" t="s">
        <v>3409</v>
      </c>
    </row>
    <row r="12676">
      <c r="A12676" s="2" t="s">
        <v>4982</v>
      </c>
      <c r="B12676" s="2" t="s">
        <v>4919</v>
      </c>
      <c r="C12676" s="2" t="s">
        <v>6647</v>
      </c>
      <c r="D12676" s="3" t="str">
        <f t="shared" ref="D12676:D12678" si="2975">HYPERLINK("https://12go.asia/en/travel/Kitulgala/Ahangama", "12Go Link")</f>
        <v>12Go Link</v>
      </c>
      <c r="E12676" s="2" t="s">
        <v>286</v>
      </c>
    </row>
    <row r="12677">
      <c r="A12677" s="2" t="s">
        <v>4982</v>
      </c>
      <c r="B12677" s="2" t="s">
        <v>4919</v>
      </c>
      <c r="C12677" s="2" t="s">
        <v>6647</v>
      </c>
      <c r="D12677" s="3" t="str">
        <f t="shared" si="2975"/>
        <v>12Go Link</v>
      </c>
      <c r="E12677" s="2" t="s">
        <v>4139</v>
      </c>
    </row>
    <row r="12678">
      <c r="A12678" s="2" t="s">
        <v>4982</v>
      </c>
      <c r="B12678" s="2" t="s">
        <v>4919</v>
      </c>
      <c r="C12678" s="2" t="s">
        <v>6647</v>
      </c>
      <c r="D12678" s="3" t="str">
        <f t="shared" si="2975"/>
        <v>12Go Link</v>
      </c>
      <c r="E12678" s="2" t="s">
        <v>3409</v>
      </c>
    </row>
    <row r="12679">
      <c r="A12679" s="2" t="s">
        <v>4982</v>
      </c>
      <c r="B12679" s="2" t="s">
        <v>4921</v>
      </c>
      <c r="C12679" s="2" t="s">
        <v>6648</v>
      </c>
      <c r="D12679" s="3" t="str">
        <f t="shared" ref="D12679:D12681" si="2976">HYPERLINK("https://12go.asia/en/travel/Kitulgala/Ahungalla", "12Go Link")</f>
        <v>12Go Link</v>
      </c>
      <c r="E12679" s="2" t="s">
        <v>286</v>
      </c>
    </row>
    <row r="12680">
      <c r="A12680" s="2" t="s">
        <v>4982</v>
      </c>
      <c r="B12680" s="2" t="s">
        <v>4921</v>
      </c>
      <c r="C12680" s="2" t="s">
        <v>6648</v>
      </c>
      <c r="D12680" s="3" t="str">
        <f t="shared" si="2976"/>
        <v>12Go Link</v>
      </c>
      <c r="E12680" s="2" t="s">
        <v>4139</v>
      </c>
    </row>
    <row r="12681">
      <c r="A12681" s="2" t="s">
        <v>4982</v>
      </c>
      <c r="B12681" s="2" t="s">
        <v>4921</v>
      </c>
      <c r="C12681" s="2" t="s">
        <v>6648</v>
      </c>
      <c r="D12681" s="3" t="str">
        <f t="shared" si="2976"/>
        <v>12Go Link</v>
      </c>
      <c r="E12681" s="2" t="s">
        <v>3409</v>
      </c>
    </row>
    <row r="12682">
      <c r="A12682" s="2" t="s">
        <v>4982</v>
      </c>
      <c r="B12682" s="2" t="s">
        <v>4923</v>
      </c>
      <c r="C12682" s="2" t="s">
        <v>6649</v>
      </c>
      <c r="D12682" s="3" t="str">
        <f t="shared" ref="D12682:D12684" si="2977">HYPERLINK("https://12go.asia/en/travel/Kitulgala/Aluthgama", "12Go Link")</f>
        <v>12Go Link</v>
      </c>
      <c r="E12682" s="2" t="s">
        <v>286</v>
      </c>
    </row>
    <row r="12683">
      <c r="A12683" s="2" t="s">
        <v>4982</v>
      </c>
      <c r="B12683" s="2" t="s">
        <v>4923</v>
      </c>
      <c r="C12683" s="2" t="s">
        <v>6649</v>
      </c>
      <c r="D12683" s="3" t="str">
        <f t="shared" si="2977"/>
        <v>12Go Link</v>
      </c>
      <c r="E12683" s="2" t="s">
        <v>4139</v>
      </c>
    </row>
    <row r="12684">
      <c r="A12684" s="2" t="s">
        <v>4982</v>
      </c>
      <c r="B12684" s="2" t="s">
        <v>4923</v>
      </c>
      <c r="C12684" s="2" t="s">
        <v>6649</v>
      </c>
      <c r="D12684" s="3" t="str">
        <f t="shared" si="2977"/>
        <v>12Go Link</v>
      </c>
      <c r="E12684" s="2" t="s">
        <v>3409</v>
      </c>
    </row>
    <row r="12685">
      <c r="A12685" s="2" t="s">
        <v>4982</v>
      </c>
      <c r="B12685" s="2" t="s">
        <v>4925</v>
      </c>
      <c r="C12685" s="2" t="s">
        <v>6650</v>
      </c>
      <c r="D12685" s="3" t="str">
        <f t="shared" ref="D12685:D12687" si="2978">HYPERLINK("https://12go.asia/en/travel/Kitulgala/Ambalangoda", "12Go Link")</f>
        <v>12Go Link</v>
      </c>
      <c r="E12685" s="2" t="s">
        <v>286</v>
      </c>
    </row>
    <row r="12686">
      <c r="A12686" s="2" t="s">
        <v>4982</v>
      </c>
      <c r="B12686" s="2" t="s">
        <v>4925</v>
      </c>
      <c r="C12686" s="2" t="s">
        <v>6650</v>
      </c>
      <c r="D12686" s="3" t="str">
        <f t="shared" si="2978"/>
        <v>12Go Link</v>
      </c>
      <c r="E12686" s="2" t="s">
        <v>4139</v>
      </c>
    </row>
    <row r="12687">
      <c r="A12687" s="2" t="s">
        <v>4982</v>
      </c>
      <c r="B12687" s="2" t="s">
        <v>4925</v>
      </c>
      <c r="C12687" s="2" t="s">
        <v>6650</v>
      </c>
      <c r="D12687" s="3" t="str">
        <f t="shared" si="2978"/>
        <v>12Go Link</v>
      </c>
      <c r="E12687" s="2" t="s">
        <v>3409</v>
      </c>
    </row>
    <row r="12688">
      <c r="A12688" s="2" t="s">
        <v>4982</v>
      </c>
      <c r="B12688" s="2" t="s">
        <v>4927</v>
      </c>
      <c r="C12688" s="2" t="s">
        <v>6651</v>
      </c>
      <c r="D12688" s="3" t="str">
        <f t="shared" ref="D12688:D12690" si="2979">HYPERLINK("https://12go.asia/en/travel/Kitulgala/Ambalantota", "12Go Link")</f>
        <v>12Go Link</v>
      </c>
      <c r="E12688" s="2" t="s">
        <v>286</v>
      </c>
    </row>
    <row r="12689">
      <c r="A12689" s="2" t="s">
        <v>4982</v>
      </c>
      <c r="B12689" s="2" t="s">
        <v>4927</v>
      </c>
      <c r="C12689" s="2" t="s">
        <v>6651</v>
      </c>
      <c r="D12689" s="3" t="str">
        <f t="shared" si="2979"/>
        <v>12Go Link</v>
      </c>
      <c r="E12689" s="2" t="s">
        <v>4139</v>
      </c>
    </row>
    <row r="12690">
      <c r="A12690" s="2" t="s">
        <v>4982</v>
      </c>
      <c r="B12690" s="2" t="s">
        <v>4927</v>
      </c>
      <c r="C12690" s="2" t="s">
        <v>6651</v>
      </c>
      <c r="D12690" s="3" t="str">
        <f t="shared" si="2979"/>
        <v>12Go Link</v>
      </c>
      <c r="E12690" s="2" t="s">
        <v>3409</v>
      </c>
    </row>
    <row r="12691">
      <c r="A12691" s="2" t="s">
        <v>4982</v>
      </c>
      <c r="B12691" s="2" t="s">
        <v>4929</v>
      </c>
      <c r="C12691" s="2" t="s">
        <v>6652</v>
      </c>
      <c r="D12691" s="3" t="str">
        <f t="shared" ref="D12691:D12693" si="2980">HYPERLINK("https://12go.asia/en/travel/Kitulgala/Anuradhapura", "12Go Link")</f>
        <v>12Go Link</v>
      </c>
      <c r="E12691" s="2" t="s">
        <v>286</v>
      </c>
    </row>
    <row r="12692">
      <c r="A12692" s="2" t="s">
        <v>4982</v>
      </c>
      <c r="B12692" s="2" t="s">
        <v>4929</v>
      </c>
      <c r="C12692" s="2" t="s">
        <v>6652</v>
      </c>
      <c r="D12692" s="3" t="str">
        <f t="shared" si="2980"/>
        <v>12Go Link</v>
      </c>
      <c r="E12692" s="2" t="s">
        <v>4139</v>
      </c>
    </row>
    <row r="12693">
      <c r="A12693" s="2" t="s">
        <v>4982</v>
      </c>
      <c r="B12693" s="2" t="s">
        <v>4929</v>
      </c>
      <c r="C12693" s="2" t="s">
        <v>6652</v>
      </c>
      <c r="D12693" s="3" t="str">
        <f t="shared" si="2980"/>
        <v>12Go Link</v>
      </c>
      <c r="E12693" s="2" t="s">
        <v>3409</v>
      </c>
    </row>
    <row r="12694">
      <c r="A12694" s="2" t="s">
        <v>4982</v>
      </c>
      <c r="B12694" s="2" t="s">
        <v>4931</v>
      </c>
      <c r="C12694" s="2" t="s">
        <v>6653</v>
      </c>
      <c r="D12694" s="3" t="str">
        <f t="shared" ref="D12694:D12696" si="2981">HYPERLINK("https://12go.asia/en/travel/Kitulgala/Arugam-bay", "12Go Link")</f>
        <v>12Go Link</v>
      </c>
      <c r="E12694" s="2" t="s">
        <v>286</v>
      </c>
    </row>
    <row r="12695">
      <c r="A12695" s="2" t="s">
        <v>4982</v>
      </c>
      <c r="B12695" s="2" t="s">
        <v>4931</v>
      </c>
      <c r="C12695" s="2" t="s">
        <v>6653</v>
      </c>
      <c r="D12695" s="3" t="str">
        <f t="shared" si="2981"/>
        <v>12Go Link</v>
      </c>
      <c r="E12695" s="2" t="s">
        <v>4139</v>
      </c>
    </row>
    <row r="12696">
      <c r="A12696" s="2" t="s">
        <v>4982</v>
      </c>
      <c r="B12696" s="2" t="s">
        <v>4931</v>
      </c>
      <c r="C12696" s="2" t="s">
        <v>6653</v>
      </c>
      <c r="D12696" s="3" t="str">
        <f t="shared" si="2981"/>
        <v>12Go Link</v>
      </c>
      <c r="E12696" s="2" t="s">
        <v>3409</v>
      </c>
    </row>
    <row r="12697">
      <c r="A12697" s="2" t="s">
        <v>4982</v>
      </c>
      <c r="B12697" s="2" t="s">
        <v>4933</v>
      </c>
      <c r="C12697" s="2" t="s">
        <v>6654</v>
      </c>
      <c r="D12697" s="3" t="str">
        <f t="shared" ref="D12697:D12699" si="2982">HYPERLINK("https://12go.asia/en/travel/Kitulgala/balapitiya", "12Go Link")</f>
        <v>12Go Link</v>
      </c>
      <c r="E12697" s="2" t="s">
        <v>286</v>
      </c>
    </row>
    <row r="12698">
      <c r="A12698" s="2" t="s">
        <v>4982</v>
      </c>
      <c r="B12698" s="2" t="s">
        <v>4933</v>
      </c>
      <c r="C12698" s="2" t="s">
        <v>6654</v>
      </c>
      <c r="D12698" s="3" t="str">
        <f t="shared" si="2982"/>
        <v>12Go Link</v>
      </c>
      <c r="E12698" s="2" t="s">
        <v>4139</v>
      </c>
    </row>
    <row r="12699">
      <c r="A12699" s="2" t="s">
        <v>4982</v>
      </c>
      <c r="B12699" s="2" t="s">
        <v>4933</v>
      </c>
      <c r="C12699" s="2" t="s">
        <v>6654</v>
      </c>
      <c r="D12699" s="3" t="str">
        <f t="shared" si="2982"/>
        <v>12Go Link</v>
      </c>
      <c r="E12699" s="2" t="s">
        <v>3409</v>
      </c>
    </row>
    <row r="12700">
      <c r="A12700" s="2" t="s">
        <v>4982</v>
      </c>
      <c r="B12700" s="2" t="s">
        <v>4935</v>
      </c>
      <c r="C12700" s="2" t="s">
        <v>6655</v>
      </c>
      <c r="D12700" s="3" t="str">
        <f t="shared" ref="D12700:D12702" si="2983">HYPERLINK("https://12go.asia/en/travel/Kitulgala/Batticaloa", "12Go Link")</f>
        <v>12Go Link</v>
      </c>
      <c r="E12700" s="2" t="s">
        <v>286</v>
      </c>
    </row>
    <row r="12701">
      <c r="A12701" s="2" t="s">
        <v>4982</v>
      </c>
      <c r="B12701" s="2" t="s">
        <v>4935</v>
      </c>
      <c r="C12701" s="2" t="s">
        <v>6655</v>
      </c>
      <c r="D12701" s="3" t="str">
        <f t="shared" si="2983"/>
        <v>12Go Link</v>
      </c>
      <c r="E12701" s="2" t="s">
        <v>4139</v>
      </c>
    </row>
    <row r="12702">
      <c r="A12702" s="2" t="s">
        <v>4982</v>
      </c>
      <c r="B12702" s="2" t="s">
        <v>4935</v>
      </c>
      <c r="C12702" s="2" t="s">
        <v>6655</v>
      </c>
      <c r="D12702" s="3" t="str">
        <f t="shared" si="2983"/>
        <v>12Go Link</v>
      </c>
      <c r="E12702" s="2" t="s">
        <v>3409</v>
      </c>
    </row>
    <row r="12703">
      <c r="A12703" s="2" t="s">
        <v>4982</v>
      </c>
      <c r="B12703" s="2" t="s">
        <v>4937</v>
      </c>
      <c r="C12703" s="2" t="s">
        <v>6656</v>
      </c>
      <c r="D12703" s="3" t="str">
        <f t="shared" ref="D12703:D12705" si="2984">HYPERLINK("https://12go.asia/en/travel/Kitulgala/Bentota", "12Go Link")</f>
        <v>12Go Link</v>
      </c>
      <c r="E12703" s="2" t="s">
        <v>286</v>
      </c>
    </row>
    <row r="12704">
      <c r="A12704" s="2" t="s">
        <v>4982</v>
      </c>
      <c r="B12704" s="2" t="s">
        <v>4937</v>
      </c>
      <c r="C12704" s="2" t="s">
        <v>6656</v>
      </c>
      <c r="D12704" s="3" t="str">
        <f t="shared" si="2984"/>
        <v>12Go Link</v>
      </c>
      <c r="E12704" s="2" t="s">
        <v>4139</v>
      </c>
    </row>
    <row r="12705">
      <c r="A12705" s="2" t="s">
        <v>4982</v>
      </c>
      <c r="B12705" s="2" t="s">
        <v>4937</v>
      </c>
      <c r="C12705" s="2" t="s">
        <v>6656</v>
      </c>
      <c r="D12705" s="3" t="str">
        <f t="shared" si="2984"/>
        <v>12Go Link</v>
      </c>
      <c r="E12705" s="2" t="s">
        <v>3409</v>
      </c>
    </row>
    <row r="12706">
      <c r="A12706" s="2" t="s">
        <v>4982</v>
      </c>
      <c r="B12706" s="2" t="s">
        <v>4939</v>
      </c>
      <c r="C12706" s="2" t="s">
        <v>6657</v>
      </c>
      <c r="D12706" s="3" t="str">
        <f t="shared" ref="D12706:D12708" si="2985">HYPERLINK("https://12go.asia/en/travel/Kitulgala/Beruwala", "12Go Link")</f>
        <v>12Go Link</v>
      </c>
      <c r="E12706" s="2" t="s">
        <v>286</v>
      </c>
    </row>
    <row r="12707">
      <c r="A12707" s="2" t="s">
        <v>4982</v>
      </c>
      <c r="B12707" s="2" t="s">
        <v>4939</v>
      </c>
      <c r="C12707" s="2" t="s">
        <v>6657</v>
      </c>
      <c r="D12707" s="3" t="str">
        <f t="shared" si="2985"/>
        <v>12Go Link</v>
      </c>
      <c r="E12707" s="2" t="s">
        <v>4139</v>
      </c>
    </row>
    <row r="12708">
      <c r="A12708" s="2" t="s">
        <v>4982</v>
      </c>
      <c r="B12708" s="2" t="s">
        <v>4939</v>
      </c>
      <c r="C12708" s="2" t="s">
        <v>6657</v>
      </c>
      <c r="D12708" s="3" t="str">
        <f t="shared" si="2985"/>
        <v>12Go Link</v>
      </c>
      <c r="E12708" s="2" t="s">
        <v>3409</v>
      </c>
    </row>
    <row r="12709">
      <c r="A12709" s="2" t="s">
        <v>4982</v>
      </c>
      <c r="B12709" s="2" t="s">
        <v>4941</v>
      </c>
      <c r="C12709" s="2" t="s">
        <v>6658</v>
      </c>
      <c r="D12709" s="3" t="str">
        <f t="shared" ref="D12709:D12711" si="2986">HYPERLINK("https://12go.asia/en/travel/Kitulgala/Bundala", "12Go Link")</f>
        <v>12Go Link</v>
      </c>
      <c r="E12709" s="2" t="s">
        <v>286</v>
      </c>
    </row>
    <row r="12710">
      <c r="A12710" s="2" t="s">
        <v>4982</v>
      </c>
      <c r="B12710" s="2" t="s">
        <v>4941</v>
      </c>
      <c r="C12710" s="2" t="s">
        <v>6658</v>
      </c>
      <c r="D12710" s="3" t="str">
        <f t="shared" si="2986"/>
        <v>12Go Link</v>
      </c>
      <c r="E12710" s="2" t="s">
        <v>4139</v>
      </c>
    </row>
    <row r="12711">
      <c r="A12711" s="2" t="s">
        <v>4982</v>
      </c>
      <c r="B12711" s="2" t="s">
        <v>4941</v>
      </c>
      <c r="C12711" s="2" t="s">
        <v>6658</v>
      </c>
      <c r="D12711" s="3" t="str">
        <f t="shared" si="2986"/>
        <v>12Go Link</v>
      </c>
      <c r="E12711" s="2" t="s">
        <v>3409</v>
      </c>
    </row>
    <row r="12712">
      <c r="A12712" s="2" t="s">
        <v>4982</v>
      </c>
      <c r="B12712" s="2" t="s">
        <v>4943</v>
      </c>
      <c r="C12712" s="2" t="s">
        <v>6659</v>
      </c>
      <c r="D12712" s="3" t="str">
        <f t="shared" ref="D12712:D12714" si="2987">HYPERLINK("https://12go.asia/en/travel/Kitulgala/Bambalapitiya", "12Go Link")</f>
        <v>12Go Link</v>
      </c>
      <c r="E12712" s="2" t="s">
        <v>286</v>
      </c>
    </row>
    <row r="12713">
      <c r="A12713" s="2" t="s">
        <v>4982</v>
      </c>
      <c r="B12713" s="2" t="s">
        <v>4943</v>
      </c>
      <c r="C12713" s="2" t="s">
        <v>6659</v>
      </c>
      <c r="D12713" s="3" t="str">
        <f t="shared" si="2987"/>
        <v>12Go Link</v>
      </c>
      <c r="E12713" s="2" t="s">
        <v>4139</v>
      </c>
    </row>
    <row r="12714">
      <c r="A12714" s="2" t="s">
        <v>4982</v>
      </c>
      <c r="B12714" s="2" t="s">
        <v>4943</v>
      </c>
      <c r="C12714" s="2" t="s">
        <v>6659</v>
      </c>
      <c r="D12714" s="3" t="str">
        <f t="shared" si="2987"/>
        <v>12Go Link</v>
      </c>
      <c r="E12714" s="2" t="s">
        <v>3409</v>
      </c>
    </row>
    <row r="12715">
      <c r="A12715" s="2" t="s">
        <v>4982</v>
      </c>
      <c r="B12715" s="2" t="s">
        <v>4945</v>
      </c>
      <c r="C12715" s="2" t="s">
        <v>6660</v>
      </c>
      <c r="D12715" s="3" t="str">
        <f t="shared" ref="D12715:D12717" si="2988">HYPERLINK("https://12go.asia/en/travel/Kitulgala/Bandaranaike-Airport", "12Go Link")</f>
        <v>12Go Link</v>
      </c>
      <c r="E12715" s="2" t="s">
        <v>286</v>
      </c>
    </row>
    <row r="12716">
      <c r="A12716" s="2" t="s">
        <v>4982</v>
      </c>
      <c r="B12716" s="2" t="s">
        <v>4945</v>
      </c>
      <c r="C12716" s="2" t="s">
        <v>6660</v>
      </c>
      <c r="D12716" s="3" t="str">
        <f t="shared" si="2988"/>
        <v>12Go Link</v>
      </c>
      <c r="E12716" s="2" t="s">
        <v>4139</v>
      </c>
    </row>
    <row r="12717">
      <c r="A12717" s="2" t="s">
        <v>4982</v>
      </c>
      <c r="B12717" s="2" t="s">
        <v>4945</v>
      </c>
      <c r="C12717" s="2" t="s">
        <v>6660</v>
      </c>
      <c r="D12717" s="3" t="str">
        <f t="shared" si="2988"/>
        <v>12Go Link</v>
      </c>
      <c r="E12717" s="2" t="s">
        <v>3409</v>
      </c>
    </row>
    <row r="12718">
      <c r="A12718" s="2" t="s">
        <v>4982</v>
      </c>
      <c r="B12718" s="2" t="s">
        <v>4947</v>
      </c>
      <c r="C12718" s="2" t="s">
        <v>6661</v>
      </c>
      <c r="D12718" s="3" t="str">
        <f t="shared" ref="D12718:D12720" si="2989">HYPERLINK("https://12go.asia/en/travel/Kitulgala/Dambulla", "12Go Link")</f>
        <v>12Go Link</v>
      </c>
      <c r="E12718" s="2" t="s">
        <v>286</v>
      </c>
    </row>
    <row r="12719">
      <c r="A12719" s="2" t="s">
        <v>4982</v>
      </c>
      <c r="B12719" s="2" t="s">
        <v>4947</v>
      </c>
      <c r="C12719" s="2" t="s">
        <v>6661</v>
      </c>
      <c r="D12719" s="3" t="str">
        <f t="shared" si="2989"/>
        <v>12Go Link</v>
      </c>
      <c r="E12719" s="2" t="s">
        <v>4139</v>
      </c>
    </row>
    <row r="12720">
      <c r="A12720" s="2" t="s">
        <v>4982</v>
      </c>
      <c r="B12720" s="2" t="s">
        <v>4947</v>
      </c>
      <c r="C12720" s="2" t="s">
        <v>6661</v>
      </c>
      <c r="D12720" s="3" t="str">
        <f t="shared" si="2989"/>
        <v>12Go Link</v>
      </c>
      <c r="E12720" s="2" t="s">
        <v>3409</v>
      </c>
    </row>
    <row r="12721">
      <c r="A12721" s="2" t="s">
        <v>4982</v>
      </c>
      <c r="B12721" s="2" t="s">
        <v>4949</v>
      </c>
      <c r="C12721" s="2" t="s">
        <v>6662</v>
      </c>
      <c r="D12721" s="3" t="str">
        <f t="shared" ref="D12721:D12723" si="2990">HYPERLINK("https://12go.asia/en/travel/Kitulgala/Deniyaya", "12Go Link")</f>
        <v>12Go Link</v>
      </c>
      <c r="E12721" s="2" t="s">
        <v>286</v>
      </c>
    </row>
    <row r="12722">
      <c r="A12722" s="2" t="s">
        <v>4982</v>
      </c>
      <c r="B12722" s="2" t="s">
        <v>4949</v>
      </c>
      <c r="C12722" s="2" t="s">
        <v>6662</v>
      </c>
      <c r="D12722" s="3" t="str">
        <f t="shared" si="2990"/>
        <v>12Go Link</v>
      </c>
      <c r="E12722" s="2" t="s">
        <v>4139</v>
      </c>
    </row>
    <row r="12723">
      <c r="A12723" s="2" t="s">
        <v>4982</v>
      </c>
      <c r="B12723" s="2" t="s">
        <v>4949</v>
      </c>
      <c r="C12723" s="2" t="s">
        <v>6662</v>
      </c>
      <c r="D12723" s="3" t="str">
        <f t="shared" si="2990"/>
        <v>12Go Link</v>
      </c>
      <c r="E12723" s="2" t="s">
        <v>3409</v>
      </c>
    </row>
    <row r="12724">
      <c r="A12724" s="2" t="s">
        <v>4982</v>
      </c>
      <c r="B12724" s="2" t="s">
        <v>4951</v>
      </c>
      <c r="C12724" s="2" t="s">
        <v>6663</v>
      </c>
      <c r="D12724" s="3" t="str">
        <f t="shared" ref="D12724:D12726" si="2991">HYPERLINK("https://12go.asia/en/travel/Kitulgala/Dickwella", "12Go Link")</f>
        <v>12Go Link</v>
      </c>
      <c r="E12724" s="2" t="s">
        <v>286</v>
      </c>
    </row>
    <row r="12725">
      <c r="A12725" s="2" t="s">
        <v>4982</v>
      </c>
      <c r="B12725" s="2" t="s">
        <v>4951</v>
      </c>
      <c r="C12725" s="2" t="s">
        <v>6663</v>
      </c>
      <c r="D12725" s="3" t="str">
        <f t="shared" si="2991"/>
        <v>12Go Link</v>
      </c>
      <c r="E12725" s="2" t="s">
        <v>4139</v>
      </c>
    </row>
    <row r="12726">
      <c r="A12726" s="2" t="s">
        <v>4982</v>
      </c>
      <c r="B12726" s="2" t="s">
        <v>4951</v>
      </c>
      <c r="C12726" s="2" t="s">
        <v>6663</v>
      </c>
      <c r="D12726" s="3" t="str">
        <f t="shared" si="2991"/>
        <v>12Go Link</v>
      </c>
      <c r="E12726" s="2" t="s">
        <v>3409</v>
      </c>
    </row>
    <row r="12727">
      <c r="A12727" s="2" t="s">
        <v>4982</v>
      </c>
      <c r="B12727" s="2" t="s">
        <v>4951</v>
      </c>
      <c r="C12727" s="2" t="s">
        <v>6664</v>
      </c>
      <c r="D12727" s="3" t="str">
        <f t="shared" ref="D12727:D12729" si="2992">HYPERLINK("https://12go.asia/en/travel/Kitulgala/Hiriketiya-beach", "12Go Link")</f>
        <v>12Go Link</v>
      </c>
      <c r="E12727" s="2" t="s">
        <v>286</v>
      </c>
    </row>
    <row r="12728">
      <c r="A12728" s="2" t="s">
        <v>4982</v>
      </c>
      <c r="B12728" s="2" t="s">
        <v>4951</v>
      </c>
      <c r="C12728" s="2" t="s">
        <v>6664</v>
      </c>
      <c r="D12728" s="3" t="str">
        <f t="shared" si="2992"/>
        <v>12Go Link</v>
      </c>
      <c r="E12728" s="2" t="s">
        <v>4139</v>
      </c>
    </row>
    <row r="12729">
      <c r="A12729" s="2" t="s">
        <v>4982</v>
      </c>
      <c r="B12729" s="2" t="s">
        <v>4951</v>
      </c>
      <c r="C12729" s="2" t="s">
        <v>6664</v>
      </c>
      <c r="D12729" s="3" t="str">
        <f t="shared" si="2992"/>
        <v>12Go Link</v>
      </c>
      <c r="E12729" s="2" t="s">
        <v>3409</v>
      </c>
    </row>
    <row r="12730">
      <c r="A12730" s="2" t="s">
        <v>4982</v>
      </c>
      <c r="B12730" s="2" t="s">
        <v>4954</v>
      </c>
      <c r="C12730" s="2" t="s">
        <v>6665</v>
      </c>
      <c r="D12730" s="3" t="str">
        <f t="shared" ref="D12730:D12732" si="2993">HYPERLINK("https://12go.asia/en/travel/Kitulgala/Galle", "12Go Link")</f>
        <v>12Go Link</v>
      </c>
      <c r="E12730" s="2" t="s">
        <v>286</v>
      </c>
    </row>
    <row r="12731">
      <c r="A12731" s="2" t="s">
        <v>4982</v>
      </c>
      <c r="B12731" s="2" t="s">
        <v>4954</v>
      </c>
      <c r="C12731" s="2" t="s">
        <v>6665</v>
      </c>
      <c r="D12731" s="3" t="str">
        <f t="shared" si="2993"/>
        <v>12Go Link</v>
      </c>
      <c r="E12731" s="2" t="s">
        <v>4139</v>
      </c>
    </row>
    <row r="12732">
      <c r="A12732" s="2" t="s">
        <v>4982</v>
      </c>
      <c r="B12732" s="2" t="s">
        <v>4954</v>
      </c>
      <c r="C12732" s="2" t="s">
        <v>6665</v>
      </c>
      <c r="D12732" s="3" t="str">
        <f t="shared" si="2993"/>
        <v>12Go Link</v>
      </c>
      <c r="E12732" s="2" t="s">
        <v>3409</v>
      </c>
    </row>
    <row r="12733">
      <c r="A12733" s="2" t="s">
        <v>4982</v>
      </c>
      <c r="B12733" s="2" t="s">
        <v>4954</v>
      </c>
      <c r="C12733" s="2" t="s">
        <v>6666</v>
      </c>
      <c r="D12733" s="3" t="str">
        <f t="shared" ref="D12733:D12735" si="2994">HYPERLINK("https://12go.asia/en/travel/Kitulgala/Talpe", "12Go Link")</f>
        <v>12Go Link</v>
      </c>
      <c r="E12733" s="2" t="s">
        <v>286</v>
      </c>
    </row>
    <row r="12734">
      <c r="A12734" s="2" t="s">
        <v>4982</v>
      </c>
      <c r="B12734" s="2" t="s">
        <v>4954</v>
      </c>
      <c r="C12734" s="2" t="s">
        <v>6666</v>
      </c>
      <c r="D12734" s="3" t="str">
        <f t="shared" si="2994"/>
        <v>12Go Link</v>
      </c>
      <c r="E12734" s="2" t="s">
        <v>4139</v>
      </c>
    </row>
    <row r="12735">
      <c r="A12735" s="2" t="s">
        <v>4982</v>
      </c>
      <c r="B12735" s="2" t="s">
        <v>4954</v>
      </c>
      <c r="C12735" s="2" t="s">
        <v>6666</v>
      </c>
      <c r="D12735" s="3" t="str">
        <f t="shared" si="2994"/>
        <v>12Go Link</v>
      </c>
      <c r="E12735" s="2" t="s">
        <v>3409</v>
      </c>
    </row>
    <row r="12736">
      <c r="A12736" s="2" t="s">
        <v>4982</v>
      </c>
      <c r="B12736" s="2" t="s">
        <v>4957</v>
      </c>
      <c r="C12736" s="2" t="s">
        <v>6667</v>
      </c>
      <c r="D12736" s="3" t="str">
        <f t="shared" ref="D12736:D12738" si="2995">HYPERLINK("https://12go.asia/en/travel/Kitulgala/Habarana", "12Go Link")</f>
        <v>12Go Link</v>
      </c>
      <c r="E12736" s="2" t="s">
        <v>286</v>
      </c>
    </row>
    <row r="12737">
      <c r="A12737" s="2" t="s">
        <v>4982</v>
      </c>
      <c r="B12737" s="2" t="s">
        <v>4957</v>
      </c>
      <c r="C12737" s="2" t="s">
        <v>6667</v>
      </c>
      <c r="D12737" s="3" t="str">
        <f t="shared" si="2995"/>
        <v>12Go Link</v>
      </c>
      <c r="E12737" s="2" t="s">
        <v>4139</v>
      </c>
    </row>
    <row r="12738">
      <c r="A12738" s="2" t="s">
        <v>4982</v>
      </c>
      <c r="B12738" s="2" t="s">
        <v>4957</v>
      </c>
      <c r="C12738" s="2" t="s">
        <v>6667</v>
      </c>
      <c r="D12738" s="3" t="str">
        <f t="shared" si="2995"/>
        <v>12Go Link</v>
      </c>
      <c r="E12738" s="2" t="s">
        <v>3409</v>
      </c>
    </row>
    <row r="12739">
      <c r="A12739" s="2" t="s">
        <v>4982</v>
      </c>
      <c r="B12739" s="2" t="s">
        <v>4959</v>
      </c>
      <c r="C12739" s="2" t="s">
        <v>6668</v>
      </c>
      <c r="D12739" s="3" t="str">
        <f t="shared" ref="D12739:D12741" si="2996">HYPERLINK("https://12go.asia/en/travel/Kitulgala/Ella", "12Go Link")</f>
        <v>12Go Link</v>
      </c>
      <c r="E12739" s="2" t="s">
        <v>286</v>
      </c>
    </row>
    <row r="12740">
      <c r="A12740" s="2" t="s">
        <v>4982</v>
      </c>
      <c r="B12740" s="2" t="s">
        <v>4959</v>
      </c>
      <c r="C12740" s="2" t="s">
        <v>6668</v>
      </c>
      <c r="D12740" s="3" t="str">
        <f t="shared" si="2996"/>
        <v>12Go Link</v>
      </c>
      <c r="E12740" s="2" t="s">
        <v>4139</v>
      </c>
    </row>
    <row r="12741">
      <c r="A12741" s="2" t="s">
        <v>4982</v>
      </c>
      <c r="B12741" s="2" t="s">
        <v>4959</v>
      </c>
      <c r="C12741" s="2" t="s">
        <v>6668</v>
      </c>
      <c r="D12741" s="3" t="str">
        <f t="shared" si="2996"/>
        <v>12Go Link</v>
      </c>
      <c r="E12741" s="2" t="s">
        <v>3409</v>
      </c>
    </row>
    <row r="12742">
      <c r="A12742" s="2" t="s">
        <v>4982</v>
      </c>
      <c r="B12742" s="2" t="s">
        <v>4961</v>
      </c>
      <c r="C12742" s="2" t="s">
        <v>6669</v>
      </c>
      <c r="D12742" s="3" t="str">
        <f t="shared" ref="D12742:D12744" si="2997">HYPERLINK("https://12go.asia/en/travel/Kitulgala/Beragala", "12Go Link")</f>
        <v>12Go Link</v>
      </c>
      <c r="E12742" s="2" t="s">
        <v>286</v>
      </c>
    </row>
    <row r="12743">
      <c r="A12743" s="2" t="s">
        <v>4982</v>
      </c>
      <c r="B12743" s="2" t="s">
        <v>4961</v>
      </c>
      <c r="C12743" s="2" t="s">
        <v>6669</v>
      </c>
      <c r="D12743" s="3" t="str">
        <f t="shared" si="2997"/>
        <v>12Go Link</v>
      </c>
      <c r="E12743" s="2" t="s">
        <v>4139</v>
      </c>
    </row>
    <row r="12744">
      <c r="A12744" s="2" t="s">
        <v>4982</v>
      </c>
      <c r="B12744" s="2" t="s">
        <v>4961</v>
      </c>
      <c r="C12744" s="2" t="s">
        <v>6669</v>
      </c>
      <c r="D12744" s="3" t="str">
        <f t="shared" si="2997"/>
        <v>12Go Link</v>
      </c>
      <c r="E12744" s="2" t="s">
        <v>3409</v>
      </c>
    </row>
    <row r="12745">
      <c r="A12745" s="2" t="s">
        <v>4982</v>
      </c>
      <c r="B12745" s="2" t="s">
        <v>4963</v>
      </c>
      <c r="C12745" s="2" t="s">
        <v>6670</v>
      </c>
      <c r="D12745" s="3" t="str">
        <f t="shared" ref="D12745:D12747" si="2998">HYPERLINK("https://12go.asia/en/travel/Kitulgala/Dick-oya", "12Go Link")</f>
        <v>12Go Link</v>
      </c>
      <c r="E12745" s="2" t="s">
        <v>286</v>
      </c>
    </row>
    <row r="12746">
      <c r="A12746" s="2" t="s">
        <v>4982</v>
      </c>
      <c r="B12746" s="2" t="s">
        <v>4963</v>
      </c>
      <c r="C12746" s="2" t="s">
        <v>6670</v>
      </c>
      <c r="D12746" s="3" t="str">
        <f t="shared" si="2998"/>
        <v>12Go Link</v>
      </c>
      <c r="E12746" s="2" t="s">
        <v>4139</v>
      </c>
    </row>
    <row r="12747">
      <c r="A12747" s="2" t="s">
        <v>4982</v>
      </c>
      <c r="B12747" s="2" t="s">
        <v>4963</v>
      </c>
      <c r="C12747" s="2" t="s">
        <v>6670</v>
      </c>
      <c r="D12747" s="3" t="str">
        <f t="shared" si="2998"/>
        <v>12Go Link</v>
      </c>
      <c r="E12747" s="2" t="s">
        <v>3409</v>
      </c>
    </row>
    <row r="12748">
      <c r="A12748" s="2" t="s">
        <v>4982</v>
      </c>
      <c r="B12748" s="2" t="s">
        <v>4965</v>
      </c>
      <c r="C12748" s="2" t="s">
        <v>6671</v>
      </c>
      <c r="D12748" s="3" t="str">
        <f t="shared" ref="D12748:D12750" si="2999">HYPERLINK("https://12go.asia/en/travel/Kitulgala/Dodanduwa", "12Go Link")</f>
        <v>12Go Link</v>
      </c>
      <c r="E12748" s="2" t="s">
        <v>286</v>
      </c>
    </row>
    <row r="12749">
      <c r="A12749" s="2" t="s">
        <v>4982</v>
      </c>
      <c r="B12749" s="2" t="s">
        <v>4965</v>
      </c>
      <c r="C12749" s="2" t="s">
        <v>6671</v>
      </c>
      <c r="D12749" s="3" t="str">
        <f t="shared" si="2999"/>
        <v>12Go Link</v>
      </c>
      <c r="E12749" s="2" t="s">
        <v>4139</v>
      </c>
    </row>
    <row r="12750">
      <c r="A12750" s="2" t="s">
        <v>4982</v>
      </c>
      <c r="B12750" s="2" t="s">
        <v>4965</v>
      </c>
      <c r="C12750" s="2" t="s">
        <v>6671</v>
      </c>
      <c r="D12750" s="3" t="str">
        <f t="shared" si="2999"/>
        <v>12Go Link</v>
      </c>
      <c r="E12750" s="2" t="s">
        <v>3409</v>
      </c>
    </row>
    <row r="12751">
      <c r="A12751" s="2" t="s">
        <v>4982</v>
      </c>
      <c r="B12751" s="2" t="s">
        <v>4967</v>
      </c>
      <c r="C12751" s="2" t="s">
        <v>6672</v>
      </c>
      <c r="D12751" s="3" t="str">
        <f t="shared" ref="D12751:D12753" si="3000">HYPERLINK("https://12go.asia/en/travel/Kitulgala/Induruwa", "12Go Link")</f>
        <v>12Go Link</v>
      </c>
      <c r="E12751" s="2" t="s">
        <v>286</v>
      </c>
    </row>
    <row r="12752">
      <c r="A12752" s="2" t="s">
        <v>4982</v>
      </c>
      <c r="B12752" s="2" t="s">
        <v>4967</v>
      </c>
      <c r="C12752" s="2" t="s">
        <v>6672</v>
      </c>
      <c r="D12752" s="3" t="str">
        <f t="shared" si="3000"/>
        <v>12Go Link</v>
      </c>
      <c r="E12752" s="2" t="s">
        <v>4139</v>
      </c>
    </row>
    <row r="12753">
      <c r="A12753" s="2" t="s">
        <v>4982</v>
      </c>
      <c r="B12753" s="2" t="s">
        <v>4967</v>
      </c>
      <c r="C12753" s="2" t="s">
        <v>6672</v>
      </c>
      <c r="D12753" s="3" t="str">
        <f t="shared" si="3000"/>
        <v>12Go Link</v>
      </c>
      <c r="E12753" s="2" t="s">
        <v>3409</v>
      </c>
    </row>
    <row r="12754">
      <c r="A12754" s="2" t="s">
        <v>4982</v>
      </c>
      <c r="B12754" s="2" t="s">
        <v>4969</v>
      </c>
      <c r="C12754" s="2" t="s">
        <v>6673</v>
      </c>
      <c r="D12754" s="3" t="str">
        <f t="shared" ref="D12754:D12756" si="3001">HYPERLINK("https://12go.asia/en/travel/Kitulgala/Jaffna", "12Go Link")</f>
        <v>12Go Link</v>
      </c>
      <c r="E12754" s="2" t="s">
        <v>286</v>
      </c>
    </row>
    <row r="12755">
      <c r="A12755" s="2" t="s">
        <v>4982</v>
      </c>
      <c r="B12755" s="2" t="s">
        <v>4969</v>
      </c>
      <c r="C12755" s="2" t="s">
        <v>6673</v>
      </c>
      <c r="D12755" s="3" t="str">
        <f t="shared" si="3001"/>
        <v>12Go Link</v>
      </c>
      <c r="E12755" s="2" t="s">
        <v>4139</v>
      </c>
    </row>
    <row r="12756">
      <c r="A12756" s="2" t="s">
        <v>4982</v>
      </c>
      <c r="B12756" s="2" t="s">
        <v>4969</v>
      </c>
      <c r="C12756" s="2" t="s">
        <v>6673</v>
      </c>
      <c r="D12756" s="3" t="str">
        <f t="shared" si="3001"/>
        <v>12Go Link</v>
      </c>
      <c r="E12756" s="2" t="s">
        <v>3409</v>
      </c>
    </row>
    <row r="12757">
      <c r="A12757" s="2" t="s">
        <v>4982</v>
      </c>
      <c r="B12757" s="2" t="s">
        <v>4971</v>
      </c>
      <c r="C12757" s="2" t="s">
        <v>6674</v>
      </c>
      <c r="D12757" s="3" t="str">
        <f t="shared" ref="D12757:D12759" si="3002">HYPERLINK("https://12go.asia/en/travel/Kitulgala/Kalapuwa", "12Go Link")</f>
        <v>12Go Link</v>
      </c>
      <c r="E12757" s="2" t="s">
        <v>286</v>
      </c>
    </row>
    <row r="12758">
      <c r="A12758" s="2" t="s">
        <v>4982</v>
      </c>
      <c r="B12758" s="2" t="s">
        <v>4971</v>
      </c>
      <c r="C12758" s="2" t="s">
        <v>6674</v>
      </c>
      <c r="D12758" s="3" t="str">
        <f t="shared" si="3002"/>
        <v>12Go Link</v>
      </c>
      <c r="E12758" s="2" t="s">
        <v>4139</v>
      </c>
    </row>
    <row r="12759">
      <c r="A12759" s="2" t="s">
        <v>4982</v>
      </c>
      <c r="B12759" s="2" t="s">
        <v>4971</v>
      </c>
      <c r="C12759" s="2" t="s">
        <v>6674</v>
      </c>
      <c r="D12759" s="3" t="str">
        <f t="shared" si="3002"/>
        <v>12Go Link</v>
      </c>
      <c r="E12759" s="2" t="s">
        <v>3409</v>
      </c>
    </row>
    <row r="12760">
      <c r="A12760" s="2" t="s">
        <v>4982</v>
      </c>
      <c r="B12760" s="2" t="s">
        <v>4973</v>
      </c>
      <c r="C12760" s="2" t="s">
        <v>6675</v>
      </c>
      <c r="D12760" s="3" t="str">
        <f t="shared" ref="D12760:D12762" si="3003">HYPERLINK("https://12go.asia/en/travel/Kitulgala/Ampitiya", "12Go Link")</f>
        <v>12Go Link</v>
      </c>
      <c r="E12760" s="2" t="s">
        <v>286</v>
      </c>
    </row>
    <row r="12761">
      <c r="A12761" s="2" t="s">
        <v>4982</v>
      </c>
      <c r="B12761" s="2" t="s">
        <v>4973</v>
      </c>
      <c r="C12761" s="2" t="s">
        <v>6675</v>
      </c>
      <c r="D12761" s="3" t="str">
        <f t="shared" si="3003"/>
        <v>12Go Link</v>
      </c>
      <c r="E12761" s="2" t="s">
        <v>4139</v>
      </c>
    </row>
    <row r="12762">
      <c r="A12762" s="2" t="s">
        <v>4982</v>
      </c>
      <c r="B12762" s="2" t="s">
        <v>4973</v>
      </c>
      <c r="C12762" s="2" t="s">
        <v>6675</v>
      </c>
      <c r="D12762" s="3" t="str">
        <f t="shared" si="3003"/>
        <v>12Go Link</v>
      </c>
      <c r="E12762" s="2" t="s">
        <v>3409</v>
      </c>
    </row>
    <row r="12763">
      <c r="A12763" s="2" t="s">
        <v>4982</v>
      </c>
      <c r="B12763" s="2" t="s">
        <v>4973</v>
      </c>
      <c r="C12763" s="2" t="s">
        <v>6676</v>
      </c>
      <c r="D12763" s="3" t="str">
        <f t="shared" ref="D12763:D12765" si="3004">HYPERLINK("https://12go.asia/en/travel/Kitulgala/Digana", "12Go Link")</f>
        <v>12Go Link</v>
      </c>
      <c r="E12763" s="2" t="s">
        <v>286</v>
      </c>
    </row>
    <row r="12764">
      <c r="A12764" s="2" t="s">
        <v>4982</v>
      </c>
      <c r="B12764" s="2" t="s">
        <v>4973</v>
      </c>
      <c r="C12764" s="2" t="s">
        <v>6676</v>
      </c>
      <c r="D12764" s="3" t="str">
        <f t="shared" si="3004"/>
        <v>12Go Link</v>
      </c>
      <c r="E12764" s="2" t="s">
        <v>4139</v>
      </c>
    </row>
    <row r="12765">
      <c r="A12765" s="2" t="s">
        <v>4982</v>
      </c>
      <c r="B12765" s="2" t="s">
        <v>4973</v>
      </c>
      <c r="C12765" s="2" t="s">
        <v>6676</v>
      </c>
      <c r="D12765" s="3" t="str">
        <f t="shared" si="3004"/>
        <v>12Go Link</v>
      </c>
      <c r="E12765" s="2" t="s">
        <v>3409</v>
      </c>
    </row>
    <row r="12766">
      <c r="A12766" s="2" t="s">
        <v>4982</v>
      </c>
      <c r="B12766" s="2" t="s">
        <v>4976</v>
      </c>
      <c r="C12766" s="2" t="s">
        <v>6677</v>
      </c>
      <c r="D12766" s="3" t="str">
        <f t="shared" ref="D12766:D12768" si="3005">HYPERLINK("https://12go.asia/en/travel/Kitulgala/Kataragama", "12Go Link")</f>
        <v>12Go Link</v>
      </c>
      <c r="E12766" s="2" t="s">
        <v>286</v>
      </c>
    </row>
    <row r="12767">
      <c r="A12767" s="2" t="s">
        <v>4982</v>
      </c>
      <c r="B12767" s="2" t="s">
        <v>4976</v>
      </c>
      <c r="C12767" s="2" t="s">
        <v>6677</v>
      </c>
      <c r="D12767" s="3" t="str">
        <f t="shared" si="3005"/>
        <v>12Go Link</v>
      </c>
      <c r="E12767" s="2" t="s">
        <v>4139</v>
      </c>
    </row>
    <row r="12768">
      <c r="A12768" s="2" t="s">
        <v>4982</v>
      </c>
      <c r="B12768" s="2" t="s">
        <v>4976</v>
      </c>
      <c r="C12768" s="2" t="s">
        <v>6677</v>
      </c>
      <c r="D12768" s="3" t="str">
        <f t="shared" si="3005"/>
        <v>12Go Link</v>
      </c>
      <c r="E12768" s="2" t="s">
        <v>3409</v>
      </c>
    </row>
    <row r="12769">
      <c r="A12769" s="2" t="s">
        <v>4982</v>
      </c>
      <c r="B12769" s="2" t="s">
        <v>4978</v>
      </c>
      <c r="C12769" s="2" t="s">
        <v>6678</v>
      </c>
      <c r="D12769" s="3" t="str">
        <f t="shared" ref="D12769:D12771" si="3006">HYPERLINK("https://12go.asia/en/travel/Kitulgala/Alawathupitiya", "12Go Link")</f>
        <v>12Go Link</v>
      </c>
      <c r="E12769" s="2" t="s">
        <v>286</v>
      </c>
    </row>
    <row r="12770">
      <c r="A12770" s="2" t="s">
        <v>4982</v>
      </c>
      <c r="B12770" s="2" t="s">
        <v>4978</v>
      </c>
      <c r="C12770" s="2" t="s">
        <v>6678</v>
      </c>
      <c r="D12770" s="3" t="str">
        <f t="shared" si="3006"/>
        <v>12Go Link</v>
      </c>
      <c r="E12770" s="2" t="s">
        <v>4139</v>
      </c>
    </row>
    <row r="12771">
      <c r="A12771" s="2" t="s">
        <v>4982</v>
      </c>
      <c r="B12771" s="2" t="s">
        <v>4978</v>
      </c>
      <c r="C12771" s="2" t="s">
        <v>6678</v>
      </c>
      <c r="D12771" s="3" t="str">
        <f t="shared" si="3006"/>
        <v>12Go Link</v>
      </c>
      <c r="E12771" s="2" t="s">
        <v>3409</v>
      </c>
    </row>
    <row r="12772">
      <c r="A12772" s="2" t="s">
        <v>4982</v>
      </c>
      <c r="B12772" s="2" t="s">
        <v>4980</v>
      </c>
      <c r="C12772" s="2" t="s">
        <v>6679</v>
      </c>
      <c r="D12772" s="3" t="str">
        <f t="shared" ref="D12772:D12774" si="3007">HYPERLINK("https://12go.asia/en/travel/Kitulgala/Pinnawala", "12Go Link")</f>
        <v>12Go Link</v>
      </c>
      <c r="E12772" s="2" t="s">
        <v>286</v>
      </c>
    </row>
    <row r="12773">
      <c r="A12773" s="2" t="s">
        <v>4982</v>
      </c>
      <c r="B12773" s="2" t="s">
        <v>4980</v>
      </c>
      <c r="C12773" s="2" t="s">
        <v>6679</v>
      </c>
      <c r="D12773" s="3" t="str">
        <f t="shared" si="3007"/>
        <v>12Go Link</v>
      </c>
      <c r="E12773" s="2" t="s">
        <v>4139</v>
      </c>
    </row>
    <row r="12774">
      <c r="A12774" s="2" t="s">
        <v>4982</v>
      </c>
      <c r="B12774" s="2" t="s">
        <v>4980</v>
      </c>
      <c r="C12774" s="2" t="s">
        <v>6679</v>
      </c>
      <c r="D12774" s="3" t="str">
        <f t="shared" si="3007"/>
        <v>12Go Link</v>
      </c>
      <c r="E12774" s="2" t="s">
        <v>3409</v>
      </c>
    </row>
    <row r="12775">
      <c r="A12775" s="2" t="s">
        <v>4982</v>
      </c>
      <c r="B12775" s="2" t="s">
        <v>4982</v>
      </c>
      <c r="C12775" s="2" t="s">
        <v>6680</v>
      </c>
      <c r="D12775" s="3" t="str">
        <f t="shared" ref="D12775:D12777" si="3008">HYPERLINK("https://12go.asia/en/travel/Kitulgala/Kitulgala", "12Go Link")</f>
        <v>12Go Link</v>
      </c>
      <c r="E12775" s="2" t="s">
        <v>286</v>
      </c>
    </row>
    <row r="12776">
      <c r="A12776" s="2" t="s">
        <v>4982</v>
      </c>
      <c r="B12776" s="2" t="s">
        <v>4982</v>
      </c>
      <c r="C12776" s="2" t="s">
        <v>6680</v>
      </c>
      <c r="D12776" s="3" t="str">
        <f t="shared" si="3008"/>
        <v>12Go Link</v>
      </c>
      <c r="E12776" s="2" t="s">
        <v>4139</v>
      </c>
    </row>
    <row r="12777">
      <c r="A12777" s="2" t="s">
        <v>4982</v>
      </c>
      <c r="B12777" s="2" t="s">
        <v>4982</v>
      </c>
      <c r="C12777" s="2" t="s">
        <v>6680</v>
      </c>
      <c r="D12777" s="3" t="str">
        <f t="shared" si="3008"/>
        <v>12Go Link</v>
      </c>
      <c r="E12777" s="2" t="s">
        <v>3409</v>
      </c>
    </row>
    <row r="12778">
      <c r="A12778" s="2" t="s">
        <v>4982</v>
      </c>
      <c r="B12778" s="2" t="s">
        <v>4984</v>
      </c>
      <c r="C12778" s="2" t="s">
        <v>6681</v>
      </c>
      <c r="D12778" s="3" t="str">
        <f t="shared" ref="D12778:D12780" si="3009">HYPERLINK("https://12go.asia/en/travel/Kitulgala/Habaraduwa", "12Go Link")</f>
        <v>12Go Link</v>
      </c>
      <c r="E12778" s="2" t="s">
        <v>286</v>
      </c>
    </row>
    <row r="12779">
      <c r="A12779" s="2" t="s">
        <v>4982</v>
      </c>
      <c r="B12779" s="2" t="s">
        <v>4984</v>
      </c>
      <c r="C12779" s="2" t="s">
        <v>6681</v>
      </c>
      <c r="D12779" s="3" t="str">
        <f t="shared" si="3009"/>
        <v>12Go Link</v>
      </c>
      <c r="E12779" s="2" t="s">
        <v>4139</v>
      </c>
    </row>
    <row r="12780">
      <c r="A12780" s="2" t="s">
        <v>4982</v>
      </c>
      <c r="B12780" s="2" t="s">
        <v>4984</v>
      </c>
      <c r="C12780" s="2" t="s">
        <v>6681</v>
      </c>
      <c r="D12780" s="3" t="str">
        <f t="shared" si="3009"/>
        <v>12Go Link</v>
      </c>
      <c r="E12780" s="2" t="s">
        <v>3409</v>
      </c>
    </row>
    <row r="12781">
      <c r="A12781" s="2" t="s">
        <v>4982</v>
      </c>
      <c r="B12781" s="2" t="s">
        <v>4986</v>
      </c>
      <c r="C12781" s="2" t="s">
        <v>6682</v>
      </c>
      <c r="D12781" s="3" t="str">
        <f t="shared" ref="D12781:D12783" si="3010">HYPERLINK("https://12go.asia/en/travel/Kitulgala/Kosgoda", "12Go Link")</f>
        <v>12Go Link</v>
      </c>
      <c r="E12781" s="2" t="s">
        <v>286</v>
      </c>
    </row>
    <row r="12782">
      <c r="A12782" s="2" t="s">
        <v>4982</v>
      </c>
      <c r="B12782" s="2" t="s">
        <v>4986</v>
      </c>
      <c r="C12782" s="2" t="s">
        <v>6682</v>
      </c>
      <c r="D12782" s="3" t="str">
        <f t="shared" si="3010"/>
        <v>12Go Link</v>
      </c>
      <c r="E12782" s="2" t="s">
        <v>4139</v>
      </c>
    </row>
    <row r="12783">
      <c r="A12783" s="2" t="s">
        <v>4982</v>
      </c>
      <c r="B12783" s="2" t="s">
        <v>4986</v>
      </c>
      <c r="C12783" s="2" t="s">
        <v>6682</v>
      </c>
      <c r="D12783" s="3" t="str">
        <f t="shared" si="3010"/>
        <v>12Go Link</v>
      </c>
      <c r="E12783" s="2" t="s">
        <v>3409</v>
      </c>
    </row>
    <row r="12784">
      <c r="A12784" s="2" t="s">
        <v>4982</v>
      </c>
      <c r="B12784" s="2" t="s">
        <v>4988</v>
      </c>
      <c r="C12784" s="2" t="s">
        <v>6683</v>
      </c>
      <c r="D12784" s="3" t="str">
        <f t="shared" ref="D12784:D12786" si="3011">HYPERLINK("https://12go.asia/en/travel/Kitulgala/Kuchchaveli", "12Go Link")</f>
        <v>12Go Link</v>
      </c>
      <c r="E12784" s="2" t="s">
        <v>286</v>
      </c>
    </row>
    <row r="12785">
      <c r="A12785" s="2" t="s">
        <v>4982</v>
      </c>
      <c r="B12785" s="2" t="s">
        <v>4988</v>
      </c>
      <c r="C12785" s="2" t="s">
        <v>6683</v>
      </c>
      <c r="D12785" s="3" t="str">
        <f t="shared" si="3011"/>
        <v>12Go Link</v>
      </c>
      <c r="E12785" s="2" t="s">
        <v>4139</v>
      </c>
    </row>
    <row r="12786">
      <c r="A12786" s="2" t="s">
        <v>4982</v>
      </c>
      <c r="B12786" s="2" t="s">
        <v>4988</v>
      </c>
      <c r="C12786" s="2" t="s">
        <v>6683</v>
      </c>
      <c r="D12786" s="3" t="str">
        <f t="shared" si="3011"/>
        <v>12Go Link</v>
      </c>
      <c r="E12786" s="2" t="s">
        <v>3409</v>
      </c>
    </row>
    <row r="12787">
      <c r="A12787" s="2" t="s">
        <v>4982</v>
      </c>
      <c r="B12787" s="2" t="s">
        <v>4990</v>
      </c>
      <c r="C12787" s="2" t="s">
        <v>6684</v>
      </c>
      <c r="D12787" s="3" t="str">
        <f t="shared" ref="D12787:D12789" si="3012">HYPERLINK("https://12go.asia/en/travel/Kitulgala/Mannar", "12Go Link")</f>
        <v>12Go Link</v>
      </c>
      <c r="E12787" s="2" t="s">
        <v>286</v>
      </c>
    </row>
    <row r="12788">
      <c r="A12788" s="2" t="s">
        <v>4982</v>
      </c>
      <c r="B12788" s="2" t="s">
        <v>4990</v>
      </c>
      <c r="C12788" s="2" t="s">
        <v>6684</v>
      </c>
      <c r="D12788" s="3" t="str">
        <f t="shared" si="3012"/>
        <v>12Go Link</v>
      </c>
      <c r="E12788" s="2" t="s">
        <v>4139</v>
      </c>
    </row>
    <row r="12789">
      <c r="A12789" s="2" t="s">
        <v>4982</v>
      </c>
      <c r="B12789" s="2" t="s">
        <v>4990</v>
      </c>
      <c r="C12789" s="2" t="s">
        <v>6684</v>
      </c>
      <c r="D12789" s="3" t="str">
        <f t="shared" si="3012"/>
        <v>12Go Link</v>
      </c>
      <c r="E12789" s="2" t="s">
        <v>3409</v>
      </c>
    </row>
    <row r="12790">
      <c r="A12790" s="2" t="s">
        <v>4982</v>
      </c>
      <c r="B12790" s="2" t="s">
        <v>4992</v>
      </c>
      <c r="C12790" s="2" t="s">
        <v>6685</v>
      </c>
      <c r="D12790" s="3" t="str">
        <f t="shared" ref="D12790:D12792" si="3013">HYPERLINK("https://12go.asia/en/travel/Kitulgala/Kinigama", "12Go Link")</f>
        <v>12Go Link</v>
      </c>
      <c r="E12790" s="2" t="s">
        <v>286</v>
      </c>
    </row>
    <row r="12791">
      <c r="A12791" s="2" t="s">
        <v>4982</v>
      </c>
      <c r="B12791" s="2" t="s">
        <v>4992</v>
      </c>
      <c r="C12791" s="2" t="s">
        <v>6685</v>
      </c>
      <c r="D12791" s="3" t="str">
        <f t="shared" si="3013"/>
        <v>12Go Link</v>
      </c>
      <c r="E12791" s="2" t="s">
        <v>4139</v>
      </c>
    </row>
    <row r="12792">
      <c r="A12792" s="2" t="s">
        <v>4982</v>
      </c>
      <c r="B12792" s="2" t="s">
        <v>4992</v>
      </c>
      <c r="C12792" s="2" t="s">
        <v>6685</v>
      </c>
      <c r="D12792" s="3" t="str">
        <f t="shared" si="3013"/>
        <v>12Go Link</v>
      </c>
      <c r="E12792" s="2" t="s">
        <v>3409</v>
      </c>
    </row>
    <row r="12793">
      <c r="A12793" s="2" t="s">
        <v>4982</v>
      </c>
      <c r="B12793" s="2" t="s">
        <v>4994</v>
      </c>
      <c r="C12793" s="2" t="s">
        <v>6686</v>
      </c>
      <c r="D12793" s="3" t="str">
        <f t="shared" ref="D12793:D12795" si="3014">HYPERLINK("https://12go.asia/en/travel/Kitulgala/Kalamatiya", "12Go Link")</f>
        <v>12Go Link</v>
      </c>
      <c r="E12793" s="2" t="s">
        <v>286</v>
      </c>
    </row>
    <row r="12794">
      <c r="A12794" s="2" t="s">
        <v>4982</v>
      </c>
      <c r="B12794" s="2" t="s">
        <v>4994</v>
      </c>
      <c r="C12794" s="2" t="s">
        <v>6686</v>
      </c>
      <c r="D12794" s="3" t="str">
        <f t="shared" si="3014"/>
        <v>12Go Link</v>
      </c>
      <c r="E12794" s="2" t="s">
        <v>4139</v>
      </c>
    </row>
    <row r="12795">
      <c r="A12795" s="2" t="s">
        <v>4982</v>
      </c>
      <c r="B12795" s="2" t="s">
        <v>4994</v>
      </c>
      <c r="C12795" s="2" t="s">
        <v>6686</v>
      </c>
      <c r="D12795" s="3" t="str">
        <f t="shared" si="3014"/>
        <v>12Go Link</v>
      </c>
      <c r="E12795" s="2" t="s">
        <v>3409</v>
      </c>
    </row>
    <row r="12796">
      <c r="A12796" s="2" t="s">
        <v>4982</v>
      </c>
      <c r="B12796" s="2" t="s">
        <v>4996</v>
      </c>
      <c r="C12796" s="2" t="s">
        <v>6687</v>
      </c>
      <c r="D12796" s="3" t="str">
        <f t="shared" ref="D12796:D12798" si="3015">HYPERLINK("https://12go.asia/en/travel/Kitulgala/mirissa", "12Go Link")</f>
        <v>12Go Link</v>
      </c>
      <c r="E12796" s="2" t="s">
        <v>286</v>
      </c>
    </row>
    <row r="12797">
      <c r="A12797" s="2" t="s">
        <v>4982</v>
      </c>
      <c r="B12797" s="2" t="s">
        <v>4996</v>
      </c>
      <c r="C12797" s="2" t="s">
        <v>6687</v>
      </c>
      <c r="D12797" s="3" t="str">
        <f t="shared" si="3015"/>
        <v>12Go Link</v>
      </c>
      <c r="E12797" s="2" t="s">
        <v>4139</v>
      </c>
    </row>
    <row r="12798">
      <c r="A12798" s="2" t="s">
        <v>4982</v>
      </c>
      <c r="B12798" s="2" t="s">
        <v>4996</v>
      </c>
      <c r="C12798" s="2" t="s">
        <v>6687</v>
      </c>
      <c r="D12798" s="3" t="str">
        <f t="shared" si="3015"/>
        <v>12Go Link</v>
      </c>
      <c r="E12798" s="2" t="s">
        <v>3409</v>
      </c>
    </row>
    <row r="12799">
      <c r="A12799" s="2" t="s">
        <v>4982</v>
      </c>
      <c r="B12799" s="2" t="s">
        <v>4998</v>
      </c>
      <c r="C12799" s="2" t="s">
        <v>6688</v>
      </c>
      <c r="D12799" s="3" t="str">
        <f t="shared" ref="D12799:D12801" si="3016">HYPERLINK("https://12go.asia/en/travel/Kitulgala/Nanu-Oya", "12Go Link")</f>
        <v>12Go Link</v>
      </c>
      <c r="E12799" s="2" t="s">
        <v>286</v>
      </c>
    </row>
    <row r="12800">
      <c r="A12800" s="2" t="s">
        <v>4982</v>
      </c>
      <c r="B12800" s="2" t="s">
        <v>4998</v>
      </c>
      <c r="C12800" s="2" t="s">
        <v>6688</v>
      </c>
      <c r="D12800" s="3" t="str">
        <f t="shared" si="3016"/>
        <v>12Go Link</v>
      </c>
      <c r="E12800" s="2" t="s">
        <v>4139</v>
      </c>
    </row>
    <row r="12801">
      <c r="A12801" s="2" t="s">
        <v>4982</v>
      </c>
      <c r="B12801" s="2" t="s">
        <v>4998</v>
      </c>
      <c r="C12801" s="2" t="s">
        <v>6688</v>
      </c>
      <c r="D12801" s="3" t="str">
        <f t="shared" si="3016"/>
        <v>12Go Link</v>
      </c>
      <c r="E12801" s="2" t="s">
        <v>3409</v>
      </c>
    </row>
    <row r="12802">
      <c r="A12802" s="2" t="s">
        <v>4982</v>
      </c>
      <c r="B12802" s="2" t="s">
        <v>5000</v>
      </c>
      <c r="C12802" s="2" t="s">
        <v>6689</v>
      </c>
      <c r="D12802" s="3" t="str">
        <f t="shared" ref="D12802:D12804" si="3017">HYPERLINK("https://12go.asia/en/travel/Kitulgala/Dalupotha", "12Go Link")</f>
        <v>12Go Link</v>
      </c>
      <c r="E12802" s="2" t="s">
        <v>286</v>
      </c>
    </row>
    <row r="12803">
      <c r="A12803" s="2" t="s">
        <v>4982</v>
      </c>
      <c r="B12803" s="2" t="s">
        <v>5000</v>
      </c>
      <c r="C12803" s="2" t="s">
        <v>6689</v>
      </c>
      <c r="D12803" s="3" t="str">
        <f t="shared" si="3017"/>
        <v>12Go Link</v>
      </c>
      <c r="E12803" s="2" t="s">
        <v>4139</v>
      </c>
    </row>
    <row r="12804">
      <c r="A12804" s="2" t="s">
        <v>4982</v>
      </c>
      <c r="B12804" s="2" t="s">
        <v>5000</v>
      </c>
      <c r="C12804" s="2" t="s">
        <v>6689</v>
      </c>
      <c r="D12804" s="3" t="str">
        <f t="shared" si="3017"/>
        <v>12Go Link</v>
      </c>
      <c r="E12804" s="2" t="s">
        <v>3409</v>
      </c>
    </row>
    <row r="12805">
      <c r="A12805" s="2" t="s">
        <v>4982</v>
      </c>
      <c r="B12805" s="2" t="s">
        <v>5000</v>
      </c>
      <c r="C12805" s="2" t="s">
        <v>6690</v>
      </c>
      <c r="D12805" s="3" t="str">
        <f t="shared" ref="D12805:D12807" si="3018">HYPERLINK("https://12go.asia/en/travel/Kitulgala/Waikkal", "12Go Link")</f>
        <v>12Go Link</v>
      </c>
      <c r="E12805" s="2" t="s">
        <v>286</v>
      </c>
    </row>
    <row r="12806">
      <c r="A12806" s="2" t="s">
        <v>4982</v>
      </c>
      <c r="B12806" s="2" t="s">
        <v>5000</v>
      </c>
      <c r="C12806" s="2" t="s">
        <v>6690</v>
      </c>
      <c r="D12806" s="3" t="str">
        <f t="shared" si="3018"/>
        <v>12Go Link</v>
      </c>
      <c r="E12806" s="2" t="s">
        <v>4139</v>
      </c>
    </row>
    <row r="12807">
      <c r="A12807" s="2" t="s">
        <v>4982</v>
      </c>
      <c r="B12807" s="2" t="s">
        <v>5000</v>
      </c>
      <c r="C12807" s="2" t="s">
        <v>6690</v>
      </c>
      <c r="D12807" s="3" t="str">
        <f t="shared" si="3018"/>
        <v>12Go Link</v>
      </c>
      <c r="E12807" s="2" t="s">
        <v>3409</v>
      </c>
    </row>
    <row r="12808">
      <c r="A12808" s="2" t="s">
        <v>4982</v>
      </c>
      <c r="B12808" s="2" t="s">
        <v>5003</v>
      </c>
      <c r="C12808" s="2" t="s">
        <v>6691</v>
      </c>
      <c r="D12808" s="3" t="str">
        <f t="shared" ref="D12808:D12810" si="3019">HYPERLINK("https://12go.asia/en/travel/Kitulgala/Nilaveli", "12Go Link")</f>
        <v>12Go Link</v>
      </c>
      <c r="E12808" s="2" t="s">
        <v>286</v>
      </c>
    </row>
    <row r="12809">
      <c r="A12809" s="2" t="s">
        <v>4982</v>
      </c>
      <c r="B12809" s="2" t="s">
        <v>5003</v>
      </c>
      <c r="C12809" s="2" t="s">
        <v>6691</v>
      </c>
      <c r="D12809" s="3" t="str">
        <f t="shared" si="3019"/>
        <v>12Go Link</v>
      </c>
      <c r="E12809" s="2" t="s">
        <v>4139</v>
      </c>
    </row>
    <row r="12810">
      <c r="A12810" s="2" t="s">
        <v>4982</v>
      </c>
      <c r="B12810" s="2" t="s">
        <v>5003</v>
      </c>
      <c r="C12810" s="2" t="s">
        <v>6691</v>
      </c>
      <c r="D12810" s="3" t="str">
        <f t="shared" si="3019"/>
        <v>12Go Link</v>
      </c>
      <c r="E12810" s="2" t="s">
        <v>3409</v>
      </c>
    </row>
    <row r="12811">
      <c r="A12811" s="2" t="s">
        <v>4982</v>
      </c>
      <c r="B12811" s="2" t="s">
        <v>5005</v>
      </c>
      <c r="C12811" s="2" t="s">
        <v>6692</v>
      </c>
      <c r="D12811" s="3" t="str">
        <f t="shared" ref="D12811:D12813" si="3020">HYPERLINK("https://12go.asia/en/travel/Kitulgala/Kotmale", "12Go Link")</f>
        <v>12Go Link</v>
      </c>
      <c r="E12811" s="2" t="s">
        <v>286</v>
      </c>
    </row>
    <row r="12812">
      <c r="A12812" s="2" t="s">
        <v>4982</v>
      </c>
      <c r="B12812" s="2" t="s">
        <v>5005</v>
      </c>
      <c r="C12812" s="2" t="s">
        <v>6692</v>
      </c>
      <c r="D12812" s="3" t="str">
        <f t="shared" si="3020"/>
        <v>12Go Link</v>
      </c>
      <c r="E12812" s="2" t="s">
        <v>4139</v>
      </c>
    </row>
    <row r="12813">
      <c r="A12813" s="2" t="s">
        <v>4982</v>
      </c>
      <c r="B12813" s="2" t="s">
        <v>5005</v>
      </c>
      <c r="C12813" s="2" t="s">
        <v>6692</v>
      </c>
      <c r="D12813" s="3" t="str">
        <f t="shared" si="3020"/>
        <v>12Go Link</v>
      </c>
      <c r="E12813" s="2" t="s">
        <v>3409</v>
      </c>
    </row>
    <row r="12814">
      <c r="A12814" s="2" t="s">
        <v>4982</v>
      </c>
      <c r="B12814" s="2" t="s">
        <v>5007</v>
      </c>
      <c r="C12814" s="2" t="s">
        <v>6693</v>
      </c>
      <c r="D12814" s="3" t="str">
        <f t="shared" ref="D12814:D12816" si="3021">HYPERLINK("https://12go.asia/en/travel/Kitulgala/Pasikuda", "12Go Link")</f>
        <v>12Go Link</v>
      </c>
      <c r="E12814" s="2" t="s">
        <v>286</v>
      </c>
    </row>
    <row r="12815">
      <c r="A12815" s="2" t="s">
        <v>4982</v>
      </c>
      <c r="B12815" s="2" t="s">
        <v>5007</v>
      </c>
      <c r="C12815" s="2" t="s">
        <v>6693</v>
      </c>
      <c r="D12815" s="3" t="str">
        <f t="shared" si="3021"/>
        <v>12Go Link</v>
      </c>
      <c r="E12815" s="2" t="s">
        <v>4139</v>
      </c>
    </row>
    <row r="12816">
      <c r="A12816" s="2" t="s">
        <v>4982</v>
      </c>
      <c r="B12816" s="2" t="s">
        <v>5007</v>
      </c>
      <c r="C12816" s="2" t="s">
        <v>6693</v>
      </c>
      <c r="D12816" s="3" t="str">
        <f t="shared" si="3021"/>
        <v>12Go Link</v>
      </c>
      <c r="E12816" s="2" t="s">
        <v>3409</v>
      </c>
    </row>
    <row r="12817">
      <c r="A12817" s="2" t="s">
        <v>4982</v>
      </c>
      <c r="B12817" s="2" t="s">
        <v>5009</v>
      </c>
      <c r="C12817" s="2" t="s">
        <v>6694</v>
      </c>
      <c r="D12817" s="3" t="str">
        <f t="shared" ref="D12817:D12819" si="3022">HYPERLINK("https://12go.asia/en/travel/Kitulgala/Galoya", "12Go Link")</f>
        <v>12Go Link</v>
      </c>
      <c r="E12817" s="2" t="s">
        <v>286</v>
      </c>
    </row>
    <row r="12818">
      <c r="A12818" s="2" t="s">
        <v>4982</v>
      </c>
      <c r="B12818" s="2" t="s">
        <v>5009</v>
      </c>
      <c r="C12818" s="2" t="s">
        <v>6694</v>
      </c>
      <c r="D12818" s="3" t="str">
        <f t="shared" si="3022"/>
        <v>12Go Link</v>
      </c>
      <c r="E12818" s="2" t="s">
        <v>4139</v>
      </c>
    </row>
    <row r="12819">
      <c r="A12819" s="2" t="s">
        <v>4982</v>
      </c>
      <c r="B12819" s="2" t="s">
        <v>5009</v>
      </c>
      <c r="C12819" s="2" t="s">
        <v>6694</v>
      </c>
      <c r="D12819" s="3" t="str">
        <f t="shared" si="3022"/>
        <v>12Go Link</v>
      </c>
      <c r="E12819" s="2" t="s">
        <v>3409</v>
      </c>
    </row>
    <row r="12820">
      <c r="A12820" s="2" t="s">
        <v>4982</v>
      </c>
      <c r="B12820" s="2" t="s">
        <v>5011</v>
      </c>
      <c r="C12820" s="2" t="s">
        <v>6695</v>
      </c>
      <c r="D12820" s="3" t="str">
        <f t="shared" ref="D12820:D12822" si="3023">HYPERLINK("https://12go.asia/en/travel/Kitulgala/Kalpitiya", "12Go Link")</f>
        <v>12Go Link</v>
      </c>
      <c r="E12820" s="2" t="s">
        <v>286</v>
      </c>
    </row>
    <row r="12821">
      <c r="A12821" s="2" t="s">
        <v>4982</v>
      </c>
      <c r="B12821" s="2" t="s">
        <v>5011</v>
      </c>
      <c r="C12821" s="2" t="s">
        <v>6695</v>
      </c>
      <c r="D12821" s="3" t="str">
        <f t="shared" si="3023"/>
        <v>12Go Link</v>
      </c>
      <c r="E12821" s="2" t="s">
        <v>4139</v>
      </c>
    </row>
    <row r="12822">
      <c r="A12822" s="2" t="s">
        <v>4982</v>
      </c>
      <c r="B12822" s="2" t="s">
        <v>5011</v>
      </c>
      <c r="C12822" s="2" t="s">
        <v>6695</v>
      </c>
      <c r="D12822" s="3" t="str">
        <f t="shared" si="3023"/>
        <v>12Go Link</v>
      </c>
      <c r="E12822" s="2" t="s">
        <v>3409</v>
      </c>
    </row>
    <row r="12823">
      <c r="A12823" s="2" t="s">
        <v>4982</v>
      </c>
      <c r="B12823" s="2" t="s">
        <v>5011</v>
      </c>
      <c r="C12823" s="2" t="s">
        <v>6696</v>
      </c>
      <c r="D12823" s="3" t="str">
        <f t="shared" ref="D12823:D12825" si="3024">HYPERLINK("https://12go.asia/en/travel/Kitulgala/Marawila", "12Go Link")</f>
        <v>12Go Link</v>
      </c>
      <c r="E12823" s="2" t="s">
        <v>286</v>
      </c>
    </row>
    <row r="12824">
      <c r="A12824" s="2" t="s">
        <v>4982</v>
      </c>
      <c r="B12824" s="2" t="s">
        <v>5011</v>
      </c>
      <c r="C12824" s="2" t="s">
        <v>6696</v>
      </c>
      <c r="D12824" s="3" t="str">
        <f t="shared" si="3024"/>
        <v>12Go Link</v>
      </c>
      <c r="E12824" s="2" t="s">
        <v>4139</v>
      </c>
    </row>
    <row r="12825">
      <c r="A12825" s="2" t="s">
        <v>4982</v>
      </c>
      <c r="B12825" s="2" t="s">
        <v>5011</v>
      </c>
      <c r="C12825" s="2" t="s">
        <v>6696</v>
      </c>
      <c r="D12825" s="3" t="str">
        <f t="shared" si="3024"/>
        <v>12Go Link</v>
      </c>
      <c r="E12825" s="2" t="s">
        <v>3409</v>
      </c>
    </row>
    <row r="12826">
      <c r="A12826" s="2" t="s">
        <v>4982</v>
      </c>
      <c r="B12826" s="2" t="s">
        <v>5014</v>
      </c>
      <c r="C12826" s="2" t="s">
        <v>6697</v>
      </c>
      <c r="D12826" s="3" t="str">
        <f t="shared" ref="D12826:D12828" si="3025">HYPERLINK("https://12go.asia/en/travel/Kitulgala/Kiriella", "12Go Link")</f>
        <v>12Go Link</v>
      </c>
      <c r="E12826" s="2" t="s">
        <v>286</v>
      </c>
    </row>
    <row r="12827">
      <c r="A12827" s="2" t="s">
        <v>4982</v>
      </c>
      <c r="B12827" s="2" t="s">
        <v>5014</v>
      </c>
      <c r="C12827" s="2" t="s">
        <v>6697</v>
      </c>
      <c r="D12827" s="3" t="str">
        <f t="shared" si="3025"/>
        <v>12Go Link</v>
      </c>
      <c r="E12827" s="2" t="s">
        <v>4139</v>
      </c>
    </row>
    <row r="12828">
      <c r="A12828" s="2" t="s">
        <v>4982</v>
      </c>
      <c r="B12828" s="2" t="s">
        <v>5014</v>
      </c>
      <c r="C12828" s="2" t="s">
        <v>6697</v>
      </c>
      <c r="D12828" s="3" t="str">
        <f t="shared" si="3025"/>
        <v>12Go Link</v>
      </c>
      <c r="E12828" s="2" t="s">
        <v>3409</v>
      </c>
    </row>
    <row r="12829">
      <c r="A12829" s="2" t="s">
        <v>4982</v>
      </c>
      <c r="B12829" s="2" t="s">
        <v>5016</v>
      </c>
      <c r="C12829" s="2" t="s">
        <v>6698</v>
      </c>
      <c r="D12829" s="3" t="str">
        <f t="shared" ref="D12829:D12831" si="3026">HYPERLINK("https://12go.asia/en/travel/Kitulgala/Pidurangala", "12Go Link")</f>
        <v>12Go Link</v>
      </c>
      <c r="E12829" s="2" t="s">
        <v>286</v>
      </c>
    </row>
    <row r="12830">
      <c r="A12830" s="2" t="s">
        <v>4982</v>
      </c>
      <c r="B12830" s="2" t="s">
        <v>5016</v>
      </c>
      <c r="C12830" s="2" t="s">
        <v>6698</v>
      </c>
      <c r="D12830" s="3" t="str">
        <f t="shared" si="3026"/>
        <v>12Go Link</v>
      </c>
      <c r="E12830" s="2" t="s">
        <v>4139</v>
      </c>
    </row>
    <row r="12831">
      <c r="A12831" s="2" t="s">
        <v>4982</v>
      </c>
      <c r="B12831" s="2" t="s">
        <v>5016</v>
      </c>
      <c r="C12831" s="2" t="s">
        <v>6698</v>
      </c>
      <c r="D12831" s="3" t="str">
        <f t="shared" si="3026"/>
        <v>12Go Link</v>
      </c>
      <c r="E12831" s="2" t="s">
        <v>3409</v>
      </c>
    </row>
    <row r="12832">
      <c r="A12832" s="2" t="s">
        <v>4982</v>
      </c>
      <c r="B12832" s="2" t="s">
        <v>5018</v>
      </c>
      <c r="C12832" s="2" t="s">
        <v>6699</v>
      </c>
      <c r="D12832" s="3" t="str">
        <f t="shared" ref="D12832:D12834" si="3027">HYPERLINK("https://12go.asia/en/travel/Kitulgala/Rekawa", "12Go Link")</f>
        <v>12Go Link</v>
      </c>
      <c r="E12832" s="2" t="s">
        <v>286</v>
      </c>
    </row>
    <row r="12833">
      <c r="A12833" s="2" t="s">
        <v>4982</v>
      </c>
      <c r="B12833" s="2" t="s">
        <v>5018</v>
      </c>
      <c r="C12833" s="2" t="s">
        <v>6699</v>
      </c>
      <c r="D12833" s="3" t="str">
        <f t="shared" si="3027"/>
        <v>12Go Link</v>
      </c>
      <c r="E12833" s="2" t="s">
        <v>4139</v>
      </c>
    </row>
    <row r="12834">
      <c r="A12834" s="2" t="s">
        <v>4982</v>
      </c>
      <c r="B12834" s="2" t="s">
        <v>5018</v>
      </c>
      <c r="C12834" s="2" t="s">
        <v>6699</v>
      </c>
      <c r="D12834" s="3" t="str">
        <f t="shared" si="3027"/>
        <v>12Go Link</v>
      </c>
      <c r="E12834" s="2" t="s">
        <v>3409</v>
      </c>
    </row>
    <row r="12835">
      <c r="A12835" s="2" t="s">
        <v>4982</v>
      </c>
      <c r="B12835" s="2" t="s">
        <v>5020</v>
      </c>
      <c r="C12835" s="2" t="s">
        <v>6700</v>
      </c>
      <c r="D12835" s="3" t="str">
        <f t="shared" ref="D12835:D12837" si="3028">HYPERLINK("https://12go.asia/en/travel/Kitulgala/Tissamaharama", "12Go Link")</f>
        <v>12Go Link</v>
      </c>
      <c r="E12835" s="2" t="s">
        <v>286</v>
      </c>
    </row>
    <row r="12836">
      <c r="A12836" s="2" t="s">
        <v>4982</v>
      </c>
      <c r="B12836" s="2" t="s">
        <v>5020</v>
      </c>
      <c r="C12836" s="2" t="s">
        <v>6700</v>
      </c>
      <c r="D12836" s="3" t="str">
        <f t="shared" si="3028"/>
        <v>12Go Link</v>
      </c>
      <c r="E12836" s="2" t="s">
        <v>4139</v>
      </c>
    </row>
    <row r="12837">
      <c r="A12837" s="2" t="s">
        <v>4982</v>
      </c>
      <c r="B12837" s="2" t="s">
        <v>5020</v>
      </c>
      <c r="C12837" s="2" t="s">
        <v>6700</v>
      </c>
      <c r="D12837" s="3" t="str">
        <f t="shared" si="3028"/>
        <v>12Go Link</v>
      </c>
      <c r="E12837" s="2" t="s">
        <v>3409</v>
      </c>
    </row>
    <row r="12838">
      <c r="A12838" s="2" t="s">
        <v>4982</v>
      </c>
      <c r="B12838" s="2" t="s">
        <v>5020</v>
      </c>
      <c r="C12838" s="2" t="s">
        <v>6701</v>
      </c>
      <c r="D12838" s="3" t="str">
        <f t="shared" ref="D12838:D12840" si="3029">HYPERLINK("https://12go.asia/en/travel/Kitulgala/Yala-Park", "12Go Link")</f>
        <v>12Go Link</v>
      </c>
      <c r="E12838" s="2" t="s">
        <v>286</v>
      </c>
    </row>
    <row r="12839">
      <c r="A12839" s="2" t="s">
        <v>4982</v>
      </c>
      <c r="B12839" s="2" t="s">
        <v>5020</v>
      </c>
      <c r="C12839" s="2" t="s">
        <v>6701</v>
      </c>
      <c r="D12839" s="3" t="str">
        <f t="shared" si="3029"/>
        <v>12Go Link</v>
      </c>
      <c r="E12839" s="2" t="s">
        <v>4139</v>
      </c>
    </row>
    <row r="12840">
      <c r="A12840" s="2" t="s">
        <v>4982</v>
      </c>
      <c r="B12840" s="2" t="s">
        <v>5020</v>
      </c>
      <c r="C12840" s="2" t="s">
        <v>6701</v>
      </c>
      <c r="D12840" s="3" t="str">
        <f t="shared" si="3029"/>
        <v>12Go Link</v>
      </c>
      <c r="E12840" s="2" t="s">
        <v>3409</v>
      </c>
    </row>
    <row r="12841">
      <c r="A12841" s="2" t="s">
        <v>4982</v>
      </c>
      <c r="B12841" s="2" t="s">
        <v>5023</v>
      </c>
      <c r="C12841" s="2" t="s">
        <v>6702</v>
      </c>
      <c r="D12841" s="3" t="str">
        <f t="shared" ref="D12841:D12843" si="3030">HYPERLINK("https://12go.asia/en/travel/Kitulgala/Nilaweli", "12Go Link")</f>
        <v>12Go Link</v>
      </c>
      <c r="E12841" s="2" t="s">
        <v>286</v>
      </c>
    </row>
    <row r="12842">
      <c r="A12842" s="2" t="s">
        <v>4982</v>
      </c>
      <c r="B12842" s="2" t="s">
        <v>5023</v>
      </c>
      <c r="C12842" s="2" t="s">
        <v>6702</v>
      </c>
      <c r="D12842" s="3" t="str">
        <f t="shared" si="3030"/>
        <v>12Go Link</v>
      </c>
      <c r="E12842" s="2" t="s">
        <v>4139</v>
      </c>
    </row>
    <row r="12843">
      <c r="A12843" s="2" t="s">
        <v>4982</v>
      </c>
      <c r="B12843" s="2" t="s">
        <v>5023</v>
      </c>
      <c r="C12843" s="2" t="s">
        <v>6702</v>
      </c>
      <c r="D12843" s="3" t="str">
        <f t="shared" si="3030"/>
        <v>12Go Link</v>
      </c>
      <c r="E12843" s="2" t="s">
        <v>3409</v>
      </c>
    </row>
    <row r="12844">
      <c r="A12844" s="2" t="s">
        <v>4982</v>
      </c>
      <c r="B12844" s="2" t="s">
        <v>5025</v>
      </c>
      <c r="C12844" s="2" t="s">
        <v>6703</v>
      </c>
      <c r="D12844" s="3" t="str">
        <f t="shared" ref="D12844:D12846" si="3031">HYPERLINK("https://12go.asia/en/travel/Kitulgala/Udawalawa", "12Go Link")</f>
        <v>12Go Link</v>
      </c>
      <c r="E12844" s="2" t="s">
        <v>286</v>
      </c>
    </row>
    <row r="12845">
      <c r="A12845" s="2" t="s">
        <v>4982</v>
      </c>
      <c r="B12845" s="2" t="s">
        <v>5025</v>
      </c>
      <c r="C12845" s="2" t="s">
        <v>6703</v>
      </c>
      <c r="D12845" s="3" t="str">
        <f t="shared" si="3031"/>
        <v>12Go Link</v>
      </c>
      <c r="E12845" s="2" t="s">
        <v>4139</v>
      </c>
    </row>
    <row r="12846">
      <c r="A12846" s="2" t="s">
        <v>4982</v>
      </c>
      <c r="B12846" s="2" t="s">
        <v>5025</v>
      </c>
      <c r="C12846" s="2" t="s">
        <v>6703</v>
      </c>
      <c r="D12846" s="3" t="str">
        <f t="shared" si="3031"/>
        <v>12Go Link</v>
      </c>
      <c r="E12846" s="2" t="s">
        <v>3409</v>
      </c>
    </row>
    <row r="12847">
      <c r="A12847" s="2" t="s">
        <v>4982</v>
      </c>
      <c r="B12847" s="2" t="s">
        <v>5027</v>
      </c>
      <c r="C12847" s="2" t="s">
        <v>6704</v>
      </c>
      <c r="D12847" s="3" t="str">
        <f t="shared" ref="D12847:D12849" si="3032">HYPERLINK("https://12go.asia/en/travel/Kitulgala/Unawatuna", "12Go Link")</f>
        <v>12Go Link</v>
      </c>
      <c r="E12847" s="2" t="s">
        <v>286</v>
      </c>
    </row>
    <row r="12848">
      <c r="A12848" s="2" t="s">
        <v>4982</v>
      </c>
      <c r="B12848" s="2" t="s">
        <v>5027</v>
      </c>
      <c r="C12848" s="2" t="s">
        <v>6704</v>
      </c>
      <c r="D12848" s="3" t="str">
        <f t="shared" si="3032"/>
        <v>12Go Link</v>
      </c>
      <c r="E12848" s="2" t="s">
        <v>4139</v>
      </c>
    </row>
    <row r="12849">
      <c r="A12849" s="2" t="s">
        <v>4982</v>
      </c>
      <c r="B12849" s="2" t="s">
        <v>5027</v>
      </c>
      <c r="C12849" s="2" t="s">
        <v>6704</v>
      </c>
      <c r="D12849" s="3" t="str">
        <f t="shared" si="3032"/>
        <v>12Go Link</v>
      </c>
      <c r="E12849" s="2" t="s">
        <v>3409</v>
      </c>
    </row>
    <row r="12850">
      <c r="A12850" s="2" t="s">
        <v>4982</v>
      </c>
      <c r="B12850" s="2" t="s">
        <v>5029</v>
      </c>
      <c r="C12850" s="2" t="s">
        <v>6705</v>
      </c>
      <c r="D12850" s="3" t="str">
        <f t="shared" ref="D12850:D12852" si="3033">HYPERLINK("https://12go.asia/en/travel/Kitulgala/Attanagalla", "12Go Link")</f>
        <v>12Go Link</v>
      </c>
      <c r="E12850" s="2" t="s">
        <v>286</v>
      </c>
    </row>
    <row r="12851">
      <c r="A12851" s="2" t="s">
        <v>4982</v>
      </c>
      <c r="B12851" s="2" t="s">
        <v>5029</v>
      </c>
      <c r="C12851" s="2" t="s">
        <v>6705</v>
      </c>
      <c r="D12851" s="3" t="str">
        <f t="shared" si="3033"/>
        <v>12Go Link</v>
      </c>
      <c r="E12851" s="2" t="s">
        <v>4139</v>
      </c>
    </row>
    <row r="12852">
      <c r="A12852" s="2" t="s">
        <v>4982</v>
      </c>
      <c r="B12852" s="2" t="s">
        <v>5029</v>
      </c>
      <c r="C12852" s="2" t="s">
        <v>6705</v>
      </c>
      <c r="D12852" s="3" t="str">
        <f t="shared" si="3033"/>
        <v>12Go Link</v>
      </c>
      <c r="E12852" s="2" t="s">
        <v>3409</v>
      </c>
    </row>
    <row r="12853">
      <c r="A12853" s="2" t="s">
        <v>4982</v>
      </c>
      <c r="B12853" s="2" t="s">
        <v>5031</v>
      </c>
      <c r="C12853" s="2" t="s">
        <v>6706</v>
      </c>
      <c r="D12853" s="3" t="str">
        <f t="shared" ref="D12853:D12855" si="3034">HYPERLINK("https://12go.asia/en/travel/Kitulgala/Moronthuduwa", "12Go Link")</f>
        <v>12Go Link</v>
      </c>
      <c r="E12853" s="2" t="s">
        <v>286</v>
      </c>
    </row>
    <row r="12854">
      <c r="A12854" s="2" t="s">
        <v>4982</v>
      </c>
      <c r="B12854" s="2" t="s">
        <v>5031</v>
      </c>
      <c r="C12854" s="2" t="s">
        <v>6706</v>
      </c>
      <c r="D12854" s="3" t="str">
        <f t="shared" si="3034"/>
        <v>12Go Link</v>
      </c>
      <c r="E12854" s="2" t="s">
        <v>4139</v>
      </c>
    </row>
    <row r="12855">
      <c r="A12855" s="2" t="s">
        <v>4982</v>
      </c>
      <c r="B12855" s="2" t="s">
        <v>5031</v>
      </c>
      <c r="C12855" s="2" t="s">
        <v>6706</v>
      </c>
      <c r="D12855" s="3" t="str">
        <f t="shared" si="3034"/>
        <v>12Go Link</v>
      </c>
      <c r="E12855" s="2" t="s">
        <v>3409</v>
      </c>
    </row>
    <row r="12856">
      <c r="A12856" s="2" t="s">
        <v>4982</v>
      </c>
      <c r="B12856" s="2" t="s">
        <v>5031</v>
      </c>
      <c r="C12856" s="2" t="s">
        <v>6707</v>
      </c>
      <c r="D12856" s="3" t="str">
        <f t="shared" ref="D12856:D12858" si="3035">HYPERLINK("https://12go.asia/en/travel/Kitulgala/Waskaduwa", "12Go Link")</f>
        <v>12Go Link</v>
      </c>
      <c r="E12856" s="2" t="s">
        <v>286</v>
      </c>
    </row>
    <row r="12857">
      <c r="A12857" s="2" t="s">
        <v>4982</v>
      </c>
      <c r="B12857" s="2" t="s">
        <v>5031</v>
      </c>
      <c r="C12857" s="2" t="s">
        <v>6707</v>
      </c>
      <c r="D12857" s="3" t="str">
        <f t="shared" si="3035"/>
        <v>12Go Link</v>
      </c>
      <c r="E12857" s="2" t="s">
        <v>4139</v>
      </c>
    </row>
    <row r="12858">
      <c r="A12858" s="2" t="s">
        <v>4982</v>
      </c>
      <c r="B12858" s="2" t="s">
        <v>5031</v>
      </c>
      <c r="C12858" s="2" t="s">
        <v>6707</v>
      </c>
      <c r="D12858" s="3" t="str">
        <f t="shared" si="3035"/>
        <v>12Go Link</v>
      </c>
      <c r="E12858" s="2" t="s">
        <v>3409</v>
      </c>
    </row>
    <row r="12859">
      <c r="A12859" s="2" t="s">
        <v>4982</v>
      </c>
      <c r="B12859" s="2" t="s">
        <v>5034</v>
      </c>
      <c r="C12859" s="2" t="s">
        <v>6708</v>
      </c>
      <c r="D12859" s="3" t="str">
        <f t="shared" ref="D12859:D12861" si="3036">HYPERLINK("https://12go.asia/en/travel/Kitulgala/Weddagala", "12Go Link")</f>
        <v>12Go Link</v>
      </c>
      <c r="E12859" s="2" t="s">
        <v>286</v>
      </c>
    </row>
    <row r="12860">
      <c r="A12860" s="2" t="s">
        <v>4982</v>
      </c>
      <c r="B12860" s="2" t="s">
        <v>5034</v>
      </c>
      <c r="C12860" s="2" t="s">
        <v>6708</v>
      </c>
      <c r="D12860" s="3" t="str">
        <f t="shared" si="3036"/>
        <v>12Go Link</v>
      </c>
      <c r="E12860" s="2" t="s">
        <v>4139</v>
      </c>
    </row>
    <row r="12861">
      <c r="A12861" s="2" t="s">
        <v>4982</v>
      </c>
      <c r="B12861" s="2" t="s">
        <v>5034</v>
      </c>
      <c r="C12861" s="2" t="s">
        <v>6708</v>
      </c>
      <c r="D12861" s="3" t="str">
        <f t="shared" si="3036"/>
        <v>12Go Link</v>
      </c>
      <c r="E12861" s="2" t="s">
        <v>3409</v>
      </c>
    </row>
    <row r="12862">
      <c r="A12862" s="2" t="s">
        <v>4982</v>
      </c>
      <c r="B12862" s="2" t="s">
        <v>5036</v>
      </c>
      <c r="C12862" s="2" t="s">
        <v>6709</v>
      </c>
      <c r="D12862" s="3" t="str">
        <f t="shared" ref="D12862:D12864" si="3037">HYPERLINK("https://12go.asia/en/travel/Kitulgala/Weligatta", "12Go Link")</f>
        <v>12Go Link</v>
      </c>
      <c r="E12862" s="2" t="s">
        <v>286</v>
      </c>
    </row>
    <row r="12863">
      <c r="A12863" s="2" t="s">
        <v>4982</v>
      </c>
      <c r="B12863" s="2" t="s">
        <v>5036</v>
      </c>
      <c r="C12863" s="2" t="s">
        <v>6709</v>
      </c>
      <c r="D12863" s="3" t="str">
        <f t="shared" si="3037"/>
        <v>12Go Link</v>
      </c>
      <c r="E12863" s="2" t="s">
        <v>4139</v>
      </c>
    </row>
    <row r="12864">
      <c r="A12864" s="2" t="s">
        <v>4982</v>
      </c>
      <c r="B12864" s="2" t="s">
        <v>5036</v>
      </c>
      <c r="C12864" s="2" t="s">
        <v>6709</v>
      </c>
      <c r="D12864" s="3" t="str">
        <f t="shared" si="3037"/>
        <v>12Go Link</v>
      </c>
      <c r="E12864" s="2" t="s">
        <v>3409</v>
      </c>
    </row>
    <row r="12865">
      <c r="A12865" s="2" t="s">
        <v>4982</v>
      </c>
      <c r="B12865" s="2" t="s">
        <v>5038</v>
      </c>
      <c r="C12865" s="2" t="s">
        <v>6710</v>
      </c>
      <c r="D12865" s="3" t="str">
        <f t="shared" ref="D12865:D12867" si="3038">HYPERLINK("https://12go.asia/en/travel/Kitulgala/Akuressa", "12Go Link")</f>
        <v>12Go Link</v>
      </c>
      <c r="E12865" s="2" t="s">
        <v>286</v>
      </c>
    </row>
    <row r="12866">
      <c r="A12866" s="2" t="s">
        <v>4982</v>
      </c>
      <c r="B12866" s="2" t="s">
        <v>5038</v>
      </c>
      <c r="C12866" s="2" t="s">
        <v>6710</v>
      </c>
      <c r="D12866" s="3" t="str">
        <f t="shared" si="3038"/>
        <v>12Go Link</v>
      </c>
      <c r="E12866" s="2" t="s">
        <v>4139</v>
      </c>
    </row>
    <row r="12867">
      <c r="A12867" s="2" t="s">
        <v>4982</v>
      </c>
      <c r="B12867" s="2" t="s">
        <v>5038</v>
      </c>
      <c r="C12867" s="2" t="s">
        <v>6710</v>
      </c>
      <c r="D12867" s="3" t="str">
        <f t="shared" si="3038"/>
        <v>12Go Link</v>
      </c>
      <c r="E12867" s="2" t="s">
        <v>3409</v>
      </c>
    </row>
    <row r="12868">
      <c r="A12868" s="2" t="s">
        <v>4982</v>
      </c>
      <c r="B12868" s="2" t="s">
        <v>5040</v>
      </c>
      <c r="C12868" s="2" t="s">
        <v>6711</v>
      </c>
      <c r="D12868" s="3" t="str">
        <f t="shared" ref="D12868:D12870" si="3039">HYPERLINK("https://12go.asia/en/travel/Kitulgala/Wilpattu", "12Go Link")</f>
        <v>12Go Link</v>
      </c>
      <c r="E12868" s="2" t="s">
        <v>286</v>
      </c>
    </row>
    <row r="12869">
      <c r="A12869" s="2" t="s">
        <v>4982</v>
      </c>
      <c r="B12869" s="2" t="s">
        <v>5040</v>
      </c>
      <c r="C12869" s="2" t="s">
        <v>6711</v>
      </c>
      <c r="D12869" s="3" t="str">
        <f t="shared" si="3039"/>
        <v>12Go Link</v>
      </c>
      <c r="E12869" s="2" t="s">
        <v>4139</v>
      </c>
    </row>
    <row r="12870">
      <c r="A12870" s="2" t="s">
        <v>4982</v>
      </c>
      <c r="B12870" s="2" t="s">
        <v>5040</v>
      </c>
      <c r="C12870" s="2" t="s">
        <v>6711</v>
      </c>
      <c r="D12870" s="3" t="str">
        <f t="shared" si="3039"/>
        <v>12Go Link</v>
      </c>
      <c r="E12870" s="2" t="s">
        <v>3409</v>
      </c>
    </row>
    <row r="12871">
      <c r="A12871" s="2" t="s">
        <v>4984</v>
      </c>
      <c r="B12871" s="2" t="s">
        <v>4918</v>
      </c>
      <c r="C12871" s="2" t="s">
        <v>6712</v>
      </c>
      <c r="D12871" s="3" t="str">
        <f t="shared" ref="D12871:D12873" si="3040">HYPERLINK("https://12go.asia/en/travel/Habaraduwa/Adams-Peak", "12Go Link")</f>
        <v>12Go Link</v>
      </c>
      <c r="E12871" s="2" t="s">
        <v>286</v>
      </c>
    </row>
    <row r="12872">
      <c r="A12872" s="2" t="s">
        <v>4984</v>
      </c>
      <c r="B12872" s="2" t="s">
        <v>4918</v>
      </c>
      <c r="C12872" s="2" t="s">
        <v>6712</v>
      </c>
      <c r="D12872" s="3" t="str">
        <f t="shared" si="3040"/>
        <v>12Go Link</v>
      </c>
      <c r="E12872" s="2" t="s">
        <v>4139</v>
      </c>
    </row>
    <row r="12873">
      <c r="A12873" s="2" t="s">
        <v>4984</v>
      </c>
      <c r="B12873" s="2" t="s">
        <v>4918</v>
      </c>
      <c r="C12873" s="2" t="s">
        <v>6712</v>
      </c>
      <c r="D12873" s="3" t="str">
        <f t="shared" si="3040"/>
        <v>12Go Link</v>
      </c>
      <c r="E12873" s="2" t="s">
        <v>3409</v>
      </c>
    </row>
    <row r="12874">
      <c r="A12874" s="2" t="s">
        <v>4984</v>
      </c>
      <c r="B12874" s="2" t="s">
        <v>4919</v>
      </c>
      <c r="C12874" s="2" t="s">
        <v>6713</v>
      </c>
      <c r="D12874" s="3" t="str">
        <f t="shared" ref="D12874:D12876" si="3041">HYPERLINK("https://12go.asia/en/travel/Habaraduwa/Ahangama", "12Go Link")</f>
        <v>12Go Link</v>
      </c>
      <c r="E12874" s="2" t="s">
        <v>286</v>
      </c>
    </row>
    <row r="12875">
      <c r="A12875" s="2" t="s">
        <v>4984</v>
      </c>
      <c r="B12875" s="2" t="s">
        <v>4919</v>
      </c>
      <c r="C12875" s="2" t="s">
        <v>6713</v>
      </c>
      <c r="D12875" s="3" t="str">
        <f t="shared" si="3041"/>
        <v>12Go Link</v>
      </c>
      <c r="E12875" s="2" t="s">
        <v>4139</v>
      </c>
    </row>
    <row r="12876">
      <c r="A12876" s="2" t="s">
        <v>4984</v>
      </c>
      <c r="B12876" s="2" t="s">
        <v>4919</v>
      </c>
      <c r="C12876" s="2" t="s">
        <v>6713</v>
      </c>
      <c r="D12876" s="3" t="str">
        <f t="shared" si="3041"/>
        <v>12Go Link</v>
      </c>
      <c r="E12876" s="2" t="s">
        <v>3409</v>
      </c>
    </row>
    <row r="12877">
      <c r="A12877" s="2" t="s">
        <v>4984</v>
      </c>
      <c r="B12877" s="2" t="s">
        <v>4919</v>
      </c>
      <c r="C12877" s="2" t="s">
        <v>6714</v>
      </c>
      <c r="D12877" s="3" t="str">
        <f t="shared" ref="D12877:D12878" si="3042">HYPERLINK("https://12go.asia/en/travel/Koggala/Ahangama", "12Go Link")</f>
        <v>12Go Link</v>
      </c>
      <c r="E12877" s="2" t="s">
        <v>5080</v>
      </c>
    </row>
    <row r="12878">
      <c r="A12878" s="2" t="s">
        <v>4984</v>
      </c>
      <c r="B12878" s="2" t="s">
        <v>4919</v>
      </c>
      <c r="C12878" s="2" t="s">
        <v>6714</v>
      </c>
      <c r="D12878" s="3" t="str">
        <f t="shared" si="3042"/>
        <v>12Go Link</v>
      </c>
      <c r="E12878" s="2" t="s">
        <v>5081</v>
      </c>
    </row>
    <row r="12879">
      <c r="A12879" s="2" t="s">
        <v>4984</v>
      </c>
      <c r="B12879" s="2" t="s">
        <v>4921</v>
      </c>
      <c r="C12879" s="2" t="s">
        <v>6715</v>
      </c>
      <c r="D12879" s="3" t="str">
        <f t="shared" ref="D12879:D12881" si="3043">HYPERLINK("https://12go.asia/en/travel/Habaraduwa/Ahungalla", "12Go Link")</f>
        <v>12Go Link</v>
      </c>
      <c r="E12879" s="2" t="s">
        <v>286</v>
      </c>
    </row>
    <row r="12880">
      <c r="A12880" s="2" t="s">
        <v>4984</v>
      </c>
      <c r="B12880" s="2" t="s">
        <v>4921</v>
      </c>
      <c r="C12880" s="2" t="s">
        <v>6715</v>
      </c>
      <c r="D12880" s="3" t="str">
        <f t="shared" si="3043"/>
        <v>12Go Link</v>
      </c>
      <c r="E12880" s="2" t="s">
        <v>4139</v>
      </c>
    </row>
    <row r="12881">
      <c r="A12881" s="2" t="s">
        <v>4984</v>
      </c>
      <c r="B12881" s="2" t="s">
        <v>4921</v>
      </c>
      <c r="C12881" s="2" t="s">
        <v>6715</v>
      </c>
      <c r="D12881" s="3" t="str">
        <f t="shared" si="3043"/>
        <v>12Go Link</v>
      </c>
      <c r="E12881" s="2" t="s">
        <v>3409</v>
      </c>
    </row>
    <row r="12882">
      <c r="A12882" s="2" t="s">
        <v>4984</v>
      </c>
      <c r="B12882" s="2" t="s">
        <v>4923</v>
      </c>
      <c r="C12882" s="2" t="s">
        <v>6716</v>
      </c>
      <c r="D12882" s="3" t="str">
        <f t="shared" ref="D12882:D12884" si="3044">HYPERLINK("https://12go.asia/en/travel/Habaraduwa/Aluthgama", "12Go Link")</f>
        <v>12Go Link</v>
      </c>
      <c r="E12882" s="2" t="s">
        <v>286</v>
      </c>
    </row>
    <row r="12883">
      <c r="A12883" s="2" t="s">
        <v>4984</v>
      </c>
      <c r="B12883" s="2" t="s">
        <v>4923</v>
      </c>
      <c r="C12883" s="2" t="s">
        <v>6716</v>
      </c>
      <c r="D12883" s="3" t="str">
        <f t="shared" si="3044"/>
        <v>12Go Link</v>
      </c>
      <c r="E12883" s="2" t="s">
        <v>4139</v>
      </c>
    </row>
    <row r="12884">
      <c r="A12884" s="2" t="s">
        <v>4984</v>
      </c>
      <c r="B12884" s="2" t="s">
        <v>4923</v>
      </c>
      <c r="C12884" s="2" t="s">
        <v>6716</v>
      </c>
      <c r="D12884" s="3" t="str">
        <f t="shared" si="3044"/>
        <v>12Go Link</v>
      </c>
      <c r="E12884" s="2" t="s">
        <v>3409</v>
      </c>
    </row>
    <row r="12885">
      <c r="A12885" s="2" t="s">
        <v>4984</v>
      </c>
      <c r="B12885" s="2" t="s">
        <v>4925</v>
      </c>
      <c r="C12885" s="2" t="s">
        <v>6717</v>
      </c>
      <c r="D12885" s="3" t="str">
        <f t="shared" ref="D12885:D12887" si="3045">HYPERLINK("https://12go.asia/en/travel/Habaraduwa/Ambalangoda", "12Go Link")</f>
        <v>12Go Link</v>
      </c>
      <c r="E12885" s="2" t="s">
        <v>286</v>
      </c>
    </row>
    <row r="12886">
      <c r="A12886" s="2" t="s">
        <v>4984</v>
      </c>
      <c r="B12886" s="2" t="s">
        <v>4925</v>
      </c>
      <c r="C12886" s="2" t="s">
        <v>6717</v>
      </c>
      <c r="D12886" s="3" t="str">
        <f t="shared" si="3045"/>
        <v>12Go Link</v>
      </c>
      <c r="E12886" s="2" t="s">
        <v>4139</v>
      </c>
    </row>
    <row r="12887">
      <c r="A12887" s="2" t="s">
        <v>4984</v>
      </c>
      <c r="B12887" s="2" t="s">
        <v>4925</v>
      </c>
      <c r="C12887" s="2" t="s">
        <v>6717</v>
      </c>
      <c r="D12887" s="3" t="str">
        <f t="shared" si="3045"/>
        <v>12Go Link</v>
      </c>
      <c r="E12887" s="2" t="s">
        <v>3409</v>
      </c>
    </row>
    <row r="12888">
      <c r="A12888" s="2" t="s">
        <v>4984</v>
      </c>
      <c r="B12888" s="2" t="s">
        <v>4927</v>
      </c>
      <c r="C12888" s="2" t="s">
        <v>6718</v>
      </c>
      <c r="D12888" s="3" t="str">
        <f t="shared" ref="D12888:D12890" si="3046">HYPERLINK("https://12go.asia/en/travel/Habaraduwa/Ambalantota", "12Go Link")</f>
        <v>12Go Link</v>
      </c>
      <c r="E12888" s="2" t="s">
        <v>286</v>
      </c>
    </row>
    <row r="12889">
      <c r="A12889" s="2" t="s">
        <v>4984</v>
      </c>
      <c r="B12889" s="2" t="s">
        <v>4927</v>
      </c>
      <c r="C12889" s="2" t="s">
        <v>6718</v>
      </c>
      <c r="D12889" s="3" t="str">
        <f t="shared" si="3046"/>
        <v>12Go Link</v>
      </c>
      <c r="E12889" s="2" t="s">
        <v>4139</v>
      </c>
    </row>
    <row r="12890">
      <c r="A12890" s="2" t="s">
        <v>4984</v>
      </c>
      <c r="B12890" s="2" t="s">
        <v>4927</v>
      </c>
      <c r="C12890" s="2" t="s">
        <v>6718</v>
      </c>
      <c r="D12890" s="3" t="str">
        <f t="shared" si="3046"/>
        <v>12Go Link</v>
      </c>
      <c r="E12890" s="2" t="s">
        <v>3409</v>
      </c>
    </row>
    <row r="12891">
      <c r="A12891" s="2" t="s">
        <v>4984</v>
      </c>
      <c r="B12891" s="2" t="s">
        <v>4929</v>
      </c>
      <c r="C12891" s="2" t="s">
        <v>6719</v>
      </c>
      <c r="D12891" s="3" t="str">
        <f t="shared" ref="D12891:D12893" si="3047">HYPERLINK("https://12go.asia/en/travel/Habaraduwa/Anuradhapura", "12Go Link")</f>
        <v>12Go Link</v>
      </c>
      <c r="E12891" s="2" t="s">
        <v>286</v>
      </c>
    </row>
    <row r="12892">
      <c r="A12892" s="2" t="s">
        <v>4984</v>
      </c>
      <c r="B12892" s="2" t="s">
        <v>4929</v>
      </c>
      <c r="C12892" s="2" t="s">
        <v>6719</v>
      </c>
      <c r="D12892" s="3" t="str">
        <f t="shared" si="3047"/>
        <v>12Go Link</v>
      </c>
      <c r="E12892" s="2" t="s">
        <v>4139</v>
      </c>
    </row>
    <row r="12893">
      <c r="A12893" s="2" t="s">
        <v>4984</v>
      </c>
      <c r="B12893" s="2" t="s">
        <v>4929</v>
      </c>
      <c r="C12893" s="2" t="s">
        <v>6719</v>
      </c>
      <c r="D12893" s="3" t="str">
        <f t="shared" si="3047"/>
        <v>12Go Link</v>
      </c>
      <c r="E12893" s="2" t="s">
        <v>3409</v>
      </c>
    </row>
    <row r="12894">
      <c r="A12894" s="2" t="s">
        <v>4984</v>
      </c>
      <c r="B12894" s="2" t="s">
        <v>4931</v>
      </c>
      <c r="C12894" s="2" t="s">
        <v>6720</v>
      </c>
      <c r="D12894" s="3" t="str">
        <f t="shared" ref="D12894:D12896" si="3048">HYPERLINK("https://12go.asia/en/travel/Habaraduwa/Arugam-bay", "12Go Link")</f>
        <v>12Go Link</v>
      </c>
      <c r="E12894" s="2" t="s">
        <v>286</v>
      </c>
    </row>
    <row r="12895">
      <c r="A12895" s="2" t="s">
        <v>4984</v>
      </c>
      <c r="B12895" s="2" t="s">
        <v>4931</v>
      </c>
      <c r="C12895" s="2" t="s">
        <v>6720</v>
      </c>
      <c r="D12895" s="3" t="str">
        <f t="shared" si="3048"/>
        <v>12Go Link</v>
      </c>
      <c r="E12895" s="2" t="s">
        <v>4139</v>
      </c>
    </row>
    <row r="12896">
      <c r="A12896" s="2" t="s">
        <v>4984</v>
      </c>
      <c r="B12896" s="2" t="s">
        <v>4931</v>
      </c>
      <c r="C12896" s="2" t="s">
        <v>6720</v>
      </c>
      <c r="D12896" s="3" t="str">
        <f t="shared" si="3048"/>
        <v>12Go Link</v>
      </c>
      <c r="E12896" s="2" t="s">
        <v>3409</v>
      </c>
    </row>
    <row r="12897">
      <c r="A12897" s="2" t="s">
        <v>4984</v>
      </c>
      <c r="B12897" s="2" t="s">
        <v>4933</v>
      </c>
      <c r="C12897" s="2" t="s">
        <v>6721</v>
      </c>
      <c r="D12897" s="3" t="str">
        <f t="shared" ref="D12897:D12899" si="3049">HYPERLINK("https://12go.asia/en/travel/Habaraduwa/balapitiya", "12Go Link")</f>
        <v>12Go Link</v>
      </c>
      <c r="E12897" s="2" t="s">
        <v>286</v>
      </c>
    </row>
    <row r="12898">
      <c r="A12898" s="2" t="s">
        <v>4984</v>
      </c>
      <c r="B12898" s="2" t="s">
        <v>4933</v>
      </c>
      <c r="C12898" s="2" t="s">
        <v>6721</v>
      </c>
      <c r="D12898" s="3" t="str">
        <f t="shared" si="3049"/>
        <v>12Go Link</v>
      </c>
      <c r="E12898" s="2" t="s">
        <v>4139</v>
      </c>
    </row>
    <row r="12899">
      <c r="A12899" s="2" t="s">
        <v>4984</v>
      </c>
      <c r="B12899" s="2" t="s">
        <v>4933</v>
      </c>
      <c r="C12899" s="2" t="s">
        <v>6721</v>
      </c>
      <c r="D12899" s="3" t="str">
        <f t="shared" si="3049"/>
        <v>12Go Link</v>
      </c>
      <c r="E12899" s="2" t="s">
        <v>3409</v>
      </c>
    </row>
    <row r="12900">
      <c r="A12900" s="2" t="s">
        <v>4984</v>
      </c>
      <c r="B12900" s="2" t="s">
        <v>4935</v>
      </c>
      <c r="C12900" s="2" t="s">
        <v>6722</v>
      </c>
      <c r="D12900" s="3" t="str">
        <f t="shared" ref="D12900:D12902" si="3050">HYPERLINK("https://12go.asia/en/travel/Habaraduwa/Batticaloa", "12Go Link")</f>
        <v>12Go Link</v>
      </c>
      <c r="E12900" s="2" t="s">
        <v>286</v>
      </c>
    </row>
    <row r="12901">
      <c r="A12901" s="2" t="s">
        <v>4984</v>
      </c>
      <c r="B12901" s="2" t="s">
        <v>4935</v>
      </c>
      <c r="C12901" s="2" t="s">
        <v>6722</v>
      </c>
      <c r="D12901" s="3" t="str">
        <f t="shared" si="3050"/>
        <v>12Go Link</v>
      </c>
      <c r="E12901" s="2" t="s">
        <v>4139</v>
      </c>
    </row>
    <row r="12902">
      <c r="A12902" s="2" t="s">
        <v>4984</v>
      </c>
      <c r="B12902" s="2" t="s">
        <v>4935</v>
      </c>
      <c r="C12902" s="2" t="s">
        <v>6722</v>
      </c>
      <c r="D12902" s="3" t="str">
        <f t="shared" si="3050"/>
        <v>12Go Link</v>
      </c>
      <c r="E12902" s="2" t="s">
        <v>3409</v>
      </c>
    </row>
    <row r="12903">
      <c r="A12903" s="2" t="s">
        <v>4984</v>
      </c>
      <c r="B12903" s="2" t="s">
        <v>4937</v>
      </c>
      <c r="C12903" s="2" t="s">
        <v>6723</v>
      </c>
      <c r="D12903" s="3" t="str">
        <f t="shared" ref="D12903:D12905" si="3051">HYPERLINK("https://12go.asia/en/travel/Habaraduwa/Bentota", "12Go Link")</f>
        <v>12Go Link</v>
      </c>
      <c r="E12903" s="2" t="s">
        <v>286</v>
      </c>
    </row>
    <row r="12904">
      <c r="A12904" s="2" t="s">
        <v>4984</v>
      </c>
      <c r="B12904" s="2" t="s">
        <v>4937</v>
      </c>
      <c r="C12904" s="2" t="s">
        <v>6723</v>
      </c>
      <c r="D12904" s="3" t="str">
        <f t="shared" si="3051"/>
        <v>12Go Link</v>
      </c>
      <c r="E12904" s="2" t="s">
        <v>4139</v>
      </c>
    </row>
    <row r="12905">
      <c r="A12905" s="2" t="s">
        <v>4984</v>
      </c>
      <c r="B12905" s="2" t="s">
        <v>4937</v>
      </c>
      <c r="C12905" s="2" t="s">
        <v>6723</v>
      </c>
      <c r="D12905" s="3" t="str">
        <f t="shared" si="3051"/>
        <v>12Go Link</v>
      </c>
      <c r="E12905" s="2" t="s">
        <v>3409</v>
      </c>
    </row>
    <row r="12906">
      <c r="A12906" s="2" t="s">
        <v>4984</v>
      </c>
      <c r="B12906" s="2" t="s">
        <v>4939</v>
      </c>
      <c r="C12906" s="2" t="s">
        <v>6724</v>
      </c>
      <c r="D12906" s="3" t="str">
        <f t="shared" ref="D12906:D12908" si="3052">HYPERLINK("https://12go.asia/en/travel/Habaraduwa/Beruwala", "12Go Link")</f>
        <v>12Go Link</v>
      </c>
      <c r="E12906" s="2" t="s">
        <v>286</v>
      </c>
    </row>
    <row r="12907">
      <c r="A12907" s="2" t="s">
        <v>4984</v>
      </c>
      <c r="B12907" s="2" t="s">
        <v>4939</v>
      </c>
      <c r="C12907" s="2" t="s">
        <v>6724</v>
      </c>
      <c r="D12907" s="3" t="str">
        <f t="shared" si="3052"/>
        <v>12Go Link</v>
      </c>
      <c r="E12907" s="2" t="s">
        <v>4139</v>
      </c>
    </row>
    <row r="12908">
      <c r="A12908" s="2" t="s">
        <v>4984</v>
      </c>
      <c r="B12908" s="2" t="s">
        <v>4939</v>
      </c>
      <c r="C12908" s="2" t="s">
        <v>6724</v>
      </c>
      <c r="D12908" s="3" t="str">
        <f t="shared" si="3052"/>
        <v>12Go Link</v>
      </c>
      <c r="E12908" s="2" t="s">
        <v>3409</v>
      </c>
    </row>
    <row r="12909">
      <c r="A12909" s="2" t="s">
        <v>4984</v>
      </c>
      <c r="B12909" s="2" t="s">
        <v>4941</v>
      </c>
      <c r="C12909" s="2" t="s">
        <v>6725</v>
      </c>
      <c r="D12909" s="3" t="str">
        <f t="shared" ref="D12909:D12911" si="3053">HYPERLINK("https://12go.asia/en/travel/Habaraduwa/Bundala", "12Go Link")</f>
        <v>12Go Link</v>
      </c>
      <c r="E12909" s="2" t="s">
        <v>286</v>
      </c>
    </row>
    <row r="12910">
      <c r="A12910" s="2" t="s">
        <v>4984</v>
      </c>
      <c r="B12910" s="2" t="s">
        <v>4941</v>
      </c>
      <c r="C12910" s="2" t="s">
        <v>6725</v>
      </c>
      <c r="D12910" s="3" t="str">
        <f t="shared" si="3053"/>
        <v>12Go Link</v>
      </c>
      <c r="E12910" s="2" t="s">
        <v>4139</v>
      </c>
    </row>
    <row r="12911">
      <c r="A12911" s="2" t="s">
        <v>4984</v>
      </c>
      <c r="B12911" s="2" t="s">
        <v>4941</v>
      </c>
      <c r="C12911" s="2" t="s">
        <v>6725</v>
      </c>
      <c r="D12911" s="3" t="str">
        <f t="shared" si="3053"/>
        <v>12Go Link</v>
      </c>
      <c r="E12911" s="2" t="s">
        <v>3409</v>
      </c>
    </row>
    <row r="12912">
      <c r="A12912" s="2" t="s">
        <v>4984</v>
      </c>
      <c r="B12912" s="2" t="s">
        <v>4943</v>
      </c>
      <c r="C12912" s="2" t="s">
        <v>6726</v>
      </c>
      <c r="D12912" s="3" t="str">
        <f t="shared" ref="D12912:D12914" si="3054">HYPERLINK("https://12go.asia/en/travel/Habaraduwa/Bambalapitiya", "12Go Link")</f>
        <v>12Go Link</v>
      </c>
      <c r="E12912" s="2" t="s">
        <v>286</v>
      </c>
    </row>
    <row r="12913">
      <c r="A12913" s="2" t="s">
        <v>4984</v>
      </c>
      <c r="B12913" s="2" t="s">
        <v>4943</v>
      </c>
      <c r="C12913" s="2" t="s">
        <v>6726</v>
      </c>
      <c r="D12913" s="3" t="str">
        <f t="shared" si="3054"/>
        <v>12Go Link</v>
      </c>
      <c r="E12913" s="2" t="s">
        <v>4139</v>
      </c>
    </row>
    <row r="12914">
      <c r="A12914" s="2" t="s">
        <v>4984</v>
      </c>
      <c r="B12914" s="2" t="s">
        <v>4943</v>
      </c>
      <c r="C12914" s="2" t="s">
        <v>6726</v>
      </c>
      <c r="D12914" s="3" t="str">
        <f t="shared" si="3054"/>
        <v>12Go Link</v>
      </c>
      <c r="E12914" s="2" t="s">
        <v>3409</v>
      </c>
    </row>
    <row r="12915">
      <c r="A12915" s="2" t="s">
        <v>4984</v>
      </c>
      <c r="B12915" s="2" t="s">
        <v>4945</v>
      </c>
      <c r="C12915" s="2" t="s">
        <v>6727</v>
      </c>
      <c r="D12915" s="3" t="str">
        <f t="shared" ref="D12915:D12917" si="3055">HYPERLINK("https://12go.asia/en/travel/Habaraduwa/Bandaranaike-Airport", "12Go Link")</f>
        <v>12Go Link</v>
      </c>
      <c r="E12915" s="2" t="s">
        <v>286</v>
      </c>
    </row>
    <row r="12916">
      <c r="A12916" s="2" t="s">
        <v>4984</v>
      </c>
      <c r="B12916" s="2" t="s">
        <v>4945</v>
      </c>
      <c r="C12916" s="2" t="s">
        <v>6727</v>
      </c>
      <c r="D12916" s="3" t="str">
        <f t="shared" si="3055"/>
        <v>12Go Link</v>
      </c>
      <c r="E12916" s="2" t="s">
        <v>4139</v>
      </c>
    </row>
    <row r="12917">
      <c r="A12917" s="2" t="s">
        <v>4984</v>
      </c>
      <c r="B12917" s="2" t="s">
        <v>4945</v>
      </c>
      <c r="C12917" s="2" t="s">
        <v>6727</v>
      </c>
      <c r="D12917" s="3" t="str">
        <f t="shared" si="3055"/>
        <v>12Go Link</v>
      </c>
      <c r="E12917" s="2" t="s">
        <v>3409</v>
      </c>
    </row>
    <row r="12918">
      <c r="A12918" s="2" t="s">
        <v>4984</v>
      </c>
      <c r="B12918" s="2" t="s">
        <v>4947</v>
      </c>
      <c r="C12918" s="2" t="s">
        <v>6728</v>
      </c>
      <c r="D12918" s="3" t="str">
        <f t="shared" ref="D12918:D12920" si="3056">HYPERLINK("https://12go.asia/en/travel/Habaraduwa/Dambulla", "12Go Link")</f>
        <v>12Go Link</v>
      </c>
      <c r="E12918" s="2" t="s">
        <v>286</v>
      </c>
    </row>
    <row r="12919">
      <c r="A12919" s="2" t="s">
        <v>4984</v>
      </c>
      <c r="B12919" s="2" t="s">
        <v>4947</v>
      </c>
      <c r="C12919" s="2" t="s">
        <v>6728</v>
      </c>
      <c r="D12919" s="3" t="str">
        <f t="shared" si="3056"/>
        <v>12Go Link</v>
      </c>
      <c r="E12919" s="2" t="s">
        <v>4139</v>
      </c>
    </row>
    <row r="12920">
      <c r="A12920" s="2" t="s">
        <v>4984</v>
      </c>
      <c r="B12920" s="2" t="s">
        <v>4947</v>
      </c>
      <c r="C12920" s="2" t="s">
        <v>6728</v>
      </c>
      <c r="D12920" s="3" t="str">
        <f t="shared" si="3056"/>
        <v>12Go Link</v>
      </c>
      <c r="E12920" s="2" t="s">
        <v>3409</v>
      </c>
    </row>
    <row r="12921">
      <c r="A12921" s="2" t="s">
        <v>4984</v>
      </c>
      <c r="B12921" s="2" t="s">
        <v>4949</v>
      </c>
      <c r="C12921" s="2" t="s">
        <v>6729</v>
      </c>
      <c r="D12921" s="3" t="str">
        <f t="shared" ref="D12921:D12923" si="3057">HYPERLINK("https://12go.asia/en/travel/Habaraduwa/Deniyaya", "12Go Link")</f>
        <v>12Go Link</v>
      </c>
      <c r="E12921" s="2" t="s">
        <v>286</v>
      </c>
    </row>
    <row r="12922">
      <c r="A12922" s="2" t="s">
        <v>4984</v>
      </c>
      <c r="B12922" s="2" t="s">
        <v>4949</v>
      </c>
      <c r="C12922" s="2" t="s">
        <v>6729</v>
      </c>
      <c r="D12922" s="3" t="str">
        <f t="shared" si="3057"/>
        <v>12Go Link</v>
      </c>
      <c r="E12922" s="2" t="s">
        <v>4139</v>
      </c>
    </row>
    <row r="12923">
      <c r="A12923" s="2" t="s">
        <v>4984</v>
      </c>
      <c r="B12923" s="2" t="s">
        <v>4949</v>
      </c>
      <c r="C12923" s="2" t="s">
        <v>6729</v>
      </c>
      <c r="D12923" s="3" t="str">
        <f t="shared" si="3057"/>
        <v>12Go Link</v>
      </c>
      <c r="E12923" s="2" t="s">
        <v>3409</v>
      </c>
    </row>
    <row r="12924">
      <c r="A12924" s="2" t="s">
        <v>4984</v>
      </c>
      <c r="B12924" s="2" t="s">
        <v>4951</v>
      </c>
      <c r="C12924" s="2" t="s">
        <v>6730</v>
      </c>
      <c r="D12924" s="3" t="str">
        <f t="shared" ref="D12924:D12926" si="3058">HYPERLINK("https://12go.asia/en/travel/Habaraduwa/Dickwella", "12Go Link")</f>
        <v>12Go Link</v>
      </c>
      <c r="E12924" s="2" t="s">
        <v>286</v>
      </c>
    </row>
    <row r="12925">
      <c r="A12925" s="2" t="s">
        <v>4984</v>
      </c>
      <c r="B12925" s="2" t="s">
        <v>4951</v>
      </c>
      <c r="C12925" s="2" t="s">
        <v>6730</v>
      </c>
      <c r="D12925" s="3" t="str">
        <f t="shared" si="3058"/>
        <v>12Go Link</v>
      </c>
      <c r="E12925" s="2" t="s">
        <v>4139</v>
      </c>
    </row>
    <row r="12926">
      <c r="A12926" s="2" t="s">
        <v>4984</v>
      </c>
      <c r="B12926" s="2" t="s">
        <v>4951</v>
      </c>
      <c r="C12926" s="2" t="s">
        <v>6730</v>
      </c>
      <c r="D12926" s="3" t="str">
        <f t="shared" si="3058"/>
        <v>12Go Link</v>
      </c>
      <c r="E12926" s="2" t="s">
        <v>3409</v>
      </c>
    </row>
    <row r="12927">
      <c r="A12927" s="2" t="s">
        <v>4984</v>
      </c>
      <c r="B12927" s="2" t="s">
        <v>4951</v>
      </c>
      <c r="C12927" s="2" t="s">
        <v>6731</v>
      </c>
      <c r="D12927" s="3" t="str">
        <f t="shared" ref="D12927:D12929" si="3059">HYPERLINK("https://12go.asia/en/travel/Habaraduwa/Hiriketiya-beach", "12Go Link")</f>
        <v>12Go Link</v>
      </c>
      <c r="E12927" s="2" t="s">
        <v>286</v>
      </c>
    </row>
    <row r="12928">
      <c r="A12928" s="2" t="s">
        <v>4984</v>
      </c>
      <c r="B12928" s="2" t="s">
        <v>4951</v>
      </c>
      <c r="C12928" s="2" t="s">
        <v>6731</v>
      </c>
      <c r="D12928" s="3" t="str">
        <f t="shared" si="3059"/>
        <v>12Go Link</v>
      </c>
      <c r="E12928" s="2" t="s">
        <v>4139</v>
      </c>
    </row>
    <row r="12929">
      <c r="A12929" s="2" t="s">
        <v>4984</v>
      </c>
      <c r="B12929" s="2" t="s">
        <v>4951</v>
      </c>
      <c r="C12929" s="2" t="s">
        <v>6731</v>
      </c>
      <c r="D12929" s="3" t="str">
        <f t="shared" si="3059"/>
        <v>12Go Link</v>
      </c>
      <c r="E12929" s="2" t="s">
        <v>3409</v>
      </c>
    </row>
    <row r="12930">
      <c r="A12930" s="2" t="s">
        <v>4984</v>
      </c>
      <c r="B12930" s="2" t="s">
        <v>4954</v>
      </c>
      <c r="C12930" s="2" t="s">
        <v>6732</v>
      </c>
      <c r="D12930" s="3" t="str">
        <f t="shared" ref="D12930:D12932" si="3060">HYPERLINK("https://12go.asia/en/travel/Habaraduwa/Galle", "12Go Link")</f>
        <v>12Go Link</v>
      </c>
      <c r="E12930" s="2" t="s">
        <v>286</v>
      </c>
    </row>
    <row r="12931">
      <c r="A12931" s="2" t="s">
        <v>4984</v>
      </c>
      <c r="B12931" s="2" t="s">
        <v>4954</v>
      </c>
      <c r="C12931" s="2" t="s">
        <v>6732</v>
      </c>
      <c r="D12931" s="3" t="str">
        <f t="shared" si="3060"/>
        <v>12Go Link</v>
      </c>
      <c r="E12931" s="2" t="s">
        <v>4139</v>
      </c>
    </row>
    <row r="12932">
      <c r="A12932" s="2" t="s">
        <v>4984</v>
      </c>
      <c r="B12932" s="2" t="s">
        <v>4954</v>
      </c>
      <c r="C12932" s="2" t="s">
        <v>6732</v>
      </c>
      <c r="D12932" s="3" t="str">
        <f t="shared" si="3060"/>
        <v>12Go Link</v>
      </c>
      <c r="E12932" s="2" t="s">
        <v>3409</v>
      </c>
    </row>
    <row r="12933">
      <c r="A12933" s="2" t="s">
        <v>4984</v>
      </c>
      <c r="B12933" s="2" t="s">
        <v>4954</v>
      </c>
      <c r="C12933" s="2" t="s">
        <v>6733</v>
      </c>
      <c r="D12933" s="3" t="str">
        <f t="shared" ref="D12933:D12935" si="3061">HYPERLINK("https://12go.asia/en/travel/Habaraduwa/Talpe", "12Go Link")</f>
        <v>12Go Link</v>
      </c>
      <c r="E12933" s="2" t="s">
        <v>286</v>
      </c>
    </row>
    <row r="12934">
      <c r="A12934" s="2" t="s">
        <v>4984</v>
      </c>
      <c r="B12934" s="2" t="s">
        <v>4954</v>
      </c>
      <c r="C12934" s="2" t="s">
        <v>6733</v>
      </c>
      <c r="D12934" s="3" t="str">
        <f t="shared" si="3061"/>
        <v>12Go Link</v>
      </c>
      <c r="E12934" s="2" t="s">
        <v>4139</v>
      </c>
    </row>
    <row r="12935">
      <c r="A12935" s="2" t="s">
        <v>4984</v>
      </c>
      <c r="B12935" s="2" t="s">
        <v>4954</v>
      </c>
      <c r="C12935" s="2" t="s">
        <v>6733</v>
      </c>
      <c r="D12935" s="3" t="str">
        <f t="shared" si="3061"/>
        <v>12Go Link</v>
      </c>
      <c r="E12935" s="2" t="s">
        <v>3409</v>
      </c>
    </row>
    <row r="12936">
      <c r="A12936" s="2" t="s">
        <v>4984</v>
      </c>
      <c r="B12936" s="2" t="s">
        <v>4957</v>
      </c>
      <c r="C12936" s="2" t="s">
        <v>6734</v>
      </c>
      <c r="D12936" s="3" t="str">
        <f t="shared" ref="D12936:D12938" si="3062">HYPERLINK("https://12go.asia/en/travel/Habaraduwa/Habarana", "12Go Link")</f>
        <v>12Go Link</v>
      </c>
      <c r="E12936" s="2" t="s">
        <v>286</v>
      </c>
    </row>
    <row r="12937">
      <c r="A12937" s="2" t="s">
        <v>4984</v>
      </c>
      <c r="B12937" s="2" t="s">
        <v>4957</v>
      </c>
      <c r="C12937" s="2" t="s">
        <v>6734</v>
      </c>
      <c r="D12937" s="3" t="str">
        <f t="shared" si="3062"/>
        <v>12Go Link</v>
      </c>
      <c r="E12937" s="2" t="s">
        <v>4139</v>
      </c>
    </row>
    <row r="12938">
      <c r="A12938" s="2" t="s">
        <v>4984</v>
      </c>
      <c r="B12938" s="2" t="s">
        <v>4957</v>
      </c>
      <c r="C12938" s="2" t="s">
        <v>6734</v>
      </c>
      <c r="D12938" s="3" t="str">
        <f t="shared" si="3062"/>
        <v>12Go Link</v>
      </c>
      <c r="E12938" s="2" t="s">
        <v>3409</v>
      </c>
    </row>
    <row r="12939">
      <c r="A12939" s="2" t="s">
        <v>4984</v>
      </c>
      <c r="B12939" s="2" t="s">
        <v>4959</v>
      </c>
      <c r="C12939" s="2" t="s">
        <v>6735</v>
      </c>
      <c r="D12939" s="3" t="str">
        <f t="shared" ref="D12939:D12941" si="3063">HYPERLINK("https://12go.asia/en/travel/Habaraduwa/Ella", "12Go Link")</f>
        <v>12Go Link</v>
      </c>
      <c r="E12939" s="2" t="s">
        <v>286</v>
      </c>
    </row>
    <row r="12940">
      <c r="A12940" s="2" t="s">
        <v>4984</v>
      </c>
      <c r="B12940" s="2" t="s">
        <v>4959</v>
      </c>
      <c r="C12940" s="2" t="s">
        <v>6735</v>
      </c>
      <c r="D12940" s="3" t="str">
        <f t="shared" si="3063"/>
        <v>12Go Link</v>
      </c>
      <c r="E12940" s="2" t="s">
        <v>4139</v>
      </c>
    </row>
    <row r="12941">
      <c r="A12941" s="2" t="s">
        <v>4984</v>
      </c>
      <c r="B12941" s="2" t="s">
        <v>4959</v>
      </c>
      <c r="C12941" s="2" t="s">
        <v>6735</v>
      </c>
      <c r="D12941" s="3" t="str">
        <f t="shared" si="3063"/>
        <v>12Go Link</v>
      </c>
      <c r="E12941" s="2" t="s">
        <v>3409</v>
      </c>
    </row>
    <row r="12942">
      <c r="A12942" s="2" t="s">
        <v>4984</v>
      </c>
      <c r="B12942" s="2" t="s">
        <v>4961</v>
      </c>
      <c r="C12942" s="2" t="s">
        <v>6736</v>
      </c>
      <c r="D12942" s="3" t="str">
        <f t="shared" ref="D12942:D12944" si="3064">HYPERLINK("https://12go.asia/en/travel/Habaraduwa/Beragala", "12Go Link")</f>
        <v>12Go Link</v>
      </c>
      <c r="E12942" s="2" t="s">
        <v>286</v>
      </c>
    </row>
    <row r="12943">
      <c r="A12943" s="2" t="s">
        <v>4984</v>
      </c>
      <c r="B12943" s="2" t="s">
        <v>4961</v>
      </c>
      <c r="C12943" s="2" t="s">
        <v>6736</v>
      </c>
      <c r="D12943" s="3" t="str">
        <f t="shared" si="3064"/>
        <v>12Go Link</v>
      </c>
      <c r="E12943" s="2" t="s">
        <v>4139</v>
      </c>
    </row>
    <row r="12944">
      <c r="A12944" s="2" t="s">
        <v>4984</v>
      </c>
      <c r="B12944" s="2" t="s">
        <v>4961</v>
      </c>
      <c r="C12944" s="2" t="s">
        <v>6736</v>
      </c>
      <c r="D12944" s="3" t="str">
        <f t="shared" si="3064"/>
        <v>12Go Link</v>
      </c>
      <c r="E12944" s="2" t="s">
        <v>3409</v>
      </c>
    </row>
    <row r="12945">
      <c r="A12945" s="2" t="s">
        <v>4984</v>
      </c>
      <c r="B12945" s="2" t="s">
        <v>4963</v>
      </c>
      <c r="C12945" s="2" t="s">
        <v>6737</v>
      </c>
      <c r="D12945" s="3" t="str">
        <f t="shared" ref="D12945:D12947" si="3065">HYPERLINK("https://12go.asia/en/travel/Habaraduwa/Dick-oya", "12Go Link")</f>
        <v>12Go Link</v>
      </c>
      <c r="E12945" s="2" t="s">
        <v>286</v>
      </c>
    </row>
    <row r="12946">
      <c r="A12946" s="2" t="s">
        <v>4984</v>
      </c>
      <c r="B12946" s="2" t="s">
        <v>4963</v>
      </c>
      <c r="C12946" s="2" t="s">
        <v>6737</v>
      </c>
      <c r="D12946" s="3" t="str">
        <f t="shared" si="3065"/>
        <v>12Go Link</v>
      </c>
      <c r="E12946" s="2" t="s">
        <v>4139</v>
      </c>
    </row>
    <row r="12947">
      <c r="A12947" s="2" t="s">
        <v>4984</v>
      </c>
      <c r="B12947" s="2" t="s">
        <v>4963</v>
      </c>
      <c r="C12947" s="2" t="s">
        <v>6737</v>
      </c>
      <c r="D12947" s="3" t="str">
        <f t="shared" si="3065"/>
        <v>12Go Link</v>
      </c>
      <c r="E12947" s="2" t="s">
        <v>3409</v>
      </c>
    </row>
    <row r="12948">
      <c r="A12948" s="2" t="s">
        <v>4984</v>
      </c>
      <c r="B12948" s="2" t="s">
        <v>4965</v>
      </c>
      <c r="C12948" s="2" t="s">
        <v>6738</v>
      </c>
      <c r="D12948" s="3" t="str">
        <f t="shared" ref="D12948:D12950" si="3066">HYPERLINK("https://12go.asia/en/travel/Habaraduwa/Dodanduwa", "12Go Link")</f>
        <v>12Go Link</v>
      </c>
      <c r="E12948" s="2" t="s">
        <v>286</v>
      </c>
    </row>
    <row r="12949">
      <c r="A12949" s="2" t="s">
        <v>4984</v>
      </c>
      <c r="B12949" s="2" t="s">
        <v>4965</v>
      </c>
      <c r="C12949" s="2" t="s">
        <v>6738</v>
      </c>
      <c r="D12949" s="3" t="str">
        <f t="shared" si="3066"/>
        <v>12Go Link</v>
      </c>
      <c r="E12949" s="2" t="s">
        <v>4139</v>
      </c>
    </row>
    <row r="12950">
      <c r="A12950" s="2" t="s">
        <v>4984</v>
      </c>
      <c r="B12950" s="2" t="s">
        <v>4965</v>
      </c>
      <c r="C12950" s="2" t="s">
        <v>6738</v>
      </c>
      <c r="D12950" s="3" t="str">
        <f t="shared" si="3066"/>
        <v>12Go Link</v>
      </c>
      <c r="E12950" s="2" t="s">
        <v>3409</v>
      </c>
    </row>
    <row r="12951">
      <c r="A12951" s="2" t="s">
        <v>4984</v>
      </c>
      <c r="B12951" s="2" t="s">
        <v>4967</v>
      </c>
      <c r="C12951" s="2" t="s">
        <v>6739</v>
      </c>
      <c r="D12951" s="3" t="str">
        <f t="shared" ref="D12951:D12953" si="3067">HYPERLINK("https://12go.asia/en/travel/Habaraduwa/Induruwa", "12Go Link")</f>
        <v>12Go Link</v>
      </c>
      <c r="E12951" s="2" t="s">
        <v>286</v>
      </c>
    </row>
    <row r="12952">
      <c r="A12952" s="2" t="s">
        <v>4984</v>
      </c>
      <c r="B12952" s="2" t="s">
        <v>4967</v>
      </c>
      <c r="C12952" s="2" t="s">
        <v>6739</v>
      </c>
      <c r="D12952" s="3" t="str">
        <f t="shared" si="3067"/>
        <v>12Go Link</v>
      </c>
      <c r="E12952" s="2" t="s">
        <v>4139</v>
      </c>
    </row>
    <row r="12953">
      <c r="A12953" s="2" t="s">
        <v>4984</v>
      </c>
      <c r="B12953" s="2" t="s">
        <v>4967</v>
      </c>
      <c r="C12953" s="2" t="s">
        <v>6739</v>
      </c>
      <c r="D12953" s="3" t="str">
        <f t="shared" si="3067"/>
        <v>12Go Link</v>
      </c>
      <c r="E12953" s="2" t="s">
        <v>3409</v>
      </c>
    </row>
    <row r="12954">
      <c r="A12954" s="2" t="s">
        <v>4984</v>
      </c>
      <c r="B12954" s="2" t="s">
        <v>4969</v>
      </c>
      <c r="C12954" s="2" t="s">
        <v>6740</v>
      </c>
      <c r="D12954" s="3" t="str">
        <f t="shared" ref="D12954:D12956" si="3068">HYPERLINK("https://12go.asia/en/travel/Habaraduwa/Jaffna", "12Go Link")</f>
        <v>12Go Link</v>
      </c>
      <c r="E12954" s="2" t="s">
        <v>286</v>
      </c>
    </row>
    <row r="12955">
      <c r="A12955" s="2" t="s">
        <v>4984</v>
      </c>
      <c r="B12955" s="2" t="s">
        <v>4969</v>
      </c>
      <c r="C12955" s="2" t="s">
        <v>6740</v>
      </c>
      <c r="D12955" s="3" t="str">
        <f t="shared" si="3068"/>
        <v>12Go Link</v>
      </c>
      <c r="E12955" s="2" t="s">
        <v>4139</v>
      </c>
    </row>
    <row r="12956">
      <c r="A12956" s="2" t="s">
        <v>4984</v>
      </c>
      <c r="B12956" s="2" t="s">
        <v>4969</v>
      </c>
      <c r="C12956" s="2" t="s">
        <v>6740</v>
      </c>
      <c r="D12956" s="3" t="str">
        <f t="shared" si="3068"/>
        <v>12Go Link</v>
      </c>
      <c r="E12956" s="2" t="s">
        <v>3409</v>
      </c>
    </row>
    <row r="12957">
      <c r="A12957" s="2" t="s">
        <v>4984</v>
      </c>
      <c r="B12957" s="2" t="s">
        <v>4971</v>
      </c>
      <c r="C12957" s="2" t="s">
        <v>6741</v>
      </c>
      <c r="D12957" s="3" t="str">
        <f t="shared" ref="D12957:D12959" si="3069">HYPERLINK("https://12go.asia/en/travel/Habaraduwa/Kalapuwa", "12Go Link")</f>
        <v>12Go Link</v>
      </c>
      <c r="E12957" s="2" t="s">
        <v>286</v>
      </c>
    </row>
    <row r="12958">
      <c r="A12958" s="2" t="s">
        <v>4984</v>
      </c>
      <c r="B12958" s="2" t="s">
        <v>4971</v>
      </c>
      <c r="C12958" s="2" t="s">
        <v>6741</v>
      </c>
      <c r="D12958" s="3" t="str">
        <f t="shared" si="3069"/>
        <v>12Go Link</v>
      </c>
      <c r="E12958" s="2" t="s">
        <v>4139</v>
      </c>
    </row>
    <row r="12959">
      <c r="A12959" s="2" t="s">
        <v>4984</v>
      </c>
      <c r="B12959" s="2" t="s">
        <v>4971</v>
      </c>
      <c r="C12959" s="2" t="s">
        <v>6741</v>
      </c>
      <c r="D12959" s="3" t="str">
        <f t="shared" si="3069"/>
        <v>12Go Link</v>
      </c>
      <c r="E12959" s="2" t="s">
        <v>3409</v>
      </c>
    </row>
    <row r="12960">
      <c r="A12960" s="2" t="s">
        <v>4984</v>
      </c>
      <c r="B12960" s="2" t="s">
        <v>4973</v>
      </c>
      <c r="C12960" s="2" t="s">
        <v>6742</v>
      </c>
      <c r="D12960" s="3" t="str">
        <f t="shared" ref="D12960:D12962" si="3070">HYPERLINK("https://12go.asia/en/travel/Habaraduwa/Ampitiya", "12Go Link")</f>
        <v>12Go Link</v>
      </c>
      <c r="E12960" s="2" t="s">
        <v>286</v>
      </c>
    </row>
    <row r="12961">
      <c r="A12961" s="2" t="s">
        <v>4984</v>
      </c>
      <c r="B12961" s="2" t="s">
        <v>4973</v>
      </c>
      <c r="C12961" s="2" t="s">
        <v>6742</v>
      </c>
      <c r="D12961" s="3" t="str">
        <f t="shared" si="3070"/>
        <v>12Go Link</v>
      </c>
      <c r="E12961" s="2" t="s">
        <v>4139</v>
      </c>
    </row>
    <row r="12962">
      <c r="A12962" s="2" t="s">
        <v>4984</v>
      </c>
      <c r="B12962" s="2" t="s">
        <v>4973</v>
      </c>
      <c r="C12962" s="2" t="s">
        <v>6742</v>
      </c>
      <c r="D12962" s="3" t="str">
        <f t="shared" si="3070"/>
        <v>12Go Link</v>
      </c>
      <c r="E12962" s="2" t="s">
        <v>3409</v>
      </c>
    </row>
    <row r="12963">
      <c r="A12963" s="2" t="s">
        <v>4984</v>
      </c>
      <c r="B12963" s="2" t="s">
        <v>4973</v>
      </c>
      <c r="C12963" s="2" t="s">
        <v>6743</v>
      </c>
      <c r="D12963" s="3" t="str">
        <f t="shared" ref="D12963:D12965" si="3071">HYPERLINK("https://12go.asia/en/travel/Habaraduwa/Digana", "12Go Link")</f>
        <v>12Go Link</v>
      </c>
      <c r="E12963" s="2" t="s">
        <v>286</v>
      </c>
    </row>
    <row r="12964">
      <c r="A12964" s="2" t="s">
        <v>4984</v>
      </c>
      <c r="B12964" s="2" t="s">
        <v>4973</v>
      </c>
      <c r="C12964" s="2" t="s">
        <v>6743</v>
      </c>
      <c r="D12964" s="3" t="str">
        <f t="shared" si="3071"/>
        <v>12Go Link</v>
      </c>
      <c r="E12964" s="2" t="s">
        <v>4139</v>
      </c>
    </row>
    <row r="12965">
      <c r="A12965" s="2" t="s">
        <v>4984</v>
      </c>
      <c r="B12965" s="2" t="s">
        <v>4973</v>
      </c>
      <c r="C12965" s="2" t="s">
        <v>6743</v>
      </c>
      <c r="D12965" s="3" t="str">
        <f t="shared" si="3071"/>
        <v>12Go Link</v>
      </c>
      <c r="E12965" s="2" t="s">
        <v>3409</v>
      </c>
    </row>
    <row r="12966">
      <c r="A12966" s="2" t="s">
        <v>4984</v>
      </c>
      <c r="B12966" s="2" t="s">
        <v>4976</v>
      </c>
      <c r="C12966" s="2" t="s">
        <v>6744</v>
      </c>
      <c r="D12966" s="3" t="str">
        <f t="shared" ref="D12966:D12968" si="3072">HYPERLINK("https://12go.asia/en/travel/Habaraduwa/Kataragama", "12Go Link")</f>
        <v>12Go Link</v>
      </c>
      <c r="E12966" s="2" t="s">
        <v>286</v>
      </c>
    </row>
    <row r="12967">
      <c r="A12967" s="2" t="s">
        <v>4984</v>
      </c>
      <c r="B12967" s="2" t="s">
        <v>4976</v>
      </c>
      <c r="C12967" s="2" t="s">
        <v>6744</v>
      </c>
      <c r="D12967" s="3" t="str">
        <f t="shared" si="3072"/>
        <v>12Go Link</v>
      </c>
      <c r="E12967" s="2" t="s">
        <v>4139</v>
      </c>
    </row>
    <row r="12968">
      <c r="A12968" s="2" t="s">
        <v>4984</v>
      </c>
      <c r="B12968" s="2" t="s">
        <v>4976</v>
      </c>
      <c r="C12968" s="2" t="s">
        <v>6744</v>
      </c>
      <c r="D12968" s="3" t="str">
        <f t="shared" si="3072"/>
        <v>12Go Link</v>
      </c>
      <c r="E12968" s="2" t="s">
        <v>3409</v>
      </c>
    </row>
    <row r="12969">
      <c r="A12969" s="2" t="s">
        <v>4984</v>
      </c>
      <c r="B12969" s="2" t="s">
        <v>4978</v>
      </c>
      <c r="C12969" s="2" t="s">
        <v>6745</v>
      </c>
      <c r="D12969" s="3" t="str">
        <f t="shared" ref="D12969:D12971" si="3073">HYPERLINK("https://12go.asia/en/travel/Habaraduwa/Alawathupitiya", "12Go Link")</f>
        <v>12Go Link</v>
      </c>
      <c r="E12969" s="2" t="s">
        <v>286</v>
      </c>
    </row>
    <row r="12970">
      <c r="A12970" s="2" t="s">
        <v>4984</v>
      </c>
      <c r="B12970" s="2" t="s">
        <v>4978</v>
      </c>
      <c r="C12970" s="2" t="s">
        <v>6745</v>
      </c>
      <c r="D12970" s="3" t="str">
        <f t="shared" si="3073"/>
        <v>12Go Link</v>
      </c>
      <c r="E12970" s="2" t="s">
        <v>4139</v>
      </c>
    </row>
    <row r="12971">
      <c r="A12971" s="2" t="s">
        <v>4984</v>
      </c>
      <c r="B12971" s="2" t="s">
        <v>4978</v>
      </c>
      <c r="C12971" s="2" t="s">
        <v>6745</v>
      </c>
      <c r="D12971" s="3" t="str">
        <f t="shared" si="3073"/>
        <v>12Go Link</v>
      </c>
      <c r="E12971" s="2" t="s">
        <v>3409</v>
      </c>
    </row>
    <row r="12972">
      <c r="A12972" s="2" t="s">
        <v>4984</v>
      </c>
      <c r="B12972" s="2" t="s">
        <v>4980</v>
      </c>
      <c r="C12972" s="2" t="s">
        <v>6746</v>
      </c>
      <c r="D12972" s="3" t="str">
        <f t="shared" ref="D12972:D12974" si="3074">HYPERLINK("https://12go.asia/en/travel/Habaraduwa/Pinnawala", "12Go Link")</f>
        <v>12Go Link</v>
      </c>
      <c r="E12972" s="2" t="s">
        <v>286</v>
      </c>
    </row>
    <row r="12973">
      <c r="A12973" s="2" t="s">
        <v>4984</v>
      </c>
      <c r="B12973" s="2" t="s">
        <v>4980</v>
      </c>
      <c r="C12973" s="2" t="s">
        <v>6746</v>
      </c>
      <c r="D12973" s="3" t="str">
        <f t="shared" si="3074"/>
        <v>12Go Link</v>
      </c>
      <c r="E12973" s="2" t="s">
        <v>4139</v>
      </c>
    </row>
    <row r="12974">
      <c r="A12974" s="2" t="s">
        <v>4984</v>
      </c>
      <c r="B12974" s="2" t="s">
        <v>4980</v>
      </c>
      <c r="C12974" s="2" t="s">
        <v>6746</v>
      </c>
      <c r="D12974" s="3" t="str">
        <f t="shared" si="3074"/>
        <v>12Go Link</v>
      </c>
      <c r="E12974" s="2" t="s">
        <v>3409</v>
      </c>
    </row>
    <row r="12975">
      <c r="A12975" s="2" t="s">
        <v>4984</v>
      </c>
      <c r="B12975" s="2" t="s">
        <v>4982</v>
      </c>
      <c r="C12975" s="2" t="s">
        <v>6747</v>
      </c>
      <c r="D12975" s="3" t="str">
        <f t="shared" ref="D12975:D12977" si="3075">HYPERLINK("https://12go.asia/en/travel/Habaraduwa/Kitulgala", "12Go Link")</f>
        <v>12Go Link</v>
      </c>
      <c r="E12975" s="2" t="s">
        <v>286</v>
      </c>
    </row>
    <row r="12976">
      <c r="A12976" s="2" t="s">
        <v>4984</v>
      </c>
      <c r="B12976" s="2" t="s">
        <v>4982</v>
      </c>
      <c r="C12976" s="2" t="s">
        <v>6747</v>
      </c>
      <c r="D12976" s="3" t="str">
        <f t="shared" si="3075"/>
        <v>12Go Link</v>
      </c>
      <c r="E12976" s="2" t="s">
        <v>4139</v>
      </c>
    </row>
    <row r="12977">
      <c r="A12977" s="2" t="s">
        <v>4984</v>
      </c>
      <c r="B12977" s="2" t="s">
        <v>4982</v>
      </c>
      <c r="C12977" s="2" t="s">
        <v>6747</v>
      </c>
      <c r="D12977" s="3" t="str">
        <f t="shared" si="3075"/>
        <v>12Go Link</v>
      </c>
      <c r="E12977" s="2" t="s">
        <v>3409</v>
      </c>
    </row>
    <row r="12978">
      <c r="A12978" s="2" t="s">
        <v>4984</v>
      </c>
      <c r="B12978" s="2" t="s">
        <v>4986</v>
      </c>
      <c r="C12978" s="2" t="s">
        <v>6748</v>
      </c>
      <c r="D12978" s="3" t="str">
        <f t="shared" ref="D12978:D12980" si="3076">HYPERLINK("https://12go.asia/en/travel/Habaraduwa/Kosgoda", "12Go Link")</f>
        <v>12Go Link</v>
      </c>
      <c r="E12978" s="2" t="s">
        <v>286</v>
      </c>
    </row>
    <row r="12979">
      <c r="A12979" s="2" t="s">
        <v>4984</v>
      </c>
      <c r="B12979" s="2" t="s">
        <v>4986</v>
      </c>
      <c r="C12979" s="2" t="s">
        <v>6748</v>
      </c>
      <c r="D12979" s="3" t="str">
        <f t="shared" si="3076"/>
        <v>12Go Link</v>
      </c>
      <c r="E12979" s="2" t="s">
        <v>4139</v>
      </c>
    </row>
    <row r="12980">
      <c r="A12980" s="2" t="s">
        <v>4984</v>
      </c>
      <c r="B12980" s="2" t="s">
        <v>4986</v>
      </c>
      <c r="C12980" s="2" t="s">
        <v>6748</v>
      </c>
      <c r="D12980" s="3" t="str">
        <f t="shared" si="3076"/>
        <v>12Go Link</v>
      </c>
      <c r="E12980" s="2" t="s">
        <v>3409</v>
      </c>
    </row>
    <row r="12981">
      <c r="A12981" s="2" t="s">
        <v>4984</v>
      </c>
      <c r="B12981" s="2" t="s">
        <v>4988</v>
      </c>
      <c r="C12981" s="2" t="s">
        <v>6749</v>
      </c>
      <c r="D12981" s="3" t="str">
        <f t="shared" ref="D12981:D12983" si="3077">HYPERLINK("https://12go.asia/en/travel/Habaraduwa/Kuchchaveli", "12Go Link")</f>
        <v>12Go Link</v>
      </c>
      <c r="E12981" s="2" t="s">
        <v>286</v>
      </c>
    </row>
    <row r="12982">
      <c r="A12982" s="2" t="s">
        <v>4984</v>
      </c>
      <c r="B12982" s="2" t="s">
        <v>4988</v>
      </c>
      <c r="C12982" s="2" t="s">
        <v>6749</v>
      </c>
      <c r="D12982" s="3" t="str">
        <f t="shared" si="3077"/>
        <v>12Go Link</v>
      </c>
      <c r="E12982" s="2" t="s">
        <v>4139</v>
      </c>
    </row>
    <row r="12983">
      <c r="A12983" s="2" t="s">
        <v>4984</v>
      </c>
      <c r="B12983" s="2" t="s">
        <v>4988</v>
      </c>
      <c r="C12983" s="2" t="s">
        <v>6749</v>
      </c>
      <c r="D12983" s="3" t="str">
        <f t="shared" si="3077"/>
        <v>12Go Link</v>
      </c>
      <c r="E12983" s="2" t="s">
        <v>3409</v>
      </c>
    </row>
    <row r="12984">
      <c r="A12984" s="2" t="s">
        <v>4984</v>
      </c>
      <c r="B12984" s="2" t="s">
        <v>4990</v>
      </c>
      <c r="C12984" s="2" t="s">
        <v>6750</v>
      </c>
      <c r="D12984" s="3" t="str">
        <f t="shared" ref="D12984:D12986" si="3078">HYPERLINK("https://12go.asia/en/travel/Habaraduwa/Mannar", "12Go Link")</f>
        <v>12Go Link</v>
      </c>
      <c r="E12984" s="2" t="s">
        <v>286</v>
      </c>
    </row>
    <row r="12985">
      <c r="A12985" s="2" t="s">
        <v>4984</v>
      </c>
      <c r="B12985" s="2" t="s">
        <v>4990</v>
      </c>
      <c r="C12985" s="2" t="s">
        <v>6750</v>
      </c>
      <c r="D12985" s="3" t="str">
        <f t="shared" si="3078"/>
        <v>12Go Link</v>
      </c>
      <c r="E12985" s="2" t="s">
        <v>4139</v>
      </c>
    </row>
    <row r="12986">
      <c r="A12986" s="2" t="s">
        <v>4984</v>
      </c>
      <c r="B12986" s="2" t="s">
        <v>4990</v>
      </c>
      <c r="C12986" s="2" t="s">
        <v>6750</v>
      </c>
      <c r="D12986" s="3" t="str">
        <f t="shared" si="3078"/>
        <v>12Go Link</v>
      </c>
      <c r="E12986" s="2" t="s">
        <v>3409</v>
      </c>
    </row>
    <row r="12987">
      <c r="A12987" s="2" t="s">
        <v>4984</v>
      </c>
      <c r="B12987" s="2" t="s">
        <v>4992</v>
      </c>
      <c r="C12987" s="2" t="s">
        <v>6751</v>
      </c>
      <c r="D12987" s="3" t="str">
        <f t="shared" ref="D12987:D12989" si="3079">HYPERLINK("https://12go.asia/en/travel/Habaraduwa/Kinigama", "12Go Link")</f>
        <v>12Go Link</v>
      </c>
      <c r="E12987" s="2" t="s">
        <v>286</v>
      </c>
    </row>
    <row r="12988">
      <c r="A12988" s="2" t="s">
        <v>4984</v>
      </c>
      <c r="B12988" s="2" t="s">
        <v>4992</v>
      </c>
      <c r="C12988" s="2" t="s">
        <v>6751</v>
      </c>
      <c r="D12988" s="3" t="str">
        <f t="shared" si="3079"/>
        <v>12Go Link</v>
      </c>
      <c r="E12988" s="2" t="s">
        <v>4139</v>
      </c>
    </row>
    <row r="12989">
      <c r="A12989" s="2" t="s">
        <v>4984</v>
      </c>
      <c r="B12989" s="2" t="s">
        <v>4992</v>
      </c>
      <c r="C12989" s="2" t="s">
        <v>6751</v>
      </c>
      <c r="D12989" s="3" t="str">
        <f t="shared" si="3079"/>
        <v>12Go Link</v>
      </c>
      <c r="E12989" s="2" t="s">
        <v>3409</v>
      </c>
    </row>
    <row r="12990">
      <c r="A12990" s="2" t="s">
        <v>4984</v>
      </c>
      <c r="B12990" s="2" t="s">
        <v>4994</v>
      </c>
      <c r="C12990" s="2" t="s">
        <v>6752</v>
      </c>
      <c r="D12990" s="3" t="str">
        <f t="shared" ref="D12990:D12992" si="3080">HYPERLINK("https://12go.asia/en/travel/Habaraduwa/Kalamatiya", "12Go Link")</f>
        <v>12Go Link</v>
      </c>
      <c r="E12990" s="2" t="s">
        <v>286</v>
      </c>
    </row>
    <row r="12991">
      <c r="A12991" s="2" t="s">
        <v>4984</v>
      </c>
      <c r="B12991" s="2" t="s">
        <v>4994</v>
      </c>
      <c r="C12991" s="2" t="s">
        <v>6752</v>
      </c>
      <c r="D12991" s="3" t="str">
        <f t="shared" si="3080"/>
        <v>12Go Link</v>
      </c>
      <c r="E12991" s="2" t="s">
        <v>4139</v>
      </c>
    </row>
    <row r="12992">
      <c r="A12992" s="2" t="s">
        <v>4984</v>
      </c>
      <c r="B12992" s="2" t="s">
        <v>4994</v>
      </c>
      <c r="C12992" s="2" t="s">
        <v>6752</v>
      </c>
      <c r="D12992" s="3" t="str">
        <f t="shared" si="3080"/>
        <v>12Go Link</v>
      </c>
      <c r="E12992" s="2" t="s">
        <v>3409</v>
      </c>
    </row>
    <row r="12993">
      <c r="A12993" s="2" t="s">
        <v>4984</v>
      </c>
      <c r="B12993" s="2" t="s">
        <v>4994</v>
      </c>
      <c r="C12993" s="2" t="s">
        <v>6753</v>
      </c>
      <c r="D12993" s="3" t="str">
        <f t="shared" ref="D12993:D12994" si="3081">HYPERLINK("https://12go.asia/en/travel/Koggala/Matara", "12Go Link")</f>
        <v>12Go Link</v>
      </c>
      <c r="E12993" s="2" t="s">
        <v>5080</v>
      </c>
    </row>
    <row r="12994">
      <c r="A12994" s="2" t="s">
        <v>4984</v>
      </c>
      <c r="B12994" s="2" t="s">
        <v>4994</v>
      </c>
      <c r="C12994" s="2" t="s">
        <v>6753</v>
      </c>
      <c r="D12994" s="3" t="str">
        <f t="shared" si="3081"/>
        <v>12Go Link</v>
      </c>
      <c r="E12994" s="2" t="s">
        <v>5081</v>
      </c>
    </row>
    <row r="12995">
      <c r="A12995" s="2" t="s">
        <v>4984</v>
      </c>
      <c r="B12995" s="2" t="s">
        <v>4996</v>
      </c>
      <c r="C12995" s="2" t="s">
        <v>6754</v>
      </c>
      <c r="D12995" s="3" t="str">
        <f t="shared" ref="D12995:D12997" si="3082">HYPERLINK("https://12go.asia/en/travel/Habaraduwa/mirissa", "12Go Link")</f>
        <v>12Go Link</v>
      </c>
      <c r="E12995" s="2" t="s">
        <v>286</v>
      </c>
    </row>
    <row r="12996">
      <c r="A12996" s="2" t="s">
        <v>4984</v>
      </c>
      <c r="B12996" s="2" t="s">
        <v>4996</v>
      </c>
      <c r="C12996" s="2" t="s">
        <v>6754</v>
      </c>
      <c r="D12996" s="3" t="str">
        <f t="shared" si="3082"/>
        <v>12Go Link</v>
      </c>
      <c r="E12996" s="2" t="s">
        <v>4139</v>
      </c>
    </row>
    <row r="12997">
      <c r="A12997" s="2" t="s">
        <v>4984</v>
      </c>
      <c r="B12997" s="2" t="s">
        <v>4996</v>
      </c>
      <c r="C12997" s="2" t="s">
        <v>6754</v>
      </c>
      <c r="D12997" s="3" t="str">
        <f t="shared" si="3082"/>
        <v>12Go Link</v>
      </c>
      <c r="E12997" s="2" t="s">
        <v>3409</v>
      </c>
    </row>
    <row r="12998">
      <c r="A12998" s="2" t="s">
        <v>4984</v>
      </c>
      <c r="B12998" s="2" t="s">
        <v>4996</v>
      </c>
      <c r="C12998" s="2" t="s">
        <v>6755</v>
      </c>
      <c r="D12998" s="3" t="str">
        <f t="shared" ref="D12998:D12999" si="3083">HYPERLINK("https://12go.asia/en/travel/Koggala/Mirissa", "12Go Link")</f>
        <v>12Go Link</v>
      </c>
      <c r="E12998" s="2" t="s">
        <v>5080</v>
      </c>
    </row>
    <row r="12999">
      <c r="A12999" s="2" t="s">
        <v>4984</v>
      </c>
      <c r="B12999" s="2" t="s">
        <v>4996</v>
      </c>
      <c r="C12999" s="2" t="s">
        <v>6755</v>
      </c>
      <c r="D12999" s="3" t="str">
        <f t="shared" si="3083"/>
        <v>12Go Link</v>
      </c>
      <c r="E12999" s="2" t="s">
        <v>5081</v>
      </c>
    </row>
    <row r="13000">
      <c r="A13000" s="2" t="s">
        <v>4984</v>
      </c>
      <c r="B13000" s="2" t="s">
        <v>4998</v>
      </c>
      <c r="C13000" s="2" t="s">
        <v>6756</v>
      </c>
      <c r="D13000" s="3" t="str">
        <f t="shared" ref="D13000:D13002" si="3084">HYPERLINK("https://12go.asia/en/travel/Habaraduwa/Nanu-Oya", "12Go Link")</f>
        <v>12Go Link</v>
      </c>
      <c r="E13000" s="2" t="s">
        <v>286</v>
      </c>
    </row>
    <row r="13001">
      <c r="A13001" s="2" t="s">
        <v>4984</v>
      </c>
      <c r="B13001" s="2" t="s">
        <v>4998</v>
      </c>
      <c r="C13001" s="2" t="s">
        <v>6756</v>
      </c>
      <c r="D13001" s="3" t="str">
        <f t="shared" si="3084"/>
        <v>12Go Link</v>
      </c>
      <c r="E13001" s="2" t="s">
        <v>4139</v>
      </c>
    </row>
    <row r="13002">
      <c r="A13002" s="2" t="s">
        <v>4984</v>
      </c>
      <c r="B13002" s="2" t="s">
        <v>4998</v>
      </c>
      <c r="C13002" s="2" t="s">
        <v>6756</v>
      </c>
      <c r="D13002" s="3" t="str">
        <f t="shared" si="3084"/>
        <v>12Go Link</v>
      </c>
      <c r="E13002" s="2" t="s">
        <v>3409</v>
      </c>
    </row>
    <row r="13003">
      <c r="A13003" s="2" t="s">
        <v>4984</v>
      </c>
      <c r="B13003" s="2" t="s">
        <v>5000</v>
      </c>
      <c r="C13003" s="2" t="s">
        <v>6757</v>
      </c>
      <c r="D13003" s="3" t="str">
        <f t="shared" ref="D13003:D13005" si="3085">HYPERLINK("https://12go.asia/en/travel/Habaraduwa/Dalupotha", "12Go Link")</f>
        <v>12Go Link</v>
      </c>
      <c r="E13003" s="2" t="s">
        <v>286</v>
      </c>
    </row>
    <row r="13004">
      <c r="A13004" s="2" t="s">
        <v>4984</v>
      </c>
      <c r="B13004" s="2" t="s">
        <v>5000</v>
      </c>
      <c r="C13004" s="2" t="s">
        <v>6757</v>
      </c>
      <c r="D13004" s="3" t="str">
        <f t="shared" si="3085"/>
        <v>12Go Link</v>
      </c>
      <c r="E13004" s="2" t="s">
        <v>4139</v>
      </c>
    </row>
    <row r="13005">
      <c r="A13005" s="2" t="s">
        <v>4984</v>
      </c>
      <c r="B13005" s="2" t="s">
        <v>5000</v>
      </c>
      <c r="C13005" s="2" t="s">
        <v>6757</v>
      </c>
      <c r="D13005" s="3" t="str">
        <f t="shared" si="3085"/>
        <v>12Go Link</v>
      </c>
      <c r="E13005" s="2" t="s">
        <v>3409</v>
      </c>
    </row>
    <row r="13006">
      <c r="A13006" s="2" t="s">
        <v>4984</v>
      </c>
      <c r="B13006" s="2" t="s">
        <v>5000</v>
      </c>
      <c r="C13006" s="2" t="s">
        <v>6758</v>
      </c>
      <c r="D13006" s="3" t="str">
        <f t="shared" ref="D13006:D13008" si="3086">HYPERLINK("https://12go.asia/en/travel/Habaraduwa/Waikkal", "12Go Link")</f>
        <v>12Go Link</v>
      </c>
      <c r="E13006" s="2" t="s">
        <v>286</v>
      </c>
    </row>
    <row r="13007">
      <c r="A13007" s="2" t="s">
        <v>4984</v>
      </c>
      <c r="B13007" s="2" t="s">
        <v>5000</v>
      </c>
      <c r="C13007" s="2" t="s">
        <v>6758</v>
      </c>
      <c r="D13007" s="3" t="str">
        <f t="shared" si="3086"/>
        <v>12Go Link</v>
      </c>
      <c r="E13007" s="2" t="s">
        <v>4139</v>
      </c>
    </row>
    <row r="13008">
      <c r="A13008" s="2" t="s">
        <v>4984</v>
      </c>
      <c r="B13008" s="2" t="s">
        <v>5000</v>
      </c>
      <c r="C13008" s="2" t="s">
        <v>6758</v>
      </c>
      <c r="D13008" s="3" t="str">
        <f t="shared" si="3086"/>
        <v>12Go Link</v>
      </c>
      <c r="E13008" s="2" t="s">
        <v>3409</v>
      </c>
    </row>
    <row r="13009">
      <c r="A13009" s="2" t="s">
        <v>4984</v>
      </c>
      <c r="B13009" s="2" t="s">
        <v>5003</v>
      </c>
      <c r="C13009" s="2" t="s">
        <v>6759</v>
      </c>
      <c r="D13009" s="3" t="str">
        <f t="shared" ref="D13009:D13011" si="3087">HYPERLINK("https://12go.asia/en/travel/Habaraduwa/Nilaveli", "12Go Link")</f>
        <v>12Go Link</v>
      </c>
      <c r="E13009" s="2" t="s">
        <v>286</v>
      </c>
    </row>
    <row r="13010">
      <c r="A13010" s="2" t="s">
        <v>4984</v>
      </c>
      <c r="B13010" s="2" t="s">
        <v>5003</v>
      </c>
      <c r="C13010" s="2" t="s">
        <v>6759</v>
      </c>
      <c r="D13010" s="3" t="str">
        <f t="shared" si="3087"/>
        <v>12Go Link</v>
      </c>
      <c r="E13010" s="2" t="s">
        <v>4139</v>
      </c>
    </row>
    <row r="13011">
      <c r="A13011" s="2" t="s">
        <v>4984</v>
      </c>
      <c r="B13011" s="2" t="s">
        <v>5003</v>
      </c>
      <c r="C13011" s="2" t="s">
        <v>6759</v>
      </c>
      <c r="D13011" s="3" t="str">
        <f t="shared" si="3087"/>
        <v>12Go Link</v>
      </c>
      <c r="E13011" s="2" t="s">
        <v>3409</v>
      </c>
    </row>
    <row r="13012">
      <c r="A13012" s="2" t="s">
        <v>4984</v>
      </c>
      <c r="B13012" s="2" t="s">
        <v>5005</v>
      </c>
      <c r="C13012" s="2" t="s">
        <v>6760</v>
      </c>
      <c r="D13012" s="3" t="str">
        <f t="shared" ref="D13012:D13014" si="3088">HYPERLINK("https://12go.asia/en/travel/Habaraduwa/Kotmale", "12Go Link")</f>
        <v>12Go Link</v>
      </c>
      <c r="E13012" s="2" t="s">
        <v>286</v>
      </c>
    </row>
    <row r="13013">
      <c r="A13013" s="2" t="s">
        <v>4984</v>
      </c>
      <c r="B13013" s="2" t="s">
        <v>5005</v>
      </c>
      <c r="C13013" s="2" t="s">
        <v>6760</v>
      </c>
      <c r="D13013" s="3" t="str">
        <f t="shared" si="3088"/>
        <v>12Go Link</v>
      </c>
      <c r="E13013" s="2" t="s">
        <v>4139</v>
      </c>
    </row>
    <row r="13014">
      <c r="A13014" s="2" t="s">
        <v>4984</v>
      </c>
      <c r="B13014" s="2" t="s">
        <v>5005</v>
      </c>
      <c r="C13014" s="2" t="s">
        <v>6760</v>
      </c>
      <c r="D13014" s="3" t="str">
        <f t="shared" si="3088"/>
        <v>12Go Link</v>
      </c>
      <c r="E13014" s="2" t="s">
        <v>3409</v>
      </c>
    </row>
    <row r="13015">
      <c r="A13015" s="2" t="s">
        <v>4984</v>
      </c>
      <c r="B13015" s="2" t="s">
        <v>5007</v>
      </c>
      <c r="C13015" s="2" t="s">
        <v>6761</v>
      </c>
      <c r="D13015" s="3" t="str">
        <f t="shared" ref="D13015:D13017" si="3089">HYPERLINK("https://12go.asia/en/travel/Habaraduwa/Pasikuda", "12Go Link")</f>
        <v>12Go Link</v>
      </c>
      <c r="E13015" s="2" t="s">
        <v>286</v>
      </c>
    </row>
    <row r="13016">
      <c r="A13016" s="2" t="s">
        <v>4984</v>
      </c>
      <c r="B13016" s="2" t="s">
        <v>5007</v>
      </c>
      <c r="C13016" s="2" t="s">
        <v>6761</v>
      </c>
      <c r="D13016" s="3" t="str">
        <f t="shared" si="3089"/>
        <v>12Go Link</v>
      </c>
      <c r="E13016" s="2" t="s">
        <v>4139</v>
      </c>
    </row>
    <row r="13017">
      <c r="A13017" s="2" t="s">
        <v>4984</v>
      </c>
      <c r="B13017" s="2" t="s">
        <v>5007</v>
      </c>
      <c r="C13017" s="2" t="s">
        <v>6761</v>
      </c>
      <c r="D13017" s="3" t="str">
        <f t="shared" si="3089"/>
        <v>12Go Link</v>
      </c>
      <c r="E13017" s="2" t="s">
        <v>3409</v>
      </c>
    </row>
    <row r="13018">
      <c r="A13018" s="2" t="s">
        <v>4984</v>
      </c>
      <c r="B13018" s="2" t="s">
        <v>5009</v>
      </c>
      <c r="C13018" s="2" t="s">
        <v>6762</v>
      </c>
      <c r="D13018" s="3" t="str">
        <f t="shared" ref="D13018:D13020" si="3090">HYPERLINK("https://12go.asia/en/travel/Habaraduwa/Galoya", "12Go Link")</f>
        <v>12Go Link</v>
      </c>
      <c r="E13018" s="2" t="s">
        <v>286</v>
      </c>
    </row>
    <row r="13019">
      <c r="A13019" s="2" t="s">
        <v>4984</v>
      </c>
      <c r="B13019" s="2" t="s">
        <v>5009</v>
      </c>
      <c r="C13019" s="2" t="s">
        <v>6762</v>
      </c>
      <c r="D13019" s="3" t="str">
        <f t="shared" si="3090"/>
        <v>12Go Link</v>
      </c>
      <c r="E13019" s="2" t="s">
        <v>4139</v>
      </c>
    </row>
    <row r="13020">
      <c r="A13020" s="2" t="s">
        <v>4984</v>
      </c>
      <c r="B13020" s="2" t="s">
        <v>5009</v>
      </c>
      <c r="C13020" s="2" t="s">
        <v>6762</v>
      </c>
      <c r="D13020" s="3" t="str">
        <f t="shared" si="3090"/>
        <v>12Go Link</v>
      </c>
      <c r="E13020" s="2" t="s">
        <v>3409</v>
      </c>
    </row>
    <row r="13021">
      <c r="A13021" s="2" t="s">
        <v>4984</v>
      </c>
      <c r="B13021" s="2" t="s">
        <v>5011</v>
      </c>
      <c r="C13021" s="2" t="s">
        <v>6763</v>
      </c>
      <c r="D13021" s="3" t="str">
        <f t="shared" ref="D13021:D13023" si="3091">HYPERLINK("https://12go.asia/en/travel/Habaraduwa/Kalpitiya", "12Go Link")</f>
        <v>12Go Link</v>
      </c>
      <c r="E13021" s="2" t="s">
        <v>286</v>
      </c>
    </row>
    <row r="13022">
      <c r="A13022" s="2" t="s">
        <v>4984</v>
      </c>
      <c r="B13022" s="2" t="s">
        <v>5011</v>
      </c>
      <c r="C13022" s="2" t="s">
        <v>6763</v>
      </c>
      <c r="D13022" s="3" t="str">
        <f t="shared" si="3091"/>
        <v>12Go Link</v>
      </c>
      <c r="E13022" s="2" t="s">
        <v>4139</v>
      </c>
    </row>
    <row r="13023">
      <c r="A13023" s="2" t="s">
        <v>4984</v>
      </c>
      <c r="B13023" s="2" t="s">
        <v>5011</v>
      </c>
      <c r="C13023" s="2" t="s">
        <v>6763</v>
      </c>
      <c r="D13023" s="3" t="str">
        <f t="shared" si="3091"/>
        <v>12Go Link</v>
      </c>
      <c r="E13023" s="2" t="s">
        <v>3409</v>
      </c>
    </row>
    <row r="13024">
      <c r="A13024" s="2" t="s">
        <v>4984</v>
      </c>
      <c r="B13024" s="2" t="s">
        <v>5011</v>
      </c>
      <c r="C13024" s="2" t="s">
        <v>6764</v>
      </c>
      <c r="D13024" s="3" t="str">
        <f t="shared" ref="D13024:D13026" si="3092">HYPERLINK("https://12go.asia/en/travel/Habaraduwa/Marawila", "12Go Link")</f>
        <v>12Go Link</v>
      </c>
      <c r="E13024" s="2" t="s">
        <v>286</v>
      </c>
    </row>
    <row r="13025">
      <c r="A13025" s="2" t="s">
        <v>4984</v>
      </c>
      <c r="B13025" s="2" t="s">
        <v>5011</v>
      </c>
      <c r="C13025" s="2" t="s">
        <v>6764</v>
      </c>
      <c r="D13025" s="3" t="str">
        <f t="shared" si="3092"/>
        <v>12Go Link</v>
      </c>
      <c r="E13025" s="2" t="s">
        <v>4139</v>
      </c>
    </row>
    <row r="13026">
      <c r="A13026" s="2" t="s">
        <v>4984</v>
      </c>
      <c r="B13026" s="2" t="s">
        <v>5011</v>
      </c>
      <c r="C13026" s="2" t="s">
        <v>6764</v>
      </c>
      <c r="D13026" s="3" t="str">
        <f t="shared" si="3092"/>
        <v>12Go Link</v>
      </c>
      <c r="E13026" s="2" t="s">
        <v>3409</v>
      </c>
    </row>
    <row r="13027">
      <c r="A13027" s="2" t="s">
        <v>4984</v>
      </c>
      <c r="B13027" s="2" t="s">
        <v>5014</v>
      </c>
      <c r="C13027" s="2" t="s">
        <v>6765</v>
      </c>
      <c r="D13027" s="3" t="str">
        <f t="shared" ref="D13027:D13029" si="3093">HYPERLINK("https://12go.asia/en/travel/Habaraduwa/Kiriella", "12Go Link")</f>
        <v>12Go Link</v>
      </c>
      <c r="E13027" s="2" t="s">
        <v>286</v>
      </c>
    </row>
    <row r="13028">
      <c r="A13028" s="2" t="s">
        <v>4984</v>
      </c>
      <c r="B13028" s="2" t="s">
        <v>5014</v>
      </c>
      <c r="C13028" s="2" t="s">
        <v>6765</v>
      </c>
      <c r="D13028" s="3" t="str">
        <f t="shared" si="3093"/>
        <v>12Go Link</v>
      </c>
      <c r="E13028" s="2" t="s">
        <v>4139</v>
      </c>
    </row>
    <row r="13029">
      <c r="A13029" s="2" t="s">
        <v>4984</v>
      </c>
      <c r="B13029" s="2" t="s">
        <v>5014</v>
      </c>
      <c r="C13029" s="2" t="s">
        <v>6765</v>
      </c>
      <c r="D13029" s="3" t="str">
        <f t="shared" si="3093"/>
        <v>12Go Link</v>
      </c>
      <c r="E13029" s="2" t="s">
        <v>3409</v>
      </c>
    </row>
    <row r="13030">
      <c r="A13030" s="2" t="s">
        <v>4984</v>
      </c>
      <c r="B13030" s="2" t="s">
        <v>5016</v>
      </c>
      <c r="C13030" s="2" t="s">
        <v>6766</v>
      </c>
      <c r="D13030" s="3" t="str">
        <f t="shared" ref="D13030:D13032" si="3094">HYPERLINK("https://12go.asia/en/travel/Habaraduwa/Pidurangala", "12Go Link")</f>
        <v>12Go Link</v>
      </c>
      <c r="E13030" s="2" t="s">
        <v>286</v>
      </c>
    </row>
    <row r="13031">
      <c r="A13031" s="2" t="s">
        <v>4984</v>
      </c>
      <c r="B13031" s="2" t="s">
        <v>5016</v>
      </c>
      <c r="C13031" s="2" t="s">
        <v>6766</v>
      </c>
      <c r="D13031" s="3" t="str">
        <f t="shared" si="3094"/>
        <v>12Go Link</v>
      </c>
      <c r="E13031" s="2" t="s">
        <v>4139</v>
      </c>
    </row>
    <row r="13032">
      <c r="A13032" s="2" t="s">
        <v>4984</v>
      </c>
      <c r="B13032" s="2" t="s">
        <v>5016</v>
      </c>
      <c r="C13032" s="2" t="s">
        <v>6766</v>
      </c>
      <c r="D13032" s="3" t="str">
        <f t="shared" si="3094"/>
        <v>12Go Link</v>
      </c>
      <c r="E13032" s="2" t="s">
        <v>3409</v>
      </c>
    </row>
    <row r="13033">
      <c r="A13033" s="2" t="s">
        <v>4984</v>
      </c>
      <c r="B13033" s="2" t="s">
        <v>5018</v>
      </c>
      <c r="C13033" s="2" t="s">
        <v>6767</v>
      </c>
      <c r="D13033" s="3" t="str">
        <f t="shared" ref="D13033:D13035" si="3095">HYPERLINK("https://12go.asia/en/travel/Habaraduwa/Rekawa", "12Go Link")</f>
        <v>12Go Link</v>
      </c>
      <c r="E13033" s="2" t="s">
        <v>286</v>
      </c>
    </row>
    <row r="13034">
      <c r="A13034" s="2" t="s">
        <v>4984</v>
      </c>
      <c r="B13034" s="2" t="s">
        <v>5018</v>
      </c>
      <c r="C13034" s="2" t="s">
        <v>6767</v>
      </c>
      <c r="D13034" s="3" t="str">
        <f t="shared" si="3095"/>
        <v>12Go Link</v>
      </c>
      <c r="E13034" s="2" t="s">
        <v>4139</v>
      </c>
    </row>
    <row r="13035">
      <c r="A13035" s="2" t="s">
        <v>4984</v>
      </c>
      <c r="B13035" s="2" t="s">
        <v>5018</v>
      </c>
      <c r="C13035" s="2" t="s">
        <v>6767</v>
      </c>
      <c r="D13035" s="3" t="str">
        <f t="shared" si="3095"/>
        <v>12Go Link</v>
      </c>
      <c r="E13035" s="2" t="s">
        <v>3409</v>
      </c>
    </row>
    <row r="13036">
      <c r="A13036" s="2" t="s">
        <v>4984</v>
      </c>
      <c r="B13036" s="2" t="s">
        <v>5020</v>
      </c>
      <c r="C13036" s="2" t="s">
        <v>6768</v>
      </c>
      <c r="D13036" s="3" t="str">
        <f t="shared" ref="D13036:D13038" si="3096">HYPERLINK("https://12go.asia/en/travel/Habaraduwa/Tissamaharama", "12Go Link")</f>
        <v>12Go Link</v>
      </c>
      <c r="E13036" s="2" t="s">
        <v>286</v>
      </c>
    </row>
    <row r="13037">
      <c r="A13037" s="2" t="s">
        <v>4984</v>
      </c>
      <c r="B13037" s="2" t="s">
        <v>5020</v>
      </c>
      <c r="C13037" s="2" t="s">
        <v>6768</v>
      </c>
      <c r="D13037" s="3" t="str">
        <f t="shared" si="3096"/>
        <v>12Go Link</v>
      </c>
      <c r="E13037" s="2" t="s">
        <v>4139</v>
      </c>
    </row>
    <row r="13038">
      <c r="A13038" s="2" t="s">
        <v>4984</v>
      </c>
      <c r="B13038" s="2" t="s">
        <v>5020</v>
      </c>
      <c r="C13038" s="2" t="s">
        <v>6768</v>
      </c>
      <c r="D13038" s="3" t="str">
        <f t="shared" si="3096"/>
        <v>12Go Link</v>
      </c>
      <c r="E13038" s="2" t="s">
        <v>3409</v>
      </c>
    </row>
    <row r="13039">
      <c r="A13039" s="2" t="s">
        <v>4984</v>
      </c>
      <c r="B13039" s="2" t="s">
        <v>5020</v>
      </c>
      <c r="C13039" s="2" t="s">
        <v>6769</v>
      </c>
      <c r="D13039" s="3" t="str">
        <f t="shared" ref="D13039:D13041" si="3097">HYPERLINK("https://12go.asia/en/travel/Habaraduwa/Yala-Park", "12Go Link")</f>
        <v>12Go Link</v>
      </c>
      <c r="E13039" s="2" t="s">
        <v>286</v>
      </c>
    </row>
    <row r="13040">
      <c r="A13040" s="2" t="s">
        <v>4984</v>
      </c>
      <c r="B13040" s="2" t="s">
        <v>5020</v>
      </c>
      <c r="C13040" s="2" t="s">
        <v>6769</v>
      </c>
      <c r="D13040" s="3" t="str">
        <f t="shared" si="3097"/>
        <v>12Go Link</v>
      </c>
      <c r="E13040" s="2" t="s">
        <v>4139</v>
      </c>
    </row>
    <row r="13041">
      <c r="A13041" s="2" t="s">
        <v>4984</v>
      </c>
      <c r="B13041" s="2" t="s">
        <v>5020</v>
      </c>
      <c r="C13041" s="2" t="s">
        <v>6769</v>
      </c>
      <c r="D13041" s="3" t="str">
        <f t="shared" si="3097"/>
        <v>12Go Link</v>
      </c>
      <c r="E13041" s="2" t="s">
        <v>3409</v>
      </c>
    </row>
    <row r="13042">
      <c r="A13042" s="2" t="s">
        <v>4984</v>
      </c>
      <c r="B13042" s="2" t="s">
        <v>5023</v>
      </c>
      <c r="C13042" s="2" t="s">
        <v>6770</v>
      </c>
      <c r="D13042" s="3" t="str">
        <f t="shared" ref="D13042:D13044" si="3098">HYPERLINK("https://12go.asia/en/travel/Habaraduwa/Nilaweli", "12Go Link")</f>
        <v>12Go Link</v>
      </c>
      <c r="E13042" s="2" t="s">
        <v>286</v>
      </c>
    </row>
    <row r="13043">
      <c r="A13043" s="2" t="s">
        <v>4984</v>
      </c>
      <c r="B13043" s="2" t="s">
        <v>5023</v>
      </c>
      <c r="C13043" s="2" t="s">
        <v>6770</v>
      </c>
      <c r="D13043" s="3" t="str">
        <f t="shared" si="3098"/>
        <v>12Go Link</v>
      </c>
      <c r="E13043" s="2" t="s">
        <v>4139</v>
      </c>
    </row>
    <row r="13044">
      <c r="A13044" s="2" t="s">
        <v>4984</v>
      </c>
      <c r="B13044" s="2" t="s">
        <v>5023</v>
      </c>
      <c r="C13044" s="2" t="s">
        <v>6770</v>
      </c>
      <c r="D13044" s="3" t="str">
        <f t="shared" si="3098"/>
        <v>12Go Link</v>
      </c>
      <c r="E13044" s="2" t="s">
        <v>3409</v>
      </c>
    </row>
    <row r="13045">
      <c r="A13045" s="2" t="s">
        <v>4984</v>
      </c>
      <c r="B13045" s="2" t="s">
        <v>5025</v>
      </c>
      <c r="C13045" s="2" t="s">
        <v>6771</v>
      </c>
      <c r="D13045" s="3" t="str">
        <f t="shared" ref="D13045:D13047" si="3099">HYPERLINK("https://12go.asia/en/travel/Habaraduwa/Udawalawa", "12Go Link")</f>
        <v>12Go Link</v>
      </c>
      <c r="E13045" s="2" t="s">
        <v>286</v>
      </c>
    </row>
    <row r="13046">
      <c r="A13046" s="2" t="s">
        <v>4984</v>
      </c>
      <c r="B13046" s="2" t="s">
        <v>5025</v>
      </c>
      <c r="C13046" s="2" t="s">
        <v>6771</v>
      </c>
      <c r="D13046" s="3" t="str">
        <f t="shared" si="3099"/>
        <v>12Go Link</v>
      </c>
      <c r="E13046" s="2" t="s">
        <v>4139</v>
      </c>
    </row>
    <row r="13047">
      <c r="A13047" s="2" t="s">
        <v>4984</v>
      </c>
      <c r="B13047" s="2" t="s">
        <v>5025</v>
      </c>
      <c r="C13047" s="2" t="s">
        <v>6771</v>
      </c>
      <c r="D13047" s="3" t="str">
        <f t="shared" si="3099"/>
        <v>12Go Link</v>
      </c>
      <c r="E13047" s="2" t="s">
        <v>3409</v>
      </c>
    </row>
    <row r="13048">
      <c r="A13048" s="2" t="s">
        <v>4984</v>
      </c>
      <c r="B13048" s="2" t="s">
        <v>5027</v>
      </c>
      <c r="C13048" s="2" t="s">
        <v>6772</v>
      </c>
      <c r="D13048" s="3" t="str">
        <f t="shared" ref="D13048:D13050" si="3100">HYPERLINK("https://12go.asia/en/travel/Habaraduwa/Unawatuna", "12Go Link")</f>
        <v>12Go Link</v>
      </c>
      <c r="E13048" s="2" t="s">
        <v>286</v>
      </c>
    </row>
    <row r="13049">
      <c r="A13049" s="2" t="s">
        <v>4984</v>
      </c>
      <c r="B13049" s="2" t="s">
        <v>5027</v>
      </c>
      <c r="C13049" s="2" t="s">
        <v>6772</v>
      </c>
      <c r="D13049" s="3" t="str">
        <f t="shared" si="3100"/>
        <v>12Go Link</v>
      </c>
      <c r="E13049" s="2" t="s">
        <v>4139</v>
      </c>
    </row>
    <row r="13050">
      <c r="A13050" s="2" t="s">
        <v>4984</v>
      </c>
      <c r="B13050" s="2" t="s">
        <v>5027</v>
      </c>
      <c r="C13050" s="2" t="s">
        <v>6772</v>
      </c>
      <c r="D13050" s="3" t="str">
        <f t="shared" si="3100"/>
        <v>12Go Link</v>
      </c>
      <c r="E13050" s="2" t="s">
        <v>3409</v>
      </c>
    </row>
    <row r="13051">
      <c r="A13051" s="2" t="s">
        <v>4984</v>
      </c>
      <c r="B13051" s="2" t="s">
        <v>5029</v>
      </c>
      <c r="C13051" s="2" t="s">
        <v>6773</v>
      </c>
      <c r="D13051" s="3" t="str">
        <f t="shared" ref="D13051:D13053" si="3101">HYPERLINK("https://12go.asia/en/travel/Habaraduwa/Attanagalla", "12Go Link")</f>
        <v>12Go Link</v>
      </c>
      <c r="E13051" s="2" t="s">
        <v>286</v>
      </c>
    </row>
    <row r="13052">
      <c r="A13052" s="2" t="s">
        <v>4984</v>
      </c>
      <c r="B13052" s="2" t="s">
        <v>5029</v>
      </c>
      <c r="C13052" s="2" t="s">
        <v>6773</v>
      </c>
      <c r="D13052" s="3" t="str">
        <f t="shared" si="3101"/>
        <v>12Go Link</v>
      </c>
      <c r="E13052" s="2" t="s">
        <v>4139</v>
      </c>
    </row>
    <row r="13053">
      <c r="A13053" s="2" t="s">
        <v>4984</v>
      </c>
      <c r="B13053" s="2" t="s">
        <v>5029</v>
      </c>
      <c r="C13053" s="2" t="s">
        <v>6773</v>
      </c>
      <c r="D13053" s="3" t="str">
        <f t="shared" si="3101"/>
        <v>12Go Link</v>
      </c>
      <c r="E13053" s="2" t="s">
        <v>3409</v>
      </c>
    </row>
    <row r="13054">
      <c r="A13054" s="2" t="s">
        <v>4984</v>
      </c>
      <c r="B13054" s="2" t="s">
        <v>5031</v>
      </c>
      <c r="C13054" s="2" t="s">
        <v>6774</v>
      </c>
      <c r="D13054" s="3" t="str">
        <f t="shared" ref="D13054:D13056" si="3102">HYPERLINK("https://12go.asia/en/travel/Habaraduwa/Moronthuduwa", "12Go Link")</f>
        <v>12Go Link</v>
      </c>
      <c r="E13054" s="2" t="s">
        <v>286</v>
      </c>
    </row>
    <row r="13055">
      <c r="A13055" s="2" t="s">
        <v>4984</v>
      </c>
      <c r="B13055" s="2" t="s">
        <v>5031</v>
      </c>
      <c r="C13055" s="2" t="s">
        <v>6774</v>
      </c>
      <c r="D13055" s="3" t="str">
        <f t="shared" si="3102"/>
        <v>12Go Link</v>
      </c>
      <c r="E13055" s="2" t="s">
        <v>4139</v>
      </c>
    </row>
    <row r="13056">
      <c r="A13056" s="2" t="s">
        <v>4984</v>
      </c>
      <c r="B13056" s="2" t="s">
        <v>5031</v>
      </c>
      <c r="C13056" s="2" t="s">
        <v>6774</v>
      </c>
      <c r="D13056" s="3" t="str">
        <f t="shared" si="3102"/>
        <v>12Go Link</v>
      </c>
      <c r="E13056" s="2" t="s">
        <v>3409</v>
      </c>
    </row>
    <row r="13057">
      <c r="A13057" s="2" t="s">
        <v>4984</v>
      </c>
      <c r="B13057" s="2" t="s">
        <v>5031</v>
      </c>
      <c r="C13057" s="2" t="s">
        <v>6775</v>
      </c>
      <c r="D13057" s="3" t="str">
        <f t="shared" ref="D13057:D13059" si="3103">HYPERLINK("https://12go.asia/en/travel/Habaraduwa/Waskaduwa", "12Go Link")</f>
        <v>12Go Link</v>
      </c>
      <c r="E13057" s="2" t="s">
        <v>286</v>
      </c>
    </row>
    <row r="13058">
      <c r="A13058" s="2" t="s">
        <v>4984</v>
      </c>
      <c r="B13058" s="2" t="s">
        <v>5031</v>
      </c>
      <c r="C13058" s="2" t="s">
        <v>6775</v>
      </c>
      <c r="D13058" s="3" t="str">
        <f t="shared" si="3103"/>
        <v>12Go Link</v>
      </c>
      <c r="E13058" s="2" t="s">
        <v>4139</v>
      </c>
    </row>
    <row r="13059">
      <c r="A13059" s="2" t="s">
        <v>4984</v>
      </c>
      <c r="B13059" s="2" t="s">
        <v>5031</v>
      </c>
      <c r="C13059" s="2" t="s">
        <v>6775</v>
      </c>
      <c r="D13059" s="3" t="str">
        <f t="shared" si="3103"/>
        <v>12Go Link</v>
      </c>
      <c r="E13059" s="2" t="s">
        <v>3409</v>
      </c>
    </row>
    <row r="13060">
      <c r="A13060" s="2" t="s">
        <v>4984</v>
      </c>
      <c r="B13060" s="2" t="s">
        <v>5034</v>
      </c>
      <c r="C13060" s="2" t="s">
        <v>6776</v>
      </c>
      <c r="D13060" s="3" t="str">
        <f t="shared" ref="D13060:D13062" si="3104">HYPERLINK("https://12go.asia/en/travel/Habaraduwa/Weddagala", "12Go Link")</f>
        <v>12Go Link</v>
      </c>
      <c r="E13060" s="2" t="s">
        <v>286</v>
      </c>
    </row>
    <row r="13061">
      <c r="A13061" s="2" t="s">
        <v>4984</v>
      </c>
      <c r="B13061" s="2" t="s">
        <v>5034</v>
      </c>
      <c r="C13061" s="2" t="s">
        <v>6776</v>
      </c>
      <c r="D13061" s="3" t="str">
        <f t="shared" si="3104"/>
        <v>12Go Link</v>
      </c>
      <c r="E13061" s="2" t="s">
        <v>4139</v>
      </c>
    </row>
    <row r="13062">
      <c r="A13062" s="2" t="s">
        <v>4984</v>
      </c>
      <c r="B13062" s="2" t="s">
        <v>5034</v>
      </c>
      <c r="C13062" s="2" t="s">
        <v>6776</v>
      </c>
      <c r="D13062" s="3" t="str">
        <f t="shared" si="3104"/>
        <v>12Go Link</v>
      </c>
      <c r="E13062" s="2" t="s">
        <v>3409</v>
      </c>
    </row>
    <row r="13063">
      <c r="A13063" s="2" t="s">
        <v>4984</v>
      </c>
      <c r="B13063" s="2" t="s">
        <v>5036</v>
      </c>
      <c r="C13063" s="2" t="s">
        <v>6777</v>
      </c>
      <c r="D13063" s="3" t="str">
        <f t="shared" ref="D13063:D13065" si="3105">HYPERLINK("https://12go.asia/en/travel/Habaraduwa/Weligatta", "12Go Link")</f>
        <v>12Go Link</v>
      </c>
      <c r="E13063" s="2" t="s">
        <v>286</v>
      </c>
    </row>
    <row r="13064">
      <c r="A13064" s="2" t="s">
        <v>4984</v>
      </c>
      <c r="B13064" s="2" t="s">
        <v>5036</v>
      </c>
      <c r="C13064" s="2" t="s">
        <v>6777</v>
      </c>
      <c r="D13064" s="3" t="str">
        <f t="shared" si="3105"/>
        <v>12Go Link</v>
      </c>
      <c r="E13064" s="2" t="s">
        <v>4139</v>
      </c>
    </row>
    <row r="13065">
      <c r="A13065" s="2" t="s">
        <v>4984</v>
      </c>
      <c r="B13065" s="2" t="s">
        <v>5036</v>
      </c>
      <c r="C13065" s="2" t="s">
        <v>6777</v>
      </c>
      <c r="D13065" s="3" t="str">
        <f t="shared" si="3105"/>
        <v>12Go Link</v>
      </c>
      <c r="E13065" s="2" t="s">
        <v>3409</v>
      </c>
    </row>
    <row r="13066">
      <c r="A13066" s="2" t="s">
        <v>4984</v>
      </c>
      <c r="B13066" s="2" t="s">
        <v>5038</v>
      </c>
      <c r="C13066" s="2" t="s">
        <v>6778</v>
      </c>
      <c r="D13066" s="3" t="str">
        <f t="shared" ref="D13066:D13068" si="3106">HYPERLINK("https://12go.asia/en/travel/Habaraduwa/Akuressa", "12Go Link")</f>
        <v>12Go Link</v>
      </c>
      <c r="E13066" s="2" t="s">
        <v>286</v>
      </c>
    </row>
    <row r="13067">
      <c r="A13067" s="2" t="s">
        <v>4984</v>
      </c>
      <c r="B13067" s="2" t="s">
        <v>5038</v>
      </c>
      <c r="C13067" s="2" t="s">
        <v>6778</v>
      </c>
      <c r="D13067" s="3" t="str">
        <f t="shared" si="3106"/>
        <v>12Go Link</v>
      </c>
      <c r="E13067" s="2" t="s">
        <v>4139</v>
      </c>
    </row>
    <row r="13068">
      <c r="A13068" s="2" t="s">
        <v>4984</v>
      </c>
      <c r="B13068" s="2" t="s">
        <v>5038</v>
      </c>
      <c r="C13068" s="2" t="s">
        <v>6778</v>
      </c>
      <c r="D13068" s="3" t="str">
        <f t="shared" si="3106"/>
        <v>12Go Link</v>
      </c>
      <c r="E13068" s="2" t="s">
        <v>3409</v>
      </c>
    </row>
    <row r="13069">
      <c r="A13069" s="2" t="s">
        <v>4984</v>
      </c>
      <c r="B13069" s="2" t="s">
        <v>5038</v>
      </c>
      <c r="C13069" s="2" t="s">
        <v>6779</v>
      </c>
      <c r="D13069" s="3" t="str">
        <f t="shared" ref="D13069:D13070" si="3107">HYPERLINK("https://12go.asia/en/travel/Koggala/Weligama", "12Go Link")</f>
        <v>12Go Link</v>
      </c>
      <c r="E13069" s="2" t="s">
        <v>5080</v>
      </c>
    </row>
    <row r="13070">
      <c r="A13070" s="2" t="s">
        <v>4984</v>
      </c>
      <c r="B13070" s="2" t="s">
        <v>5038</v>
      </c>
      <c r="C13070" s="2" t="s">
        <v>6779</v>
      </c>
      <c r="D13070" s="3" t="str">
        <f t="shared" si="3107"/>
        <v>12Go Link</v>
      </c>
      <c r="E13070" s="2" t="s">
        <v>5081</v>
      </c>
    </row>
    <row r="13071">
      <c r="A13071" s="2" t="s">
        <v>4984</v>
      </c>
      <c r="B13071" s="2" t="s">
        <v>5040</v>
      </c>
      <c r="C13071" s="2" t="s">
        <v>6780</v>
      </c>
      <c r="D13071" s="3" t="str">
        <f t="shared" ref="D13071:D13073" si="3108">HYPERLINK("https://12go.asia/en/travel/Habaraduwa/Wilpattu", "12Go Link")</f>
        <v>12Go Link</v>
      </c>
      <c r="E13071" s="2" t="s">
        <v>286</v>
      </c>
    </row>
    <row r="13072">
      <c r="A13072" s="2" t="s">
        <v>4984</v>
      </c>
      <c r="B13072" s="2" t="s">
        <v>5040</v>
      </c>
      <c r="C13072" s="2" t="s">
        <v>6780</v>
      </c>
      <c r="D13072" s="3" t="str">
        <f t="shared" si="3108"/>
        <v>12Go Link</v>
      </c>
      <c r="E13072" s="2" t="s">
        <v>4139</v>
      </c>
    </row>
    <row r="13073">
      <c r="A13073" s="2" t="s">
        <v>4984</v>
      </c>
      <c r="B13073" s="2" t="s">
        <v>5040</v>
      </c>
      <c r="C13073" s="2" t="s">
        <v>6780</v>
      </c>
      <c r="D13073" s="3" t="str">
        <f t="shared" si="3108"/>
        <v>12Go Link</v>
      </c>
      <c r="E13073" s="2" t="s">
        <v>3409</v>
      </c>
    </row>
    <row r="13074">
      <c r="A13074" s="2" t="s">
        <v>4986</v>
      </c>
      <c r="B13074" s="2" t="s">
        <v>4918</v>
      </c>
      <c r="C13074" s="2" t="s">
        <v>6781</v>
      </c>
      <c r="D13074" s="3" t="str">
        <f t="shared" ref="D13074:D13076" si="3109">HYPERLINK("https://12go.asia/en/travel/Kosgoda/Adams-Peak", "12Go Link")</f>
        <v>12Go Link</v>
      </c>
      <c r="E13074" s="2" t="s">
        <v>286</v>
      </c>
    </row>
    <row r="13075">
      <c r="A13075" s="2" t="s">
        <v>4986</v>
      </c>
      <c r="B13075" s="2" t="s">
        <v>4918</v>
      </c>
      <c r="C13075" s="2" t="s">
        <v>6781</v>
      </c>
      <c r="D13075" s="3" t="str">
        <f t="shared" si="3109"/>
        <v>12Go Link</v>
      </c>
      <c r="E13075" s="2" t="s">
        <v>4139</v>
      </c>
    </row>
    <row r="13076">
      <c r="A13076" s="2" t="s">
        <v>4986</v>
      </c>
      <c r="B13076" s="2" t="s">
        <v>4918</v>
      </c>
      <c r="C13076" s="2" t="s">
        <v>6781</v>
      </c>
      <c r="D13076" s="3" t="str">
        <f t="shared" si="3109"/>
        <v>12Go Link</v>
      </c>
      <c r="E13076" s="2" t="s">
        <v>3409</v>
      </c>
    </row>
    <row r="13077">
      <c r="A13077" s="2" t="s">
        <v>4986</v>
      </c>
      <c r="B13077" s="2" t="s">
        <v>4919</v>
      </c>
      <c r="C13077" s="2" t="s">
        <v>6782</v>
      </c>
      <c r="D13077" s="3" t="str">
        <f t="shared" ref="D13077:D13079" si="3110">HYPERLINK("https://12go.asia/en/travel/Kosgoda/Ahangama", "12Go Link")</f>
        <v>12Go Link</v>
      </c>
      <c r="E13077" s="2" t="s">
        <v>286</v>
      </c>
    </row>
    <row r="13078">
      <c r="A13078" s="2" t="s">
        <v>4986</v>
      </c>
      <c r="B13078" s="2" t="s">
        <v>4919</v>
      </c>
      <c r="C13078" s="2" t="s">
        <v>6782</v>
      </c>
      <c r="D13078" s="3" t="str">
        <f t="shared" si="3110"/>
        <v>12Go Link</v>
      </c>
      <c r="E13078" s="2" t="s">
        <v>4139</v>
      </c>
    </row>
    <row r="13079">
      <c r="A13079" s="2" t="s">
        <v>4986</v>
      </c>
      <c r="B13079" s="2" t="s">
        <v>4919</v>
      </c>
      <c r="C13079" s="2" t="s">
        <v>6782</v>
      </c>
      <c r="D13079" s="3" t="str">
        <f t="shared" si="3110"/>
        <v>12Go Link</v>
      </c>
      <c r="E13079" s="2" t="s">
        <v>3409</v>
      </c>
    </row>
    <row r="13080">
      <c r="A13080" s="2" t="s">
        <v>4986</v>
      </c>
      <c r="B13080" s="2" t="s">
        <v>4921</v>
      </c>
      <c r="C13080" s="2" t="s">
        <v>6783</v>
      </c>
      <c r="D13080" s="3" t="str">
        <f t="shared" ref="D13080:D13082" si="3111">HYPERLINK("https://12go.asia/en/travel/Kosgoda/Ahungalla", "12Go Link")</f>
        <v>12Go Link</v>
      </c>
      <c r="E13080" s="2" t="s">
        <v>286</v>
      </c>
    </row>
    <row r="13081">
      <c r="A13081" s="2" t="s">
        <v>4986</v>
      </c>
      <c r="B13081" s="2" t="s">
        <v>4921</v>
      </c>
      <c r="C13081" s="2" t="s">
        <v>6783</v>
      </c>
      <c r="D13081" s="3" t="str">
        <f t="shared" si="3111"/>
        <v>12Go Link</v>
      </c>
      <c r="E13081" s="2" t="s">
        <v>4139</v>
      </c>
    </row>
    <row r="13082">
      <c r="A13082" s="2" t="s">
        <v>4986</v>
      </c>
      <c r="B13082" s="2" t="s">
        <v>4921</v>
      </c>
      <c r="C13082" s="2" t="s">
        <v>6783</v>
      </c>
      <c r="D13082" s="3" t="str">
        <f t="shared" si="3111"/>
        <v>12Go Link</v>
      </c>
      <c r="E13082" s="2" t="s">
        <v>3409</v>
      </c>
    </row>
    <row r="13083">
      <c r="A13083" s="2" t="s">
        <v>4986</v>
      </c>
      <c r="B13083" s="2" t="s">
        <v>4923</v>
      </c>
      <c r="C13083" s="2" t="s">
        <v>6784</v>
      </c>
      <c r="D13083" s="3" t="str">
        <f t="shared" ref="D13083:D13085" si="3112">HYPERLINK("https://12go.asia/en/travel/Kosgoda/Aluthgama", "12Go Link")</f>
        <v>12Go Link</v>
      </c>
      <c r="E13083" s="2" t="s">
        <v>286</v>
      </c>
    </row>
    <row r="13084">
      <c r="A13084" s="2" t="s">
        <v>4986</v>
      </c>
      <c r="B13084" s="2" t="s">
        <v>4923</v>
      </c>
      <c r="C13084" s="2" t="s">
        <v>6784</v>
      </c>
      <c r="D13084" s="3" t="str">
        <f t="shared" si="3112"/>
        <v>12Go Link</v>
      </c>
      <c r="E13084" s="2" t="s">
        <v>4139</v>
      </c>
    </row>
    <row r="13085">
      <c r="A13085" s="2" t="s">
        <v>4986</v>
      </c>
      <c r="B13085" s="2" t="s">
        <v>4923</v>
      </c>
      <c r="C13085" s="2" t="s">
        <v>6784</v>
      </c>
      <c r="D13085" s="3" t="str">
        <f t="shared" si="3112"/>
        <v>12Go Link</v>
      </c>
      <c r="E13085" s="2" t="s">
        <v>3409</v>
      </c>
    </row>
    <row r="13086">
      <c r="A13086" s="2" t="s">
        <v>4986</v>
      </c>
      <c r="B13086" s="2" t="s">
        <v>4925</v>
      </c>
      <c r="C13086" s="2" t="s">
        <v>6785</v>
      </c>
      <c r="D13086" s="3" t="str">
        <f t="shared" ref="D13086:D13088" si="3113">HYPERLINK("https://12go.asia/en/travel/Kosgoda/Ambalangoda", "12Go Link")</f>
        <v>12Go Link</v>
      </c>
      <c r="E13086" s="2" t="s">
        <v>286</v>
      </c>
    </row>
    <row r="13087">
      <c r="A13087" s="2" t="s">
        <v>4986</v>
      </c>
      <c r="B13087" s="2" t="s">
        <v>4925</v>
      </c>
      <c r="C13087" s="2" t="s">
        <v>6785</v>
      </c>
      <c r="D13087" s="3" t="str">
        <f t="shared" si="3113"/>
        <v>12Go Link</v>
      </c>
      <c r="E13087" s="2" t="s">
        <v>4139</v>
      </c>
    </row>
    <row r="13088">
      <c r="A13088" s="2" t="s">
        <v>4986</v>
      </c>
      <c r="B13088" s="2" t="s">
        <v>4925</v>
      </c>
      <c r="C13088" s="2" t="s">
        <v>6785</v>
      </c>
      <c r="D13088" s="3" t="str">
        <f t="shared" si="3113"/>
        <v>12Go Link</v>
      </c>
      <c r="E13088" s="2" t="s">
        <v>3409</v>
      </c>
    </row>
    <row r="13089">
      <c r="A13089" s="2" t="s">
        <v>4986</v>
      </c>
      <c r="B13089" s="2" t="s">
        <v>4927</v>
      </c>
      <c r="C13089" s="2" t="s">
        <v>6786</v>
      </c>
      <c r="D13089" s="3" t="str">
        <f t="shared" ref="D13089:D13091" si="3114">HYPERLINK("https://12go.asia/en/travel/Kosgoda/Ambalantota", "12Go Link")</f>
        <v>12Go Link</v>
      </c>
      <c r="E13089" s="2" t="s">
        <v>286</v>
      </c>
    </row>
    <row r="13090">
      <c r="A13090" s="2" t="s">
        <v>4986</v>
      </c>
      <c r="B13090" s="2" t="s">
        <v>4927</v>
      </c>
      <c r="C13090" s="2" t="s">
        <v>6786</v>
      </c>
      <c r="D13090" s="3" t="str">
        <f t="shared" si="3114"/>
        <v>12Go Link</v>
      </c>
      <c r="E13090" s="2" t="s">
        <v>4139</v>
      </c>
    </row>
    <row r="13091">
      <c r="A13091" s="2" t="s">
        <v>4986</v>
      </c>
      <c r="B13091" s="2" t="s">
        <v>4927</v>
      </c>
      <c r="C13091" s="2" t="s">
        <v>6786</v>
      </c>
      <c r="D13091" s="3" t="str">
        <f t="shared" si="3114"/>
        <v>12Go Link</v>
      </c>
      <c r="E13091" s="2" t="s">
        <v>3409</v>
      </c>
    </row>
    <row r="13092">
      <c r="A13092" s="2" t="s">
        <v>4986</v>
      </c>
      <c r="B13092" s="2" t="s">
        <v>4929</v>
      </c>
      <c r="C13092" s="2" t="s">
        <v>6787</v>
      </c>
      <c r="D13092" s="3" t="str">
        <f t="shared" ref="D13092:D13094" si="3115">HYPERLINK("https://12go.asia/en/travel/Kosgoda/Anuradhapura", "12Go Link")</f>
        <v>12Go Link</v>
      </c>
      <c r="E13092" s="2" t="s">
        <v>286</v>
      </c>
    </row>
    <row r="13093">
      <c r="A13093" s="2" t="s">
        <v>4986</v>
      </c>
      <c r="B13093" s="2" t="s">
        <v>4929</v>
      </c>
      <c r="C13093" s="2" t="s">
        <v>6787</v>
      </c>
      <c r="D13093" s="3" t="str">
        <f t="shared" si="3115"/>
        <v>12Go Link</v>
      </c>
      <c r="E13093" s="2" t="s">
        <v>4139</v>
      </c>
    </row>
    <row r="13094">
      <c r="A13094" s="2" t="s">
        <v>4986</v>
      </c>
      <c r="B13094" s="2" t="s">
        <v>4929</v>
      </c>
      <c r="C13094" s="2" t="s">
        <v>6787</v>
      </c>
      <c r="D13094" s="3" t="str">
        <f t="shared" si="3115"/>
        <v>12Go Link</v>
      </c>
      <c r="E13094" s="2" t="s">
        <v>3409</v>
      </c>
    </row>
    <row r="13095">
      <c r="A13095" s="2" t="s">
        <v>4986</v>
      </c>
      <c r="B13095" s="2" t="s">
        <v>4931</v>
      </c>
      <c r="C13095" s="2" t="s">
        <v>6788</v>
      </c>
      <c r="D13095" s="3" t="str">
        <f t="shared" ref="D13095:D13097" si="3116">HYPERLINK("https://12go.asia/en/travel/Kosgoda/Arugam-bay", "12Go Link")</f>
        <v>12Go Link</v>
      </c>
      <c r="E13095" s="2" t="s">
        <v>286</v>
      </c>
    </row>
    <row r="13096">
      <c r="A13096" s="2" t="s">
        <v>4986</v>
      </c>
      <c r="B13096" s="2" t="s">
        <v>4931</v>
      </c>
      <c r="C13096" s="2" t="s">
        <v>6788</v>
      </c>
      <c r="D13096" s="3" t="str">
        <f t="shared" si="3116"/>
        <v>12Go Link</v>
      </c>
      <c r="E13096" s="2" t="s">
        <v>4139</v>
      </c>
    </row>
    <row r="13097">
      <c r="A13097" s="2" t="s">
        <v>4986</v>
      </c>
      <c r="B13097" s="2" t="s">
        <v>4931</v>
      </c>
      <c r="C13097" s="2" t="s">
        <v>6788</v>
      </c>
      <c r="D13097" s="3" t="str">
        <f t="shared" si="3116"/>
        <v>12Go Link</v>
      </c>
      <c r="E13097" s="2" t="s">
        <v>3409</v>
      </c>
    </row>
    <row r="13098">
      <c r="A13098" s="2" t="s">
        <v>4986</v>
      </c>
      <c r="B13098" s="2" t="s">
        <v>4933</v>
      </c>
      <c r="C13098" s="2" t="s">
        <v>6789</v>
      </c>
      <c r="D13098" s="3" t="str">
        <f t="shared" ref="D13098:D13100" si="3117">HYPERLINK("https://12go.asia/en/travel/Kosgoda/balapitiya", "12Go Link")</f>
        <v>12Go Link</v>
      </c>
      <c r="E13098" s="2" t="s">
        <v>286</v>
      </c>
    </row>
    <row r="13099">
      <c r="A13099" s="2" t="s">
        <v>4986</v>
      </c>
      <c r="B13099" s="2" t="s">
        <v>4933</v>
      </c>
      <c r="C13099" s="2" t="s">
        <v>6789</v>
      </c>
      <c r="D13099" s="3" t="str">
        <f t="shared" si="3117"/>
        <v>12Go Link</v>
      </c>
      <c r="E13099" s="2" t="s">
        <v>4139</v>
      </c>
    </row>
    <row r="13100">
      <c r="A13100" s="2" t="s">
        <v>4986</v>
      </c>
      <c r="B13100" s="2" t="s">
        <v>4933</v>
      </c>
      <c r="C13100" s="2" t="s">
        <v>6789</v>
      </c>
      <c r="D13100" s="3" t="str">
        <f t="shared" si="3117"/>
        <v>12Go Link</v>
      </c>
      <c r="E13100" s="2" t="s">
        <v>3409</v>
      </c>
    </row>
    <row r="13101">
      <c r="A13101" s="2" t="s">
        <v>4986</v>
      </c>
      <c r="B13101" s="2" t="s">
        <v>4935</v>
      </c>
      <c r="C13101" s="2" t="s">
        <v>6790</v>
      </c>
      <c r="D13101" s="3" t="str">
        <f t="shared" ref="D13101:D13103" si="3118">HYPERLINK("https://12go.asia/en/travel/Kosgoda/Batticaloa", "12Go Link")</f>
        <v>12Go Link</v>
      </c>
      <c r="E13101" s="2" t="s">
        <v>286</v>
      </c>
    </row>
    <row r="13102">
      <c r="A13102" s="2" t="s">
        <v>4986</v>
      </c>
      <c r="B13102" s="2" t="s">
        <v>4935</v>
      </c>
      <c r="C13102" s="2" t="s">
        <v>6790</v>
      </c>
      <c r="D13102" s="3" t="str">
        <f t="shared" si="3118"/>
        <v>12Go Link</v>
      </c>
      <c r="E13102" s="2" t="s">
        <v>4139</v>
      </c>
    </row>
    <row r="13103">
      <c r="A13103" s="2" t="s">
        <v>4986</v>
      </c>
      <c r="B13103" s="2" t="s">
        <v>4935</v>
      </c>
      <c r="C13103" s="2" t="s">
        <v>6790</v>
      </c>
      <c r="D13103" s="3" t="str">
        <f t="shared" si="3118"/>
        <v>12Go Link</v>
      </c>
      <c r="E13103" s="2" t="s">
        <v>3409</v>
      </c>
    </row>
    <row r="13104">
      <c r="A13104" s="2" t="s">
        <v>4986</v>
      </c>
      <c r="B13104" s="2" t="s">
        <v>4937</v>
      </c>
      <c r="C13104" s="2" t="s">
        <v>6791</v>
      </c>
      <c r="D13104" s="3" t="str">
        <f t="shared" ref="D13104:D13106" si="3119">HYPERLINK("https://12go.asia/en/travel/Kosgoda/Bentota", "12Go Link")</f>
        <v>12Go Link</v>
      </c>
      <c r="E13104" s="2" t="s">
        <v>286</v>
      </c>
    </row>
    <row r="13105">
      <c r="A13105" s="2" t="s">
        <v>4986</v>
      </c>
      <c r="B13105" s="2" t="s">
        <v>4937</v>
      </c>
      <c r="C13105" s="2" t="s">
        <v>6791</v>
      </c>
      <c r="D13105" s="3" t="str">
        <f t="shared" si="3119"/>
        <v>12Go Link</v>
      </c>
      <c r="E13105" s="2" t="s">
        <v>4139</v>
      </c>
    </row>
    <row r="13106">
      <c r="A13106" s="2" t="s">
        <v>4986</v>
      </c>
      <c r="B13106" s="2" t="s">
        <v>4937</v>
      </c>
      <c r="C13106" s="2" t="s">
        <v>6791</v>
      </c>
      <c r="D13106" s="3" t="str">
        <f t="shared" si="3119"/>
        <v>12Go Link</v>
      </c>
      <c r="E13106" s="2" t="s">
        <v>3409</v>
      </c>
    </row>
    <row r="13107">
      <c r="A13107" s="2" t="s">
        <v>4986</v>
      </c>
      <c r="B13107" s="2" t="s">
        <v>4939</v>
      </c>
      <c r="C13107" s="2" t="s">
        <v>6792</v>
      </c>
      <c r="D13107" s="3" t="str">
        <f t="shared" ref="D13107:D13109" si="3120">HYPERLINK("https://12go.asia/en/travel/Kosgoda/Beruwala", "12Go Link")</f>
        <v>12Go Link</v>
      </c>
      <c r="E13107" s="2" t="s">
        <v>286</v>
      </c>
    </row>
    <row r="13108">
      <c r="A13108" s="2" t="s">
        <v>4986</v>
      </c>
      <c r="B13108" s="2" t="s">
        <v>4939</v>
      </c>
      <c r="C13108" s="2" t="s">
        <v>6792</v>
      </c>
      <c r="D13108" s="3" t="str">
        <f t="shared" si="3120"/>
        <v>12Go Link</v>
      </c>
      <c r="E13108" s="2" t="s">
        <v>4139</v>
      </c>
    </row>
    <row r="13109">
      <c r="A13109" s="2" t="s">
        <v>4986</v>
      </c>
      <c r="B13109" s="2" t="s">
        <v>4939</v>
      </c>
      <c r="C13109" s="2" t="s">
        <v>6792</v>
      </c>
      <c r="D13109" s="3" t="str">
        <f t="shared" si="3120"/>
        <v>12Go Link</v>
      </c>
      <c r="E13109" s="2" t="s">
        <v>3409</v>
      </c>
    </row>
    <row r="13110">
      <c r="A13110" s="2" t="s">
        <v>4986</v>
      </c>
      <c r="B13110" s="2" t="s">
        <v>4941</v>
      </c>
      <c r="C13110" s="2" t="s">
        <v>6793</v>
      </c>
      <c r="D13110" s="3" t="str">
        <f t="shared" ref="D13110:D13112" si="3121">HYPERLINK("https://12go.asia/en/travel/Kosgoda/Bundala", "12Go Link")</f>
        <v>12Go Link</v>
      </c>
      <c r="E13110" s="2" t="s">
        <v>286</v>
      </c>
    </row>
    <row r="13111">
      <c r="A13111" s="2" t="s">
        <v>4986</v>
      </c>
      <c r="B13111" s="2" t="s">
        <v>4941</v>
      </c>
      <c r="C13111" s="2" t="s">
        <v>6793</v>
      </c>
      <c r="D13111" s="3" t="str">
        <f t="shared" si="3121"/>
        <v>12Go Link</v>
      </c>
      <c r="E13111" s="2" t="s">
        <v>4139</v>
      </c>
    </row>
    <row r="13112">
      <c r="A13112" s="2" t="s">
        <v>4986</v>
      </c>
      <c r="B13112" s="2" t="s">
        <v>4941</v>
      </c>
      <c r="C13112" s="2" t="s">
        <v>6793</v>
      </c>
      <c r="D13112" s="3" t="str">
        <f t="shared" si="3121"/>
        <v>12Go Link</v>
      </c>
      <c r="E13112" s="2" t="s">
        <v>3409</v>
      </c>
    </row>
    <row r="13113">
      <c r="A13113" s="2" t="s">
        <v>4986</v>
      </c>
      <c r="B13113" s="2" t="s">
        <v>4945</v>
      </c>
      <c r="C13113" s="2" t="s">
        <v>6794</v>
      </c>
      <c r="D13113" s="3" t="str">
        <f t="shared" ref="D13113:D13115" si="3122">HYPERLINK("https://12go.asia/en/travel/Kosgoda/Bandaranaike-Airport", "12Go Link")</f>
        <v>12Go Link</v>
      </c>
      <c r="E13113" s="2" t="s">
        <v>286</v>
      </c>
    </row>
    <row r="13114">
      <c r="A13114" s="2" t="s">
        <v>4986</v>
      </c>
      <c r="B13114" s="2" t="s">
        <v>4945</v>
      </c>
      <c r="C13114" s="2" t="s">
        <v>6794</v>
      </c>
      <c r="D13114" s="3" t="str">
        <f t="shared" si="3122"/>
        <v>12Go Link</v>
      </c>
      <c r="E13114" s="2" t="s">
        <v>4139</v>
      </c>
    </row>
    <row r="13115">
      <c r="A13115" s="2" t="s">
        <v>4986</v>
      </c>
      <c r="B13115" s="2" t="s">
        <v>4945</v>
      </c>
      <c r="C13115" s="2" t="s">
        <v>6794</v>
      </c>
      <c r="D13115" s="3" t="str">
        <f t="shared" si="3122"/>
        <v>12Go Link</v>
      </c>
      <c r="E13115" s="2" t="s">
        <v>3409</v>
      </c>
    </row>
    <row r="13116">
      <c r="A13116" s="2" t="s">
        <v>4986</v>
      </c>
      <c r="B13116" s="2" t="s">
        <v>4949</v>
      </c>
      <c r="C13116" s="2" t="s">
        <v>6795</v>
      </c>
      <c r="D13116" s="3" t="str">
        <f t="shared" ref="D13116:D13118" si="3123">HYPERLINK("https://12go.asia/en/travel/Kosgoda/Deniyaya", "12Go Link")</f>
        <v>12Go Link</v>
      </c>
      <c r="E13116" s="2" t="s">
        <v>286</v>
      </c>
    </row>
    <row r="13117">
      <c r="A13117" s="2" t="s">
        <v>4986</v>
      </c>
      <c r="B13117" s="2" t="s">
        <v>4949</v>
      </c>
      <c r="C13117" s="2" t="s">
        <v>6795</v>
      </c>
      <c r="D13117" s="3" t="str">
        <f t="shared" si="3123"/>
        <v>12Go Link</v>
      </c>
      <c r="E13117" s="2" t="s">
        <v>4139</v>
      </c>
    </row>
    <row r="13118">
      <c r="A13118" s="2" t="s">
        <v>4986</v>
      </c>
      <c r="B13118" s="2" t="s">
        <v>4949</v>
      </c>
      <c r="C13118" s="2" t="s">
        <v>6795</v>
      </c>
      <c r="D13118" s="3" t="str">
        <f t="shared" si="3123"/>
        <v>12Go Link</v>
      </c>
      <c r="E13118" s="2" t="s">
        <v>3409</v>
      </c>
    </row>
    <row r="13119">
      <c r="A13119" s="2" t="s">
        <v>4986</v>
      </c>
      <c r="B13119" s="2" t="s">
        <v>4951</v>
      </c>
      <c r="C13119" s="2" t="s">
        <v>6796</v>
      </c>
      <c r="D13119" s="3" t="str">
        <f t="shared" ref="D13119:D13121" si="3124">HYPERLINK("https://12go.asia/en/travel/Kosgoda/Dickwella", "12Go Link")</f>
        <v>12Go Link</v>
      </c>
      <c r="E13119" s="2" t="s">
        <v>286</v>
      </c>
    </row>
    <row r="13120">
      <c r="A13120" s="2" t="s">
        <v>4986</v>
      </c>
      <c r="B13120" s="2" t="s">
        <v>4951</v>
      </c>
      <c r="C13120" s="2" t="s">
        <v>6796</v>
      </c>
      <c r="D13120" s="3" t="str">
        <f t="shared" si="3124"/>
        <v>12Go Link</v>
      </c>
      <c r="E13120" s="2" t="s">
        <v>4139</v>
      </c>
    </row>
    <row r="13121">
      <c r="A13121" s="2" t="s">
        <v>4986</v>
      </c>
      <c r="B13121" s="2" t="s">
        <v>4951</v>
      </c>
      <c r="C13121" s="2" t="s">
        <v>6796</v>
      </c>
      <c r="D13121" s="3" t="str">
        <f t="shared" si="3124"/>
        <v>12Go Link</v>
      </c>
      <c r="E13121" s="2" t="s">
        <v>3409</v>
      </c>
    </row>
    <row r="13122">
      <c r="A13122" s="2" t="s">
        <v>4986</v>
      </c>
      <c r="B13122" s="2" t="s">
        <v>4951</v>
      </c>
      <c r="C13122" s="2" t="s">
        <v>6797</v>
      </c>
      <c r="D13122" s="3" t="str">
        <f t="shared" ref="D13122:D13124" si="3125">HYPERLINK("https://12go.asia/en/travel/Kosgoda/Hiriketiya-beach", "12Go Link")</f>
        <v>12Go Link</v>
      </c>
      <c r="E13122" s="2" t="s">
        <v>286</v>
      </c>
    </row>
    <row r="13123">
      <c r="A13123" s="2" t="s">
        <v>4986</v>
      </c>
      <c r="B13123" s="2" t="s">
        <v>4951</v>
      </c>
      <c r="C13123" s="2" t="s">
        <v>6797</v>
      </c>
      <c r="D13123" s="3" t="str">
        <f t="shared" si="3125"/>
        <v>12Go Link</v>
      </c>
      <c r="E13123" s="2" t="s">
        <v>4139</v>
      </c>
    </row>
    <row r="13124">
      <c r="A13124" s="2" t="s">
        <v>4986</v>
      </c>
      <c r="B13124" s="2" t="s">
        <v>4951</v>
      </c>
      <c r="C13124" s="2" t="s">
        <v>6797</v>
      </c>
      <c r="D13124" s="3" t="str">
        <f t="shared" si="3125"/>
        <v>12Go Link</v>
      </c>
      <c r="E13124" s="2" t="s">
        <v>3409</v>
      </c>
    </row>
    <row r="13125">
      <c r="A13125" s="2" t="s">
        <v>4986</v>
      </c>
      <c r="B13125" s="2" t="s">
        <v>4954</v>
      </c>
      <c r="C13125" s="2" t="s">
        <v>6798</v>
      </c>
      <c r="D13125" s="3" t="str">
        <f t="shared" ref="D13125:D13127" si="3126">HYPERLINK("https://12go.asia/en/travel/Kosgoda/Galle", "12Go Link")</f>
        <v>12Go Link</v>
      </c>
      <c r="E13125" s="2" t="s">
        <v>286</v>
      </c>
    </row>
    <row r="13126">
      <c r="A13126" s="2" t="s">
        <v>4986</v>
      </c>
      <c r="B13126" s="2" t="s">
        <v>4954</v>
      </c>
      <c r="C13126" s="2" t="s">
        <v>6798</v>
      </c>
      <c r="D13126" s="3" t="str">
        <f t="shared" si="3126"/>
        <v>12Go Link</v>
      </c>
      <c r="E13126" s="2" t="s">
        <v>4139</v>
      </c>
    </row>
    <row r="13127">
      <c r="A13127" s="2" t="s">
        <v>4986</v>
      </c>
      <c r="B13127" s="2" t="s">
        <v>4954</v>
      </c>
      <c r="C13127" s="2" t="s">
        <v>6798</v>
      </c>
      <c r="D13127" s="3" t="str">
        <f t="shared" si="3126"/>
        <v>12Go Link</v>
      </c>
      <c r="E13127" s="2" t="s">
        <v>3409</v>
      </c>
    </row>
    <row r="13128">
      <c r="A13128" s="2" t="s">
        <v>4986</v>
      </c>
      <c r="B13128" s="2" t="s">
        <v>4954</v>
      </c>
      <c r="C13128" s="2" t="s">
        <v>6799</v>
      </c>
      <c r="D13128" s="3" t="str">
        <f t="shared" ref="D13128:D13130" si="3127">HYPERLINK("https://12go.asia/en/travel/Kosgoda/Talpe", "12Go Link")</f>
        <v>12Go Link</v>
      </c>
      <c r="E13128" s="2" t="s">
        <v>286</v>
      </c>
    </row>
    <row r="13129">
      <c r="A13129" s="2" t="s">
        <v>4986</v>
      </c>
      <c r="B13129" s="2" t="s">
        <v>4954</v>
      </c>
      <c r="C13129" s="2" t="s">
        <v>6799</v>
      </c>
      <c r="D13129" s="3" t="str">
        <f t="shared" si="3127"/>
        <v>12Go Link</v>
      </c>
      <c r="E13129" s="2" t="s">
        <v>4139</v>
      </c>
    </row>
    <row r="13130">
      <c r="A13130" s="2" t="s">
        <v>4986</v>
      </c>
      <c r="B13130" s="2" t="s">
        <v>4954</v>
      </c>
      <c r="C13130" s="2" t="s">
        <v>6799</v>
      </c>
      <c r="D13130" s="3" t="str">
        <f t="shared" si="3127"/>
        <v>12Go Link</v>
      </c>
      <c r="E13130" s="2" t="s">
        <v>3409</v>
      </c>
    </row>
    <row r="13131">
      <c r="A13131" s="2" t="s">
        <v>4986</v>
      </c>
      <c r="B13131" s="2" t="s">
        <v>4957</v>
      </c>
      <c r="C13131" s="2" t="s">
        <v>6800</v>
      </c>
      <c r="D13131" s="3" t="str">
        <f t="shared" ref="D13131:D13133" si="3128">HYPERLINK("https://12go.asia/en/travel/Kosgoda/Habarana", "12Go Link")</f>
        <v>12Go Link</v>
      </c>
      <c r="E13131" s="2" t="s">
        <v>286</v>
      </c>
    </row>
    <row r="13132">
      <c r="A13132" s="2" t="s">
        <v>4986</v>
      </c>
      <c r="B13132" s="2" t="s">
        <v>4957</v>
      </c>
      <c r="C13132" s="2" t="s">
        <v>6800</v>
      </c>
      <c r="D13132" s="3" t="str">
        <f t="shared" si="3128"/>
        <v>12Go Link</v>
      </c>
      <c r="E13132" s="2" t="s">
        <v>4139</v>
      </c>
    </row>
    <row r="13133">
      <c r="A13133" s="2" t="s">
        <v>4986</v>
      </c>
      <c r="B13133" s="2" t="s">
        <v>4957</v>
      </c>
      <c r="C13133" s="2" t="s">
        <v>6800</v>
      </c>
      <c r="D13133" s="3" t="str">
        <f t="shared" si="3128"/>
        <v>12Go Link</v>
      </c>
      <c r="E13133" s="2" t="s">
        <v>3409</v>
      </c>
    </row>
    <row r="13134">
      <c r="A13134" s="2" t="s">
        <v>4986</v>
      </c>
      <c r="B13134" s="2" t="s">
        <v>4959</v>
      </c>
      <c r="C13134" s="2" t="s">
        <v>6801</v>
      </c>
      <c r="D13134" s="3" t="str">
        <f t="shared" ref="D13134:D13136" si="3129">HYPERLINK("https://12go.asia/en/travel/Kosgoda/Ella", "12Go Link")</f>
        <v>12Go Link</v>
      </c>
      <c r="E13134" s="2" t="s">
        <v>286</v>
      </c>
    </row>
    <row r="13135">
      <c r="A13135" s="2" t="s">
        <v>4986</v>
      </c>
      <c r="B13135" s="2" t="s">
        <v>4959</v>
      </c>
      <c r="C13135" s="2" t="s">
        <v>6801</v>
      </c>
      <c r="D13135" s="3" t="str">
        <f t="shared" si="3129"/>
        <v>12Go Link</v>
      </c>
      <c r="E13135" s="2" t="s">
        <v>4139</v>
      </c>
    </row>
    <row r="13136">
      <c r="A13136" s="2" t="s">
        <v>4986</v>
      </c>
      <c r="B13136" s="2" t="s">
        <v>4959</v>
      </c>
      <c r="C13136" s="2" t="s">
        <v>6801</v>
      </c>
      <c r="D13136" s="3" t="str">
        <f t="shared" si="3129"/>
        <v>12Go Link</v>
      </c>
      <c r="E13136" s="2" t="s">
        <v>3409</v>
      </c>
    </row>
    <row r="13137">
      <c r="A13137" s="2" t="s">
        <v>4986</v>
      </c>
      <c r="B13137" s="2" t="s">
        <v>4961</v>
      </c>
      <c r="C13137" s="2" t="s">
        <v>6802</v>
      </c>
      <c r="D13137" s="3" t="str">
        <f t="shared" ref="D13137:D13139" si="3130">HYPERLINK("https://12go.asia/en/travel/Kosgoda/Beragala", "12Go Link")</f>
        <v>12Go Link</v>
      </c>
      <c r="E13137" s="2" t="s">
        <v>286</v>
      </c>
    </row>
    <row r="13138">
      <c r="A13138" s="2" t="s">
        <v>4986</v>
      </c>
      <c r="B13138" s="2" t="s">
        <v>4961</v>
      </c>
      <c r="C13138" s="2" t="s">
        <v>6802</v>
      </c>
      <c r="D13138" s="3" t="str">
        <f t="shared" si="3130"/>
        <v>12Go Link</v>
      </c>
      <c r="E13138" s="2" t="s">
        <v>4139</v>
      </c>
    </row>
    <row r="13139">
      <c r="A13139" s="2" t="s">
        <v>4986</v>
      </c>
      <c r="B13139" s="2" t="s">
        <v>4961</v>
      </c>
      <c r="C13139" s="2" t="s">
        <v>6802</v>
      </c>
      <c r="D13139" s="3" t="str">
        <f t="shared" si="3130"/>
        <v>12Go Link</v>
      </c>
      <c r="E13139" s="2" t="s">
        <v>3409</v>
      </c>
    </row>
    <row r="13140">
      <c r="A13140" s="2" t="s">
        <v>4986</v>
      </c>
      <c r="B13140" s="2" t="s">
        <v>4963</v>
      </c>
      <c r="C13140" s="2" t="s">
        <v>6803</v>
      </c>
      <c r="D13140" s="3" t="str">
        <f t="shared" ref="D13140:D13142" si="3131">HYPERLINK("https://12go.asia/en/travel/Kosgoda/Dick-oya", "12Go Link")</f>
        <v>12Go Link</v>
      </c>
      <c r="E13140" s="2" t="s">
        <v>286</v>
      </c>
    </row>
    <row r="13141">
      <c r="A13141" s="2" t="s">
        <v>4986</v>
      </c>
      <c r="B13141" s="2" t="s">
        <v>4963</v>
      </c>
      <c r="C13141" s="2" t="s">
        <v>6803</v>
      </c>
      <c r="D13141" s="3" t="str">
        <f t="shared" si="3131"/>
        <v>12Go Link</v>
      </c>
      <c r="E13141" s="2" t="s">
        <v>4139</v>
      </c>
    </row>
    <row r="13142">
      <c r="A13142" s="2" t="s">
        <v>4986</v>
      </c>
      <c r="B13142" s="2" t="s">
        <v>4963</v>
      </c>
      <c r="C13142" s="2" t="s">
        <v>6803</v>
      </c>
      <c r="D13142" s="3" t="str">
        <f t="shared" si="3131"/>
        <v>12Go Link</v>
      </c>
      <c r="E13142" s="2" t="s">
        <v>3409</v>
      </c>
    </row>
    <row r="13143">
      <c r="A13143" s="2" t="s">
        <v>4986</v>
      </c>
      <c r="B13143" s="2" t="s">
        <v>4965</v>
      </c>
      <c r="C13143" s="2" t="s">
        <v>6804</v>
      </c>
      <c r="D13143" s="3" t="str">
        <f t="shared" ref="D13143:D13145" si="3132">HYPERLINK("https://12go.asia/en/travel/Kosgoda/Dodanduwa", "12Go Link")</f>
        <v>12Go Link</v>
      </c>
      <c r="E13143" s="2" t="s">
        <v>286</v>
      </c>
    </row>
    <row r="13144">
      <c r="A13144" s="2" t="s">
        <v>4986</v>
      </c>
      <c r="B13144" s="2" t="s">
        <v>4965</v>
      </c>
      <c r="C13144" s="2" t="s">
        <v>6804</v>
      </c>
      <c r="D13144" s="3" t="str">
        <f t="shared" si="3132"/>
        <v>12Go Link</v>
      </c>
      <c r="E13144" s="2" t="s">
        <v>4139</v>
      </c>
    </row>
    <row r="13145">
      <c r="A13145" s="2" t="s">
        <v>4986</v>
      </c>
      <c r="B13145" s="2" t="s">
        <v>4965</v>
      </c>
      <c r="C13145" s="2" t="s">
        <v>6804</v>
      </c>
      <c r="D13145" s="3" t="str">
        <f t="shared" si="3132"/>
        <v>12Go Link</v>
      </c>
      <c r="E13145" s="2" t="s">
        <v>3409</v>
      </c>
    </row>
    <row r="13146">
      <c r="A13146" s="2" t="s">
        <v>4986</v>
      </c>
      <c r="B13146" s="2" t="s">
        <v>4967</v>
      </c>
      <c r="C13146" s="2" t="s">
        <v>6805</v>
      </c>
      <c r="D13146" s="3" t="str">
        <f t="shared" ref="D13146:D13148" si="3133">HYPERLINK("https://12go.asia/en/travel/Kosgoda/Induruwa", "12Go Link")</f>
        <v>12Go Link</v>
      </c>
      <c r="E13146" s="2" t="s">
        <v>286</v>
      </c>
    </row>
    <row r="13147">
      <c r="A13147" s="2" t="s">
        <v>4986</v>
      </c>
      <c r="B13147" s="2" t="s">
        <v>4967</v>
      </c>
      <c r="C13147" s="2" t="s">
        <v>6805</v>
      </c>
      <c r="D13147" s="3" t="str">
        <f t="shared" si="3133"/>
        <v>12Go Link</v>
      </c>
      <c r="E13147" s="2" t="s">
        <v>4139</v>
      </c>
    </row>
    <row r="13148">
      <c r="A13148" s="2" t="s">
        <v>4986</v>
      </c>
      <c r="B13148" s="2" t="s">
        <v>4967</v>
      </c>
      <c r="C13148" s="2" t="s">
        <v>6805</v>
      </c>
      <c r="D13148" s="3" t="str">
        <f t="shared" si="3133"/>
        <v>12Go Link</v>
      </c>
      <c r="E13148" s="2" t="s">
        <v>3409</v>
      </c>
    </row>
    <row r="13149">
      <c r="A13149" s="2" t="s">
        <v>4986</v>
      </c>
      <c r="B13149" s="2" t="s">
        <v>4969</v>
      </c>
      <c r="C13149" s="2" t="s">
        <v>6806</v>
      </c>
      <c r="D13149" s="3" t="str">
        <f t="shared" ref="D13149:D13151" si="3134">HYPERLINK("https://12go.asia/en/travel/Kosgoda/Jaffna", "12Go Link")</f>
        <v>12Go Link</v>
      </c>
      <c r="E13149" s="2" t="s">
        <v>286</v>
      </c>
    </row>
    <row r="13150">
      <c r="A13150" s="2" t="s">
        <v>4986</v>
      </c>
      <c r="B13150" s="2" t="s">
        <v>4969</v>
      </c>
      <c r="C13150" s="2" t="s">
        <v>6806</v>
      </c>
      <c r="D13150" s="3" t="str">
        <f t="shared" si="3134"/>
        <v>12Go Link</v>
      </c>
      <c r="E13150" s="2" t="s">
        <v>4139</v>
      </c>
    </row>
    <row r="13151">
      <c r="A13151" s="2" t="s">
        <v>4986</v>
      </c>
      <c r="B13151" s="2" t="s">
        <v>4969</v>
      </c>
      <c r="C13151" s="2" t="s">
        <v>6806</v>
      </c>
      <c r="D13151" s="3" t="str">
        <f t="shared" si="3134"/>
        <v>12Go Link</v>
      </c>
      <c r="E13151" s="2" t="s">
        <v>3409</v>
      </c>
    </row>
    <row r="13152">
      <c r="A13152" s="2" t="s">
        <v>4986</v>
      </c>
      <c r="B13152" s="2" t="s">
        <v>4971</v>
      </c>
      <c r="C13152" s="2" t="s">
        <v>6807</v>
      </c>
      <c r="D13152" s="3" t="str">
        <f t="shared" ref="D13152:D13154" si="3135">HYPERLINK("https://12go.asia/en/travel/Kosgoda/Kalapuwa", "12Go Link")</f>
        <v>12Go Link</v>
      </c>
      <c r="E13152" s="2" t="s">
        <v>286</v>
      </c>
    </row>
    <row r="13153">
      <c r="A13153" s="2" t="s">
        <v>4986</v>
      </c>
      <c r="B13153" s="2" t="s">
        <v>4971</v>
      </c>
      <c r="C13153" s="2" t="s">
        <v>6807</v>
      </c>
      <c r="D13153" s="3" t="str">
        <f t="shared" si="3135"/>
        <v>12Go Link</v>
      </c>
      <c r="E13153" s="2" t="s">
        <v>4139</v>
      </c>
    </row>
    <row r="13154">
      <c r="A13154" s="2" t="s">
        <v>4986</v>
      </c>
      <c r="B13154" s="2" t="s">
        <v>4971</v>
      </c>
      <c r="C13154" s="2" t="s">
        <v>6807</v>
      </c>
      <c r="D13154" s="3" t="str">
        <f t="shared" si="3135"/>
        <v>12Go Link</v>
      </c>
      <c r="E13154" s="2" t="s">
        <v>3409</v>
      </c>
    </row>
    <row r="13155">
      <c r="A13155" s="2" t="s">
        <v>4986</v>
      </c>
      <c r="B13155" s="2" t="s">
        <v>4973</v>
      </c>
      <c r="C13155" s="2" t="s">
        <v>6808</v>
      </c>
      <c r="D13155" s="3" t="str">
        <f t="shared" ref="D13155:D13157" si="3136">HYPERLINK("https://12go.asia/en/travel/Kosgoda/Digana", "12Go Link")</f>
        <v>12Go Link</v>
      </c>
      <c r="E13155" s="2" t="s">
        <v>286</v>
      </c>
    </row>
    <row r="13156">
      <c r="A13156" s="2" t="s">
        <v>4986</v>
      </c>
      <c r="B13156" s="2" t="s">
        <v>4973</v>
      </c>
      <c r="C13156" s="2" t="s">
        <v>6808</v>
      </c>
      <c r="D13156" s="3" t="str">
        <f t="shared" si="3136"/>
        <v>12Go Link</v>
      </c>
      <c r="E13156" s="2" t="s">
        <v>4139</v>
      </c>
    </row>
    <row r="13157">
      <c r="A13157" s="2" t="s">
        <v>4986</v>
      </c>
      <c r="B13157" s="2" t="s">
        <v>4973</v>
      </c>
      <c r="C13157" s="2" t="s">
        <v>6808</v>
      </c>
      <c r="D13157" s="3" t="str">
        <f t="shared" si="3136"/>
        <v>12Go Link</v>
      </c>
      <c r="E13157" s="2" t="s">
        <v>3409</v>
      </c>
    </row>
    <row r="13158">
      <c r="A13158" s="2" t="s">
        <v>4986</v>
      </c>
      <c r="B13158" s="2" t="s">
        <v>4976</v>
      </c>
      <c r="C13158" s="2" t="s">
        <v>6809</v>
      </c>
      <c r="D13158" s="3" t="str">
        <f t="shared" ref="D13158:D13160" si="3137">HYPERLINK("https://12go.asia/en/travel/Kosgoda/Kataragama", "12Go Link")</f>
        <v>12Go Link</v>
      </c>
      <c r="E13158" s="2" t="s">
        <v>286</v>
      </c>
    </row>
    <row r="13159">
      <c r="A13159" s="2" t="s">
        <v>4986</v>
      </c>
      <c r="B13159" s="2" t="s">
        <v>4976</v>
      </c>
      <c r="C13159" s="2" t="s">
        <v>6809</v>
      </c>
      <c r="D13159" s="3" t="str">
        <f t="shared" si="3137"/>
        <v>12Go Link</v>
      </c>
      <c r="E13159" s="2" t="s">
        <v>4139</v>
      </c>
    </row>
    <row r="13160">
      <c r="A13160" s="2" t="s">
        <v>4986</v>
      </c>
      <c r="B13160" s="2" t="s">
        <v>4976</v>
      </c>
      <c r="C13160" s="2" t="s">
        <v>6809</v>
      </c>
      <c r="D13160" s="3" t="str">
        <f t="shared" si="3137"/>
        <v>12Go Link</v>
      </c>
      <c r="E13160" s="2" t="s">
        <v>3409</v>
      </c>
    </row>
    <row r="13161">
      <c r="A13161" s="2" t="s">
        <v>4986</v>
      </c>
      <c r="B13161" s="2" t="s">
        <v>4978</v>
      </c>
      <c r="C13161" s="2" t="s">
        <v>6810</v>
      </c>
      <c r="D13161" s="3" t="str">
        <f t="shared" ref="D13161:D13163" si="3138">HYPERLINK("https://12go.asia/en/travel/Kosgoda/Alawathupitiya", "12Go Link")</f>
        <v>12Go Link</v>
      </c>
      <c r="E13161" s="2" t="s">
        <v>286</v>
      </c>
    </row>
    <row r="13162">
      <c r="A13162" s="2" t="s">
        <v>4986</v>
      </c>
      <c r="B13162" s="2" t="s">
        <v>4978</v>
      </c>
      <c r="C13162" s="2" t="s">
        <v>6810</v>
      </c>
      <c r="D13162" s="3" t="str">
        <f t="shared" si="3138"/>
        <v>12Go Link</v>
      </c>
      <c r="E13162" s="2" t="s">
        <v>4139</v>
      </c>
    </row>
    <row r="13163">
      <c r="A13163" s="2" t="s">
        <v>4986</v>
      </c>
      <c r="B13163" s="2" t="s">
        <v>4978</v>
      </c>
      <c r="C13163" s="2" t="s">
        <v>6810</v>
      </c>
      <c r="D13163" s="3" t="str">
        <f t="shared" si="3138"/>
        <v>12Go Link</v>
      </c>
      <c r="E13163" s="2" t="s">
        <v>3409</v>
      </c>
    </row>
    <row r="13164">
      <c r="A13164" s="2" t="s">
        <v>4986</v>
      </c>
      <c r="B13164" s="2" t="s">
        <v>4980</v>
      </c>
      <c r="C13164" s="2" t="s">
        <v>6811</v>
      </c>
      <c r="D13164" s="3" t="str">
        <f t="shared" ref="D13164:D13166" si="3139">HYPERLINK("https://12go.asia/en/travel/Kosgoda/Pinnawala", "12Go Link")</f>
        <v>12Go Link</v>
      </c>
      <c r="E13164" s="2" t="s">
        <v>286</v>
      </c>
    </row>
    <row r="13165">
      <c r="A13165" s="2" t="s">
        <v>4986</v>
      </c>
      <c r="B13165" s="2" t="s">
        <v>4980</v>
      </c>
      <c r="C13165" s="2" t="s">
        <v>6811</v>
      </c>
      <c r="D13165" s="3" t="str">
        <f t="shared" si="3139"/>
        <v>12Go Link</v>
      </c>
      <c r="E13165" s="2" t="s">
        <v>4139</v>
      </c>
    </row>
    <row r="13166">
      <c r="A13166" s="2" t="s">
        <v>4986</v>
      </c>
      <c r="B13166" s="2" t="s">
        <v>4980</v>
      </c>
      <c r="C13166" s="2" t="s">
        <v>6811</v>
      </c>
      <c r="D13166" s="3" t="str">
        <f t="shared" si="3139"/>
        <v>12Go Link</v>
      </c>
      <c r="E13166" s="2" t="s">
        <v>3409</v>
      </c>
    </row>
    <row r="13167">
      <c r="A13167" s="2" t="s">
        <v>4986</v>
      </c>
      <c r="B13167" s="2" t="s">
        <v>4982</v>
      </c>
      <c r="C13167" s="2" t="s">
        <v>6812</v>
      </c>
      <c r="D13167" s="3" t="str">
        <f t="shared" ref="D13167:D13169" si="3140">HYPERLINK("https://12go.asia/en/travel/Kosgoda/Kitulgala", "12Go Link")</f>
        <v>12Go Link</v>
      </c>
      <c r="E13167" s="2" t="s">
        <v>286</v>
      </c>
    </row>
    <row r="13168">
      <c r="A13168" s="2" t="s">
        <v>4986</v>
      </c>
      <c r="B13168" s="2" t="s">
        <v>4982</v>
      </c>
      <c r="C13168" s="2" t="s">
        <v>6812</v>
      </c>
      <c r="D13168" s="3" t="str">
        <f t="shared" si="3140"/>
        <v>12Go Link</v>
      </c>
      <c r="E13168" s="2" t="s">
        <v>4139</v>
      </c>
    </row>
    <row r="13169">
      <c r="A13169" s="2" t="s">
        <v>4986</v>
      </c>
      <c r="B13169" s="2" t="s">
        <v>4982</v>
      </c>
      <c r="C13169" s="2" t="s">
        <v>6812</v>
      </c>
      <c r="D13169" s="3" t="str">
        <f t="shared" si="3140"/>
        <v>12Go Link</v>
      </c>
      <c r="E13169" s="2" t="s">
        <v>3409</v>
      </c>
    </row>
    <row r="13170">
      <c r="A13170" s="2" t="s">
        <v>4986</v>
      </c>
      <c r="B13170" s="2" t="s">
        <v>4984</v>
      </c>
      <c r="C13170" s="2" t="s">
        <v>6813</v>
      </c>
      <c r="D13170" s="3" t="str">
        <f t="shared" ref="D13170:D13172" si="3141">HYPERLINK("https://12go.asia/en/travel/Kosgoda/Habaraduwa", "12Go Link")</f>
        <v>12Go Link</v>
      </c>
      <c r="E13170" s="2" t="s">
        <v>286</v>
      </c>
    </row>
    <row r="13171">
      <c r="A13171" s="2" t="s">
        <v>4986</v>
      </c>
      <c r="B13171" s="2" t="s">
        <v>4984</v>
      </c>
      <c r="C13171" s="2" t="s">
        <v>6813</v>
      </c>
      <c r="D13171" s="3" t="str">
        <f t="shared" si="3141"/>
        <v>12Go Link</v>
      </c>
      <c r="E13171" s="2" t="s">
        <v>4139</v>
      </c>
    </row>
    <row r="13172">
      <c r="A13172" s="2" t="s">
        <v>4986</v>
      </c>
      <c r="B13172" s="2" t="s">
        <v>4984</v>
      </c>
      <c r="C13172" s="2" t="s">
        <v>6813</v>
      </c>
      <c r="D13172" s="3" t="str">
        <f t="shared" si="3141"/>
        <v>12Go Link</v>
      </c>
      <c r="E13172" s="2" t="s">
        <v>3409</v>
      </c>
    </row>
    <row r="13173">
      <c r="A13173" s="2" t="s">
        <v>4986</v>
      </c>
      <c r="B13173" s="2" t="s">
        <v>4988</v>
      </c>
      <c r="C13173" s="2" t="s">
        <v>6814</v>
      </c>
      <c r="D13173" s="3" t="str">
        <f t="shared" ref="D13173:D13175" si="3142">HYPERLINK("https://12go.asia/en/travel/Kosgoda/Kuchchaveli", "12Go Link")</f>
        <v>12Go Link</v>
      </c>
      <c r="E13173" s="2" t="s">
        <v>286</v>
      </c>
    </row>
    <row r="13174">
      <c r="A13174" s="2" t="s">
        <v>4986</v>
      </c>
      <c r="B13174" s="2" t="s">
        <v>4988</v>
      </c>
      <c r="C13174" s="2" t="s">
        <v>6814</v>
      </c>
      <c r="D13174" s="3" t="str">
        <f t="shared" si="3142"/>
        <v>12Go Link</v>
      </c>
      <c r="E13174" s="2" t="s">
        <v>4139</v>
      </c>
    </row>
    <row r="13175">
      <c r="A13175" s="2" t="s">
        <v>4986</v>
      </c>
      <c r="B13175" s="2" t="s">
        <v>4988</v>
      </c>
      <c r="C13175" s="2" t="s">
        <v>6814</v>
      </c>
      <c r="D13175" s="3" t="str">
        <f t="shared" si="3142"/>
        <v>12Go Link</v>
      </c>
      <c r="E13175" s="2" t="s">
        <v>3409</v>
      </c>
    </row>
    <row r="13176">
      <c r="A13176" s="2" t="s">
        <v>4986</v>
      </c>
      <c r="B13176" s="2" t="s">
        <v>4990</v>
      </c>
      <c r="C13176" s="2" t="s">
        <v>6815</v>
      </c>
      <c r="D13176" s="3" t="str">
        <f t="shared" ref="D13176:D13178" si="3143">HYPERLINK("https://12go.asia/en/travel/Kosgoda/Mannar", "12Go Link")</f>
        <v>12Go Link</v>
      </c>
      <c r="E13176" s="2" t="s">
        <v>286</v>
      </c>
    </row>
    <row r="13177">
      <c r="A13177" s="2" t="s">
        <v>4986</v>
      </c>
      <c r="B13177" s="2" t="s">
        <v>4990</v>
      </c>
      <c r="C13177" s="2" t="s">
        <v>6815</v>
      </c>
      <c r="D13177" s="3" t="str">
        <f t="shared" si="3143"/>
        <v>12Go Link</v>
      </c>
      <c r="E13177" s="2" t="s">
        <v>4139</v>
      </c>
    </row>
    <row r="13178">
      <c r="A13178" s="2" t="s">
        <v>4986</v>
      </c>
      <c r="B13178" s="2" t="s">
        <v>4990</v>
      </c>
      <c r="C13178" s="2" t="s">
        <v>6815</v>
      </c>
      <c r="D13178" s="3" t="str">
        <f t="shared" si="3143"/>
        <v>12Go Link</v>
      </c>
      <c r="E13178" s="2" t="s">
        <v>3409</v>
      </c>
    </row>
    <row r="13179">
      <c r="A13179" s="2" t="s">
        <v>4986</v>
      </c>
      <c r="B13179" s="2" t="s">
        <v>4992</v>
      </c>
      <c r="C13179" s="2" t="s">
        <v>6816</v>
      </c>
      <c r="D13179" s="3" t="str">
        <f t="shared" ref="D13179:D13181" si="3144">HYPERLINK("https://12go.asia/en/travel/Kosgoda/Kinigama", "12Go Link")</f>
        <v>12Go Link</v>
      </c>
      <c r="E13179" s="2" t="s">
        <v>286</v>
      </c>
    </row>
    <row r="13180">
      <c r="A13180" s="2" t="s">
        <v>4986</v>
      </c>
      <c r="B13180" s="2" t="s">
        <v>4992</v>
      </c>
      <c r="C13180" s="2" t="s">
        <v>6816</v>
      </c>
      <c r="D13180" s="3" t="str">
        <f t="shared" si="3144"/>
        <v>12Go Link</v>
      </c>
      <c r="E13180" s="2" t="s">
        <v>4139</v>
      </c>
    </row>
    <row r="13181">
      <c r="A13181" s="2" t="s">
        <v>4986</v>
      </c>
      <c r="B13181" s="2" t="s">
        <v>4992</v>
      </c>
      <c r="C13181" s="2" t="s">
        <v>6816</v>
      </c>
      <c r="D13181" s="3" t="str">
        <f t="shared" si="3144"/>
        <v>12Go Link</v>
      </c>
      <c r="E13181" s="2" t="s">
        <v>3409</v>
      </c>
    </row>
    <row r="13182">
      <c r="A13182" s="2" t="s">
        <v>4986</v>
      </c>
      <c r="B13182" s="2" t="s">
        <v>4994</v>
      </c>
      <c r="C13182" s="2" t="s">
        <v>6817</v>
      </c>
      <c r="D13182" s="3" t="str">
        <f t="shared" ref="D13182:D13184" si="3145">HYPERLINK("https://12go.asia/en/travel/Kosgoda/Kalamatiya", "12Go Link")</f>
        <v>12Go Link</v>
      </c>
      <c r="E13182" s="2" t="s">
        <v>286</v>
      </c>
    </row>
    <row r="13183">
      <c r="A13183" s="2" t="s">
        <v>4986</v>
      </c>
      <c r="B13183" s="2" t="s">
        <v>4994</v>
      </c>
      <c r="C13183" s="2" t="s">
        <v>6817</v>
      </c>
      <c r="D13183" s="3" t="str">
        <f t="shared" si="3145"/>
        <v>12Go Link</v>
      </c>
      <c r="E13183" s="2" t="s">
        <v>4139</v>
      </c>
    </row>
    <row r="13184">
      <c r="A13184" s="2" t="s">
        <v>4986</v>
      </c>
      <c r="B13184" s="2" t="s">
        <v>4994</v>
      </c>
      <c r="C13184" s="2" t="s">
        <v>6817</v>
      </c>
      <c r="D13184" s="3" t="str">
        <f t="shared" si="3145"/>
        <v>12Go Link</v>
      </c>
      <c r="E13184" s="2" t="s">
        <v>3409</v>
      </c>
    </row>
    <row r="13185">
      <c r="A13185" s="2" t="s">
        <v>4986</v>
      </c>
      <c r="B13185" s="2" t="s">
        <v>4996</v>
      </c>
      <c r="C13185" s="2" t="s">
        <v>6818</v>
      </c>
      <c r="D13185" s="3" t="str">
        <f t="shared" ref="D13185:D13187" si="3146">HYPERLINK("https://12go.asia/en/travel/Kosgoda/mirissa", "12Go Link")</f>
        <v>12Go Link</v>
      </c>
      <c r="E13185" s="2" t="s">
        <v>286</v>
      </c>
    </row>
    <row r="13186">
      <c r="A13186" s="2" t="s">
        <v>4986</v>
      </c>
      <c r="B13186" s="2" t="s">
        <v>4996</v>
      </c>
      <c r="C13186" s="2" t="s">
        <v>6818</v>
      </c>
      <c r="D13186" s="3" t="str">
        <f t="shared" si="3146"/>
        <v>12Go Link</v>
      </c>
      <c r="E13186" s="2" t="s">
        <v>4139</v>
      </c>
    </row>
    <row r="13187">
      <c r="A13187" s="2" t="s">
        <v>4986</v>
      </c>
      <c r="B13187" s="2" t="s">
        <v>4996</v>
      </c>
      <c r="C13187" s="2" t="s">
        <v>6818</v>
      </c>
      <c r="D13187" s="3" t="str">
        <f t="shared" si="3146"/>
        <v>12Go Link</v>
      </c>
      <c r="E13187" s="2" t="s">
        <v>3409</v>
      </c>
    </row>
    <row r="13188">
      <c r="A13188" s="2" t="s">
        <v>4986</v>
      </c>
      <c r="B13188" s="2" t="s">
        <v>4998</v>
      </c>
      <c r="C13188" s="2" t="s">
        <v>6819</v>
      </c>
      <c r="D13188" s="3" t="str">
        <f t="shared" ref="D13188:D13190" si="3147">HYPERLINK("https://12go.asia/en/travel/Kosgoda/Nanu-Oya", "12Go Link")</f>
        <v>12Go Link</v>
      </c>
      <c r="E13188" s="2" t="s">
        <v>286</v>
      </c>
    </row>
    <row r="13189">
      <c r="A13189" s="2" t="s">
        <v>4986</v>
      </c>
      <c r="B13189" s="2" t="s">
        <v>4998</v>
      </c>
      <c r="C13189" s="2" t="s">
        <v>6819</v>
      </c>
      <c r="D13189" s="3" t="str">
        <f t="shared" si="3147"/>
        <v>12Go Link</v>
      </c>
      <c r="E13189" s="2" t="s">
        <v>4139</v>
      </c>
    </row>
    <row r="13190">
      <c r="A13190" s="2" t="s">
        <v>4986</v>
      </c>
      <c r="B13190" s="2" t="s">
        <v>4998</v>
      </c>
      <c r="C13190" s="2" t="s">
        <v>6819</v>
      </c>
      <c r="D13190" s="3" t="str">
        <f t="shared" si="3147"/>
        <v>12Go Link</v>
      </c>
      <c r="E13190" s="2" t="s">
        <v>3409</v>
      </c>
    </row>
    <row r="13191">
      <c r="A13191" s="2" t="s">
        <v>4986</v>
      </c>
      <c r="B13191" s="2" t="s">
        <v>5000</v>
      </c>
      <c r="C13191" s="2" t="s">
        <v>6820</v>
      </c>
      <c r="D13191" s="3" t="str">
        <f t="shared" ref="D13191:D13193" si="3148">HYPERLINK("https://12go.asia/en/travel/Kosgoda/Waikkal", "12Go Link")</f>
        <v>12Go Link</v>
      </c>
      <c r="E13191" s="2" t="s">
        <v>286</v>
      </c>
    </row>
    <row r="13192">
      <c r="A13192" s="2" t="s">
        <v>4986</v>
      </c>
      <c r="B13192" s="2" t="s">
        <v>5000</v>
      </c>
      <c r="C13192" s="2" t="s">
        <v>6820</v>
      </c>
      <c r="D13192" s="3" t="str">
        <f t="shared" si="3148"/>
        <v>12Go Link</v>
      </c>
      <c r="E13192" s="2" t="s">
        <v>4139</v>
      </c>
    </row>
    <row r="13193">
      <c r="A13193" s="2" t="s">
        <v>4986</v>
      </c>
      <c r="B13193" s="2" t="s">
        <v>5000</v>
      </c>
      <c r="C13193" s="2" t="s">
        <v>6820</v>
      </c>
      <c r="D13193" s="3" t="str">
        <f t="shared" si="3148"/>
        <v>12Go Link</v>
      </c>
      <c r="E13193" s="2" t="s">
        <v>3409</v>
      </c>
    </row>
    <row r="13194">
      <c r="A13194" s="2" t="s">
        <v>4986</v>
      </c>
      <c r="B13194" s="2" t="s">
        <v>5003</v>
      </c>
      <c r="C13194" s="2" t="s">
        <v>6821</v>
      </c>
      <c r="D13194" s="3" t="str">
        <f t="shared" ref="D13194:D13196" si="3149">HYPERLINK("https://12go.asia/en/travel/Kosgoda/Nilaveli", "12Go Link")</f>
        <v>12Go Link</v>
      </c>
      <c r="E13194" s="2" t="s">
        <v>286</v>
      </c>
    </row>
    <row r="13195">
      <c r="A13195" s="2" t="s">
        <v>4986</v>
      </c>
      <c r="B13195" s="2" t="s">
        <v>5003</v>
      </c>
      <c r="C13195" s="2" t="s">
        <v>6821</v>
      </c>
      <c r="D13195" s="3" t="str">
        <f t="shared" si="3149"/>
        <v>12Go Link</v>
      </c>
      <c r="E13195" s="2" t="s">
        <v>4139</v>
      </c>
    </row>
    <row r="13196">
      <c r="A13196" s="2" t="s">
        <v>4986</v>
      </c>
      <c r="B13196" s="2" t="s">
        <v>5003</v>
      </c>
      <c r="C13196" s="2" t="s">
        <v>6821</v>
      </c>
      <c r="D13196" s="3" t="str">
        <f t="shared" si="3149"/>
        <v>12Go Link</v>
      </c>
      <c r="E13196" s="2" t="s">
        <v>3409</v>
      </c>
    </row>
    <row r="13197">
      <c r="A13197" s="2" t="s">
        <v>4986</v>
      </c>
      <c r="B13197" s="2" t="s">
        <v>5005</v>
      </c>
      <c r="C13197" s="2" t="s">
        <v>6822</v>
      </c>
      <c r="D13197" s="3" t="str">
        <f t="shared" ref="D13197:D13198" si="3150">HYPERLINK("https://12go.asia/en/travel/Kosgoda/Kotmale", "12Go Link")</f>
        <v>12Go Link</v>
      </c>
      <c r="E13197" s="2" t="s">
        <v>4139</v>
      </c>
    </row>
    <row r="13198">
      <c r="A13198" s="2" t="s">
        <v>4986</v>
      </c>
      <c r="B13198" s="2" t="s">
        <v>5005</v>
      </c>
      <c r="C13198" s="2" t="s">
        <v>6822</v>
      </c>
      <c r="D13198" s="3" t="str">
        <f t="shared" si="3150"/>
        <v>12Go Link</v>
      </c>
      <c r="E13198" s="2" t="s">
        <v>3409</v>
      </c>
    </row>
    <row r="13199">
      <c r="A13199" s="2" t="s">
        <v>4986</v>
      </c>
      <c r="B13199" s="2" t="s">
        <v>5007</v>
      </c>
      <c r="C13199" s="2" t="s">
        <v>6823</v>
      </c>
      <c r="D13199" s="3" t="str">
        <f t="shared" ref="D13199:D13201" si="3151">HYPERLINK("https://12go.asia/en/travel/Kosgoda/Pasikuda", "12Go Link")</f>
        <v>12Go Link</v>
      </c>
      <c r="E13199" s="2" t="s">
        <v>286</v>
      </c>
    </row>
    <row r="13200">
      <c r="A13200" s="2" t="s">
        <v>4986</v>
      </c>
      <c r="B13200" s="2" t="s">
        <v>5007</v>
      </c>
      <c r="C13200" s="2" t="s">
        <v>6823</v>
      </c>
      <c r="D13200" s="3" t="str">
        <f t="shared" si="3151"/>
        <v>12Go Link</v>
      </c>
      <c r="E13200" s="2" t="s">
        <v>4139</v>
      </c>
    </row>
    <row r="13201">
      <c r="A13201" s="2" t="s">
        <v>4986</v>
      </c>
      <c r="B13201" s="2" t="s">
        <v>5007</v>
      </c>
      <c r="C13201" s="2" t="s">
        <v>6823</v>
      </c>
      <c r="D13201" s="3" t="str">
        <f t="shared" si="3151"/>
        <v>12Go Link</v>
      </c>
      <c r="E13201" s="2" t="s">
        <v>3409</v>
      </c>
    </row>
    <row r="13202">
      <c r="A13202" s="2" t="s">
        <v>4986</v>
      </c>
      <c r="B13202" s="2" t="s">
        <v>5009</v>
      </c>
      <c r="C13202" s="2" t="s">
        <v>6824</v>
      </c>
      <c r="D13202" s="3" t="str">
        <f t="shared" ref="D13202:D13204" si="3152">HYPERLINK("https://12go.asia/en/travel/Kosgoda/Galoya", "12Go Link")</f>
        <v>12Go Link</v>
      </c>
      <c r="E13202" s="2" t="s">
        <v>286</v>
      </c>
    </row>
    <row r="13203">
      <c r="A13203" s="2" t="s">
        <v>4986</v>
      </c>
      <c r="B13203" s="2" t="s">
        <v>5009</v>
      </c>
      <c r="C13203" s="2" t="s">
        <v>6824</v>
      </c>
      <c r="D13203" s="3" t="str">
        <f t="shared" si="3152"/>
        <v>12Go Link</v>
      </c>
      <c r="E13203" s="2" t="s">
        <v>4139</v>
      </c>
    </row>
    <row r="13204">
      <c r="A13204" s="2" t="s">
        <v>4986</v>
      </c>
      <c r="B13204" s="2" t="s">
        <v>5009</v>
      </c>
      <c r="C13204" s="2" t="s">
        <v>6824</v>
      </c>
      <c r="D13204" s="3" t="str">
        <f t="shared" si="3152"/>
        <v>12Go Link</v>
      </c>
      <c r="E13204" s="2" t="s">
        <v>3409</v>
      </c>
    </row>
    <row r="13205">
      <c r="A13205" s="2" t="s">
        <v>4986</v>
      </c>
      <c r="B13205" s="2" t="s">
        <v>5011</v>
      </c>
      <c r="C13205" s="2" t="s">
        <v>6825</v>
      </c>
      <c r="D13205" s="3" t="str">
        <f t="shared" ref="D13205:D13207" si="3153">HYPERLINK("https://12go.asia/en/travel/Kosgoda/Kalpitiya", "12Go Link")</f>
        <v>12Go Link</v>
      </c>
      <c r="E13205" s="2" t="s">
        <v>286</v>
      </c>
    </row>
    <row r="13206">
      <c r="A13206" s="2" t="s">
        <v>4986</v>
      </c>
      <c r="B13206" s="2" t="s">
        <v>5011</v>
      </c>
      <c r="C13206" s="2" t="s">
        <v>6825</v>
      </c>
      <c r="D13206" s="3" t="str">
        <f t="shared" si="3153"/>
        <v>12Go Link</v>
      </c>
      <c r="E13206" s="2" t="s">
        <v>4139</v>
      </c>
    </row>
    <row r="13207">
      <c r="A13207" s="2" t="s">
        <v>4986</v>
      </c>
      <c r="B13207" s="2" t="s">
        <v>5011</v>
      </c>
      <c r="C13207" s="2" t="s">
        <v>6825</v>
      </c>
      <c r="D13207" s="3" t="str">
        <f t="shared" si="3153"/>
        <v>12Go Link</v>
      </c>
      <c r="E13207" s="2" t="s">
        <v>3409</v>
      </c>
    </row>
    <row r="13208">
      <c r="A13208" s="2" t="s">
        <v>4986</v>
      </c>
      <c r="B13208" s="2" t="s">
        <v>5011</v>
      </c>
      <c r="C13208" s="2" t="s">
        <v>6826</v>
      </c>
      <c r="D13208" s="3" t="str">
        <f t="shared" ref="D13208:D13210" si="3154">HYPERLINK("https://12go.asia/en/travel/Kosgoda/Marawila", "12Go Link")</f>
        <v>12Go Link</v>
      </c>
      <c r="E13208" s="2" t="s">
        <v>286</v>
      </c>
    </row>
    <row r="13209">
      <c r="A13209" s="2" t="s">
        <v>4986</v>
      </c>
      <c r="B13209" s="2" t="s">
        <v>5011</v>
      </c>
      <c r="C13209" s="2" t="s">
        <v>6826</v>
      </c>
      <c r="D13209" s="3" t="str">
        <f t="shared" si="3154"/>
        <v>12Go Link</v>
      </c>
      <c r="E13209" s="2" t="s">
        <v>4139</v>
      </c>
    </row>
    <row r="13210">
      <c r="A13210" s="2" t="s">
        <v>4986</v>
      </c>
      <c r="B13210" s="2" t="s">
        <v>5011</v>
      </c>
      <c r="C13210" s="2" t="s">
        <v>6826</v>
      </c>
      <c r="D13210" s="3" t="str">
        <f t="shared" si="3154"/>
        <v>12Go Link</v>
      </c>
      <c r="E13210" s="2" t="s">
        <v>3409</v>
      </c>
    </row>
    <row r="13211">
      <c r="A13211" s="2" t="s">
        <v>4986</v>
      </c>
      <c r="B13211" s="2" t="s">
        <v>5014</v>
      </c>
      <c r="C13211" s="2" t="s">
        <v>6827</v>
      </c>
      <c r="D13211" s="3" t="str">
        <f t="shared" ref="D13211:D13213" si="3155">HYPERLINK("https://12go.asia/en/travel/Kosgoda/Kiriella", "12Go Link")</f>
        <v>12Go Link</v>
      </c>
      <c r="E13211" s="2" t="s">
        <v>286</v>
      </c>
    </row>
    <row r="13212">
      <c r="A13212" s="2" t="s">
        <v>4986</v>
      </c>
      <c r="B13212" s="2" t="s">
        <v>5014</v>
      </c>
      <c r="C13212" s="2" t="s">
        <v>6827</v>
      </c>
      <c r="D13212" s="3" t="str">
        <f t="shared" si="3155"/>
        <v>12Go Link</v>
      </c>
      <c r="E13212" s="2" t="s">
        <v>4139</v>
      </c>
    </row>
    <row r="13213">
      <c r="A13213" s="2" t="s">
        <v>4986</v>
      </c>
      <c r="B13213" s="2" t="s">
        <v>5014</v>
      </c>
      <c r="C13213" s="2" t="s">
        <v>6827</v>
      </c>
      <c r="D13213" s="3" t="str">
        <f t="shared" si="3155"/>
        <v>12Go Link</v>
      </c>
      <c r="E13213" s="2" t="s">
        <v>3409</v>
      </c>
    </row>
    <row r="13214">
      <c r="A13214" s="2" t="s">
        <v>4986</v>
      </c>
      <c r="B13214" s="2" t="s">
        <v>5018</v>
      </c>
      <c r="C13214" s="2" t="s">
        <v>6828</v>
      </c>
      <c r="D13214" s="3" t="str">
        <f t="shared" ref="D13214:D13216" si="3156">HYPERLINK("https://12go.asia/en/travel/Kosgoda/Rekawa", "12Go Link")</f>
        <v>12Go Link</v>
      </c>
      <c r="E13214" s="2" t="s">
        <v>286</v>
      </c>
    </row>
    <row r="13215">
      <c r="A13215" s="2" t="s">
        <v>4986</v>
      </c>
      <c r="B13215" s="2" t="s">
        <v>5018</v>
      </c>
      <c r="C13215" s="2" t="s">
        <v>6828</v>
      </c>
      <c r="D13215" s="3" t="str">
        <f t="shared" si="3156"/>
        <v>12Go Link</v>
      </c>
      <c r="E13215" s="2" t="s">
        <v>4139</v>
      </c>
    </row>
    <row r="13216">
      <c r="A13216" s="2" t="s">
        <v>4986</v>
      </c>
      <c r="B13216" s="2" t="s">
        <v>5018</v>
      </c>
      <c r="C13216" s="2" t="s">
        <v>6828</v>
      </c>
      <c r="D13216" s="3" t="str">
        <f t="shared" si="3156"/>
        <v>12Go Link</v>
      </c>
      <c r="E13216" s="2" t="s">
        <v>3409</v>
      </c>
    </row>
    <row r="13217">
      <c r="A13217" s="2" t="s">
        <v>4986</v>
      </c>
      <c r="B13217" s="2" t="s">
        <v>5020</v>
      </c>
      <c r="C13217" s="2" t="s">
        <v>6829</v>
      </c>
      <c r="D13217" s="3" t="str">
        <f t="shared" ref="D13217:D13219" si="3157">HYPERLINK("https://12go.asia/en/travel/Kosgoda/Tissamaharama", "12Go Link")</f>
        <v>12Go Link</v>
      </c>
      <c r="E13217" s="2" t="s">
        <v>286</v>
      </c>
    </row>
    <row r="13218">
      <c r="A13218" s="2" t="s">
        <v>4986</v>
      </c>
      <c r="B13218" s="2" t="s">
        <v>5020</v>
      </c>
      <c r="C13218" s="2" t="s">
        <v>6829</v>
      </c>
      <c r="D13218" s="3" t="str">
        <f t="shared" si="3157"/>
        <v>12Go Link</v>
      </c>
      <c r="E13218" s="2" t="s">
        <v>4139</v>
      </c>
    </row>
    <row r="13219">
      <c r="A13219" s="2" t="s">
        <v>4986</v>
      </c>
      <c r="B13219" s="2" t="s">
        <v>5020</v>
      </c>
      <c r="C13219" s="2" t="s">
        <v>6829</v>
      </c>
      <c r="D13219" s="3" t="str">
        <f t="shared" si="3157"/>
        <v>12Go Link</v>
      </c>
      <c r="E13219" s="2" t="s">
        <v>3409</v>
      </c>
    </row>
    <row r="13220">
      <c r="A13220" s="2" t="s">
        <v>4986</v>
      </c>
      <c r="B13220" s="2" t="s">
        <v>5020</v>
      </c>
      <c r="C13220" s="2" t="s">
        <v>6830</v>
      </c>
      <c r="D13220" s="3" t="str">
        <f t="shared" ref="D13220:D13222" si="3158">HYPERLINK("https://12go.asia/en/travel/Kosgoda/Yala-Park", "12Go Link")</f>
        <v>12Go Link</v>
      </c>
      <c r="E13220" s="2" t="s">
        <v>286</v>
      </c>
    </row>
    <row r="13221">
      <c r="A13221" s="2" t="s">
        <v>4986</v>
      </c>
      <c r="B13221" s="2" t="s">
        <v>5020</v>
      </c>
      <c r="C13221" s="2" t="s">
        <v>6830</v>
      </c>
      <c r="D13221" s="3" t="str">
        <f t="shared" si="3158"/>
        <v>12Go Link</v>
      </c>
      <c r="E13221" s="2" t="s">
        <v>4139</v>
      </c>
    </row>
    <row r="13222">
      <c r="A13222" s="2" t="s">
        <v>4986</v>
      </c>
      <c r="B13222" s="2" t="s">
        <v>5020</v>
      </c>
      <c r="C13222" s="2" t="s">
        <v>6830</v>
      </c>
      <c r="D13222" s="3" t="str">
        <f t="shared" si="3158"/>
        <v>12Go Link</v>
      </c>
      <c r="E13222" s="2" t="s">
        <v>3409</v>
      </c>
    </row>
    <row r="13223">
      <c r="A13223" s="2" t="s">
        <v>4986</v>
      </c>
      <c r="B13223" s="2" t="s">
        <v>5023</v>
      </c>
      <c r="C13223" s="2" t="s">
        <v>6831</v>
      </c>
      <c r="D13223" s="3" t="str">
        <f t="shared" ref="D13223:D13225" si="3159">HYPERLINK("https://12go.asia/en/travel/Kosgoda/Nilaweli", "12Go Link")</f>
        <v>12Go Link</v>
      </c>
      <c r="E13223" s="2" t="s">
        <v>286</v>
      </c>
    </row>
    <row r="13224">
      <c r="A13224" s="2" t="s">
        <v>4986</v>
      </c>
      <c r="B13224" s="2" t="s">
        <v>5023</v>
      </c>
      <c r="C13224" s="2" t="s">
        <v>6831</v>
      </c>
      <c r="D13224" s="3" t="str">
        <f t="shared" si="3159"/>
        <v>12Go Link</v>
      </c>
      <c r="E13224" s="2" t="s">
        <v>4139</v>
      </c>
    </row>
    <row r="13225">
      <c r="A13225" s="2" t="s">
        <v>4986</v>
      </c>
      <c r="B13225" s="2" t="s">
        <v>5023</v>
      </c>
      <c r="C13225" s="2" t="s">
        <v>6831</v>
      </c>
      <c r="D13225" s="3" t="str">
        <f t="shared" si="3159"/>
        <v>12Go Link</v>
      </c>
      <c r="E13225" s="2" t="s">
        <v>3409</v>
      </c>
    </row>
    <row r="13226">
      <c r="A13226" s="2" t="s">
        <v>4986</v>
      </c>
      <c r="B13226" s="2" t="s">
        <v>5025</v>
      </c>
      <c r="C13226" s="2" t="s">
        <v>6832</v>
      </c>
      <c r="D13226" s="3" t="str">
        <f t="shared" ref="D13226:D13228" si="3160">HYPERLINK("https://12go.asia/en/travel/Kosgoda/Udawalawa", "12Go Link")</f>
        <v>12Go Link</v>
      </c>
      <c r="E13226" s="2" t="s">
        <v>286</v>
      </c>
    </row>
    <row r="13227">
      <c r="A13227" s="2" t="s">
        <v>4986</v>
      </c>
      <c r="B13227" s="2" t="s">
        <v>5025</v>
      </c>
      <c r="C13227" s="2" t="s">
        <v>6832</v>
      </c>
      <c r="D13227" s="3" t="str">
        <f t="shared" si="3160"/>
        <v>12Go Link</v>
      </c>
      <c r="E13227" s="2" t="s">
        <v>4139</v>
      </c>
    </row>
    <row r="13228">
      <c r="A13228" s="2" t="s">
        <v>4986</v>
      </c>
      <c r="B13228" s="2" t="s">
        <v>5025</v>
      </c>
      <c r="C13228" s="2" t="s">
        <v>6832</v>
      </c>
      <c r="D13228" s="3" t="str">
        <f t="shared" si="3160"/>
        <v>12Go Link</v>
      </c>
      <c r="E13228" s="2" t="s">
        <v>3409</v>
      </c>
    </row>
    <row r="13229">
      <c r="A13229" s="2" t="s">
        <v>4986</v>
      </c>
      <c r="B13229" s="2" t="s">
        <v>5027</v>
      </c>
      <c r="C13229" s="2" t="s">
        <v>6833</v>
      </c>
      <c r="D13229" s="3" t="str">
        <f t="shared" ref="D13229:D13231" si="3161">HYPERLINK("https://12go.asia/en/travel/Kosgoda/Unawatuna", "12Go Link")</f>
        <v>12Go Link</v>
      </c>
      <c r="E13229" s="2" t="s">
        <v>286</v>
      </c>
    </row>
    <row r="13230">
      <c r="A13230" s="2" t="s">
        <v>4986</v>
      </c>
      <c r="B13230" s="2" t="s">
        <v>5027</v>
      </c>
      <c r="C13230" s="2" t="s">
        <v>6833</v>
      </c>
      <c r="D13230" s="3" t="str">
        <f t="shared" si="3161"/>
        <v>12Go Link</v>
      </c>
      <c r="E13230" s="2" t="s">
        <v>4139</v>
      </c>
    </row>
    <row r="13231">
      <c r="A13231" s="2" t="s">
        <v>4986</v>
      </c>
      <c r="B13231" s="2" t="s">
        <v>5027</v>
      </c>
      <c r="C13231" s="2" t="s">
        <v>6833</v>
      </c>
      <c r="D13231" s="3" t="str">
        <f t="shared" si="3161"/>
        <v>12Go Link</v>
      </c>
      <c r="E13231" s="2" t="s">
        <v>3409</v>
      </c>
    </row>
    <row r="13232">
      <c r="A13232" s="2" t="s">
        <v>4986</v>
      </c>
      <c r="B13232" s="2" t="s">
        <v>5029</v>
      </c>
      <c r="C13232" s="2" t="s">
        <v>6834</v>
      </c>
      <c r="D13232" s="3" t="str">
        <f t="shared" ref="D13232:D13234" si="3162">HYPERLINK("https://12go.asia/en/travel/Kosgoda/Attanagalla", "12Go Link")</f>
        <v>12Go Link</v>
      </c>
      <c r="E13232" s="2" t="s">
        <v>286</v>
      </c>
    </row>
    <row r="13233">
      <c r="A13233" s="2" t="s">
        <v>4986</v>
      </c>
      <c r="B13233" s="2" t="s">
        <v>5029</v>
      </c>
      <c r="C13233" s="2" t="s">
        <v>6834</v>
      </c>
      <c r="D13233" s="3" t="str">
        <f t="shared" si="3162"/>
        <v>12Go Link</v>
      </c>
      <c r="E13233" s="2" t="s">
        <v>4139</v>
      </c>
    </row>
    <row r="13234">
      <c r="A13234" s="2" t="s">
        <v>4986</v>
      </c>
      <c r="B13234" s="2" t="s">
        <v>5029</v>
      </c>
      <c r="C13234" s="2" t="s">
        <v>6834</v>
      </c>
      <c r="D13234" s="3" t="str">
        <f t="shared" si="3162"/>
        <v>12Go Link</v>
      </c>
      <c r="E13234" s="2" t="s">
        <v>3409</v>
      </c>
    </row>
    <row r="13235">
      <c r="A13235" s="2" t="s">
        <v>4986</v>
      </c>
      <c r="B13235" s="2" t="s">
        <v>5031</v>
      </c>
      <c r="C13235" s="2" t="s">
        <v>6835</v>
      </c>
      <c r="D13235" s="3" t="str">
        <f t="shared" ref="D13235:D13237" si="3163">HYPERLINK("https://12go.asia/en/travel/Kosgoda/Moronthuduwa", "12Go Link")</f>
        <v>12Go Link</v>
      </c>
      <c r="E13235" s="2" t="s">
        <v>286</v>
      </c>
    </row>
    <row r="13236">
      <c r="A13236" s="2" t="s">
        <v>4986</v>
      </c>
      <c r="B13236" s="2" t="s">
        <v>5031</v>
      </c>
      <c r="C13236" s="2" t="s">
        <v>6835</v>
      </c>
      <c r="D13236" s="3" t="str">
        <f t="shared" si="3163"/>
        <v>12Go Link</v>
      </c>
      <c r="E13236" s="2" t="s">
        <v>4139</v>
      </c>
    </row>
    <row r="13237">
      <c r="A13237" s="2" t="s">
        <v>4986</v>
      </c>
      <c r="B13237" s="2" t="s">
        <v>5031</v>
      </c>
      <c r="C13237" s="2" t="s">
        <v>6835</v>
      </c>
      <c r="D13237" s="3" t="str">
        <f t="shared" si="3163"/>
        <v>12Go Link</v>
      </c>
      <c r="E13237" s="2" t="s">
        <v>3409</v>
      </c>
    </row>
    <row r="13238">
      <c r="A13238" s="2" t="s">
        <v>4986</v>
      </c>
      <c r="B13238" s="2" t="s">
        <v>5031</v>
      </c>
      <c r="C13238" s="2" t="s">
        <v>6836</v>
      </c>
      <c r="D13238" s="3" t="str">
        <f t="shared" ref="D13238:D13240" si="3164">HYPERLINK("https://12go.asia/en/travel/Kosgoda/Waskaduwa", "12Go Link")</f>
        <v>12Go Link</v>
      </c>
      <c r="E13238" s="2" t="s">
        <v>286</v>
      </c>
    </row>
    <row r="13239">
      <c r="A13239" s="2" t="s">
        <v>4986</v>
      </c>
      <c r="B13239" s="2" t="s">
        <v>5031</v>
      </c>
      <c r="C13239" s="2" t="s">
        <v>6836</v>
      </c>
      <c r="D13239" s="3" t="str">
        <f t="shared" si="3164"/>
        <v>12Go Link</v>
      </c>
      <c r="E13239" s="2" t="s">
        <v>4139</v>
      </c>
    </row>
    <row r="13240">
      <c r="A13240" s="2" t="s">
        <v>4986</v>
      </c>
      <c r="B13240" s="2" t="s">
        <v>5031</v>
      </c>
      <c r="C13240" s="2" t="s">
        <v>6836</v>
      </c>
      <c r="D13240" s="3" t="str">
        <f t="shared" si="3164"/>
        <v>12Go Link</v>
      </c>
      <c r="E13240" s="2" t="s">
        <v>3409</v>
      </c>
    </row>
    <row r="13241">
      <c r="A13241" s="2" t="s">
        <v>4986</v>
      </c>
      <c r="B13241" s="2" t="s">
        <v>5034</v>
      </c>
      <c r="C13241" s="2" t="s">
        <v>6837</v>
      </c>
      <c r="D13241" s="3" t="str">
        <f t="shared" ref="D13241:D13243" si="3165">HYPERLINK("https://12go.asia/en/travel/Kosgoda/Weddagala", "12Go Link")</f>
        <v>12Go Link</v>
      </c>
      <c r="E13241" s="2" t="s">
        <v>286</v>
      </c>
    </row>
    <row r="13242">
      <c r="A13242" s="2" t="s">
        <v>4986</v>
      </c>
      <c r="B13242" s="2" t="s">
        <v>5034</v>
      </c>
      <c r="C13242" s="2" t="s">
        <v>6837</v>
      </c>
      <c r="D13242" s="3" t="str">
        <f t="shared" si="3165"/>
        <v>12Go Link</v>
      </c>
      <c r="E13242" s="2" t="s">
        <v>4139</v>
      </c>
    </row>
    <row r="13243">
      <c r="A13243" s="2" t="s">
        <v>4986</v>
      </c>
      <c r="B13243" s="2" t="s">
        <v>5034</v>
      </c>
      <c r="C13243" s="2" t="s">
        <v>6837</v>
      </c>
      <c r="D13243" s="3" t="str">
        <f t="shared" si="3165"/>
        <v>12Go Link</v>
      </c>
      <c r="E13243" s="2" t="s">
        <v>3409</v>
      </c>
    </row>
    <row r="13244">
      <c r="A13244" s="2" t="s">
        <v>4986</v>
      </c>
      <c r="B13244" s="2" t="s">
        <v>5036</v>
      </c>
      <c r="C13244" s="2" t="s">
        <v>6838</v>
      </c>
      <c r="D13244" s="3" t="str">
        <f t="shared" ref="D13244:D13246" si="3166">HYPERLINK("https://12go.asia/en/travel/Kosgoda/Weligatta", "12Go Link")</f>
        <v>12Go Link</v>
      </c>
      <c r="E13244" s="2" t="s">
        <v>286</v>
      </c>
    </row>
    <row r="13245">
      <c r="A13245" s="2" t="s">
        <v>4986</v>
      </c>
      <c r="B13245" s="2" t="s">
        <v>5036</v>
      </c>
      <c r="C13245" s="2" t="s">
        <v>6838</v>
      </c>
      <c r="D13245" s="3" t="str">
        <f t="shared" si="3166"/>
        <v>12Go Link</v>
      </c>
      <c r="E13245" s="2" t="s">
        <v>4139</v>
      </c>
    </row>
    <row r="13246">
      <c r="A13246" s="2" t="s">
        <v>4986</v>
      </c>
      <c r="B13246" s="2" t="s">
        <v>5036</v>
      </c>
      <c r="C13246" s="2" t="s">
        <v>6838</v>
      </c>
      <c r="D13246" s="3" t="str">
        <f t="shared" si="3166"/>
        <v>12Go Link</v>
      </c>
      <c r="E13246" s="2" t="s">
        <v>3409</v>
      </c>
    </row>
    <row r="13247">
      <c r="A13247" s="2" t="s">
        <v>4986</v>
      </c>
      <c r="B13247" s="2" t="s">
        <v>5038</v>
      </c>
      <c r="C13247" s="2" t="s">
        <v>6839</v>
      </c>
      <c r="D13247" s="3" t="str">
        <f t="shared" ref="D13247:D13249" si="3167">HYPERLINK("https://12go.asia/en/travel/Kosgoda/Akuressa", "12Go Link")</f>
        <v>12Go Link</v>
      </c>
      <c r="E13247" s="2" t="s">
        <v>286</v>
      </c>
    </row>
    <row r="13248">
      <c r="A13248" s="2" t="s">
        <v>4986</v>
      </c>
      <c r="B13248" s="2" t="s">
        <v>5038</v>
      </c>
      <c r="C13248" s="2" t="s">
        <v>6839</v>
      </c>
      <c r="D13248" s="3" t="str">
        <f t="shared" si="3167"/>
        <v>12Go Link</v>
      </c>
      <c r="E13248" s="2" t="s">
        <v>4139</v>
      </c>
    </row>
    <row r="13249">
      <c r="A13249" s="2" t="s">
        <v>4986</v>
      </c>
      <c r="B13249" s="2" t="s">
        <v>5038</v>
      </c>
      <c r="C13249" s="2" t="s">
        <v>6839</v>
      </c>
      <c r="D13249" s="3" t="str">
        <f t="shared" si="3167"/>
        <v>12Go Link</v>
      </c>
      <c r="E13249" s="2" t="s">
        <v>3409</v>
      </c>
    </row>
    <row r="13250">
      <c r="A13250" s="2" t="s">
        <v>4986</v>
      </c>
      <c r="B13250" s="2" t="s">
        <v>5040</v>
      </c>
      <c r="C13250" s="2" t="s">
        <v>6840</v>
      </c>
      <c r="D13250" s="3" t="str">
        <f t="shared" ref="D13250:D13252" si="3168">HYPERLINK("https://12go.asia/en/travel/Kosgoda/Wilpattu", "12Go Link")</f>
        <v>12Go Link</v>
      </c>
      <c r="E13250" s="2" t="s">
        <v>286</v>
      </c>
    </row>
    <row r="13251">
      <c r="A13251" s="2" t="s">
        <v>4986</v>
      </c>
      <c r="B13251" s="2" t="s">
        <v>5040</v>
      </c>
      <c r="C13251" s="2" t="s">
        <v>6840</v>
      </c>
      <c r="D13251" s="3" t="str">
        <f t="shared" si="3168"/>
        <v>12Go Link</v>
      </c>
      <c r="E13251" s="2" t="s">
        <v>4139</v>
      </c>
    </row>
    <row r="13252">
      <c r="A13252" s="2" t="s">
        <v>4986</v>
      </c>
      <c r="B13252" s="2" t="s">
        <v>5040</v>
      </c>
      <c r="C13252" s="2" t="s">
        <v>6840</v>
      </c>
      <c r="D13252" s="3" t="str">
        <f t="shared" si="3168"/>
        <v>12Go Link</v>
      </c>
      <c r="E13252" s="2" t="s">
        <v>3409</v>
      </c>
    </row>
    <row r="13253">
      <c r="A13253" s="2" t="s">
        <v>4988</v>
      </c>
      <c r="B13253" s="2" t="s">
        <v>4945</v>
      </c>
      <c r="C13253" s="2" t="s">
        <v>6841</v>
      </c>
      <c r="D13253" s="3" t="str">
        <f t="shared" ref="D13253:D13255" si="3169">HYPERLINK("https://12go.asia/en/travel/Kuchchaveli/Bandaranaike-Airport", "12Go Link")</f>
        <v>12Go Link</v>
      </c>
      <c r="E13253" s="2" t="s">
        <v>286</v>
      </c>
    </row>
    <row r="13254">
      <c r="A13254" s="2" t="s">
        <v>4988</v>
      </c>
      <c r="B13254" s="2" t="s">
        <v>4945</v>
      </c>
      <c r="C13254" s="2" t="s">
        <v>6841</v>
      </c>
      <c r="D13254" s="3" t="str">
        <f t="shared" si="3169"/>
        <v>12Go Link</v>
      </c>
      <c r="E13254" s="2" t="s">
        <v>4139</v>
      </c>
    </row>
    <row r="13255">
      <c r="A13255" s="2" t="s">
        <v>4988</v>
      </c>
      <c r="B13255" s="2" t="s">
        <v>4945</v>
      </c>
      <c r="C13255" s="2" t="s">
        <v>6841</v>
      </c>
      <c r="D13255" s="3" t="str">
        <f t="shared" si="3169"/>
        <v>12Go Link</v>
      </c>
      <c r="E13255" s="2" t="s">
        <v>3409</v>
      </c>
    </row>
    <row r="13256">
      <c r="A13256" s="2" t="s">
        <v>4990</v>
      </c>
      <c r="B13256" s="2" t="s">
        <v>4918</v>
      </c>
      <c r="C13256" s="2" t="s">
        <v>6842</v>
      </c>
      <c r="D13256" s="3" t="str">
        <f t="shared" ref="D13256:D13258" si="3170">HYPERLINK("https://12go.asia/en/travel/Mannar/Adams-Peak", "12Go Link")</f>
        <v>12Go Link</v>
      </c>
      <c r="E13256" s="2" t="s">
        <v>286</v>
      </c>
    </row>
    <row r="13257">
      <c r="A13257" s="2" t="s">
        <v>4990</v>
      </c>
      <c r="B13257" s="2" t="s">
        <v>4918</v>
      </c>
      <c r="C13257" s="2" t="s">
        <v>6842</v>
      </c>
      <c r="D13257" s="3" t="str">
        <f t="shared" si="3170"/>
        <v>12Go Link</v>
      </c>
      <c r="E13257" s="2" t="s">
        <v>4139</v>
      </c>
    </row>
    <row r="13258">
      <c r="A13258" s="2" t="s">
        <v>4990</v>
      </c>
      <c r="B13258" s="2" t="s">
        <v>4918</v>
      </c>
      <c r="C13258" s="2" t="s">
        <v>6842</v>
      </c>
      <c r="D13258" s="3" t="str">
        <f t="shared" si="3170"/>
        <v>12Go Link</v>
      </c>
      <c r="E13258" s="2" t="s">
        <v>3409</v>
      </c>
    </row>
    <row r="13259">
      <c r="A13259" s="2" t="s">
        <v>4990</v>
      </c>
      <c r="B13259" s="2" t="s">
        <v>4919</v>
      </c>
      <c r="C13259" s="2" t="s">
        <v>6843</v>
      </c>
      <c r="D13259" s="3" t="str">
        <f t="shared" ref="D13259:D13261" si="3171">HYPERLINK("https://12go.asia/en/travel/Mannar/Ahangama", "12Go Link")</f>
        <v>12Go Link</v>
      </c>
      <c r="E13259" s="2" t="s">
        <v>286</v>
      </c>
    </row>
    <row r="13260">
      <c r="A13260" s="2" t="s">
        <v>4990</v>
      </c>
      <c r="B13260" s="2" t="s">
        <v>4919</v>
      </c>
      <c r="C13260" s="2" t="s">
        <v>6843</v>
      </c>
      <c r="D13260" s="3" t="str">
        <f t="shared" si="3171"/>
        <v>12Go Link</v>
      </c>
      <c r="E13260" s="2" t="s">
        <v>4139</v>
      </c>
    </row>
    <row r="13261">
      <c r="A13261" s="2" t="s">
        <v>4990</v>
      </c>
      <c r="B13261" s="2" t="s">
        <v>4919</v>
      </c>
      <c r="C13261" s="2" t="s">
        <v>6843</v>
      </c>
      <c r="D13261" s="3" t="str">
        <f t="shared" si="3171"/>
        <v>12Go Link</v>
      </c>
      <c r="E13261" s="2" t="s">
        <v>3409</v>
      </c>
    </row>
    <row r="13262">
      <c r="A13262" s="2" t="s">
        <v>4990</v>
      </c>
      <c r="B13262" s="2" t="s">
        <v>4921</v>
      </c>
      <c r="C13262" s="2" t="s">
        <v>6844</v>
      </c>
      <c r="D13262" s="3" t="str">
        <f t="shared" ref="D13262:D13264" si="3172">HYPERLINK("https://12go.asia/en/travel/Mannar/Ahungalla", "12Go Link")</f>
        <v>12Go Link</v>
      </c>
      <c r="E13262" s="2" t="s">
        <v>286</v>
      </c>
    </row>
    <row r="13263">
      <c r="A13263" s="2" t="s">
        <v>4990</v>
      </c>
      <c r="B13263" s="2" t="s">
        <v>4921</v>
      </c>
      <c r="C13263" s="2" t="s">
        <v>6844</v>
      </c>
      <c r="D13263" s="3" t="str">
        <f t="shared" si="3172"/>
        <v>12Go Link</v>
      </c>
      <c r="E13263" s="2" t="s">
        <v>4139</v>
      </c>
    </row>
    <row r="13264">
      <c r="A13264" s="2" t="s">
        <v>4990</v>
      </c>
      <c r="B13264" s="2" t="s">
        <v>4921</v>
      </c>
      <c r="C13264" s="2" t="s">
        <v>6844</v>
      </c>
      <c r="D13264" s="3" t="str">
        <f t="shared" si="3172"/>
        <v>12Go Link</v>
      </c>
      <c r="E13264" s="2" t="s">
        <v>3409</v>
      </c>
    </row>
    <row r="13265">
      <c r="A13265" s="2" t="s">
        <v>4990</v>
      </c>
      <c r="B13265" s="2" t="s">
        <v>4923</v>
      </c>
      <c r="C13265" s="2" t="s">
        <v>6845</v>
      </c>
      <c r="D13265" s="3" t="str">
        <f t="shared" ref="D13265:D13267" si="3173">HYPERLINK("https://12go.asia/en/travel/Mannar/Aluthgama", "12Go Link")</f>
        <v>12Go Link</v>
      </c>
      <c r="E13265" s="2" t="s">
        <v>286</v>
      </c>
    </row>
    <row r="13266">
      <c r="A13266" s="2" t="s">
        <v>4990</v>
      </c>
      <c r="B13266" s="2" t="s">
        <v>4923</v>
      </c>
      <c r="C13266" s="2" t="s">
        <v>6845</v>
      </c>
      <c r="D13266" s="3" t="str">
        <f t="shared" si="3173"/>
        <v>12Go Link</v>
      </c>
      <c r="E13266" s="2" t="s">
        <v>4139</v>
      </c>
    </row>
    <row r="13267">
      <c r="A13267" s="2" t="s">
        <v>4990</v>
      </c>
      <c r="B13267" s="2" t="s">
        <v>4923</v>
      </c>
      <c r="C13267" s="2" t="s">
        <v>6845</v>
      </c>
      <c r="D13267" s="3" t="str">
        <f t="shared" si="3173"/>
        <v>12Go Link</v>
      </c>
      <c r="E13267" s="2" t="s">
        <v>3409</v>
      </c>
    </row>
    <row r="13268">
      <c r="A13268" s="2" t="s">
        <v>4990</v>
      </c>
      <c r="B13268" s="2" t="s">
        <v>4925</v>
      </c>
      <c r="C13268" s="2" t="s">
        <v>6846</v>
      </c>
      <c r="D13268" s="3" t="str">
        <f t="shared" ref="D13268:D13270" si="3174">HYPERLINK("https://12go.asia/en/travel/Mannar/Ambalangoda", "12Go Link")</f>
        <v>12Go Link</v>
      </c>
      <c r="E13268" s="2" t="s">
        <v>286</v>
      </c>
    </row>
    <row r="13269">
      <c r="A13269" s="2" t="s">
        <v>4990</v>
      </c>
      <c r="B13269" s="2" t="s">
        <v>4925</v>
      </c>
      <c r="C13269" s="2" t="s">
        <v>6846</v>
      </c>
      <c r="D13269" s="3" t="str">
        <f t="shared" si="3174"/>
        <v>12Go Link</v>
      </c>
      <c r="E13269" s="2" t="s">
        <v>4139</v>
      </c>
    </row>
    <row r="13270">
      <c r="A13270" s="2" t="s">
        <v>4990</v>
      </c>
      <c r="B13270" s="2" t="s">
        <v>4925</v>
      </c>
      <c r="C13270" s="2" t="s">
        <v>6846</v>
      </c>
      <c r="D13270" s="3" t="str">
        <f t="shared" si="3174"/>
        <v>12Go Link</v>
      </c>
      <c r="E13270" s="2" t="s">
        <v>3409</v>
      </c>
    </row>
    <row r="13271">
      <c r="A13271" s="2" t="s">
        <v>4990</v>
      </c>
      <c r="B13271" s="2" t="s">
        <v>4927</v>
      </c>
      <c r="C13271" s="2" t="s">
        <v>6847</v>
      </c>
      <c r="D13271" s="3" t="str">
        <f t="shared" ref="D13271:D13273" si="3175">HYPERLINK("https://12go.asia/en/travel/Mannar/Ambalantota", "12Go Link")</f>
        <v>12Go Link</v>
      </c>
      <c r="E13271" s="2" t="s">
        <v>286</v>
      </c>
    </row>
    <row r="13272">
      <c r="A13272" s="2" t="s">
        <v>4990</v>
      </c>
      <c r="B13272" s="2" t="s">
        <v>4927</v>
      </c>
      <c r="C13272" s="2" t="s">
        <v>6847</v>
      </c>
      <c r="D13272" s="3" t="str">
        <f t="shared" si="3175"/>
        <v>12Go Link</v>
      </c>
      <c r="E13272" s="2" t="s">
        <v>4139</v>
      </c>
    </row>
    <row r="13273">
      <c r="A13273" s="2" t="s">
        <v>4990</v>
      </c>
      <c r="B13273" s="2" t="s">
        <v>4927</v>
      </c>
      <c r="C13273" s="2" t="s">
        <v>6847</v>
      </c>
      <c r="D13273" s="3" t="str">
        <f t="shared" si="3175"/>
        <v>12Go Link</v>
      </c>
      <c r="E13273" s="2" t="s">
        <v>3409</v>
      </c>
    </row>
    <row r="13274">
      <c r="A13274" s="2" t="s">
        <v>4990</v>
      </c>
      <c r="B13274" s="2" t="s">
        <v>4929</v>
      </c>
      <c r="C13274" s="2" t="s">
        <v>6848</v>
      </c>
      <c r="D13274" s="3" t="str">
        <f t="shared" ref="D13274:D13276" si="3176">HYPERLINK("https://12go.asia/en/travel/Mannar/Anuradhapura", "12Go Link")</f>
        <v>12Go Link</v>
      </c>
      <c r="E13274" s="2" t="s">
        <v>286</v>
      </c>
    </row>
    <row r="13275">
      <c r="A13275" s="2" t="s">
        <v>4990</v>
      </c>
      <c r="B13275" s="2" t="s">
        <v>4929</v>
      </c>
      <c r="C13275" s="2" t="s">
        <v>6848</v>
      </c>
      <c r="D13275" s="3" t="str">
        <f t="shared" si="3176"/>
        <v>12Go Link</v>
      </c>
      <c r="E13275" s="2" t="s">
        <v>4139</v>
      </c>
    </row>
    <row r="13276">
      <c r="A13276" s="2" t="s">
        <v>4990</v>
      </c>
      <c r="B13276" s="2" t="s">
        <v>4929</v>
      </c>
      <c r="C13276" s="2" t="s">
        <v>6848</v>
      </c>
      <c r="D13276" s="3" t="str">
        <f t="shared" si="3176"/>
        <v>12Go Link</v>
      </c>
      <c r="E13276" s="2" t="s">
        <v>3409</v>
      </c>
    </row>
    <row r="13277">
      <c r="A13277" s="2" t="s">
        <v>4990</v>
      </c>
      <c r="B13277" s="2" t="s">
        <v>4931</v>
      </c>
      <c r="C13277" s="2" t="s">
        <v>6849</v>
      </c>
      <c r="D13277" s="3" t="str">
        <f t="shared" ref="D13277:D13279" si="3177">HYPERLINK("https://12go.asia/en/travel/Mannar/Arugam-bay", "12Go Link")</f>
        <v>12Go Link</v>
      </c>
      <c r="E13277" s="2" t="s">
        <v>286</v>
      </c>
    </row>
    <row r="13278">
      <c r="A13278" s="2" t="s">
        <v>4990</v>
      </c>
      <c r="B13278" s="2" t="s">
        <v>4931</v>
      </c>
      <c r="C13278" s="2" t="s">
        <v>6849</v>
      </c>
      <c r="D13278" s="3" t="str">
        <f t="shared" si="3177"/>
        <v>12Go Link</v>
      </c>
      <c r="E13278" s="2" t="s">
        <v>4139</v>
      </c>
    </row>
    <row r="13279">
      <c r="A13279" s="2" t="s">
        <v>4990</v>
      </c>
      <c r="B13279" s="2" t="s">
        <v>4931</v>
      </c>
      <c r="C13279" s="2" t="s">
        <v>6849</v>
      </c>
      <c r="D13279" s="3" t="str">
        <f t="shared" si="3177"/>
        <v>12Go Link</v>
      </c>
      <c r="E13279" s="2" t="s">
        <v>3409</v>
      </c>
    </row>
    <row r="13280">
      <c r="A13280" s="2" t="s">
        <v>4990</v>
      </c>
      <c r="B13280" s="2" t="s">
        <v>4933</v>
      </c>
      <c r="C13280" s="2" t="s">
        <v>6850</v>
      </c>
      <c r="D13280" s="3" t="str">
        <f t="shared" ref="D13280:D13282" si="3178">HYPERLINK("https://12go.asia/en/travel/Mannar/balapitiya", "12Go Link")</f>
        <v>12Go Link</v>
      </c>
      <c r="E13280" s="2" t="s">
        <v>286</v>
      </c>
    </row>
    <row r="13281">
      <c r="A13281" s="2" t="s">
        <v>4990</v>
      </c>
      <c r="B13281" s="2" t="s">
        <v>4933</v>
      </c>
      <c r="C13281" s="2" t="s">
        <v>6850</v>
      </c>
      <c r="D13281" s="3" t="str">
        <f t="shared" si="3178"/>
        <v>12Go Link</v>
      </c>
      <c r="E13281" s="2" t="s">
        <v>4139</v>
      </c>
    </row>
    <row r="13282">
      <c r="A13282" s="2" t="s">
        <v>4990</v>
      </c>
      <c r="B13282" s="2" t="s">
        <v>4933</v>
      </c>
      <c r="C13282" s="2" t="s">
        <v>6850</v>
      </c>
      <c r="D13282" s="3" t="str">
        <f t="shared" si="3178"/>
        <v>12Go Link</v>
      </c>
      <c r="E13282" s="2" t="s">
        <v>3409</v>
      </c>
    </row>
    <row r="13283">
      <c r="A13283" s="2" t="s">
        <v>4990</v>
      </c>
      <c r="B13283" s="2" t="s">
        <v>4935</v>
      </c>
      <c r="C13283" s="2" t="s">
        <v>6851</v>
      </c>
      <c r="D13283" s="3" t="str">
        <f t="shared" ref="D13283:D13285" si="3179">HYPERLINK("https://12go.asia/en/travel/Mannar/Batticaloa", "12Go Link")</f>
        <v>12Go Link</v>
      </c>
      <c r="E13283" s="2" t="s">
        <v>286</v>
      </c>
    </row>
    <row r="13284">
      <c r="A13284" s="2" t="s">
        <v>4990</v>
      </c>
      <c r="B13284" s="2" t="s">
        <v>4935</v>
      </c>
      <c r="C13284" s="2" t="s">
        <v>6851</v>
      </c>
      <c r="D13284" s="3" t="str">
        <f t="shared" si="3179"/>
        <v>12Go Link</v>
      </c>
      <c r="E13284" s="2" t="s">
        <v>4139</v>
      </c>
    </row>
    <row r="13285">
      <c r="A13285" s="2" t="s">
        <v>4990</v>
      </c>
      <c r="B13285" s="2" t="s">
        <v>4935</v>
      </c>
      <c r="C13285" s="2" t="s">
        <v>6851</v>
      </c>
      <c r="D13285" s="3" t="str">
        <f t="shared" si="3179"/>
        <v>12Go Link</v>
      </c>
      <c r="E13285" s="2" t="s">
        <v>3409</v>
      </c>
    </row>
    <row r="13286">
      <c r="A13286" s="2" t="s">
        <v>4990</v>
      </c>
      <c r="B13286" s="2" t="s">
        <v>4937</v>
      </c>
      <c r="C13286" s="2" t="s">
        <v>6852</v>
      </c>
      <c r="D13286" s="3" t="str">
        <f t="shared" ref="D13286:D13288" si="3180">HYPERLINK("https://12go.asia/en/travel/Mannar/Bentota", "12Go Link")</f>
        <v>12Go Link</v>
      </c>
      <c r="E13286" s="2" t="s">
        <v>286</v>
      </c>
    </row>
    <row r="13287">
      <c r="A13287" s="2" t="s">
        <v>4990</v>
      </c>
      <c r="B13287" s="2" t="s">
        <v>4937</v>
      </c>
      <c r="C13287" s="2" t="s">
        <v>6852</v>
      </c>
      <c r="D13287" s="3" t="str">
        <f t="shared" si="3180"/>
        <v>12Go Link</v>
      </c>
      <c r="E13287" s="2" t="s">
        <v>4139</v>
      </c>
    </row>
    <row r="13288">
      <c r="A13288" s="2" t="s">
        <v>4990</v>
      </c>
      <c r="B13288" s="2" t="s">
        <v>4937</v>
      </c>
      <c r="C13288" s="2" t="s">
        <v>6852</v>
      </c>
      <c r="D13288" s="3" t="str">
        <f t="shared" si="3180"/>
        <v>12Go Link</v>
      </c>
      <c r="E13288" s="2" t="s">
        <v>3409</v>
      </c>
    </row>
    <row r="13289">
      <c r="A13289" s="2" t="s">
        <v>4990</v>
      </c>
      <c r="B13289" s="2" t="s">
        <v>4939</v>
      </c>
      <c r="C13289" s="2" t="s">
        <v>6853</v>
      </c>
      <c r="D13289" s="3" t="str">
        <f t="shared" ref="D13289:D13291" si="3181">HYPERLINK("https://12go.asia/en/travel/Mannar/Beruwala", "12Go Link")</f>
        <v>12Go Link</v>
      </c>
      <c r="E13289" s="2" t="s">
        <v>286</v>
      </c>
    </row>
    <row r="13290">
      <c r="A13290" s="2" t="s">
        <v>4990</v>
      </c>
      <c r="B13290" s="2" t="s">
        <v>4939</v>
      </c>
      <c r="C13290" s="2" t="s">
        <v>6853</v>
      </c>
      <c r="D13290" s="3" t="str">
        <f t="shared" si="3181"/>
        <v>12Go Link</v>
      </c>
      <c r="E13290" s="2" t="s">
        <v>4139</v>
      </c>
    </row>
    <row r="13291">
      <c r="A13291" s="2" t="s">
        <v>4990</v>
      </c>
      <c r="B13291" s="2" t="s">
        <v>4939</v>
      </c>
      <c r="C13291" s="2" t="s">
        <v>6853</v>
      </c>
      <c r="D13291" s="3" t="str">
        <f t="shared" si="3181"/>
        <v>12Go Link</v>
      </c>
      <c r="E13291" s="2" t="s">
        <v>3409</v>
      </c>
    </row>
    <row r="13292">
      <c r="A13292" s="2" t="s">
        <v>4990</v>
      </c>
      <c r="B13292" s="2" t="s">
        <v>4941</v>
      </c>
      <c r="C13292" s="2" t="s">
        <v>6854</v>
      </c>
      <c r="D13292" s="3" t="str">
        <f t="shared" ref="D13292:D13294" si="3182">HYPERLINK("https://12go.asia/en/travel/Mannar/Bundala", "12Go Link")</f>
        <v>12Go Link</v>
      </c>
      <c r="E13292" s="2" t="s">
        <v>286</v>
      </c>
    </row>
    <row r="13293">
      <c r="A13293" s="2" t="s">
        <v>4990</v>
      </c>
      <c r="B13293" s="2" t="s">
        <v>4941</v>
      </c>
      <c r="C13293" s="2" t="s">
        <v>6854</v>
      </c>
      <c r="D13293" s="3" t="str">
        <f t="shared" si="3182"/>
        <v>12Go Link</v>
      </c>
      <c r="E13293" s="2" t="s">
        <v>4139</v>
      </c>
    </row>
    <row r="13294">
      <c r="A13294" s="2" t="s">
        <v>4990</v>
      </c>
      <c r="B13294" s="2" t="s">
        <v>4941</v>
      </c>
      <c r="C13294" s="2" t="s">
        <v>6854</v>
      </c>
      <c r="D13294" s="3" t="str">
        <f t="shared" si="3182"/>
        <v>12Go Link</v>
      </c>
      <c r="E13294" s="2" t="s">
        <v>3409</v>
      </c>
    </row>
    <row r="13295">
      <c r="A13295" s="2" t="s">
        <v>4990</v>
      </c>
      <c r="B13295" s="2" t="s">
        <v>4943</v>
      </c>
      <c r="C13295" s="2" t="s">
        <v>6855</v>
      </c>
      <c r="D13295" s="3" t="str">
        <f t="shared" ref="D13295:D13297" si="3183">HYPERLINK("https://12go.asia/en/travel/Mannar/Bambalapitiya", "12Go Link")</f>
        <v>12Go Link</v>
      </c>
      <c r="E13295" s="2" t="s">
        <v>286</v>
      </c>
    </row>
    <row r="13296">
      <c r="A13296" s="2" t="s">
        <v>4990</v>
      </c>
      <c r="B13296" s="2" t="s">
        <v>4943</v>
      </c>
      <c r="C13296" s="2" t="s">
        <v>6855</v>
      </c>
      <c r="D13296" s="3" t="str">
        <f t="shared" si="3183"/>
        <v>12Go Link</v>
      </c>
      <c r="E13296" s="2" t="s">
        <v>4139</v>
      </c>
    </row>
    <row r="13297">
      <c r="A13297" s="2" t="s">
        <v>4990</v>
      </c>
      <c r="B13297" s="2" t="s">
        <v>4943</v>
      </c>
      <c r="C13297" s="2" t="s">
        <v>6855</v>
      </c>
      <c r="D13297" s="3" t="str">
        <f t="shared" si="3183"/>
        <v>12Go Link</v>
      </c>
      <c r="E13297" s="2" t="s">
        <v>3409</v>
      </c>
    </row>
    <row r="13298">
      <c r="A13298" s="2" t="s">
        <v>4990</v>
      </c>
      <c r="B13298" s="2" t="s">
        <v>4945</v>
      </c>
      <c r="C13298" s="2" t="s">
        <v>6856</v>
      </c>
      <c r="D13298" s="3" t="str">
        <f t="shared" ref="D13298:D13300" si="3184">HYPERLINK("https://12go.asia/en/travel/Mannar/Bandaranaike-Airport", "12Go Link")</f>
        <v>12Go Link</v>
      </c>
      <c r="E13298" s="2" t="s">
        <v>286</v>
      </c>
    </row>
    <row r="13299">
      <c r="A13299" s="2" t="s">
        <v>4990</v>
      </c>
      <c r="B13299" s="2" t="s">
        <v>4945</v>
      </c>
      <c r="C13299" s="2" t="s">
        <v>6856</v>
      </c>
      <c r="D13299" s="3" t="str">
        <f t="shared" si="3184"/>
        <v>12Go Link</v>
      </c>
      <c r="E13299" s="2" t="s">
        <v>4139</v>
      </c>
    </row>
    <row r="13300">
      <c r="A13300" s="2" t="s">
        <v>4990</v>
      </c>
      <c r="B13300" s="2" t="s">
        <v>4945</v>
      </c>
      <c r="C13300" s="2" t="s">
        <v>6856</v>
      </c>
      <c r="D13300" s="3" t="str">
        <f t="shared" si="3184"/>
        <v>12Go Link</v>
      </c>
      <c r="E13300" s="2" t="s">
        <v>3409</v>
      </c>
    </row>
    <row r="13301">
      <c r="A13301" s="2" t="s">
        <v>4990</v>
      </c>
      <c r="B13301" s="2" t="s">
        <v>4947</v>
      </c>
      <c r="C13301" s="2" t="s">
        <v>6857</v>
      </c>
      <c r="D13301" s="3" t="str">
        <f t="shared" ref="D13301:D13303" si="3185">HYPERLINK("https://12go.asia/en/travel/Mannar/Dambulla", "12Go Link")</f>
        <v>12Go Link</v>
      </c>
      <c r="E13301" s="2" t="s">
        <v>286</v>
      </c>
    </row>
    <row r="13302">
      <c r="A13302" s="2" t="s">
        <v>4990</v>
      </c>
      <c r="B13302" s="2" t="s">
        <v>4947</v>
      </c>
      <c r="C13302" s="2" t="s">
        <v>6857</v>
      </c>
      <c r="D13302" s="3" t="str">
        <f t="shared" si="3185"/>
        <v>12Go Link</v>
      </c>
      <c r="E13302" s="2" t="s">
        <v>4139</v>
      </c>
    </row>
    <row r="13303">
      <c r="A13303" s="2" t="s">
        <v>4990</v>
      </c>
      <c r="B13303" s="2" t="s">
        <v>4947</v>
      </c>
      <c r="C13303" s="2" t="s">
        <v>6857</v>
      </c>
      <c r="D13303" s="3" t="str">
        <f t="shared" si="3185"/>
        <v>12Go Link</v>
      </c>
      <c r="E13303" s="2" t="s">
        <v>3409</v>
      </c>
    </row>
    <row r="13304">
      <c r="A13304" s="2" t="s">
        <v>4990</v>
      </c>
      <c r="B13304" s="2" t="s">
        <v>4949</v>
      </c>
      <c r="C13304" s="2" t="s">
        <v>6858</v>
      </c>
      <c r="D13304" s="3" t="str">
        <f t="shared" ref="D13304:D13306" si="3186">HYPERLINK("https://12go.asia/en/travel/Mannar/Deniyaya", "12Go Link")</f>
        <v>12Go Link</v>
      </c>
      <c r="E13304" s="2" t="s">
        <v>286</v>
      </c>
    </row>
    <row r="13305">
      <c r="A13305" s="2" t="s">
        <v>4990</v>
      </c>
      <c r="B13305" s="2" t="s">
        <v>4949</v>
      </c>
      <c r="C13305" s="2" t="s">
        <v>6858</v>
      </c>
      <c r="D13305" s="3" t="str">
        <f t="shared" si="3186"/>
        <v>12Go Link</v>
      </c>
      <c r="E13305" s="2" t="s">
        <v>4139</v>
      </c>
    </row>
    <row r="13306">
      <c r="A13306" s="2" t="s">
        <v>4990</v>
      </c>
      <c r="B13306" s="2" t="s">
        <v>4949</v>
      </c>
      <c r="C13306" s="2" t="s">
        <v>6858</v>
      </c>
      <c r="D13306" s="3" t="str">
        <f t="shared" si="3186"/>
        <v>12Go Link</v>
      </c>
      <c r="E13306" s="2" t="s">
        <v>3409</v>
      </c>
    </row>
    <row r="13307">
      <c r="A13307" s="2" t="s">
        <v>4990</v>
      </c>
      <c r="B13307" s="2" t="s">
        <v>4951</v>
      </c>
      <c r="C13307" s="2" t="s">
        <v>6859</v>
      </c>
      <c r="D13307" s="3" t="str">
        <f t="shared" ref="D13307:D13309" si="3187">HYPERLINK("https://12go.asia/en/travel/Mannar/Dickwella", "12Go Link")</f>
        <v>12Go Link</v>
      </c>
      <c r="E13307" s="2" t="s">
        <v>286</v>
      </c>
    </row>
    <row r="13308">
      <c r="A13308" s="2" t="s">
        <v>4990</v>
      </c>
      <c r="B13308" s="2" t="s">
        <v>4951</v>
      </c>
      <c r="C13308" s="2" t="s">
        <v>6859</v>
      </c>
      <c r="D13308" s="3" t="str">
        <f t="shared" si="3187"/>
        <v>12Go Link</v>
      </c>
      <c r="E13308" s="2" t="s">
        <v>4139</v>
      </c>
    </row>
    <row r="13309">
      <c r="A13309" s="2" t="s">
        <v>4990</v>
      </c>
      <c r="B13309" s="2" t="s">
        <v>4951</v>
      </c>
      <c r="C13309" s="2" t="s">
        <v>6859</v>
      </c>
      <c r="D13309" s="3" t="str">
        <f t="shared" si="3187"/>
        <v>12Go Link</v>
      </c>
      <c r="E13309" s="2" t="s">
        <v>3409</v>
      </c>
    </row>
    <row r="13310">
      <c r="A13310" s="2" t="s">
        <v>4990</v>
      </c>
      <c r="B13310" s="2" t="s">
        <v>4951</v>
      </c>
      <c r="C13310" s="2" t="s">
        <v>6860</v>
      </c>
      <c r="D13310" s="3" t="str">
        <f t="shared" ref="D13310:D13312" si="3188">HYPERLINK("https://12go.asia/en/travel/Mannar/Hiriketiya-beach", "12Go Link")</f>
        <v>12Go Link</v>
      </c>
      <c r="E13310" s="2" t="s">
        <v>286</v>
      </c>
    </row>
    <row r="13311">
      <c r="A13311" s="2" t="s">
        <v>4990</v>
      </c>
      <c r="B13311" s="2" t="s">
        <v>4951</v>
      </c>
      <c r="C13311" s="2" t="s">
        <v>6860</v>
      </c>
      <c r="D13311" s="3" t="str">
        <f t="shared" si="3188"/>
        <v>12Go Link</v>
      </c>
      <c r="E13311" s="2" t="s">
        <v>4139</v>
      </c>
    </row>
    <row r="13312">
      <c r="A13312" s="2" t="s">
        <v>4990</v>
      </c>
      <c r="B13312" s="2" t="s">
        <v>4951</v>
      </c>
      <c r="C13312" s="2" t="s">
        <v>6860</v>
      </c>
      <c r="D13312" s="3" t="str">
        <f t="shared" si="3188"/>
        <v>12Go Link</v>
      </c>
      <c r="E13312" s="2" t="s">
        <v>3409</v>
      </c>
    </row>
    <row r="13313">
      <c r="A13313" s="2" t="s">
        <v>4990</v>
      </c>
      <c r="B13313" s="2" t="s">
        <v>4954</v>
      </c>
      <c r="C13313" s="2" t="s">
        <v>6861</v>
      </c>
      <c r="D13313" s="3" t="str">
        <f t="shared" ref="D13313:D13315" si="3189">HYPERLINK("https://12go.asia/en/travel/Mannar/Galle", "12Go Link")</f>
        <v>12Go Link</v>
      </c>
      <c r="E13313" s="2" t="s">
        <v>286</v>
      </c>
    </row>
    <row r="13314">
      <c r="A13314" s="2" t="s">
        <v>4990</v>
      </c>
      <c r="B13314" s="2" t="s">
        <v>4954</v>
      </c>
      <c r="C13314" s="2" t="s">
        <v>6861</v>
      </c>
      <c r="D13314" s="3" t="str">
        <f t="shared" si="3189"/>
        <v>12Go Link</v>
      </c>
      <c r="E13314" s="2" t="s">
        <v>4139</v>
      </c>
    </row>
    <row r="13315">
      <c r="A13315" s="2" t="s">
        <v>4990</v>
      </c>
      <c r="B13315" s="2" t="s">
        <v>4954</v>
      </c>
      <c r="C13315" s="2" t="s">
        <v>6861</v>
      </c>
      <c r="D13315" s="3" t="str">
        <f t="shared" si="3189"/>
        <v>12Go Link</v>
      </c>
      <c r="E13315" s="2" t="s">
        <v>3409</v>
      </c>
    </row>
    <row r="13316">
      <c r="A13316" s="2" t="s">
        <v>4990</v>
      </c>
      <c r="B13316" s="2" t="s">
        <v>4954</v>
      </c>
      <c r="C13316" s="2" t="s">
        <v>6862</v>
      </c>
      <c r="D13316" s="3" t="str">
        <f t="shared" ref="D13316:D13318" si="3190">HYPERLINK("https://12go.asia/en/travel/Mannar/Talpe", "12Go Link")</f>
        <v>12Go Link</v>
      </c>
      <c r="E13316" s="2" t="s">
        <v>286</v>
      </c>
    </row>
    <row r="13317">
      <c r="A13317" s="2" t="s">
        <v>4990</v>
      </c>
      <c r="B13317" s="2" t="s">
        <v>4954</v>
      </c>
      <c r="C13317" s="2" t="s">
        <v>6862</v>
      </c>
      <c r="D13317" s="3" t="str">
        <f t="shared" si="3190"/>
        <v>12Go Link</v>
      </c>
      <c r="E13317" s="2" t="s">
        <v>4139</v>
      </c>
    </row>
    <row r="13318">
      <c r="A13318" s="2" t="s">
        <v>4990</v>
      </c>
      <c r="B13318" s="2" t="s">
        <v>4954</v>
      </c>
      <c r="C13318" s="2" t="s">
        <v>6862</v>
      </c>
      <c r="D13318" s="3" t="str">
        <f t="shared" si="3190"/>
        <v>12Go Link</v>
      </c>
      <c r="E13318" s="2" t="s">
        <v>3409</v>
      </c>
    </row>
    <row r="13319">
      <c r="A13319" s="2" t="s">
        <v>4990</v>
      </c>
      <c r="B13319" s="2" t="s">
        <v>4957</v>
      </c>
      <c r="C13319" s="2" t="s">
        <v>6863</v>
      </c>
      <c r="D13319" s="3" t="str">
        <f t="shared" ref="D13319:D13321" si="3191">HYPERLINK("https://12go.asia/en/travel/Mannar/Habarana", "12Go Link")</f>
        <v>12Go Link</v>
      </c>
      <c r="E13319" s="2" t="s">
        <v>286</v>
      </c>
    </row>
    <row r="13320">
      <c r="A13320" s="2" t="s">
        <v>4990</v>
      </c>
      <c r="B13320" s="2" t="s">
        <v>4957</v>
      </c>
      <c r="C13320" s="2" t="s">
        <v>6863</v>
      </c>
      <c r="D13320" s="3" t="str">
        <f t="shared" si="3191"/>
        <v>12Go Link</v>
      </c>
      <c r="E13320" s="2" t="s">
        <v>4139</v>
      </c>
    </row>
    <row r="13321">
      <c r="A13321" s="2" t="s">
        <v>4990</v>
      </c>
      <c r="B13321" s="2" t="s">
        <v>4957</v>
      </c>
      <c r="C13321" s="2" t="s">
        <v>6863</v>
      </c>
      <c r="D13321" s="3" t="str">
        <f t="shared" si="3191"/>
        <v>12Go Link</v>
      </c>
      <c r="E13321" s="2" t="s">
        <v>3409</v>
      </c>
    </row>
    <row r="13322">
      <c r="A13322" s="2" t="s">
        <v>4990</v>
      </c>
      <c r="B13322" s="2" t="s">
        <v>4959</v>
      </c>
      <c r="C13322" s="2" t="s">
        <v>6864</v>
      </c>
      <c r="D13322" s="3" t="str">
        <f t="shared" ref="D13322:D13324" si="3192">HYPERLINK("https://12go.asia/en/travel/Mannar/Ella", "12Go Link")</f>
        <v>12Go Link</v>
      </c>
      <c r="E13322" s="2" t="s">
        <v>286</v>
      </c>
    </row>
    <row r="13323">
      <c r="A13323" s="2" t="s">
        <v>4990</v>
      </c>
      <c r="B13323" s="2" t="s">
        <v>4959</v>
      </c>
      <c r="C13323" s="2" t="s">
        <v>6864</v>
      </c>
      <c r="D13323" s="3" t="str">
        <f t="shared" si="3192"/>
        <v>12Go Link</v>
      </c>
      <c r="E13323" s="2" t="s">
        <v>4139</v>
      </c>
    </row>
    <row r="13324">
      <c r="A13324" s="2" t="s">
        <v>4990</v>
      </c>
      <c r="B13324" s="2" t="s">
        <v>4959</v>
      </c>
      <c r="C13324" s="2" t="s">
        <v>6864</v>
      </c>
      <c r="D13324" s="3" t="str">
        <f t="shared" si="3192"/>
        <v>12Go Link</v>
      </c>
      <c r="E13324" s="2" t="s">
        <v>3409</v>
      </c>
    </row>
    <row r="13325">
      <c r="A13325" s="2" t="s">
        <v>4990</v>
      </c>
      <c r="B13325" s="2" t="s">
        <v>4961</v>
      </c>
      <c r="C13325" s="2" t="s">
        <v>6865</v>
      </c>
      <c r="D13325" s="3" t="str">
        <f t="shared" ref="D13325:D13327" si="3193">HYPERLINK("https://12go.asia/en/travel/Mannar/Beragala", "12Go Link")</f>
        <v>12Go Link</v>
      </c>
      <c r="E13325" s="2" t="s">
        <v>286</v>
      </c>
    </row>
    <row r="13326">
      <c r="A13326" s="2" t="s">
        <v>4990</v>
      </c>
      <c r="B13326" s="2" t="s">
        <v>4961</v>
      </c>
      <c r="C13326" s="2" t="s">
        <v>6865</v>
      </c>
      <c r="D13326" s="3" t="str">
        <f t="shared" si="3193"/>
        <v>12Go Link</v>
      </c>
      <c r="E13326" s="2" t="s">
        <v>4139</v>
      </c>
    </row>
    <row r="13327">
      <c r="A13327" s="2" t="s">
        <v>4990</v>
      </c>
      <c r="B13327" s="2" t="s">
        <v>4961</v>
      </c>
      <c r="C13327" s="2" t="s">
        <v>6865</v>
      </c>
      <c r="D13327" s="3" t="str">
        <f t="shared" si="3193"/>
        <v>12Go Link</v>
      </c>
      <c r="E13327" s="2" t="s">
        <v>3409</v>
      </c>
    </row>
    <row r="13328">
      <c r="A13328" s="2" t="s">
        <v>4990</v>
      </c>
      <c r="B13328" s="2" t="s">
        <v>4963</v>
      </c>
      <c r="C13328" s="2" t="s">
        <v>6866</v>
      </c>
      <c r="D13328" s="3" t="str">
        <f t="shared" ref="D13328:D13330" si="3194">HYPERLINK("https://12go.asia/en/travel/Mannar/Dick-oya", "12Go Link")</f>
        <v>12Go Link</v>
      </c>
      <c r="E13328" s="2" t="s">
        <v>286</v>
      </c>
    </row>
    <row r="13329">
      <c r="A13329" s="2" t="s">
        <v>4990</v>
      </c>
      <c r="B13329" s="2" t="s">
        <v>4963</v>
      </c>
      <c r="C13329" s="2" t="s">
        <v>6866</v>
      </c>
      <c r="D13329" s="3" t="str">
        <f t="shared" si="3194"/>
        <v>12Go Link</v>
      </c>
      <c r="E13329" s="2" t="s">
        <v>4139</v>
      </c>
    </row>
    <row r="13330">
      <c r="A13330" s="2" t="s">
        <v>4990</v>
      </c>
      <c r="B13330" s="2" t="s">
        <v>4963</v>
      </c>
      <c r="C13330" s="2" t="s">
        <v>6866</v>
      </c>
      <c r="D13330" s="3" t="str">
        <f t="shared" si="3194"/>
        <v>12Go Link</v>
      </c>
      <c r="E13330" s="2" t="s">
        <v>3409</v>
      </c>
    </row>
    <row r="13331">
      <c r="A13331" s="2" t="s">
        <v>4990</v>
      </c>
      <c r="B13331" s="2" t="s">
        <v>4965</v>
      </c>
      <c r="C13331" s="2" t="s">
        <v>6867</v>
      </c>
      <c r="D13331" s="3" t="str">
        <f t="shared" ref="D13331:D13333" si="3195">HYPERLINK("https://12go.asia/en/travel/Mannar/Dodanduwa", "12Go Link")</f>
        <v>12Go Link</v>
      </c>
      <c r="E13331" s="2" t="s">
        <v>286</v>
      </c>
    </row>
    <row r="13332">
      <c r="A13332" s="2" t="s">
        <v>4990</v>
      </c>
      <c r="B13332" s="2" t="s">
        <v>4965</v>
      </c>
      <c r="C13332" s="2" t="s">
        <v>6867</v>
      </c>
      <c r="D13332" s="3" t="str">
        <f t="shared" si="3195"/>
        <v>12Go Link</v>
      </c>
      <c r="E13332" s="2" t="s">
        <v>4139</v>
      </c>
    </row>
    <row r="13333">
      <c r="A13333" s="2" t="s">
        <v>4990</v>
      </c>
      <c r="B13333" s="2" t="s">
        <v>4965</v>
      </c>
      <c r="C13333" s="2" t="s">
        <v>6867</v>
      </c>
      <c r="D13333" s="3" t="str">
        <f t="shared" si="3195"/>
        <v>12Go Link</v>
      </c>
      <c r="E13333" s="2" t="s">
        <v>3409</v>
      </c>
    </row>
    <row r="13334">
      <c r="A13334" s="2" t="s">
        <v>4990</v>
      </c>
      <c r="B13334" s="2" t="s">
        <v>4967</v>
      </c>
      <c r="C13334" s="2" t="s">
        <v>6868</v>
      </c>
      <c r="D13334" s="3" t="str">
        <f t="shared" ref="D13334:D13336" si="3196">HYPERLINK("https://12go.asia/en/travel/Mannar/Induruwa", "12Go Link")</f>
        <v>12Go Link</v>
      </c>
      <c r="E13334" s="2" t="s">
        <v>286</v>
      </c>
    </row>
    <row r="13335">
      <c r="A13335" s="2" t="s">
        <v>4990</v>
      </c>
      <c r="B13335" s="2" t="s">
        <v>4967</v>
      </c>
      <c r="C13335" s="2" t="s">
        <v>6868</v>
      </c>
      <c r="D13335" s="3" t="str">
        <f t="shared" si="3196"/>
        <v>12Go Link</v>
      </c>
      <c r="E13335" s="2" t="s">
        <v>4139</v>
      </c>
    </row>
    <row r="13336">
      <c r="A13336" s="2" t="s">
        <v>4990</v>
      </c>
      <c r="B13336" s="2" t="s">
        <v>4967</v>
      </c>
      <c r="C13336" s="2" t="s">
        <v>6868</v>
      </c>
      <c r="D13336" s="3" t="str">
        <f t="shared" si="3196"/>
        <v>12Go Link</v>
      </c>
      <c r="E13336" s="2" t="s">
        <v>3409</v>
      </c>
    </row>
    <row r="13337">
      <c r="A13337" s="2" t="s">
        <v>4990</v>
      </c>
      <c r="B13337" s="2" t="s">
        <v>4969</v>
      </c>
      <c r="C13337" s="2" t="s">
        <v>6869</v>
      </c>
      <c r="D13337" s="3" t="str">
        <f t="shared" ref="D13337:D13339" si="3197">HYPERLINK("https://12go.asia/en/travel/Mannar/Jaffna", "12Go Link")</f>
        <v>12Go Link</v>
      </c>
      <c r="E13337" s="2" t="s">
        <v>286</v>
      </c>
    </row>
    <row r="13338">
      <c r="A13338" s="2" t="s">
        <v>4990</v>
      </c>
      <c r="B13338" s="2" t="s">
        <v>4969</v>
      </c>
      <c r="C13338" s="2" t="s">
        <v>6869</v>
      </c>
      <c r="D13338" s="3" t="str">
        <f t="shared" si="3197"/>
        <v>12Go Link</v>
      </c>
      <c r="E13338" s="2" t="s">
        <v>4139</v>
      </c>
    </row>
    <row r="13339">
      <c r="A13339" s="2" t="s">
        <v>4990</v>
      </c>
      <c r="B13339" s="2" t="s">
        <v>4969</v>
      </c>
      <c r="C13339" s="2" t="s">
        <v>6869</v>
      </c>
      <c r="D13339" s="3" t="str">
        <f t="shared" si="3197"/>
        <v>12Go Link</v>
      </c>
      <c r="E13339" s="2" t="s">
        <v>3409</v>
      </c>
    </row>
    <row r="13340">
      <c r="A13340" s="2" t="s">
        <v>4990</v>
      </c>
      <c r="B13340" s="2" t="s">
        <v>4971</v>
      </c>
      <c r="C13340" s="2" t="s">
        <v>6870</v>
      </c>
      <c r="D13340" s="3" t="str">
        <f t="shared" ref="D13340:D13342" si="3198">HYPERLINK("https://12go.asia/en/travel/Mannar/Kalapuwa", "12Go Link")</f>
        <v>12Go Link</v>
      </c>
      <c r="E13340" s="2" t="s">
        <v>286</v>
      </c>
    </row>
    <row r="13341">
      <c r="A13341" s="2" t="s">
        <v>4990</v>
      </c>
      <c r="B13341" s="2" t="s">
        <v>4971</v>
      </c>
      <c r="C13341" s="2" t="s">
        <v>6870</v>
      </c>
      <c r="D13341" s="3" t="str">
        <f t="shared" si="3198"/>
        <v>12Go Link</v>
      </c>
      <c r="E13341" s="2" t="s">
        <v>4139</v>
      </c>
    </row>
    <row r="13342">
      <c r="A13342" s="2" t="s">
        <v>4990</v>
      </c>
      <c r="B13342" s="2" t="s">
        <v>4971</v>
      </c>
      <c r="C13342" s="2" t="s">
        <v>6870</v>
      </c>
      <c r="D13342" s="3" t="str">
        <f t="shared" si="3198"/>
        <v>12Go Link</v>
      </c>
      <c r="E13342" s="2" t="s">
        <v>3409</v>
      </c>
    </row>
    <row r="13343">
      <c r="A13343" s="2" t="s">
        <v>4990</v>
      </c>
      <c r="B13343" s="2" t="s">
        <v>4973</v>
      </c>
      <c r="C13343" s="2" t="s">
        <v>6871</v>
      </c>
      <c r="D13343" s="3" t="str">
        <f t="shared" ref="D13343:D13345" si="3199">HYPERLINK("https://12go.asia/en/travel/Mannar/Ampitiya", "12Go Link")</f>
        <v>12Go Link</v>
      </c>
      <c r="E13343" s="2" t="s">
        <v>286</v>
      </c>
    </row>
    <row r="13344">
      <c r="A13344" s="2" t="s">
        <v>4990</v>
      </c>
      <c r="B13344" s="2" t="s">
        <v>4973</v>
      </c>
      <c r="C13344" s="2" t="s">
        <v>6871</v>
      </c>
      <c r="D13344" s="3" t="str">
        <f t="shared" si="3199"/>
        <v>12Go Link</v>
      </c>
      <c r="E13344" s="2" t="s">
        <v>4139</v>
      </c>
    </row>
    <row r="13345">
      <c r="A13345" s="2" t="s">
        <v>4990</v>
      </c>
      <c r="B13345" s="2" t="s">
        <v>4973</v>
      </c>
      <c r="C13345" s="2" t="s">
        <v>6871</v>
      </c>
      <c r="D13345" s="3" t="str">
        <f t="shared" si="3199"/>
        <v>12Go Link</v>
      </c>
      <c r="E13345" s="2" t="s">
        <v>3409</v>
      </c>
    </row>
    <row r="13346">
      <c r="A13346" s="2" t="s">
        <v>4990</v>
      </c>
      <c r="B13346" s="2" t="s">
        <v>4973</v>
      </c>
      <c r="C13346" s="2" t="s">
        <v>6872</v>
      </c>
      <c r="D13346" s="3" t="str">
        <f t="shared" ref="D13346:D13348" si="3200">HYPERLINK("https://12go.asia/en/travel/Mannar/Digana", "12Go Link")</f>
        <v>12Go Link</v>
      </c>
      <c r="E13346" s="2" t="s">
        <v>286</v>
      </c>
    </row>
    <row r="13347">
      <c r="A13347" s="2" t="s">
        <v>4990</v>
      </c>
      <c r="B13347" s="2" t="s">
        <v>4973</v>
      </c>
      <c r="C13347" s="2" t="s">
        <v>6872</v>
      </c>
      <c r="D13347" s="3" t="str">
        <f t="shared" si="3200"/>
        <v>12Go Link</v>
      </c>
      <c r="E13347" s="2" t="s">
        <v>4139</v>
      </c>
    </row>
    <row r="13348">
      <c r="A13348" s="2" t="s">
        <v>4990</v>
      </c>
      <c r="B13348" s="2" t="s">
        <v>4973</v>
      </c>
      <c r="C13348" s="2" t="s">
        <v>6872</v>
      </c>
      <c r="D13348" s="3" t="str">
        <f t="shared" si="3200"/>
        <v>12Go Link</v>
      </c>
      <c r="E13348" s="2" t="s">
        <v>3409</v>
      </c>
    </row>
    <row r="13349">
      <c r="A13349" s="2" t="s">
        <v>4990</v>
      </c>
      <c r="B13349" s="2" t="s">
        <v>4976</v>
      </c>
      <c r="C13349" s="2" t="s">
        <v>6873</v>
      </c>
      <c r="D13349" s="3" t="str">
        <f t="shared" ref="D13349:D13351" si="3201">HYPERLINK("https://12go.asia/en/travel/Mannar/Kataragama", "12Go Link")</f>
        <v>12Go Link</v>
      </c>
      <c r="E13349" s="2" t="s">
        <v>286</v>
      </c>
    </row>
    <row r="13350">
      <c r="A13350" s="2" t="s">
        <v>4990</v>
      </c>
      <c r="B13350" s="2" t="s">
        <v>4976</v>
      </c>
      <c r="C13350" s="2" t="s">
        <v>6873</v>
      </c>
      <c r="D13350" s="3" t="str">
        <f t="shared" si="3201"/>
        <v>12Go Link</v>
      </c>
      <c r="E13350" s="2" t="s">
        <v>4139</v>
      </c>
    </row>
    <row r="13351">
      <c r="A13351" s="2" t="s">
        <v>4990</v>
      </c>
      <c r="B13351" s="2" t="s">
        <v>4976</v>
      </c>
      <c r="C13351" s="2" t="s">
        <v>6873</v>
      </c>
      <c r="D13351" s="3" t="str">
        <f t="shared" si="3201"/>
        <v>12Go Link</v>
      </c>
      <c r="E13351" s="2" t="s">
        <v>3409</v>
      </c>
    </row>
    <row r="13352">
      <c r="A13352" s="2" t="s">
        <v>4990</v>
      </c>
      <c r="B13352" s="2" t="s">
        <v>4978</v>
      </c>
      <c r="C13352" s="2" t="s">
        <v>6874</v>
      </c>
      <c r="D13352" s="3" t="str">
        <f t="shared" ref="D13352:D13354" si="3202">HYPERLINK("https://12go.asia/en/travel/Mannar/Alawathupitiya", "12Go Link")</f>
        <v>12Go Link</v>
      </c>
      <c r="E13352" s="2" t="s">
        <v>286</v>
      </c>
    </row>
    <row r="13353">
      <c r="A13353" s="2" t="s">
        <v>4990</v>
      </c>
      <c r="B13353" s="2" t="s">
        <v>4978</v>
      </c>
      <c r="C13353" s="2" t="s">
        <v>6874</v>
      </c>
      <c r="D13353" s="3" t="str">
        <f t="shared" si="3202"/>
        <v>12Go Link</v>
      </c>
      <c r="E13353" s="2" t="s">
        <v>4139</v>
      </c>
    </row>
    <row r="13354">
      <c r="A13354" s="2" t="s">
        <v>4990</v>
      </c>
      <c r="B13354" s="2" t="s">
        <v>4978</v>
      </c>
      <c r="C13354" s="2" t="s">
        <v>6874</v>
      </c>
      <c r="D13354" s="3" t="str">
        <f t="shared" si="3202"/>
        <v>12Go Link</v>
      </c>
      <c r="E13354" s="2" t="s">
        <v>3409</v>
      </c>
    </row>
    <row r="13355">
      <c r="A13355" s="2" t="s">
        <v>4990</v>
      </c>
      <c r="B13355" s="2" t="s">
        <v>4980</v>
      </c>
      <c r="C13355" s="2" t="s">
        <v>6875</v>
      </c>
      <c r="D13355" s="3" t="str">
        <f t="shared" ref="D13355:D13357" si="3203">HYPERLINK("https://12go.asia/en/travel/Mannar/Pinnawala", "12Go Link")</f>
        <v>12Go Link</v>
      </c>
      <c r="E13355" s="2" t="s">
        <v>286</v>
      </c>
    </row>
    <row r="13356">
      <c r="A13356" s="2" t="s">
        <v>4990</v>
      </c>
      <c r="B13356" s="2" t="s">
        <v>4980</v>
      </c>
      <c r="C13356" s="2" t="s">
        <v>6875</v>
      </c>
      <c r="D13356" s="3" t="str">
        <f t="shared" si="3203"/>
        <v>12Go Link</v>
      </c>
      <c r="E13356" s="2" t="s">
        <v>4139</v>
      </c>
    </row>
    <row r="13357">
      <c r="A13357" s="2" t="s">
        <v>4990</v>
      </c>
      <c r="B13357" s="2" t="s">
        <v>4980</v>
      </c>
      <c r="C13357" s="2" t="s">
        <v>6875</v>
      </c>
      <c r="D13357" s="3" t="str">
        <f t="shared" si="3203"/>
        <v>12Go Link</v>
      </c>
      <c r="E13357" s="2" t="s">
        <v>3409</v>
      </c>
    </row>
    <row r="13358">
      <c r="A13358" s="2" t="s">
        <v>4990</v>
      </c>
      <c r="B13358" s="2" t="s">
        <v>4982</v>
      </c>
      <c r="C13358" s="2" t="s">
        <v>6876</v>
      </c>
      <c r="D13358" s="3" t="str">
        <f t="shared" ref="D13358:D13360" si="3204">HYPERLINK("https://12go.asia/en/travel/Mannar/Kitulgala", "12Go Link")</f>
        <v>12Go Link</v>
      </c>
      <c r="E13358" s="2" t="s">
        <v>286</v>
      </c>
    </row>
    <row r="13359">
      <c r="A13359" s="2" t="s">
        <v>4990</v>
      </c>
      <c r="B13359" s="2" t="s">
        <v>4982</v>
      </c>
      <c r="C13359" s="2" t="s">
        <v>6876</v>
      </c>
      <c r="D13359" s="3" t="str">
        <f t="shared" si="3204"/>
        <v>12Go Link</v>
      </c>
      <c r="E13359" s="2" t="s">
        <v>4139</v>
      </c>
    </row>
    <row r="13360">
      <c r="A13360" s="2" t="s">
        <v>4990</v>
      </c>
      <c r="B13360" s="2" t="s">
        <v>4982</v>
      </c>
      <c r="C13360" s="2" t="s">
        <v>6876</v>
      </c>
      <c r="D13360" s="3" t="str">
        <f t="shared" si="3204"/>
        <v>12Go Link</v>
      </c>
      <c r="E13360" s="2" t="s">
        <v>3409</v>
      </c>
    </row>
    <row r="13361">
      <c r="A13361" s="2" t="s">
        <v>4990</v>
      </c>
      <c r="B13361" s="2" t="s">
        <v>4984</v>
      </c>
      <c r="C13361" s="2" t="s">
        <v>6877</v>
      </c>
      <c r="D13361" s="3" t="str">
        <f t="shared" ref="D13361:D13363" si="3205">HYPERLINK("https://12go.asia/en/travel/Mannar/Habaraduwa", "12Go Link")</f>
        <v>12Go Link</v>
      </c>
      <c r="E13361" s="2" t="s">
        <v>286</v>
      </c>
    </row>
    <row r="13362">
      <c r="A13362" s="2" t="s">
        <v>4990</v>
      </c>
      <c r="B13362" s="2" t="s">
        <v>4984</v>
      </c>
      <c r="C13362" s="2" t="s">
        <v>6877</v>
      </c>
      <c r="D13362" s="3" t="str">
        <f t="shared" si="3205"/>
        <v>12Go Link</v>
      </c>
      <c r="E13362" s="2" t="s">
        <v>4139</v>
      </c>
    </row>
    <row r="13363">
      <c r="A13363" s="2" t="s">
        <v>4990</v>
      </c>
      <c r="B13363" s="2" t="s">
        <v>4984</v>
      </c>
      <c r="C13363" s="2" t="s">
        <v>6877</v>
      </c>
      <c r="D13363" s="3" t="str">
        <f t="shared" si="3205"/>
        <v>12Go Link</v>
      </c>
      <c r="E13363" s="2" t="s">
        <v>3409</v>
      </c>
    </row>
    <row r="13364">
      <c r="A13364" s="2" t="s">
        <v>4990</v>
      </c>
      <c r="B13364" s="2" t="s">
        <v>4986</v>
      </c>
      <c r="C13364" s="2" t="s">
        <v>6878</v>
      </c>
      <c r="D13364" s="3" t="str">
        <f t="shared" ref="D13364:D13366" si="3206">HYPERLINK("https://12go.asia/en/travel/Mannar/Kosgoda", "12Go Link")</f>
        <v>12Go Link</v>
      </c>
      <c r="E13364" s="2" t="s">
        <v>286</v>
      </c>
    </row>
    <row r="13365">
      <c r="A13365" s="2" t="s">
        <v>4990</v>
      </c>
      <c r="B13365" s="2" t="s">
        <v>4986</v>
      </c>
      <c r="C13365" s="2" t="s">
        <v>6878</v>
      </c>
      <c r="D13365" s="3" t="str">
        <f t="shared" si="3206"/>
        <v>12Go Link</v>
      </c>
      <c r="E13365" s="2" t="s">
        <v>4139</v>
      </c>
    </row>
    <row r="13366">
      <c r="A13366" s="2" t="s">
        <v>4990</v>
      </c>
      <c r="B13366" s="2" t="s">
        <v>4986</v>
      </c>
      <c r="C13366" s="2" t="s">
        <v>6878</v>
      </c>
      <c r="D13366" s="3" t="str">
        <f t="shared" si="3206"/>
        <v>12Go Link</v>
      </c>
      <c r="E13366" s="2" t="s">
        <v>3409</v>
      </c>
    </row>
    <row r="13367">
      <c r="A13367" s="2" t="s">
        <v>4990</v>
      </c>
      <c r="B13367" s="2" t="s">
        <v>4988</v>
      </c>
      <c r="C13367" s="2" t="s">
        <v>6879</v>
      </c>
      <c r="D13367" s="3" t="str">
        <f t="shared" ref="D13367:D13369" si="3207">HYPERLINK("https://12go.asia/en/travel/Mannar/Kuchchaveli", "12Go Link")</f>
        <v>12Go Link</v>
      </c>
      <c r="E13367" s="2" t="s">
        <v>286</v>
      </c>
    </row>
    <row r="13368">
      <c r="A13368" s="2" t="s">
        <v>4990</v>
      </c>
      <c r="B13368" s="2" t="s">
        <v>4988</v>
      </c>
      <c r="C13368" s="2" t="s">
        <v>6879</v>
      </c>
      <c r="D13368" s="3" t="str">
        <f t="shared" si="3207"/>
        <v>12Go Link</v>
      </c>
      <c r="E13368" s="2" t="s">
        <v>4139</v>
      </c>
    </row>
    <row r="13369">
      <c r="A13369" s="2" t="s">
        <v>4990</v>
      </c>
      <c r="B13369" s="2" t="s">
        <v>4988</v>
      </c>
      <c r="C13369" s="2" t="s">
        <v>6879</v>
      </c>
      <c r="D13369" s="3" t="str">
        <f t="shared" si="3207"/>
        <v>12Go Link</v>
      </c>
      <c r="E13369" s="2" t="s">
        <v>3409</v>
      </c>
    </row>
    <row r="13370">
      <c r="A13370" s="2" t="s">
        <v>4990</v>
      </c>
      <c r="B13370" s="2" t="s">
        <v>4992</v>
      </c>
      <c r="C13370" s="2" t="s">
        <v>6880</v>
      </c>
      <c r="D13370" s="3" t="str">
        <f t="shared" ref="D13370:D13372" si="3208">HYPERLINK("https://12go.asia/en/travel/Mannar/Kinigama", "12Go Link")</f>
        <v>12Go Link</v>
      </c>
      <c r="E13370" s="2" t="s">
        <v>286</v>
      </c>
    </row>
    <row r="13371">
      <c r="A13371" s="2" t="s">
        <v>4990</v>
      </c>
      <c r="B13371" s="2" t="s">
        <v>4992</v>
      </c>
      <c r="C13371" s="2" t="s">
        <v>6880</v>
      </c>
      <c r="D13371" s="3" t="str">
        <f t="shared" si="3208"/>
        <v>12Go Link</v>
      </c>
      <c r="E13371" s="2" t="s">
        <v>4139</v>
      </c>
    </row>
    <row r="13372">
      <c r="A13372" s="2" t="s">
        <v>4990</v>
      </c>
      <c r="B13372" s="2" t="s">
        <v>4992</v>
      </c>
      <c r="C13372" s="2" t="s">
        <v>6880</v>
      </c>
      <c r="D13372" s="3" t="str">
        <f t="shared" si="3208"/>
        <v>12Go Link</v>
      </c>
      <c r="E13372" s="2" t="s">
        <v>3409</v>
      </c>
    </row>
    <row r="13373">
      <c r="A13373" s="2" t="s">
        <v>4990</v>
      </c>
      <c r="B13373" s="2" t="s">
        <v>4994</v>
      </c>
      <c r="C13373" s="2" t="s">
        <v>6881</v>
      </c>
      <c r="D13373" s="3" t="str">
        <f t="shared" ref="D13373:D13375" si="3209">HYPERLINK("https://12go.asia/en/travel/Mannar/Kalamatiya", "12Go Link")</f>
        <v>12Go Link</v>
      </c>
      <c r="E13373" s="2" t="s">
        <v>286</v>
      </c>
    </row>
    <row r="13374">
      <c r="A13374" s="2" t="s">
        <v>4990</v>
      </c>
      <c r="B13374" s="2" t="s">
        <v>4994</v>
      </c>
      <c r="C13374" s="2" t="s">
        <v>6881</v>
      </c>
      <c r="D13374" s="3" t="str">
        <f t="shared" si="3209"/>
        <v>12Go Link</v>
      </c>
      <c r="E13374" s="2" t="s">
        <v>4139</v>
      </c>
    </row>
    <row r="13375">
      <c r="A13375" s="2" t="s">
        <v>4990</v>
      </c>
      <c r="B13375" s="2" t="s">
        <v>4994</v>
      </c>
      <c r="C13375" s="2" t="s">
        <v>6881</v>
      </c>
      <c r="D13375" s="3" t="str">
        <f t="shared" si="3209"/>
        <v>12Go Link</v>
      </c>
      <c r="E13375" s="2" t="s">
        <v>3409</v>
      </c>
    </row>
    <row r="13376">
      <c r="A13376" s="2" t="s">
        <v>4990</v>
      </c>
      <c r="B13376" s="2" t="s">
        <v>4996</v>
      </c>
      <c r="C13376" s="2" t="s">
        <v>6882</v>
      </c>
      <c r="D13376" s="3" t="str">
        <f t="shared" ref="D13376:D13378" si="3210">HYPERLINK("https://12go.asia/en/travel/Mannar/mirissa", "12Go Link")</f>
        <v>12Go Link</v>
      </c>
      <c r="E13376" s="2" t="s">
        <v>286</v>
      </c>
    </row>
    <row r="13377">
      <c r="A13377" s="2" t="s">
        <v>4990</v>
      </c>
      <c r="B13377" s="2" t="s">
        <v>4996</v>
      </c>
      <c r="C13377" s="2" t="s">
        <v>6882</v>
      </c>
      <c r="D13377" s="3" t="str">
        <f t="shared" si="3210"/>
        <v>12Go Link</v>
      </c>
      <c r="E13377" s="2" t="s">
        <v>4139</v>
      </c>
    </row>
    <row r="13378">
      <c r="A13378" s="2" t="s">
        <v>4990</v>
      </c>
      <c r="B13378" s="2" t="s">
        <v>4996</v>
      </c>
      <c r="C13378" s="2" t="s">
        <v>6882</v>
      </c>
      <c r="D13378" s="3" t="str">
        <f t="shared" si="3210"/>
        <v>12Go Link</v>
      </c>
      <c r="E13378" s="2" t="s">
        <v>3409</v>
      </c>
    </row>
    <row r="13379">
      <c r="A13379" s="2" t="s">
        <v>4990</v>
      </c>
      <c r="B13379" s="2" t="s">
        <v>4998</v>
      </c>
      <c r="C13379" s="2" t="s">
        <v>6883</v>
      </c>
      <c r="D13379" s="3" t="str">
        <f t="shared" ref="D13379:D13381" si="3211">HYPERLINK("https://12go.asia/en/travel/Mannar/Nanu-Oya", "12Go Link")</f>
        <v>12Go Link</v>
      </c>
      <c r="E13379" s="2" t="s">
        <v>286</v>
      </c>
    </row>
    <row r="13380">
      <c r="A13380" s="2" t="s">
        <v>4990</v>
      </c>
      <c r="B13380" s="2" t="s">
        <v>4998</v>
      </c>
      <c r="C13380" s="2" t="s">
        <v>6883</v>
      </c>
      <c r="D13380" s="3" t="str">
        <f t="shared" si="3211"/>
        <v>12Go Link</v>
      </c>
      <c r="E13380" s="2" t="s">
        <v>4139</v>
      </c>
    </row>
    <row r="13381">
      <c r="A13381" s="2" t="s">
        <v>4990</v>
      </c>
      <c r="B13381" s="2" t="s">
        <v>4998</v>
      </c>
      <c r="C13381" s="2" t="s">
        <v>6883</v>
      </c>
      <c r="D13381" s="3" t="str">
        <f t="shared" si="3211"/>
        <v>12Go Link</v>
      </c>
      <c r="E13381" s="2" t="s">
        <v>3409</v>
      </c>
    </row>
    <row r="13382">
      <c r="A13382" s="2" t="s">
        <v>4990</v>
      </c>
      <c r="B13382" s="2" t="s">
        <v>5000</v>
      </c>
      <c r="C13382" s="2" t="s">
        <v>6884</v>
      </c>
      <c r="D13382" s="3" t="str">
        <f t="shared" ref="D13382:D13384" si="3212">HYPERLINK("https://12go.asia/en/travel/Mannar/Dalupotha", "12Go Link")</f>
        <v>12Go Link</v>
      </c>
      <c r="E13382" s="2" t="s">
        <v>286</v>
      </c>
    </row>
    <row r="13383">
      <c r="A13383" s="2" t="s">
        <v>4990</v>
      </c>
      <c r="B13383" s="2" t="s">
        <v>5000</v>
      </c>
      <c r="C13383" s="2" t="s">
        <v>6884</v>
      </c>
      <c r="D13383" s="3" t="str">
        <f t="shared" si="3212"/>
        <v>12Go Link</v>
      </c>
      <c r="E13383" s="2" t="s">
        <v>4139</v>
      </c>
    </row>
    <row r="13384">
      <c r="A13384" s="2" t="s">
        <v>4990</v>
      </c>
      <c r="B13384" s="2" t="s">
        <v>5000</v>
      </c>
      <c r="C13384" s="2" t="s">
        <v>6884</v>
      </c>
      <c r="D13384" s="3" t="str">
        <f t="shared" si="3212"/>
        <v>12Go Link</v>
      </c>
      <c r="E13384" s="2" t="s">
        <v>3409</v>
      </c>
    </row>
    <row r="13385">
      <c r="A13385" s="2" t="s">
        <v>4990</v>
      </c>
      <c r="B13385" s="2" t="s">
        <v>5000</v>
      </c>
      <c r="C13385" s="2" t="s">
        <v>6885</v>
      </c>
      <c r="D13385" s="3" t="str">
        <f t="shared" ref="D13385:D13387" si="3213">HYPERLINK("https://12go.asia/en/travel/Mannar/Waikkal", "12Go Link")</f>
        <v>12Go Link</v>
      </c>
      <c r="E13385" s="2" t="s">
        <v>286</v>
      </c>
    </row>
    <row r="13386">
      <c r="A13386" s="2" t="s">
        <v>4990</v>
      </c>
      <c r="B13386" s="2" t="s">
        <v>5000</v>
      </c>
      <c r="C13386" s="2" t="s">
        <v>6885</v>
      </c>
      <c r="D13386" s="3" t="str">
        <f t="shared" si="3213"/>
        <v>12Go Link</v>
      </c>
      <c r="E13386" s="2" t="s">
        <v>4139</v>
      </c>
    </row>
    <row r="13387">
      <c r="A13387" s="2" t="s">
        <v>4990</v>
      </c>
      <c r="B13387" s="2" t="s">
        <v>5000</v>
      </c>
      <c r="C13387" s="2" t="s">
        <v>6885</v>
      </c>
      <c r="D13387" s="3" t="str">
        <f t="shared" si="3213"/>
        <v>12Go Link</v>
      </c>
      <c r="E13387" s="2" t="s">
        <v>3409</v>
      </c>
    </row>
    <row r="13388">
      <c r="A13388" s="2" t="s">
        <v>4990</v>
      </c>
      <c r="B13388" s="2" t="s">
        <v>5003</v>
      </c>
      <c r="C13388" s="2" t="s">
        <v>6886</v>
      </c>
      <c r="D13388" s="3" t="str">
        <f t="shared" ref="D13388:D13390" si="3214">HYPERLINK("https://12go.asia/en/travel/Mannar/Nilaveli", "12Go Link")</f>
        <v>12Go Link</v>
      </c>
      <c r="E13388" s="2" t="s">
        <v>286</v>
      </c>
    </row>
    <row r="13389">
      <c r="A13389" s="2" t="s">
        <v>4990</v>
      </c>
      <c r="B13389" s="2" t="s">
        <v>5003</v>
      </c>
      <c r="C13389" s="2" t="s">
        <v>6886</v>
      </c>
      <c r="D13389" s="3" t="str">
        <f t="shared" si="3214"/>
        <v>12Go Link</v>
      </c>
      <c r="E13389" s="2" t="s">
        <v>4139</v>
      </c>
    </row>
    <row r="13390">
      <c r="A13390" s="2" t="s">
        <v>4990</v>
      </c>
      <c r="B13390" s="2" t="s">
        <v>5003</v>
      </c>
      <c r="C13390" s="2" t="s">
        <v>6886</v>
      </c>
      <c r="D13390" s="3" t="str">
        <f t="shared" si="3214"/>
        <v>12Go Link</v>
      </c>
      <c r="E13390" s="2" t="s">
        <v>3409</v>
      </c>
    </row>
    <row r="13391">
      <c r="A13391" s="2" t="s">
        <v>4990</v>
      </c>
      <c r="B13391" s="2" t="s">
        <v>5005</v>
      </c>
      <c r="C13391" s="2" t="s">
        <v>6887</v>
      </c>
      <c r="D13391" s="3" t="str">
        <f t="shared" ref="D13391:D13393" si="3215">HYPERLINK("https://12go.asia/en/travel/Mannar/Kotmale", "12Go Link")</f>
        <v>12Go Link</v>
      </c>
      <c r="E13391" s="2" t="s">
        <v>286</v>
      </c>
    </row>
    <row r="13392">
      <c r="A13392" s="2" t="s">
        <v>4990</v>
      </c>
      <c r="B13392" s="2" t="s">
        <v>5005</v>
      </c>
      <c r="C13392" s="2" t="s">
        <v>6887</v>
      </c>
      <c r="D13392" s="3" t="str">
        <f t="shared" si="3215"/>
        <v>12Go Link</v>
      </c>
      <c r="E13392" s="2" t="s">
        <v>4139</v>
      </c>
    </row>
    <row r="13393">
      <c r="A13393" s="2" t="s">
        <v>4990</v>
      </c>
      <c r="B13393" s="2" t="s">
        <v>5005</v>
      </c>
      <c r="C13393" s="2" t="s">
        <v>6887</v>
      </c>
      <c r="D13393" s="3" t="str">
        <f t="shared" si="3215"/>
        <v>12Go Link</v>
      </c>
      <c r="E13393" s="2" t="s">
        <v>3409</v>
      </c>
    </row>
    <row r="13394">
      <c r="A13394" s="2" t="s">
        <v>4990</v>
      </c>
      <c r="B13394" s="2" t="s">
        <v>5007</v>
      </c>
      <c r="C13394" s="2" t="s">
        <v>6888</v>
      </c>
      <c r="D13394" s="3" t="str">
        <f t="shared" ref="D13394:D13396" si="3216">HYPERLINK("https://12go.asia/en/travel/Mannar/Pasikuda", "12Go Link")</f>
        <v>12Go Link</v>
      </c>
      <c r="E13394" s="2" t="s">
        <v>286</v>
      </c>
    </row>
    <row r="13395">
      <c r="A13395" s="2" t="s">
        <v>4990</v>
      </c>
      <c r="B13395" s="2" t="s">
        <v>5007</v>
      </c>
      <c r="C13395" s="2" t="s">
        <v>6888</v>
      </c>
      <c r="D13395" s="3" t="str">
        <f t="shared" si="3216"/>
        <v>12Go Link</v>
      </c>
      <c r="E13395" s="2" t="s">
        <v>4139</v>
      </c>
    </row>
    <row r="13396">
      <c r="A13396" s="2" t="s">
        <v>4990</v>
      </c>
      <c r="B13396" s="2" t="s">
        <v>5007</v>
      </c>
      <c r="C13396" s="2" t="s">
        <v>6888</v>
      </c>
      <c r="D13396" s="3" t="str">
        <f t="shared" si="3216"/>
        <v>12Go Link</v>
      </c>
      <c r="E13396" s="2" t="s">
        <v>3409</v>
      </c>
    </row>
    <row r="13397">
      <c r="A13397" s="2" t="s">
        <v>4990</v>
      </c>
      <c r="B13397" s="2" t="s">
        <v>5009</v>
      </c>
      <c r="C13397" s="2" t="s">
        <v>6889</v>
      </c>
      <c r="D13397" s="3" t="str">
        <f t="shared" ref="D13397:D13399" si="3217">HYPERLINK("https://12go.asia/en/travel/Mannar/Galoya", "12Go Link")</f>
        <v>12Go Link</v>
      </c>
      <c r="E13397" s="2" t="s">
        <v>286</v>
      </c>
    </row>
    <row r="13398">
      <c r="A13398" s="2" t="s">
        <v>4990</v>
      </c>
      <c r="B13398" s="2" t="s">
        <v>5009</v>
      </c>
      <c r="C13398" s="2" t="s">
        <v>6889</v>
      </c>
      <c r="D13398" s="3" t="str">
        <f t="shared" si="3217"/>
        <v>12Go Link</v>
      </c>
      <c r="E13398" s="2" t="s">
        <v>4139</v>
      </c>
    </row>
    <row r="13399">
      <c r="A13399" s="2" t="s">
        <v>4990</v>
      </c>
      <c r="B13399" s="2" t="s">
        <v>5009</v>
      </c>
      <c r="C13399" s="2" t="s">
        <v>6889</v>
      </c>
      <c r="D13399" s="3" t="str">
        <f t="shared" si="3217"/>
        <v>12Go Link</v>
      </c>
      <c r="E13399" s="2" t="s">
        <v>3409</v>
      </c>
    </row>
    <row r="13400">
      <c r="A13400" s="2" t="s">
        <v>4990</v>
      </c>
      <c r="B13400" s="2" t="s">
        <v>5011</v>
      </c>
      <c r="C13400" s="2" t="s">
        <v>6890</v>
      </c>
      <c r="D13400" s="3" t="str">
        <f t="shared" ref="D13400:D13402" si="3218">HYPERLINK("https://12go.asia/en/travel/Mannar/Kalpitiya", "12Go Link")</f>
        <v>12Go Link</v>
      </c>
      <c r="E13400" s="2" t="s">
        <v>286</v>
      </c>
    </row>
    <row r="13401">
      <c r="A13401" s="2" t="s">
        <v>4990</v>
      </c>
      <c r="B13401" s="2" t="s">
        <v>5011</v>
      </c>
      <c r="C13401" s="2" t="s">
        <v>6890</v>
      </c>
      <c r="D13401" s="3" t="str">
        <f t="shared" si="3218"/>
        <v>12Go Link</v>
      </c>
      <c r="E13401" s="2" t="s">
        <v>4139</v>
      </c>
    </row>
    <row r="13402">
      <c r="A13402" s="2" t="s">
        <v>4990</v>
      </c>
      <c r="B13402" s="2" t="s">
        <v>5011</v>
      </c>
      <c r="C13402" s="2" t="s">
        <v>6890</v>
      </c>
      <c r="D13402" s="3" t="str">
        <f t="shared" si="3218"/>
        <v>12Go Link</v>
      </c>
      <c r="E13402" s="2" t="s">
        <v>3409</v>
      </c>
    </row>
    <row r="13403">
      <c r="A13403" s="2" t="s">
        <v>4990</v>
      </c>
      <c r="B13403" s="2" t="s">
        <v>5011</v>
      </c>
      <c r="C13403" s="2" t="s">
        <v>6891</v>
      </c>
      <c r="D13403" s="3" t="str">
        <f t="shared" ref="D13403:D13405" si="3219">HYPERLINK("https://12go.asia/en/travel/Mannar/Marawila", "12Go Link")</f>
        <v>12Go Link</v>
      </c>
      <c r="E13403" s="2" t="s">
        <v>286</v>
      </c>
    </row>
    <row r="13404">
      <c r="A13404" s="2" t="s">
        <v>4990</v>
      </c>
      <c r="B13404" s="2" t="s">
        <v>5011</v>
      </c>
      <c r="C13404" s="2" t="s">
        <v>6891</v>
      </c>
      <c r="D13404" s="3" t="str">
        <f t="shared" si="3219"/>
        <v>12Go Link</v>
      </c>
      <c r="E13404" s="2" t="s">
        <v>4139</v>
      </c>
    </row>
    <row r="13405">
      <c r="A13405" s="2" t="s">
        <v>4990</v>
      </c>
      <c r="B13405" s="2" t="s">
        <v>5011</v>
      </c>
      <c r="C13405" s="2" t="s">
        <v>6891</v>
      </c>
      <c r="D13405" s="3" t="str">
        <f t="shared" si="3219"/>
        <v>12Go Link</v>
      </c>
      <c r="E13405" s="2" t="s">
        <v>3409</v>
      </c>
    </row>
    <row r="13406">
      <c r="A13406" s="2" t="s">
        <v>4990</v>
      </c>
      <c r="B13406" s="2" t="s">
        <v>5014</v>
      </c>
      <c r="C13406" s="2" t="s">
        <v>6892</v>
      </c>
      <c r="D13406" s="3" t="str">
        <f t="shared" ref="D13406:D13408" si="3220">HYPERLINK("https://12go.asia/en/travel/Mannar/Kiriella", "12Go Link")</f>
        <v>12Go Link</v>
      </c>
      <c r="E13406" s="2" t="s">
        <v>286</v>
      </c>
    </row>
    <row r="13407">
      <c r="A13407" s="2" t="s">
        <v>4990</v>
      </c>
      <c r="B13407" s="2" t="s">
        <v>5014</v>
      </c>
      <c r="C13407" s="2" t="s">
        <v>6892</v>
      </c>
      <c r="D13407" s="3" t="str">
        <f t="shared" si="3220"/>
        <v>12Go Link</v>
      </c>
      <c r="E13407" s="2" t="s">
        <v>4139</v>
      </c>
    </row>
    <row r="13408">
      <c r="A13408" s="2" t="s">
        <v>4990</v>
      </c>
      <c r="B13408" s="2" t="s">
        <v>5014</v>
      </c>
      <c r="C13408" s="2" t="s">
        <v>6892</v>
      </c>
      <c r="D13408" s="3" t="str">
        <f t="shared" si="3220"/>
        <v>12Go Link</v>
      </c>
      <c r="E13408" s="2" t="s">
        <v>3409</v>
      </c>
    </row>
    <row r="13409">
      <c r="A13409" s="2" t="s">
        <v>4990</v>
      </c>
      <c r="B13409" s="2" t="s">
        <v>5016</v>
      </c>
      <c r="C13409" s="2" t="s">
        <v>6893</v>
      </c>
      <c r="D13409" s="3" t="str">
        <f t="shared" ref="D13409:D13411" si="3221">HYPERLINK("https://12go.asia/en/travel/Mannar/Pidurangala", "12Go Link")</f>
        <v>12Go Link</v>
      </c>
      <c r="E13409" s="2" t="s">
        <v>286</v>
      </c>
    </row>
    <row r="13410">
      <c r="A13410" s="2" t="s">
        <v>4990</v>
      </c>
      <c r="B13410" s="2" t="s">
        <v>5016</v>
      </c>
      <c r="C13410" s="2" t="s">
        <v>6893</v>
      </c>
      <c r="D13410" s="3" t="str">
        <f t="shared" si="3221"/>
        <v>12Go Link</v>
      </c>
      <c r="E13410" s="2" t="s">
        <v>4139</v>
      </c>
    </row>
    <row r="13411">
      <c r="A13411" s="2" t="s">
        <v>4990</v>
      </c>
      <c r="B13411" s="2" t="s">
        <v>5016</v>
      </c>
      <c r="C13411" s="2" t="s">
        <v>6893</v>
      </c>
      <c r="D13411" s="3" t="str">
        <f t="shared" si="3221"/>
        <v>12Go Link</v>
      </c>
      <c r="E13411" s="2" t="s">
        <v>3409</v>
      </c>
    </row>
    <row r="13412">
      <c r="A13412" s="2" t="s">
        <v>4990</v>
      </c>
      <c r="B13412" s="2" t="s">
        <v>5018</v>
      </c>
      <c r="C13412" s="2" t="s">
        <v>6894</v>
      </c>
      <c r="D13412" s="3" t="str">
        <f t="shared" ref="D13412:D13414" si="3222">HYPERLINK("https://12go.asia/en/travel/Mannar/Rekawa", "12Go Link")</f>
        <v>12Go Link</v>
      </c>
      <c r="E13412" s="2" t="s">
        <v>286</v>
      </c>
    </row>
    <row r="13413">
      <c r="A13413" s="2" t="s">
        <v>4990</v>
      </c>
      <c r="B13413" s="2" t="s">
        <v>5018</v>
      </c>
      <c r="C13413" s="2" t="s">
        <v>6894</v>
      </c>
      <c r="D13413" s="3" t="str">
        <f t="shared" si="3222"/>
        <v>12Go Link</v>
      </c>
      <c r="E13413" s="2" t="s">
        <v>4139</v>
      </c>
    </row>
    <row r="13414">
      <c r="A13414" s="2" t="s">
        <v>4990</v>
      </c>
      <c r="B13414" s="2" t="s">
        <v>5018</v>
      </c>
      <c r="C13414" s="2" t="s">
        <v>6894</v>
      </c>
      <c r="D13414" s="3" t="str">
        <f t="shared" si="3222"/>
        <v>12Go Link</v>
      </c>
      <c r="E13414" s="2" t="s">
        <v>3409</v>
      </c>
    </row>
    <row r="13415">
      <c r="A13415" s="2" t="s">
        <v>4990</v>
      </c>
      <c r="B13415" s="2" t="s">
        <v>5020</v>
      </c>
      <c r="C13415" s="2" t="s">
        <v>6895</v>
      </c>
      <c r="D13415" s="3" t="str">
        <f t="shared" ref="D13415:D13417" si="3223">HYPERLINK("https://12go.asia/en/travel/Mannar/Tissamaharama", "12Go Link")</f>
        <v>12Go Link</v>
      </c>
      <c r="E13415" s="2" t="s">
        <v>286</v>
      </c>
    </row>
    <row r="13416">
      <c r="A13416" s="2" t="s">
        <v>4990</v>
      </c>
      <c r="B13416" s="2" t="s">
        <v>5020</v>
      </c>
      <c r="C13416" s="2" t="s">
        <v>6895</v>
      </c>
      <c r="D13416" s="3" t="str">
        <f t="shared" si="3223"/>
        <v>12Go Link</v>
      </c>
      <c r="E13416" s="2" t="s">
        <v>4139</v>
      </c>
    </row>
    <row r="13417">
      <c r="A13417" s="2" t="s">
        <v>4990</v>
      </c>
      <c r="B13417" s="2" t="s">
        <v>5020</v>
      </c>
      <c r="C13417" s="2" t="s">
        <v>6895</v>
      </c>
      <c r="D13417" s="3" t="str">
        <f t="shared" si="3223"/>
        <v>12Go Link</v>
      </c>
      <c r="E13417" s="2" t="s">
        <v>3409</v>
      </c>
    </row>
    <row r="13418">
      <c r="A13418" s="2" t="s">
        <v>4990</v>
      </c>
      <c r="B13418" s="2" t="s">
        <v>5020</v>
      </c>
      <c r="C13418" s="2" t="s">
        <v>6896</v>
      </c>
      <c r="D13418" s="3" t="str">
        <f t="shared" ref="D13418:D13420" si="3224">HYPERLINK("https://12go.asia/en/travel/Mannar/Yala-Park", "12Go Link")</f>
        <v>12Go Link</v>
      </c>
      <c r="E13418" s="2" t="s">
        <v>286</v>
      </c>
    </row>
    <row r="13419">
      <c r="A13419" s="2" t="s">
        <v>4990</v>
      </c>
      <c r="B13419" s="2" t="s">
        <v>5020</v>
      </c>
      <c r="C13419" s="2" t="s">
        <v>6896</v>
      </c>
      <c r="D13419" s="3" t="str">
        <f t="shared" si="3224"/>
        <v>12Go Link</v>
      </c>
      <c r="E13419" s="2" t="s">
        <v>4139</v>
      </c>
    </row>
    <row r="13420">
      <c r="A13420" s="2" t="s">
        <v>4990</v>
      </c>
      <c r="B13420" s="2" t="s">
        <v>5020</v>
      </c>
      <c r="C13420" s="2" t="s">
        <v>6896</v>
      </c>
      <c r="D13420" s="3" t="str">
        <f t="shared" si="3224"/>
        <v>12Go Link</v>
      </c>
      <c r="E13420" s="2" t="s">
        <v>3409</v>
      </c>
    </row>
    <row r="13421">
      <c r="A13421" s="2" t="s">
        <v>4990</v>
      </c>
      <c r="B13421" s="2" t="s">
        <v>5023</v>
      </c>
      <c r="C13421" s="2" t="s">
        <v>6897</v>
      </c>
      <c r="D13421" s="3" t="str">
        <f t="shared" ref="D13421:D13423" si="3225">HYPERLINK("https://12go.asia/en/travel/Mannar/Nilaweli", "12Go Link")</f>
        <v>12Go Link</v>
      </c>
      <c r="E13421" s="2" t="s">
        <v>286</v>
      </c>
    </row>
    <row r="13422">
      <c r="A13422" s="2" t="s">
        <v>4990</v>
      </c>
      <c r="B13422" s="2" t="s">
        <v>5023</v>
      </c>
      <c r="C13422" s="2" t="s">
        <v>6897</v>
      </c>
      <c r="D13422" s="3" t="str">
        <f t="shared" si="3225"/>
        <v>12Go Link</v>
      </c>
      <c r="E13422" s="2" t="s">
        <v>4139</v>
      </c>
    </row>
    <row r="13423">
      <c r="A13423" s="2" t="s">
        <v>4990</v>
      </c>
      <c r="B13423" s="2" t="s">
        <v>5023</v>
      </c>
      <c r="C13423" s="2" t="s">
        <v>6897</v>
      </c>
      <c r="D13423" s="3" t="str">
        <f t="shared" si="3225"/>
        <v>12Go Link</v>
      </c>
      <c r="E13423" s="2" t="s">
        <v>3409</v>
      </c>
    </row>
    <row r="13424">
      <c r="A13424" s="2" t="s">
        <v>4990</v>
      </c>
      <c r="B13424" s="2" t="s">
        <v>5025</v>
      </c>
      <c r="C13424" s="2" t="s">
        <v>6898</v>
      </c>
      <c r="D13424" s="3" t="str">
        <f t="shared" ref="D13424:D13426" si="3226">HYPERLINK("https://12go.asia/en/travel/Mannar/Udawalawa", "12Go Link")</f>
        <v>12Go Link</v>
      </c>
      <c r="E13424" s="2" t="s">
        <v>286</v>
      </c>
    </row>
    <row r="13425">
      <c r="A13425" s="2" t="s">
        <v>4990</v>
      </c>
      <c r="B13425" s="2" t="s">
        <v>5025</v>
      </c>
      <c r="C13425" s="2" t="s">
        <v>6898</v>
      </c>
      <c r="D13425" s="3" t="str">
        <f t="shared" si="3226"/>
        <v>12Go Link</v>
      </c>
      <c r="E13425" s="2" t="s">
        <v>4139</v>
      </c>
    </row>
    <row r="13426">
      <c r="A13426" s="2" t="s">
        <v>4990</v>
      </c>
      <c r="B13426" s="2" t="s">
        <v>5025</v>
      </c>
      <c r="C13426" s="2" t="s">
        <v>6898</v>
      </c>
      <c r="D13426" s="3" t="str">
        <f t="shared" si="3226"/>
        <v>12Go Link</v>
      </c>
      <c r="E13426" s="2" t="s">
        <v>3409</v>
      </c>
    </row>
    <row r="13427">
      <c r="A13427" s="2" t="s">
        <v>4990</v>
      </c>
      <c r="B13427" s="2" t="s">
        <v>5027</v>
      </c>
      <c r="C13427" s="2" t="s">
        <v>6899</v>
      </c>
      <c r="D13427" s="3" t="str">
        <f t="shared" ref="D13427:D13429" si="3227">HYPERLINK("https://12go.asia/en/travel/Mannar/Unawatuna", "12Go Link")</f>
        <v>12Go Link</v>
      </c>
      <c r="E13427" s="2" t="s">
        <v>286</v>
      </c>
    </row>
    <row r="13428">
      <c r="A13428" s="2" t="s">
        <v>4990</v>
      </c>
      <c r="B13428" s="2" t="s">
        <v>5027</v>
      </c>
      <c r="C13428" s="2" t="s">
        <v>6899</v>
      </c>
      <c r="D13428" s="3" t="str">
        <f t="shared" si="3227"/>
        <v>12Go Link</v>
      </c>
      <c r="E13428" s="2" t="s">
        <v>4139</v>
      </c>
    </row>
    <row r="13429">
      <c r="A13429" s="2" t="s">
        <v>4990</v>
      </c>
      <c r="B13429" s="2" t="s">
        <v>5027</v>
      </c>
      <c r="C13429" s="2" t="s">
        <v>6899</v>
      </c>
      <c r="D13429" s="3" t="str">
        <f t="shared" si="3227"/>
        <v>12Go Link</v>
      </c>
      <c r="E13429" s="2" t="s">
        <v>3409</v>
      </c>
    </row>
    <row r="13430">
      <c r="A13430" s="2" t="s">
        <v>4990</v>
      </c>
      <c r="B13430" s="2" t="s">
        <v>5029</v>
      </c>
      <c r="C13430" s="2" t="s">
        <v>6900</v>
      </c>
      <c r="D13430" s="3" t="str">
        <f t="shared" ref="D13430:D13432" si="3228">HYPERLINK("https://12go.asia/en/travel/Mannar/Attanagalla", "12Go Link")</f>
        <v>12Go Link</v>
      </c>
      <c r="E13430" s="2" t="s">
        <v>286</v>
      </c>
    </row>
    <row r="13431">
      <c r="A13431" s="2" t="s">
        <v>4990</v>
      </c>
      <c r="B13431" s="2" t="s">
        <v>5029</v>
      </c>
      <c r="C13431" s="2" t="s">
        <v>6900</v>
      </c>
      <c r="D13431" s="3" t="str">
        <f t="shared" si="3228"/>
        <v>12Go Link</v>
      </c>
      <c r="E13431" s="2" t="s">
        <v>4139</v>
      </c>
    </row>
    <row r="13432">
      <c r="A13432" s="2" t="s">
        <v>4990</v>
      </c>
      <c r="B13432" s="2" t="s">
        <v>5029</v>
      </c>
      <c r="C13432" s="2" t="s">
        <v>6900</v>
      </c>
      <c r="D13432" s="3" t="str">
        <f t="shared" si="3228"/>
        <v>12Go Link</v>
      </c>
      <c r="E13432" s="2" t="s">
        <v>3409</v>
      </c>
    </row>
    <row r="13433">
      <c r="A13433" s="2" t="s">
        <v>4990</v>
      </c>
      <c r="B13433" s="2" t="s">
        <v>5031</v>
      </c>
      <c r="C13433" s="2" t="s">
        <v>6901</v>
      </c>
      <c r="D13433" s="3" t="str">
        <f t="shared" ref="D13433:D13435" si="3229">HYPERLINK("https://12go.asia/en/travel/Mannar/Moronthuduwa", "12Go Link")</f>
        <v>12Go Link</v>
      </c>
      <c r="E13433" s="2" t="s">
        <v>286</v>
      </c>
    </row>
    <row r="13434">
      <c r="A13434" s="2" t="s">
        <v>4990</v>
      </c>
      <c r="B13434" s="2" t="s">
        <v>5031</v>
      </c>
      <c r="C13434" s="2" t="s">
        <v>6901</v>
      </c>
      <c r="D13434" s="3" t="str">
        <f t="shared" si="3229"/>
        <v>12Go Link</v>
      </c>
      <c r="E13434" s="2" t="s">
        <v>4139</v>
      </c>
    </row>
    <row r="13435">
      <c r="A13435" s="2" t="s">
        <v>4990</v>
      </c>
      <c r="B13435" s="2" t="s">
        <v>5031</v>
      </c>
      <c r="C13435" s="2" t="s">
        <v>6901</v>
      </c>
      <c r="D13435" s="3" t="str">
        <f t="shared" si="3229"/>
        <v>12Go Link</v>
      </c>
      <c r="E13435" s="2" t="s">
        <v>3409</v>
      </c>
    </row>
    <row r="13436">
      <c r="A13436" s="2" t="s">
        <v>4990</v>
      </c>
      <c r="B13436" s="2" t="s">
        <v>5031</v>
      </c>
      <c r="C13436" s="2" t="s">
        <v>6902</v>
      </c>
      <c r="D13436" s="3" t="str">
        <f t="shared" ref="D13436:D13438" si="3230">HYPERLINK("https://12go.asia/en/travel/Mannar/Waskaduwa", "12Go Link")</f>
        <v>12Go Link</v>
      </c>
      <c r="E13436" s="2" t="s">
        <v>286</v>
      </c>
    </row>
    <row r="13437">
      <c r="A13437" s="2" t="s">
        <v>4990</v>
      </c>
      <c r="B13437" s="2" t="s">
        <v>5031</v>
      </c>
      <c r="C13437" s="2" t="s">
        <v>6902</v>
      </c>
      <c r="D13437" s="3" t="str">
        <f t="shared" si="3230"/>
        <v>12Go Link</v>
      </c>
      <c r="E13437" s="2" t="s">
        <v>4139</v>
      </c>
    </row>
    <row r="13438">
      <c r="A13438" s="2" t="s">
        <v>4990</v>
      </c>
      <c r="B13438" s="2" t="s">
        <v>5031</v>
      </c>
      <c r="C13438" s="2" t="s">
        <v>6902</v>
      </c>
      <c r="D13438" s="3" t="str">
        <f t="shared" si="3230"/>
        <v>12Go Link</v>
      </c>
      <c r="E13438" s="2" t="s">
        <v>3409</v>
      </c>
    </row>
    <row r="13439">
      <c r="A13439" s="2" t="s">
        <v>4990</v>
      </c>
      <c r="B13439" s="2" t="s">
        <v>5034</v>
      </c>
      <c r="C13439" s="2" t="s">
        <v>6903</v>
      </c>
      <c r="D13439" s="3" t="str">
        <f t="shared" ref="D13439:D13441" si="3231">HYPERLINK("https://12go.asia/en/travel/Mannar/Weddagala", "12Go Link")</f>
        <v>12Go Link</v>
      </c>
      <c r="E13439" s="2" t="s">
        <v>286</v>
      </c>
    </row>
    <row r="13440">
      <c r="A13440" s="2" t="s">
        <v>4990</v>
      </c>
      <c r="B13440" s="2" t="s">
        <v>5034</v>
      </c>
      <c r="C13440" s="2" t="s">
        <v>6903</v>
      </c>
      <c r="D13440" s="3" t="str">
        <f t="shared" si="3231"/>
        <v>12Go Link</v>
      </c>
      <c r="E13440" s="2" t="s">
        <v>4139</v>
      </c>
    </row>
    <row r="13441">
      <c r="A13441" s="2" t="s">
        <v>4990</v>
      </c>
      <c r="B13441" s="2" t="s">
        <v>5034</v>
      </c>
      <c r="C13441" s="2" t="s">
        <v>6903</v>
      </c>
      <c r="D13441" s="3" t="str">
        <f t="shared" si="3231"/>
        <v>12Go Link</v>
      </c>
      <c r="E13441" s="2" t="s">
        <v>3409</v>
      </c>
    </row>
    <row r="13442">
      <c r="A13442" s="2" t="s">
        <v>4990</v>
      </c>
      <c r="B13442" s="2" t="s">
        <v>5036</v>
      </c>
      <c r="C13442" s="2" t="s">
        <v>6904</v>
      </c>
      <c r="D13442" s="3" t="str">
        <f t="shared" ref="D13442:D13444" si="3232">HYPERLINK("https://12go.asia/en/travel/Mannar/Weligatta", "12Go Link")</f>
        <v>12Go Link</v>
      </c>
      <c r="E13442" s="2" t="s">
        <v>286</v>
      </c>
    </row>
    <row r="13443">
      <c r="A13443" s="2" t="s">
        <v>4990</v>
      </c>
      <c r="B13443" s="2" t="s">
        <v>5036</v>
      </c>
      <c r="C13443" s="2" t="s">
        <v>6904</v>
      </c>
      <c r="D13443" s="3" t="str">
        <f t="shared" si="3232"/>
        <v>12Go Link</v>
      </c>
      <c r="E13443" s="2" t="s">
        <v>4139</v>
      </c>
    </row>
    <row r="13444">
      <c r="A13444" s="2" t="s">
        <v>4990</v>
      </c>
      <c r="B13444" s="2" t="s">
        <v>5036</v>
      </c>
      <c r="C13444" s="2" t="s">
        <v>6904</v>
      </c>
      <c r="D13444" s="3" t="str">
        <f t="shared" si="3232"/>
        <v>12Go Link</v>
      </c>
      <c r="E13444" s="2" t="s">
        <v>3409</v>
      </c>
    </row>
    <row r="13445">
      <c r="A13445" s="2" t="s">
        <v>4990</v>
      </c>
      <c r="B13445" s="2" t="s">
        <v>5038</v>
      </c>
      <c r="C13445" s="2" t="s">
        <v>6905</v>
      </c>
      <c r="D13445" s="3" t="str">
        <f t="shared" ref="D13445:D13447" si="3233">HYPERLINK("https://12go.asia/en/travel/Mannar/Akuressa", "12Go Link")</f>
        <v>12Go Link</v>
      </c>
      <c r="E13445" s="2" t="s">
        <v>286</v>
      </c>
    </row>
    <row r="13446">
      <c r="A13446" s="2" t="s">
        <v>4990</v>
      </c>
      <c r="B13446" s="2" t="s">
        <v>5038</v>
      </c>
      <c r="C13446" s="2" t="s">
        <v>6905</v>
      </c>
      <c r="D13446" s="3" t="str">
        <f t="shared" si="3233"/>
        <v>12Go Link</v>
      </c>
      <c r="E13446" s="2" t="s">
        <v>4139</v>
      </c>
    </row>
    <row r="13447">
      <c r="A13447" s="2" t="s">
        <v>4990</v>
      </c>
      <c r="B13447" s="2" t="s">
        <v>5038</v>
      </c>
      <c r="C13447" s="2" t="s">
        <v>6905</v>
      </c>
      <c r="D13447" s="3" t="str">
        <f t="shared" si="3233"/>
        <v>12Go Link</v>
      </c>
      <c r="E13447" s="2" t="s">
        <v>3409</v>
      </c>
    </row>
    <row r="13448">
      <c r="A13448" s="2" t="s">
        <v>4990</v>
      </c>
      <c r="B13448" s="2" t="s">
        <v>5040</v>
      </c>
      <c r="C13448" s="2" t="s">
        <v>6906</v>
      </c>
      <c r="D13448" s="3" t="str">
        <f t="shared" ref="D13448:D13450" si="3234">HYPERLINK("https://12go.asia/en/travel/Mannar/Wilpattu", "12Go Link")</f>
        <v>12Go Link</v>
      </c>
      <c r="E13448" s="2" t="s">
        <v>286</v>
      </c>
    </row>
    <row r="13449">
      <c r="A13449" s="2" t="s">
        <v>4990</v>
      </c>
      <c r="B13449" s="2" t="s">
        <v>5040</v>
      </c>
      <c r="C13449" s="2" t="s">
        <v>6906</v>
      </c>
      <c r="D13449" s="3" t="str">
        <f t="shared" si="3234"/>
        <v>12Go Link</v>
      </c>
      <c r="E13449" s="2" t="s">
        <v>4139</v>
      </c>
    </row>
    <row r="13450">
      <c r="A13450" s="2" t="s">
        <v>4990</v>
      </c>
      <c r="B13450" s="2" t="s">
        <v>5040</v>
      </c>
      <c r="C13450" s="2" t="s">
        <v>6906</v>
      </c>
      <c r="D13450" s="3" t="str">
        <f t="shared" si="3234"/>
        <v>12Go Link</v>
      </c>
      <c r="E13450" s="2" t="s">
        <v>3409</v>
      </c>
    </row>
    <row r="13451">
      <c r="A13451" s="2" t="s">
        <v>4994</v>
      </c>
      <c r="B13451" s="2" t="s">
        <v>4918</v>
      </c>
      <c r="C13451" s="2" t="s">
        <v>6907</v>
      </c>
      <c r="D13451" s="3" t="str">
        <f t="shared" ref="D13451:D13453" si="3235">HYPERLINK("https://12go.asia/en/travel/Kalamatiya/Adams-Peak", "12Go Link")</f>
        <v>12Go Link</v>
      </c>
      <c r="E13451" s="2" t="s">
        <v>286</v>
      </c>
    </row>
    <row r="13452">
      <c r="A13452" s="2" t="s">
        <v>4994</v>
      </c>
      <c r="B13452" s="2" t="s">
        <v>4918</v>
      </c>
      <c r="C13452" s="2" t="s">
        <v>6907</v>
      </c>
      <c r="D13452" s="3" t="str">
        <f t="shared" si="3235"/>
        <v>12Go Link</v>
      </c>
      <c r="E13452" s="2" t="s">
        <v>4139</v>
      </c>
    </row>
    <row r="13453">
      <c r="A13453" s="2" t="s">
        <v>4994</v>
      </c>
      <c r="B13453" s="2" t="s">
        <v>4918</v>
      </c>
      <c r="C13453" s="2" t="s">
        <v>6907</v>
      </c>
      <c r="D13453" s="3" t="str">
        <f t="shared" si="3235"/>
        <v>12Go Link</v>
      </c>
      <c r="E13453" s="2" t="s">
        <v>3409</v>
      </c>
    </row>
    <row r="13454">
      <c r="A13454" s="2" t="s">
        <v>4994</v>
      </c>
      <c r="B13454" s="2" t="s">
        <v>4919</v>
      </c>
      <c r="C13454" s="2" t="s">
        <v>6908</v>
      </c>
      <c r="D13454" s="3" t="str">
        <f t="shared" ref="D13454:D13456" si="3236">HYPERLINK("https://12go.asia/en/travel/Kalamatiya/Ahangama", "12Go Link")</f>
        <v>12Go Link</v>
      </c>
      <c r="E13454" s="2" t="s">
        <v>286</v>
      </c>
    </row>
    <row r="13455">
      <c r="A13455" s="2" t="s">
        <v>4994</v>
      </c>
      <c r="B13455" s="2" t="s">
        <v>4919</v>
      </c>
      <c r="C13455" s="2" t="s">
        <v>6908</v>
      </c>
      <c r="D13455" s="3" t="str">
        <f t="shared" si="3236"/>
        <v>12Go Link</v>
      </c>
      <c r="E13455" s="2" t="s">
        <v>4139</v>
      </c>
    </row>
    <row r="13456">
      <c r="A13456" s="2" t="s">
        <v>4994</v>
      </c>
      <c r="B13456" s="2" t="s">
        <v>4919</v>
      </c>
      <c r="C13456" s="2" t="s">
        <v>6908</v>
      </c>
      <c r="D13456" s="3" t="str">
        <f t="shared" si="3236"/>
        <v>12Go Link</v>
      </c>
      <c r="E13456" s="2" t="s">
        <v>3409</v>
      </c>
    </row>
    <row r="13457">
      <c r="A13457" s="2" t="s">
        <v>4994</v>
      </c>
      <c r="B13457" s="2" t="s">
        <v>4921</v>
      </c>
      <c r="C13457" s="2" t="s">
        <v>6909</v>
      </c>
      <c r="D13457" s="3" t="str">
        <f t="shared" ref="D13457:D13459" si="3237">HYPERLINK("https://12go.asia/en/travel/Kalamatiya/Ahungalla", "12Go Link")</f>
        <v>12Go Link</v>
      </c>
      <c r="E13457" s="2" t="s">
        <v>286</v>
      </c>
    </row>
    <row r="13458">
      <c r="A13458" s="2" t="s">
        <v>4994</v>
      </c>
      <c r="B13458" s="2" t="s">
        <v>4921</v>
      </c>
      <c r="C13458" s="2" t="s">
        <v>6909</v>
      </c>
      <c r="D13458" s="3" t="str">
        <f t="shared" si="3237"/>
        <v>12Go Link</v>
      </c>
      <c r="E13458" s="2" t="s">
        <v>4139</v>
      </c>
    </row>
    <row r="13459">
      <c r="A13459" s="2" t="s">
        <v>4994</v>
      </c>
      <c r="B13459" s="2" t="s">
        <v>4921</v>
      </c>
      <c r="C13459" s="2" t="s">
        <v>6909</v>
      </c>
      <c r="D13459" s="3" t="str">
        <f t="shared" si="3237"/>
        <v>12Go Link</v>
      </c>
      <c r="E13459" s="2" t="s">
        <v>3409</v>
      </c>
    </row>
    <row r="13460">
      <c r="A13460" s="2" t="s">
        <v>4994</v>
      </c>
      <c r="B13460" s="2" t="s">
        <v>4923</v>
      </c>
      <c r="C13460" s="2" t="s">
        <v>6910</v>
      </c>
      <c r="D13460" s="3" t="str">
        <f t="shared" ref="D13460:D13462" si="3238">HYPERLINK("https://12go.asia/en/travel/Kalamatiya/Aluthgama", "12Go Link")</f>
        <v>12Go Link</v>
      </c>
      <c r="E13460" s="2" t="s">
        <v>286</v>
      </c>
    </row>
    <row r="13461">
      <c r="A13461" s="2" t="s">
        <v>4994</v>
      </c>
      <c r="B13461" s="2" t="s">
        <v>4923</v>
      </c>
      <c r="C13461" s="2" t="s">
        <v>6910</v>
      </c>
      <c r="D13461" s="3" t="str">
        <f t="shared" si="3238"/>
        <v>12Go Link</v>
      </c>
      <c r="E13461" s="2" t="s">
        <v>4139</v>
      </c>
    </row>
    <row r="13462">
      <c r="A13462" s="2" t="s">
        <v>4994</v>
      </c>
      <c r="B13462" s="2" t="s">
        <v>4923</v>
      </c>
      <c r="C13462" s="2" t="s">
        <v>6910</v>
      </c>
      <c r="D13462" s="3" t="str">
        <f t="shared" si="3238"/>
        <v>12Go Link</v>
      </c>
      <c r="E13462" s="2" t="s">
        <v>3409</v>
      </c>
    </row>
    <row r="13463">
      <c r="A13463" s="2" t="s">
        <v>4994</v>
      </c>
      <c r="B13463" s="2" t="s">
        <v>4925</v>
      </c>
      <c r="C13463" s="2" t="s">
        <v>6911</v>
      </c>
      <c r="D13463" s="3" t="str">
        <f t="shared" ref="D13463:D13465" si="3239">HYPERLINK("https://12go.asia/en/travel/Kalamatiya/Ambalangoda", "12Go Link")</f>
        <v>12Go Link</v>
      </c>
      <c r="E13463" s="2" t="s">
        <v>286</v>
      </c>
    </row>
    <row r="13464">
      <c r="A13464" s="2" t="s">
        <v>4994</v>
      </c>
      <c r="B13464" s="2" t="s">
        <v>4925</v>
      </c>
      <c r="C13464" s="2" t="s">
        <v>6911</v>
      </c>
      <c r="D13464" s="3" t="str">
        <f t="shared" si="3239"/>
        <v>12Go Link</v>
      </c>
      <c r="E13464" s="2" t="s">
        <v>4139</v>
      </c>
    </row>
    <row r="13465">
      <c r="A13465" s="2" t="s">
        <v>4994</v>
      </c>
      <c r="B13465" s="2" t="s">
        <v>4925</v>
      </c>
      <c r="C13465" s="2" t="s">
        <v>6911</v>
      </c>
      <c r="D13465" s="3" t="str">
        <f t="shared" si="3239"/>
        <v>12Go Link</v>
      </c>
      <c r="E13465" s="2" t="s">
        <v>3409</v>
      </c>
    </row>
    <row r="13466">
      <c r="A13466" s="2" t="s">
        <v>4994</v>
      </c>
      <c r="B13466" s="2" t="s">
        <v>4927</v>
      </c>
      <c r="C13466" s="2" t="s">
        <v>6912</v>
      </c>
      <c r="D13466" s="3" t="str">
        <f t="shared" ref="D13466:D13468" si="3240">HYPERLINK("https://12go.asia/en/travel/Kalamatiya/Ambalantota", "12Go Link")</f>
        <v>12Go Link</v>
      </c>
      <c r="E13466" s="2" t="s">
        <v>286</v>
      </c>
    </row>
    <row r="13467">
      <c r="A13467" s="2" t="s">
        <v>4994</v>
      </c>
      <c r="B13467" s="2" t="s">
        <v>4927</v>
      </c>
      <c r="C13467" s="2" t="s">
        <v>6912</v>
      </c>
      <c r="D13467" s="3" t="str">
        <f t="shared" si="3240"/>
        <v>12Go Link</v>
      </c>
      <c r="E13467" s="2" t="s">
        <v>4139</v>
      </c>
    </row>
    <row r="13468">
      <c r="A13468" s="2" t="s">
        <v>4994</v>
      </c>
      <c r="B13468" s="2" t="s">
        <v>4927</v>
      </c>
      <c r="C13468" s="2" t="s">
        <v>6912</v>
      </c>
      <c r="D13468" s="3" t="str">
        <f t="shared" si="3240"/>
        <v>12Go Link</v>
      </c>
      <c r="E13468" s="2" t="s">
        <v>3409</v>
      </c>
    </row>
    <row r="13469">
      <c r="A13469" s="2" t="s">
        <v>4994</v>
      </c>
      <c r="B13469" s="2" t="s">
        <v>4929</v>
      </c>
      <c r="C13469" s="2" t="s">
        <v>6913</v>
      </c>
      <c r="D13469" s="3" t="str">
        <f t="shared" ref="D13469:D13471" si="3241">HYPERLINK("https://12go.asia/en/travel/Kalamatiya/Anuradhapura", "12Go Link")</f>
        <v>12Go Link</v>
      </c>
      <c r="E13469" s="2" t="s">
        <v>286</v>
      </c>
    </row>
    <row r="13470">
      <c r="A13470" s="2" t="s">
        <v>4994</v>
      </c>
      <c r="B13470" s="2" t="s">
        <v>4929</v>
      </c>
      <c r="C13470" s="2" t="s">
        <v>6913</v>
      </c>
      <c r="D13470" s="3" t="str">
        <f t="shared" si="3241"/>
        <v>12Go Link</v>
      </c>
      <c r="E13470" s="2" t="s">
        <v>4139</v>
      </c>
    </row>
    <row r="13471">
      <c r="A13471" s="2" t="s">
        <v>4994</v>
      </c>
      <c r="B13471" s="2" t="s">
        <v>4929</v>
      </c>
      <c r="C13471" s="2" t="s">
        <v>6913</v>
      </c>
      <c r="D13471" s="3" t="str">
        <f t="shared" si="3241"/>
        <v>12Go Link</v>
      </c>
      <c r="E13471" s="2" t="s">
        <v>3409</v>
      </c>
    </row>
    <row r="13472">
      <c r="A13472" s="2" t="s">
        <v>4994</v>
      </c>
      <c r="B13472" s="2" t="s">
        <v>4931</v>
      </c>
      <c r="C13472" s="2" t="s">
        <v>6914</v>
      </c>
      <c r="D13472" s="3" t="str">
        <f t="shared" ref="D13472:D13474" si="3242">HYPERLINK("https://12go.asia/en/travel/Kalamatiya/Arugam-bay", "12Go Link")</f>
        <v>12Go Link</v>
      </c>
      <c r="E13472" s="2" t="s">
        <v>286</v>
      </c>
    </row>
    <row r="13473">
      <c r="A13473" s="2" t="s">
        <v>4994</v>
      </c>
      <c r="B13473" s="2" t="s">
        <v>4931</v>
      </c>
      <c r="C13473" s="2" t="s">
        <v>6914</v>
      </c>
      <c r="D13473" s="3" t="str">
        <f t="shared" si="3242"/>
        <v>12Go Link</v>
      </c>
      <c r="E13473" s="2" t="s">
        <v>4139</v>
      </c>
    </row>
    <row r="13474">
      <c r="A13474" s="2" t="s">
        <v>4994</v>
      </c>
      <c r="B13474" s="2" t="s">
        <v>4931</v>
      </c>
      <c r="C13474" s="2" t="s">
        <v>6914</v>
      </c>
      <c r="D13474" s="3" t="str">
        <f t="shared" si="3242"/>
        <v>12Go Link</v>
      </c>
      <c r="E13474" s="2" t="s">
        <v>3409</v>
      </c>
    </row>
    <row r="13475">
      <c r="A13475" s="2" t="s">
        <v>4994</v>
      </c>
      <c r="B13475" s="2" t="s">
        <v>4933</v>
      </c>
      <c r="C13475" s="2" t="s">
        <v>6915</v>
      </c>
      <c r="D13475" s="3" t="str">
        <f t="shared" ref="D13475:D13477" si="3243">HYPERLINK("https://12go.asia/en/travel/Kalamatiya/balapitiya", "12Go Link")</f>
        <v>12Go Link</v>
      </c>
      <c r="E13475" s="2" t="s">
        <v>286</v>
      </c>
    </row>
    <row r="13476">
      <c r="A13476" s="2" t="s">
        <v>4994</v>
      </c>
      <c r="B13476" s="2" t="s">
        <v>4933</v>
      </c>
      <c r="C13476" s="2" t="s">
        <v>6915</v>
      </c>
      <c r="D13476" s="3" t="str">
        <f t="shared" si="3243"/>
        <v>12Go Link</v>
      </c>
      <c r="E13476" s="2" t="s">
        <v>4139</v>
      </c>
    </row>
    <row r="13477">
      <c r="A13477" s="2" t="s">
        <v>4994</v>
      </c>
      <c r="B13477" s="2" t="s">
        <v>4933</v>
      </c>
      <c r="C13477" s="2" t="s">
        <v>6915</v>
      </c>
      <c r="D13477" s="3" t="str">
        <f t="shared" si="3243"/>
        <v>12Go Link</v>
      </c>
      <c r="E13477" s="2" t="s">
        <v>3409</v>
      </c>
    </row>
    <row r="13478">
      <c r="A13478" s="2" t="s">
        <v>4994</v>
      </c>
      <c r="B13478" s="2" t="s">
        <v>4935</v>
      </c>
      <c r="C13478" s="2" t="s">
        <v>6916</v>
      </c>
      <c r="D13478" s="3" t="str">
        <f t="shared" ref="D13478:D13480" si="3244">HYPERLINK("https://12go.asia/en/travel/Kalamatiya/Batticaloa", "12Go Link")</f>
        <v>12Go Link</v>
      </c>
      <c r="E13478" s="2" t="s">
        <v>286</v>
      </c>
    </row>
    <row r="13479">
      <c r="A13479" s="2" t="s">
        <v>4994</v>
      </c>
      <c r="B13479" s="2" t="s">
        <v>4935</v>
      </c>
      <c r="C13479" s="2" t="s">
        <v>6916</v>
      </c>
      <c r="D13479" s="3" t="str">
        <f t="shared" si="3244"/>
        <v>12Go Link</v>
      </c>
      <c r="E13479" s="2" t="s">
        <v>4139</v>
      </c>
    </row>
    <row r="13480">
      <c r="A13480" s="2" t="s">
        <v>4994</v>
      </c>
      <c r="B13480" s="2" t="s">
        <v>4935</v>
      </c>
      <c r="C13480" s="2" t="s">
        <v>6916</v>
      </c>
      <c r="D13480" s="3" t="str">
        <f t="shared" si="3244"/>
        <v>12Go Link</v>
      </c>
      <c r="E13480" s="2" t="s">
        <v>3409</v>
      </c>
    </row>
    <row r="13481">
      <c r="A13481" s="2" t="s">
        <v>4994</v>
      </c>
      <c r="B13481" s="2" t="s">
        <v>4937</v>
      </c>
      <c r="C13481" s="2" t="s">
        <v>6917</v>
      </c>
      <c r="D13481" s="3" t="str">
        <f t="shared" ref="D13481:D13483" si="3245">HYPERLINK("https://12go.asia/en/travel/Kalamatiya/Bentota", "12Go Link")</f>
        <v>12Go Link</v>
      </c>
      <c r="E13481" s="2" t="s">
        <v>286</v>
      </c>
    </row>
    <row r="13482">
      <c r="A13482" s="2" t="s">
        <v>4994</v>
      </c>
      <c r="B13482" s="2" t="s">
        <v>4937</v>
      </c>
      <c r="C13482" s="2" t="s">
        <v>6917</v>
      </c>
      <c r="D13482" s="3" t="str">
        <f t="shared" si="3245"/>
        <v>12Go Link</v>
      </c>
      <c r="E13482" s="2" t="s">
        <v>4139</v>
      </c>
    </row>
    <row r="13483">
      <c r="A13483" s="2" t="s">
        <v>4994</v>
      </c>
      <c r="B13483" s="2" t="s">
        <v>4937</v>
      </c>
      <c r="C13483" s="2" t="s">
        <v>6917</v>
      </c>
      <c r="D13483" s="3" t="str">
        <f t="shared" si="3245"/>
        <v>12Go Link</v>
      </c>
      <c r="E13483" s="2" t="s">
        <v>3409</v>
      </c>
    </row>
    <row r="13484">
      <c r="A13484" s="2" t="s">
        <v>4994</v>
      </c>
      <c r="B13484" s="2" t="s">
        <v>4939</v>
      </c>
      <c r="C13484" s="2" t="s">
        <v>6918</v>
      </c>
      <c r="D13484" s="3" t="str">
        <f t="shared" ref="D13484:D13486" si="3246">HYPERLINK("https://12go.asia/en/travel/Kalamatiya/Beruwala", "12Go Link")</f>
        <v>12Go Link</v>
      </c>
      <c r="E13484" s="2" t="s">
        <v>286</v>
      </c>
    </row>
    <row r="13485">
      <c r="A13485" s="2" t="s">
        <v>4994</v>
      </c>
      <c r="B13485" s="2" t="s">
        <v>4939</v>
      </c>
      <c r="C13485" s="2" t="s">
        <v>6918</v>
      </c>
      <c r="D13485" s="3" t="str">
        <f t="shared" si="3246"/>
        <v>12Go Link</v>
      </c>
      <c r="E13485" s="2" t="s">
        <v>4139</v>
      </c>
    </row>
    <row r="13486">
      <c r="A13486" s="2" t="s">
        <v>4994</v>
      </c>
      <c r="B13486" s="2" t="s">
        <v>4939</v>
      </c>
      <c r="C13486" s="2" t="s">
        <v>6918</v>
      </c>
      <c r="D13486" s="3" t="str">
        <f t="shared" si="3246"/>
        <v>12Go Link</v>
      </c>
      <c r="E13486" s="2" t="s">
        <v>3409</v>
      </c>
    </row>
    <row r="13487">
      <c r="A13487" s="2" t="s">
        <v>4994</v>
      </c>
      <c r="B13487" s="2" t="s">
        <v>4941</v>
      </c>
      <c r="C13487" s="2" t="s">
        <v>6919</v>
      </c>
      <c r="D13487" s="3" t="str">
        <f t="shared" ref="D13487:D13489" si="3247">HYPERLINK("https://12go.asia/en/travel/Kalamatiya/Bundala", "12Go Link")</f>
        <v>12Go Link</v>
      </c>
      <c r="E13487" s="2" t="s">
        <v>286</v>
      </c>
    </row>
    <row r="13488">
      <c r="A13488" s="2" t="s">
        <v>4994</v>
      </c>
      <c r="B13488" s="2" t="s">
        <v>4941</v>
      </c>
      <c r="C13488" s="2" t="s">
        <v>6919</v>
      </c>
      <c r="D13488" s="3" t="str">
        <f t="shared" si="3247"/>
        <v>12Go Link</v>
      </c>
      <c r="E13488" s="2" t="s">
        <v>4139</v>
      </c>
    </row>
    <row r="13489">
      <c r="A13489" s="2" t="s">
        <v>4994</v>
      </c>
      <c r="B13489" s="2" t="s">
        <v>4941</v>
      </c>
      <c r="C13489" s="2" t="s">
        <v>6919</v>
      </c>
      <c r="D13489" s="3" t="str">
        <f t="shared" si="3247"/>
        <v>12Go Link</v>
      </c>
      <c r="E13489" s="2" t="s">
        <v>3409</v>
      </c>
    </row>
    <row r="13490">
      <c r="A13490" s="2" t="s">
        <v>4994</v>
      </c>
      <c r="B13490" s="2" t="s">
        <v>4945</v>
      </c>
      <c r="C13490" s="2" t="s">
        <v>6920</v>
      </c>
      <c r="D13490" s="3" t="str">
        <f t="shared" ref="D13490:D13492" si="3248">HYPERLINK("https://12go.asia/en/travel/Kalamatiya/Bandaranaike-Airport", "12Go Link")</f>
        <v>12Go Link</v>
      </c>
      <c r="E13490" s="2" t="s">
        <v>286</v>
      </c>
    </row>
    <row r="13491">
      <c r="A13491" s="2" t="s">
        <v>4994</v>
      </c>
      <c r="B13491" s="2" t="s">
        <v>4945</v>
      </c>
      <c r="C13491" s="2" t="s">
        <v>6920</v>
      </c>
      <c r="D13491" s="3" t="str">
        <f t="shared" si="3248"/>
        <v>12Go Link</v>
      </c>
      <c r="E13491" s="2" t="s">
        <v>4139</v>
      </c>
    </row>
    <row r="13492">
      <c r="A13492" s="2" t="s">
        <v>4994</v>
      </c>
      <c r="B13492" s="2" t="s">
        <v>4945</v>
      </c>
      <c r="C13492" s="2" t="s">
        <v>6920</v>
      </c>
      <c r="D13492" s="3" t="str">
        <f t="shared" si="3248"/>
        <v>12Go Link</v>
      </c>
      <c r="E13492" s="2" t="s">
        <v>3409</v>
      </c>
    </row>
    <row r="13493">
      <c r="A13493" s="2" t="s">
        <v>4994</v>
      </c>
      <c r="B13493" s="2" t="s">
        <v>4949</v>
      </c>
      <c r="C13493" s="2" t="s">
        <v>6921</v>
      </c>
      <c r="D13493" s="3" t="str">
        <f t="shared" ref="D13493:D13495" si="3249">HYPERLINK("https://12go.asia/en/travel/Kalamatiya/Deniyaya", "12Go Link")</f>
        <v>12Go Link</v>
      </c>
      <c r="E13493" s="2" t="s">
        <v>286</v>
      </c>
    </row>
    <row r="13494">
      <c r="A13494" s="2" t="s">
        <v>4994</v>
      </c>
      <c r="B13494" s="2" t="s">
        <v>4949</v>
      </c>
      <c r="C13494" s="2" t="s">
        <v>6921</v>
      </c>
      <c r="D13494" s="3" t="str">
        <f t="shared" si="3249"/>
        <v>12Go Link</v>
      </c>
      <c r="E13494" s="2" t="s">
        <v>4139</v>
      </c>
    </row>
    <row r="13495">
      <c r="A13495" s="2" t="s">
        <v>4994</v>
      </c>
      <c r="B13495" s="2" t="s">
        <v>4949</v>
      </c>
      <c r="C13495" s="2" t="s">
        <v>6921</v>
      </c>
      <c r="D13495" s="3" t="str">
        <f t="shared" si="3249"/>
        <v>12Go Link</v>
      </c>
      <c r="E13495" s="2" t="s">
        <v>3409</v>
      </c>
    </row>
    <row r="13496">
      <c r="A13496" s="2" t="s">
        <v>4994</v>
      </c>
      <c r="B13496" s="2" t="s">
        <v>4951</v>
      </c>
      <c r="C13496" s="2" t="s">
        <v>6922</v>
      </c>
      <c r="D13496" s="3" t="str">
        <f t="shared" ref="D13496:D13498" si="3250">HYPERLINK("https://12go.asia/en/travel/Kalamatiya/Dickwella", "12Go Link")</f>
        <v>12Go Link</v>
      </c>
      <c r="E13496" s="2" t="s">
        <v>286</v>
      </c>
    </row>
    <row r="13497">
      <c r="A13497" s="2" t="s">
        <v>4994</v>
      </c>
      <c r="B13497" s="2" t="s">
        <v>4951</v>
      </c>
      <c r="C13497" s="2" t="s">
        <v>6922</v>
      </c>
      <c r="D13497" s="3" t="str">
        <f t="shared" si="3250"/>
        <v>12Go Link</v>
      </c>
      <c r="E13497" s="2" t="s">
        <v>4139</v>
      </c>
    </row>
    <row r="13498">
      <c r="A13498" s="2" t="s">
        <v>4994</v>
      </c>
      <c r="B13498" s="2" t="s">
        <v>4951</v>
      </c>
      <c r="C13498" s="2" t="s">
        <v>6922</v>
      </c>
      <c r="D13498" s="3" t="str">
        <f t="shared" si="3250"/>
        <v>12Go Link</v>
      </c>
      <c r="E13498" s="2" t="s">
        <v>3409</v>
      </c>
    </row>
    <row r="13499">
      <c r="A13499" s="2" t="s">
        <v>4994</v>
      </c>
      <c r="B13499" s="2" t="s">
        <v>4951</v>
      </c>
      <c r="C13499" s="2" t="s">
        <v>6923</v>
      </c>
      <c r="D13499" s="3" t="str">
        <f t="shared" ref="D13499:D13501" si="3251">HYPERLINK("https://12go.asia/en/travel/Kalamatiya/Hiriketiya-beach", "12Go Link")</f>
        <v>12Go Link</v>
      </c>
      <c r="E13499" s="2" t="s">
        <v>286</v>
      </c>
    </row>
    <row r="13500">
      <c r="A13500" s="2" t="s">
        <v>4994</v>
      </c>
      <c r="B13500" s="2" t="s">
        <v>4951</v>
      </c>
      <c r="C13500" s="2" t="s">
        <v>6923</v>
      </c>
      <c r="D13500" s="3" t="str">
        <f t="shared" si="3251"/>
        <v>12Go Link</v>
      </c>
      <c r="E13500" s="2" t="s">
        <v>4139</v>
      </c>
    </row>
    <row r="13501">
      <c r="A13501" s="2" t="s">
        <v>4994</v>
      </c>
      <c r="B13501" s="2" t="s">
        <v>4951</v>
      </c>
      <c r="C13501" s="2" t="s">
        <v>6923</v>
      </c>
      <c r="D13501" s="3" t="str">
        <f t="shared" si="3251"/>
        <v>12Go Link</v>
      </c>
      <c r="E13501" s="2" t="s">
        <v>3409</v>
      </c>
    </row>
    <row r="13502">
      <c r="A13502" s="2" t="s">
        <v>4994</v>
      </c>
      <c r="B13502" s="2" t="s">
        <v>4954</v>
      </c>
      <c r="C13502" s="2" t="s">
        <v>6924</v>
      </c>
      <c r="D13502" s="3" t="str">
        <f t="shared" ref="D13502:D13504" si="3252">HYPERLINK("https://12go.asia/en/travel/Kalamatiya/Galle", "12Go Link")</f>
        <v>12Go Link</v>
      </c>
      <c r="E13502" s="2" t="s">
        <v>286</v>
      </c>
    </row>
    <row r="13503">
      <c r="A13503" s="2" t="s">
        <v>4994</v>
      </c>
      <c r="B13503" s="2" t="s">
        <v>4954</v>
      </c>
      <c r="C13503" s="2" t="s">
        <v>6924</v>
      </c>
      <c r="D13503" s="3" t="str">
        <f t="shared" si="3252"/>
        <v>12Go Link</v>
      </c>
      <c r="E13503" s="2" t="s">
        <v>4139</v>
      </c>
    </row>
    <row r="13504">
      <c r="A13504" s="2" t="s">
        <v>4994</v>
      </c>
      <c r="B13504" s="2" t="s">
        <v>4954</v>
      </c>
      <c r="C13504" s="2" t="s">
        <v>6924</v>
      </c>
      <c r="D13504" s="3" t="str">
        <f t="shared" si="3252"/>
        <v>12Go Link</v>
      </c>
      <c r="E13504" s="2" t="s">
        <v>3409</v>
      </c>
    </row>
    <row r="13505">
      <c r="A13505" s="2" t="s">
        <v>4994</v>
      </c>
      <c r="B13505" s="2" t="s">
        <v>4954</v>
      </c>
      <c r="C13505" s="2" t="s">
        <v>6925</v>
      </c>
      <c r="D13505" s="3" t="str">
        <f t="shared" ref="D13505:D13507" si="3253">HYPERLINK("https://12go.asia/en/travel/Kalamatiya/Talpe", "12Go Link")</f>
        <v>12Go Link</v>
      </c>
      <c r="E13505" s="2" t="s">
        <v>286</v>
      </c>
    </row>
    <row r="13506">
      <c r="A13506" s="2" t="s">
        <v>4994</v>
      </c>
      <c r="B13506" s="2" t="s">
        <v>4954</v>
      </c>
      <c r="C13506" s="2" t="s">
        <v>6925</v>
      </c>
      <c r="D13506" s="3" t="str">
        <f t="shared" si="3253"/>
        <v>12Go Link</v>
      </c>
      <c r="E13506" s="2" t="s">
        <v>4139</v>
      </c>
    </row>
    <row r="13507">
      <c r="A13507" s="2" t="s">
        <v>4994</v>
      </c>
      <c r="B13507" s="2" t="s">
        <v>4954</v>
      </c>
      <c r="C13507" s="2" t="s">
        <v>6925</v>
      </c>
      <c r="D13507" s="3" t="str">
        <f t="shared" si="3253"/>
        <v>12Go Link</v>
      </c>
      <c r="E13507" s="2" t="s">
        <v>3409</v>
      </c>
    </row>
    <row r="13508">
      <c r="A13508" s="2" t="s">
        <v>4994</v>
      </c>
      <c r="B13508" s="2" t="s">
        <v>4954</v>
      </c>
      <c r="C13508" s="2" t="s">
        <v>6926</v>
      </c>
      <c r="D13508" s="3" t="str">
        <f>HYPERLINK("https://12go.asia/en/travel/Matara/Galle", "12Go Link")</f>
        <v>12Go Link</v>
      </c>
      <c r="E13508" s="2" t="s">
        <v>5206</v>
      </c>
    </row>
    <row r="13509">
      <c r="A13509" s="2" t="s">
        <v>4994</v>
      </c>
      <c r="B13509" s="2" t="s">
        <v>4957</v>
      </c>
      <c r="C13509" s="2" t="s">
        <v>6927</v>
      </c>
      <c r="D13509" s="3" t="str">
        <f t="shared" ref="D13509:D13511" si="3254">HYPERLINK("https://12go.asia/en/travel/Kalamatiya/Habarana", "12Go Link")</f>
        <v>12Go Link</v>
      </c>
      <c r="E13509" s="2" t="s">
        <v>286</v>
      </c>
    </row>
    <row r="13510">
      <c r="A13510" s="2" t="s">
        <v>4994</v>
      </c>
      <c r="B13510" s="2" t="s">
        <v>4957</v>
      </c>
      <c r="C13510" s="2" t="s">
        <v>6927</v>
      </c>
      <c r="D13510" s="3" t="str">
        <f t="shared" si="3254"/>
        <v>12Go Link</v>
      </c>
      <c r="E13510" s="2" t="s">
        <v>4139</v>
      </c>
    </row>
    <row r="13511">
      <c r="A13511" s="2" t="s">
        <v>4994</v>
      </c>
      <c r="B13511" s="2" t="s">
        <v>4957</v>
      </c>
      <c r="C13511" s="2" t="s">
        <v>6927</v>
      </c>
      <c r="D13511" s="3" t="str">
        <f t="shared" si="3254"/>
        <v>12Go Link</v>
      </c>
      <c r="E13511" s="2" t="s">
        <v>3409</v>
      </c>
    </row>
    <row r="13512">
      <c r="A13512" s="2" t="s">
        <v>4994</v>
      </c>
      <c r="B13512" s="2" t="s">
        <v>4959</v>
      </c>
      <c r="C13512" s="2" t="s">
        <v>6928</v>
      </c>
      <c r="D13512" s="3" t="str">
        <f t="shared" ref="D13512:D13514" si="3255">HYPERLINK("https://12go.asia/en/travel/Kalamatiya/Ella", "12Go Link")</f>
        <v>12Go Link</v>
      </c>
      <c r="E13512" s="2" t="s">
        <v>286</v>
      </c>
    </row>
    <row r="13513">
      <c r="A13513" s="2" t="s">
        <v>4994</v>
      </c>
      <c r="B13513" s="2" t="s">
        <v>4959</v>
      </c>
      <c r="C13513" s="2" t="s">
        <v>6928</v>
      </c>
      <c r="D13513" s="3" t="str">
        <f t="shared" si="3255"/>
        <v>12Go Link</v>
      </c>
      <c r="E13513" s="2" t="s">
        <v>4139</v>
      </c>
    </row>
    <row r="13514">
      <c r="A13514" s="2" t="s">
        <v>4994</v>
      </c>
      <c r="B13514" s="2" t="s">
        <v>4959</v>
      </c>
      <c r="C13514" s="2" t="s">
        <v>6928</v>
      </c>
      <c r="D13514" s="3" t="str">
        <f t="shared" si="3255"/>
        <v>12Go Link</v>
      </c>
      <c r="E13514" s="2" t="s">
        <v>3409</v>
      </c>
    </row>
    <row r="13515">
      <c r="A13515" s="2" t="s">
        <v>4994</v>
      </c>
      <c r="B13515" s="2" t="s">
        <v>4961</v>
      </c>
      <c r="C13515" s="2" t="s">
        <v>6929</v>
      </c>
      <c r="D13515" s="3" t="str">
        <f t="shared" ref="D13515:D13517" si="3256">HYPERLINK("https://12go.asia/en/travel/Kalamatiya/Beragala", "12Go Link")</f>
        <v>12Go Link</v>
      </c>
      <c r="E13515" s="2" t="s">
        <v>286</v>
      </c>
    </row>
    <row r="13516">
      <c r="A13516" s="2" t="s">
        <v>4994</v>
      </c>
      <c r="B13516" s="2" t="s">
        <v>4961</v>
      </c>
      <c r="C13516" s="2" t="s">
        <v>6929</v>
      </c>
      <c r="D13516" s="3" t="str">
        <f t="shared" si="3256"/>
        <v>12Go Link</v>
      </c>
      <c r="E13516" s="2" t="s">
        <v>4139</v>
      </c>
    </row>
    <row r="13517">
      <c r="A13517" s="2" t="s">
        <v>4994</v>
      </c>
      <c r="B13517" s="2" t="s">
        <v>4961</v>
      </c>
      <c r="C13517" s="2" t="s">
        <v>6929</v>
      </c>
      <c r="D13517" s="3" t="str">
        <f t="shared" si="3256"/>
        <v>12Go Link</v>
      </c>
      <c r="E13517" s="2" t="s">
        <v>3409</v>
      </c>
    </row>
    <row r="13518">
      <c r="A13518" s="2" t="s">
        <v>4994</v>
      </c>
      <c r="B13518" s="2" t="s">
        <v>4963</v>
      </c>
      <c r="C13518" s="2" t="s">
        <v>6930</v>
      </c>
      <c r="D13518" s="3" t="str">
        <f t="shared" ref="D13518:D13520" si="3257">HYPERLINK("https://12go.asia/en/travel/Kalamatiya/Dick-oya", "12Go Link")</f>
        <v>12Go Link</v>
      </c>
      <c r="E13518" s="2" t="s">
        <v>286</v>
      </c>
    </row>
    <row r="13519">
      <c r="A13519" s="2" t="s">
        <v>4994</v>
      </c>
      <c r="B13519" s="2" t="s">
        <v>4963</v>
      </c>
      <c r="C13519" s="2" t="s">
        <v>6930</v>
      </c>
      <c r="D13519" s="3" t="str">
        <f t="shared" si="3257"/>
        <v>12Go Link</v>
      </c>
      <c r="E13519" s="2" t="s">
        <v>4139</v>
      </c>
    </row>
    <row r="13520">
      <c r="A13520" s="2" t="s">
        <v>4994</v>
      </c>
      <c r="B13520" s="2" t="s">
        <v>4963</v>
      </c>
      <c r="C13520" s="2" t="s">
        <v>6930</v>
      </c>
      <c r="D13520" s="3" t="str">
        <f t="shared" si="3257"/>
        <v>12Go Link</v>
      </c>
      <c r="E13520" s="2" t="s">
        <v>3409</v>
      </c>
    </row>
    <row r="13521">
      <c r="A13521" s="2" t="s">
        <v>4994</v>
      </c>
      <c r="B13521" s="2" t="s">
        <v>4965</v>
      </c>
      <c r="C13521" s="2" t="s">
        <v>6931</v>
      </c>
      <c r="D13521" s="3" t="str">
        <f t="shared" ref="D13521:D13523" si="3258">HYPERLINK("https://12go.asia/en/travel/Kalamatiya/Dodanduwa", "12Go Link")</f>
        <v>12Go Link</v>
      </c>
      <c r="E13521" s="2" t="s">
        <v>286</v>
      </c>
    </row>
    <row r="13522">
      <c r="A13522" s="2" t="s">
        <v>4994</v>
      </c>
      <c r="B13522" s="2" t="s">
        <v>4965</v>
      </c>
      <c r="C13522" s="2" t="s">
        <v>6931</v>
      </c>
      <c r="D13522" s="3" t="str">
        <f t="shared" si="3258"/>
        <v>12Go Link</v>
      </c>
      <c r="E13522" s="2" t="s">
        <v>4139</v>
      </c>
    </row>
    <row r="13523">
      <c r="A13523" s="2" t="s">
        <v>4994</v>
      </c>
      <c r="B13523" s="2" t="s">
        <v>4965</v>
      </c>
      <c r="C13523" s="2" t="s">
        <v>6931</v>
      </c>
      <c r="D13523" s="3" t="str">
        <f t="shared" si="3258"/>
        <v>12Go Link</v>
      </c>
      <c r="E13523" s="2" t="s">
        <v>3409</v>
      </c>
    </row>
    <row r="13524">
      <c r="A13524" s="2" t="s">
        <v>4994</v>
      </c>
      <c r="B13524" s="2" t="s">
        <v>4967</v>
      </c>
      <c r="C13524" s="2" t="s">
        <v>6932</v>
      </c>
      <c r="D13524" s="3" t="str">
        <f t="shared" ref="D13524:D13526" si="3259">HYPERLINK("https://12go.asia/en/travel/Kalamatiya/Induruwa", "12Go Link")</f>
        <v>12Go Link</v>
      </c>
      <c r="E13524" s="2" t="s">
        <v>286</v>
      </c>
    </row>
    <row r="13525">
      <c r="A13525" s="2" t="s">
        <v>4994</v>
      </c>
      <c r="B13525" s="2" t="s">
        <v>4967</v>
      </c>
      <c r="C13525" s="2" t="s">
        <v>6932</v>
      </c>
      <c r="D13525" s="3" t="str">
        <f t="shared" si="3259"/>
        <v>12Go Link</v>
      </c>
      <c r="E13525" s="2" t="s">
        <v>4139</v>
      </c>
    </row>
    <row r="13526">
      <c r="A13526" s="2" t="s">
        <v>4994</v>
      </c>
      <c r="B13526" s="2" t="s">
        <v>4967</v>
      </c>
      <c r="C13526" s="2" t="s">
        <v>6932</v>
      </c>
      <c r="D13526" s="3" t="str">
        <f t="shared" si="3259"/>
        <v>12Go Link</v>
      </c>
      <c r="E13526" s="2" t="s">
        <v>3409</v>
      </c>
    </row>
    <row r="13527">
      <c r="A13527" s="2" t="s">
        <v>4994</v>
      </c>
      <c r="B13527" s="2" t="s">
        <v>4969</v>
      </c>
      <c r="C13527" s="2" t="s">
        <v>6933</v>
      </c>
      <c r="D13527" s="3" t="str">
        <f t="shared" ref="D13527:D13529" si="3260">HYPERLINK("https://12go.asia/en/travel/Kalamatiya/Jaffna", "12Go Link")</f>
        <v>12Go Link</v>
      </c>
      <c r="E13527" s="2" t="s">
        <v>286</v>
      </c>
    </row>
    <row r="13528">
      <c r="A13528" s="2" t="s">
        <v>4994</v>
      </c>
      <c r="B13528" s="2" t="s">
        <v>4969</v>
      </c>
      <c r="C13528" s="2" t="s">
        <v>6933</v>
      </c>
      <c r="D13528" s="3" t="str">
        <f t="shared" si="3260"/>
        <v>12Go Link</v>
      </c>
      <c r="E13528" s="2" t="s">
        <v>4139</v>
      </c>
    </row>
    <row r="13529">
      <c r="A13529" s="2" t="s">
        <v>4994</v>
      </c>
      <c r="B13529" s="2" t="s">
        <v>4969</v>
      </c>
      <c r="C13529" s="2" t="s">
        <v>6933</v>
      </c>
      <c r="D13529" s="3" t="str">
        <f t="shared" si="3260"/>
        <v>12Go Link</v>
      </c>
      <c r="E13529" s="2" t="s">
        <v>3409</v>
      </c>
    </row>
    <row r="13530">
      <c r="A13530" s="2" t="s">
        <v>4994</v>
      </c>
      <c r="B13530" s="2" t="s">
        <v>4971</v>
      </c>
      <c r="C13530" s="2" t="s">
        <v>6934</v>
      </c>
      <c r="D13530" s="3" t="str">
        <f t="shared" ref="D13530:D13532" si="3261">HYPERLINK("https://12go.asia/en/travel/Kalamatiya/Kalapuwa", "12Go Link")</f>
        <v>12Go Link</v>
      </c>
      <c r="E13530" s="2" t="s">
        <v>286</v>
      </c>
    </row>
    <row r="13531">
      <c r="A13531" s="2" t="s">
        <v>4994</v>
      </c>
      <c r="B13531" s="2" t="s">
        <v>4971</v>
      </c>
      <c r="C13531" s="2" t="s">
        <v>6934</v>
      </c>
      <c r="D13531" s="3" t="str">
        <f t="shared" si="3261"/>
        <v>12Go Link</v>
      </c>
      <c r="E13531" s="2" t="s">
        <v>4139</v>
      </c>
    </row>
    <row r="13532">
      <c r="A13532" s="2" t="s">
        <v>4994</v>
      </c>
      <c r="B13532" s="2" t="s">
        <v>4971</v>
      </c>
      <c r="C13532" s="2" t="s">
        <v>6934</v>
      </c>
      <c r="D13532" s="3" t="str">
        <f t="shared" si="3261"/>
        <v>12Go Link</v>
      </c>
      <c r="E13532" s="2" t="s">
        <v>3409</v>
      </c>
    </row>
    <row r="13533">
      <c r="A13533" s="2" t="s">
        <v>4994</v>
      </c>
      <c r="B13533" s="2" t="s">
        <v>4973</v>
      </c>
      <c r="C13533" s="2" t="s">
        <v>6935</v>
      </c>
      <c r="D13533" s="3" t="str">
        <f t="shared" ref="D13533:D13535" si="3262">HYPERLINK("https://12go.asia/en/travel/Kalamatiya/Digana", "12Go Link")</f>
        <v>12Go Link</v>
      </c>
      <c r="E13533" s="2" t="s">
        <v>286</v>
      </c>
    </row>
    <row r="13534">
      <c r="A13534" s="2" t="s">
        <v>4994</v>
      </c>
      <c r="B13534" s="2" t="s">
        <v>4973</v>
      </c>
      <c r="C13534" s="2" t="s">
        <v>6935</v>
      </c>
      <c r="D13534" s="3" t="str">
        <f t="shared" si="3262"/>
        <v>12Go Link</v>
      </c>
      <c r="E13534" s="2" t="s">
        <v>4139</v>
      </c>
    </row>
    <row r="13535">
      <c r="A13535" s="2" t="s">
        <v>4994</v>
      </c>
      <c r="B13535" s="2" t="s">
        <v>4973</v>
      </c>
      <c r="C13535" s="2" t="s">
        <v>6935</v>
      </c>
      <c r="D13535" s="3" t="str">
        <f t="shared" si="3262"/>
        <v>12Go Link</v>
      </c>
      <c r="E13535" s="2" t="s">
        <v>3409</v>
      </c>
    </row>
    <row r="13536">
      <c r="A13536" s="2" t="s">
        <v>4994</v>
      </c>
      <c r="B13536" s="2" t="s">
        <v>4976</v>
      </c>
      <c r="C13536" s="2" t="s">
        <v>6936</v>
      </c>
      <c r="D13536" s="3" t="str">
        <f t="shared" ref="D13536:D13538" si="3263">HYPERLINK("https://12go.asia/en/travel/Kalamatiya/Kataragama", "12Go Link")</f>
        <v>12Go Link</v>
      </c>
      <c r="E13536" s="2" t="s">
        <v>286</v>
      </c>
    </row>
    <row r="13537">
      <c r="A13537" s="2" t="s">
        <v>4994</v>
      </c>
      <c r="B13537" s="2" t="s">
        <v>4976</v>
      </c>
      <c r="C13537" s="2" t="s">
        <v>6936</v>
      </c>
      <c r="D13537" s="3" t="str">
        <f t="shared" si="3263"/>
        <v>12Go Link</v>
      </c>
      <c r="E13537" s="2" t="s">
        <v>4139</v>
      </c>
    </row>
    <row r="13538">
      <c r="A13538" s="2" t="s">
        <v>4994</v>
      </c>
      <c r="B13538" s="2" t="s">
        <v>4976</v>
      </c>
      <c r="C13538" s="2" t="s">
        <v>6936</v>
      </c>
      <c r="D13538" s="3" t="str">
        <f t="shared" si="3263"/>
        <v>12Go Link</v>
      </c>
      <c r="E13538" s="2" t="s">
        <v>3409</v>
      </c>
    </row>
    <row r="13539">
      <c r="A13539" s="2" t="s">
        <v>4994</v>
      </c>
      <c r="B13539" s="2" t="s">
        <v>4978</v>
      </c>
      <c r="C13539" s="2" t="s">
        <v>6937</v>
      </c>
      <c r="D13539" s="3" t="str">
        <f t="shared" ref="D13539:D13541" si="3264">HYPERLINK("https://12go.asia/en/travel/Kalamatiya/Alawathupitiya", "12Go Link")</f>
        <v>12Go Link</v>
      </c>
      <c r="E13539" s="2" t="s">
        <v>286</v>
      </c>
    </row>
    <row r="13540">
      <c r="A13540" s="2" t="s">
        <v>4994</v>
      </c>
      <c r="B13540" s="2" t="s">
        <v>4978</v>
      </c>
      <c r="C13540" s="2" t="s">
        <v>6937</v>
      </c>
      <c r="D13540" s="3" t="str">
        <f t="shared" si="3264"/>
        <v>12Go Link</v>
      </c>
      <c r="E13540" s="2" t="s">
        <v>4139</v>
      </c>
    </row>
    <row r="13541">
      <c r="A13541" s="2" t="s">
        <v>4994</v>
      </c>
      <c r="B13541" s="2" t="s">
        <v>4978</v>
      </c>
      <c r="C13541" s="2" t="s">
        <v>6937</v>
      </c>
      <c r="D13541" s="3" t="str">
        <f t="shared" si="3264"/>
        <v>12Go Link</v>
      </c>
      <c r="E13541" s="2" t="s">
        <v>3409</v>
      </c>
    </row>
    <row r="13542">
      <c r="A13542" s="2" t="s">
        <v>4994</v>
      </c>
      <c r="B13542" s="2" t="s">
        <v>4980</v>
      </c>
      <c r="C13542" s="2" t="s">
        <v>6938</v>
      </c>
      <c r="D13542" s="3" t="str">
        <f t="shared" ref="D13542:D13544" si="3265">HYPERLINK("https://12go.asia/en/travel/Kalamatiya/Pinnawala", "12Go Link")</f>
        <v>12Go Link</v>
      </c>
      <c r="E13542" s="2" t="s">
        <v>286</v>
      </c>
    </row>
    <row r="13543">
      <c r="A13543" s="2" t="s">
        <v>4994</v>
      </c>
      <c r="B13543" s="2" t="s">
        <v>4980</v>
      </c>
      <c r="C13543" s="2" t="s">
        <v>6938</v>
      </c>
      <c r="D13543" s="3" t="str">
        <f t="shared" si="3265"/>
        <v>12Go Link</v>
      </c>
      <c r="E13543" s="2" t="s">
        <v>4139</v>
      </c>
    </row>
    <row r="13544">
      <c r="A13544" s="2" t="s">
        <v>4994</v>
      </c>
      <c r="B13544" s="2" t="s">
        <v>4980</v>
      </c>
      <c r="C13544" s="2" t="s">
        <v>6938</v>
      </c>
      <c r="D13544" s="3" t="str">
        <f t="shared" si="3265"/>
        <v>12Go Link</v>
      </c>
      <c r="E13544" s="2" t="s">
        <v>3409</v>
      </c>
    </row>
    <row r="13545">
      <c r="A13545" s="2" t="s">
        <v>4994</v>
      </c>
      <c r="B13545" s="2" t="s">
        <v>4982</v>
      </c>
      <c r="C13545" s="2" t="s">
        <v>6939</v>
      </c>
      <c r="D13545" s="3" t="str">
        <f t="shared" ref="D13545:D13547" si="3266">HYPERLINK("https://12go.asia/en/travel/Kalamatiya/Kitulgala", "12Go Link")</f>
        <v>12Go Link</v>
      </c>
      <c r="E13545" s="2" t="s">
        <v>286</v>
      </c>
    </row>
    <row r="13546">
      <c r="A13546" s="2" t="s">
        <v>4994</v>
      </c>
      <c r="B13546" s="2" t="s">
        <v>4982</v>
      </c>
      <c r="C13546" s="2" t="s">
        <v>6939</v>
      </c>
      <c r="D13546" s="3" t="str">
        <f t="shared" si="3266"/>
        <v>12Go Link</v>
      </c>
      <c r="E13546" s="2" t="s">
        <v>4139</v>
      </c>
    </row>
    <row r="13547">
      <c r="A13547" s="2" t="s">
        <v>4994</v>
      </c>
      <c r="B13547" s="2" t="s">
        <v>4982</v>
      </c>
      <c r="C13547" s="2" t="s">
        <v>6939</v>
      </c>
      <c r="D13547" s="3" t="str">
        <f t="shared" si="3266"/>
        <v>12Go Link</v>
      </c>
      <c r="E13547" s="2" t="s">
        <v>3409</v>
      </c>
    </row>
    <row r="13548">
      <c r="A13548" s="2" t="s">
        <v>4994</v>
      </c>
      <c r="B13548" s="2" t="s">
        <v>4984</v>
      </c>
      <c r="C13548" s="2" t="s">
        <v>6940</v>
      </c>
      <c r="D13548" s="3" t="str">
        <f t="shared" ref="D13548:D13550" si="3267">HYPERLINK("https://12go.asia/en/travel/Kalamatiya/Habaraduwa", "12Go Link")</f>
        <v>12Go Link</v>
      </c>
      <c r="E13548" s="2" t="s">
        <v>286</v>
      </c>
    </row>
    <row r="13549">
      <c r="A13549" s="2" t="s">
        <v>4994</v>
      </c>
      <c r="B13549" s="2" t="s">
        <v>4984</v>
      </c>
      <c r="C13549" s="2" t="s">
        <v>6940</v>
      </c>
      <c r="D13549" s="3" t="str">
        <f t="shared" si="3267"/>
        <v>12Go Link</v>
      </c>
      <c r="E13549" s="2" t="s">
        <v>4139</v>
      </c>
    </row>
    <row r="13550">
      <c r="A13550" s="2" t="s">
        <v>4994</v>
      </c>
      <c r="B13550" s="2" t="s">
        <v>4984</v>
      </c>
      <c r="C13550" s="2" t="s">
        <v>6940</v>
      </c>
      <c r="D13550" s="3" t="str">
        <f t="shared" si="3267"/>
        <v>12Go Link</v>
      </c>
      <c r="E13550" s="2" t="s">
        <v>3409</v>
      </c>
    </row>
    <row r="13551">
      <c r="A13551" s="2" t="s">
        <v>4994</v>
      </c>
      <c r="B13551" s="2" t="s">
        <v>4986</v>
      </c>
      <c r="C13551" s="2" t="s">
        <v>6941</v>
      </c>
      <c r="D13551" s="3" t="str">
        <f t="shared" ref="D13551:D13553" si="3268">HYPERLINK("https://12go.asia/en/travel/Kalamatiya/Kosgoda", "12Go Link")</f>
        <v>12Go Link</v>
      </c>
      <c r="E13551" s="2" t="s">
        <v>286</v>
      </c>
    </row>
    <row r="13552">
      <c r="A13552" s="2" t="s">
        <v>4994</v>
      </c>
      <c r="B13552" s="2" t="s">
        <v>4986</v>
      </c>
      <c r="C13552" s="2" t="s">
        <v>6941</v>
      </c>
      <c r="D13552" s="3" t="str">
        <f t="shared" si="3268"/>
        <v>12Go Link</v>
      </c>
      <c r="E13552" s="2" t="s">
        <v>4139</v>
      </c>
    </row>
    <row r="13553">
      <c r="A13553" s="2" t="s">
        <v>4994</v>
      </c>
      <c r="B13553" s="2" t="s">
        <v>4986</v>
      </c>
      <c r="C13553" s="2" t="s">
        <v>6941</v>
      </c>
      <c r="D13553" s="3" t="str">
        <f t="shared" si="3268"/>
        <v>12Go Link</v>
      </c>
      <c r="E13553" s="2" t="s">
        <v>3409</v>
      </c>
    </row>
    <row r="13554">
      <c r="A13554" s="2" t="s">
        <v>4994</v>
      </c>
      <c r="B13554" s="2" t="s">
        <v>4988</v>
      </c>
      <c r="C13554" s="2" t="s">
        <v>6942</v>
      </c>
      <c r="D13554" s="3" t="str">
        <f t="shared" ref="D13554:D13556" si="3269">HYPERLINK("https://12go.asia/en/travel/Kalamatiya/Kuchchaveli", "12Go Link")</f>
        <v>12Go Link</v>
      </c>
      <c r="E13554" s="2" t="s">
        <v>286</v>
      </c>
    </row>
    <row r="13555">
      <c r="A13555" s="2" t="s">
        <v>4994</v>
      </c>
      <c r="B13555" s="2" t="s">
        <v>4988</v>
      </c>
      <c r="C13555" s="2" t="s">
        <v>6942</v>
      </c>
      <c r="D13555" s="3" t="str">
        <f t="shared" si="3269"/>
        <v>12Go Link</v>
      </c>
      <c r="E13555" s="2" t="s">
        <v>4139</v>
      </c>
    </row>
    <row r="13556">
      <c r="A13556" s="2" t="s">
        <v>4994</v>
      </c>
      <c r="B13556" s="2" t="s">
        <v>4988</v>
      </c>
      <c r="C13556" s="2" t="s">
        <v>6942</v>
      </c>
      <c r="D13556" s="3" t="str">
        <f t="shared" si="3269"/>
        <v>12Go Link</v>
      </c>
      <c r="E13556" s="2" t="s">
        <v>3409</v>
      </c>
    </row>
    <row r="13557">
      <c r="A13557" s="2" t="s">
        <v>4994</v>
      </c>
      <c r="B13557" s="2" t="s">
        <v>4990</v>
      </c>
      <c r="C13557" s="2" t="s">
        <v>6943</v>
      </c>
      <c r="D13557" s="3" t="str">
        <f t="shared" ref="D13557:D13559" si="3270">HYPERLINK("https://12go.asia/en/travel/Kalamatiya/Mannar", "12Go Link")</f>
        <v>12Go Link</v>
      </c>
      <c r="E13557" s="2" t="s">
        <v>286</v>
      </c>
    </row>
    <row r="13558">
      <c r="A13558" s="2" t="s">
        <v>4994</v>
      </c>
      <c r="B13558" s="2" t="s">
        <v>4990</v>
      </c>
      <c r="C13558" s="2" t="s">
        <v>6943</v>
      </c>
      <c r="D13558" s="3" t="str">
        <f t="shared" si="3270"/>
        <v>12Go Link</v>
      </c>
      <c r="E13558" s="2" t="s">
        <v>4139</v>
      </c>
    </row>
    <row r="13559">
      <c r="A13559" s="2" t="s">
        <v>4994</v>
      </c>
      <c r="B13559" s="2" t="s">
        <v>4990</v>
      </c>
      <c r="C13559" s="2" t="s">
        <v>6943</v>
      </c>
      <c r="D13559" s="3" t="str">
        <f t="shared" si="3270"/>
        <v>12Go Link</v>
      </c>
      <c r="E13559" s="2" t="s">
        <v>3409</v>
      </c>
    </row>
    <row r="13560">
      <c r="A13560" s="2" t="s">
        <v>4994</v>
      </c>
      <c r="B13560" s="2" t="s">
        <v>4992</v>
      </c>
      <c r="C13560" s="2" t="s">
        <v>6944</v>
      </c>
      <c r="D13560" s="3" t="str">
        <f t="shared" ref="D13560:D13562" si="3271">HYPERLINK("https://12go.asia/en/travel/Kalamatiya/Kinigama", "12Go Link")</f>
        <v>12Go Link</v>
      </c>
      <c r="E13560" s="2" t="s">
        <v>286</v>
      </c>
    </row>
    <row r="13561">
      <c r="A13561" s="2" t="s">
        <v>4994</v>
      </c>
      <c r="B13561" s="2" t="s">
        <v>4992</v>
      </c>
      <c r="C13561" s="2" t="s">
        <v>6944</v>
      </c>
      <c r="D13561" s="3" t="str">
        <f t="shared" si="3271"/>
        <v>12Go Link</v>
      </c>
      <c r="E13561" s="2" t="s">
        <v>4139</v>
      </c>
    </row>
    <row r="13562">
      <c r="A13562" s="2" t="s">
        <v>4994</v>
      </c>
      <c r="B13562" s="2" t="s">
        <v>4992</v>
      </c>
      <c r="C13562" s="2" t="s">
        <v>6944</v>
      </c>
      <c r="D13562" s="3" t="str">
        <f t="shared" si="3271"/>
        <v>12Go Link</v>
      </c>
      <c r="E13562" s="2" t="s">
        <v>3409</v>
      </c>
    </row>
    <row r="13563">
      <c r="A13563" s="2" t="s">
        <v>4994</v>
      </c>
      <c r="B13563" s="2" t="s">
        <v>4996</v>
      </c>
      <c r="C13563" s="2" t="s">
        <v>6945</v>
      </c>
      <c r="D13563" s="3" t="str">
        <f t="shared" ref="D13563:D13565" si="3272">HYPERLINK("https://12go.asia/en/travel/Kalamatiya/mirissa", "12Go Link")</f>
        <v>12Go Link</v>
      </c>
      <c r="E13563" s="2" t="s">
        <v>286</v>
      </c>
    </row>
    <row r="13564">
      <c r="A13564" s="2" t="s">
        <v>4994</v>
      </c>
      <c r="B13564" s="2" t="s">
        <v>4996</v>
      </c>
      <c r="C13564" s="2" t="s">
        <v>6945</v>
      </c>
      <c r="D13564" s="3" t="str">
        <f t="shared" si="3272"/>
        <v>12Go Link</v>
      </c>
      <c r="E13564" s="2" t="s">
        <v>4139</v>
      </c>
    </row>
    <row r="13565">
      <c r="A13565" s="2" t="s">
        <v>4994</v>
      </c>
      <c r="B13565" s="2" t="s">
        <v>4996</v>
      </c>
      <c r="C13565" s="2" t="s">
        <v>6945</v>
      </c>
      <c r="D13565" s="3" t="str">
        <f t="shared" si="3272"/>
        <v>12Go Link</v>
      </c>
      <c r="E13565" s="2" t="s">
        <v>3409</v>
      </c>
    </row>
    <row r="13566">
      <c r="A13566" s="2" t="s">
        <v>4994</v>
      </c>
      <c r="B13566" s="2" t="s">
        <v>5204</v>
      </c>
      <c r="C13566" s="2" t="s">
        <v>6946</v>
      </c>
      <c r="D13566" s="3" t="str">
        <f>HYPERLINK("https://12go.asia/en/travel/Matara/Moratuwa", "12Go Link")</f>
        <v>12Go Link</v>
      </c>
      <c r="E13566" s="2" t="s">
        <v>5206</v>
      </c>
    </row>
    <row r="13567">
      <c r="A13567" s="2" t="s">
        <v>4994</v>
      </c>
      <c r="B13567" s="2" t="s">
        <v>4998</v>
      </c>
      <c r="C13567" s="2" t="s">
        <v>6947</v>
      </c>
      <c r="D13567" s="3" t="str">
        <f t="shared" ref="D13567:D13569" si="3273">HYPERLINK("https://12go.asia/en/travel/Kalamatiya/Nanu-Oya", "12Go Link")</f>
        <v>12Go Link</v>
      </c>
      <c r="E13567" s="2" t="s">
        <v>286</v>
      </c>
    </row>
    <row r="13568">
      <c r="A13568" s="2" t="s">
        <v>4994</v>
      </c>
      <c r="B13568" s="2" t="s">
        <v>4998</v>
      </c>
      <c r="C13568" s="2" t="s">
        <v>6947</v>
      </c>
      <c r="D13568" s="3" t="str">
        <f t="shared" si="3273"/>
        <v>12Go Link</v>
      </c>
      <c r="E13568" s="2" t="s">
        <v>4139</v>
      </c>
    </row>
    <row r="13569">
      <c r="A13569" s="2" t="s">
        <v>4994</v>
      </c>
      <c r="B13569" s="2" t="s">
        <v>4998</v>
      </c>
      <c r="C13569" s="2" t="s">
        <v>6947</v>
      </c>
      <c r="D13569" s="3" t="str">
        <f t="shared" si="3273"/>
        <v>12Go Link</v>
      </c>
      <c r="E13569" s="2" t="s">
        <v>3409</v>
      </c>
    </row>
    <row r="13570">
      <c r="A13570" s="2" t="s">
        <v>4994</v>
      </c>
      <c r="B13570" s="2" t="s">
        <v>5000</v>
      </c>
      <c r="C13570" s="2" t="s">
        <v>6948</v>
      </c>
      <c r="D13570" s="3" t="str">
        <f t="shared" ref="D13570:D13572" si="3274">HYPERLINK("https://12go.asia/en/travel/Kalamatiya/Waikkal", "12Go Link")</f>
        <v>12Go Link</v>
      </c>
      <c r="E13570" s="2" t="s">
        <v>286</v>
      </c>
    </row>
    <row r="13571">
      <c r="A13571" s="2" t="s">
        <v>4994</v>
      </c>
      <c r="B13571" s="2" t="s">
        <v>5000</v>
      </c>
      <c r="C13571" s="2" t="s">
        <v>6948</v>
      </c>
      <c r="D13571" s="3" t="str">
        <f t="shared" si="3274"/>
        <v>12Go Link</v>
      </c>
      <c r="E13571" s="2" t="s">
        <v>4139</v>
      </c>
    </row>
    <row r="13572">
      <c r="A13572" s="2" t="s">
        <v>4994</v>
      </c>
      <c r="B13572" s="2" t="s">
        <v>5000</v>
      </c>
      <c r="C13572" s="2" t="s">
        <v>6948</v>
      </c>
      <c r="D13572" s="3" t="str">
        <f t="shared" si="3274"/>
        <v>12Go Link</v>
      </c>
      <c r="E13572" s="2" t="s">
        <v>3409</v>
      </c>
    </row>
    <row r="13573">
      <c r="A13573" s="2" t="s">
        <v>4994</v>
      </c>
      <c r="B13573" s="2" t="s">
        <v>5003</v>
      </c>
      <c r="C13573" s="2" t="s">
        <v>6949</v>
      </c>
      <c r="D13573" s="3" t="str">
        <f t="shared" ref="D13573:D13575" si="3275">HYPERLINK("https://12go.asia/en/travel/Kalamatiya/Nilaveli", "12Go Link")</f>
        <v>12Go Link</v>
      </c>
      <c r="E13573" s="2" t="s">
        <v>286</v>
      </c>
    </row>
    <row r="13574">
      <c r="A13574" s="2" t="s">
        <v>4994</v>
      </c>
      <c r="B13574" s="2" t="s">
        <v>5003</v>
      </c>
      <c r="C13574" s="2" t="s">
        <v>6949</v>
      </c>
      <c r="D13574" s="3" t="str">
        <f t="shared" si="3275"/>
        <v>12Go Link</v>
      </c>
      <c r="E13574" s="2" t="s">
        <v>4139</v>
      </c>
    </row>
    <row r="13575">
      <c r="A13575" s="2" t="s">
        <v>4994</v>
      </c>
      <c r="B13575" s="2" t="s">
        <v>5003</v>
      </c>
      <c r="C13575" s="2" t="s">
        <v>6949</v>
      </c>
      <c r="D13575" s="3" t="str">
        <f t="shared" si="3275"/>
        <v>12Go Link</v>
      </c>
      <c r="E13575" s="2" t="s">
        <v>3409</v>
      </c>
    </row>
    <row r="13576">
      <c r="A13576" s="2" t="s">
        <v>4994</v>
      </c>
      <c r="B13576" s="2" t="s">
        <v>5007</v>
      </c>
      <c r="C13576" s="2" t="s">
        <v>6950</v>
      </c>
      <c r="D13576" s="3" t="str">
        <f t="shared" ref="D13576:D13578" si="3276">HYPERLINK("https://12go.asia/en/travel/Kalamatiya/Pasikuda", "12Go Link")</f>
        <v>12Go Link</v>
      </c>
      <c r="E13576" s="2" t="s">
        <v>286</v>
      </c>
    </row>
    <row r="13577">
      <c r="A13577" s="2" t="s">
        <v>4994</v>
      </c>
      <c r="B13577" s="2" t="s">
        <v>5007</v>
      </c>
      <c r="C13577" s="2" t="s">
        <v>6950</v>
      </c>
      <c r="D13577" s="3" t="str">
        <f t="shared" si="3276"/>
        <v>12Go Link</v>
      </c>
      <c r="E13577" s="2" t="s">
        <v>4139</v>
      </c>
    </row>
    <row r="13578">
      <c r="A13578" s="2" t="s">
        <v>4994</v>
      </c>
      <c r="B13578" s="2" t="s">
        <v>5007</v>
      </c>
      <c r="C13578" s="2" t="s">
        <v>6950</v>
      </c>
      <c r="D13578" s="3" t="str">
        <f t="shared" si="3276"/>
        <v>12Go Link</v>
      </c>
      <c r="E13578" s="2" t="s">
        <v>3409</v>
      </c>
    </row>
    <row r="13579">
      <c r="A13579" s="2" t="s">
        <v>4994</v>
      </c>
      <c r="B13579" s="2" t="s">
        <v>5009</v>
      </c>
      <c r="C13579" s="2" t="s">
        <v>6951</v>
      </c>
      <c r="D13579" s="3" t="str">
        <f t="shared" ref="D13579:D13581" si="3277">HYPERLINK("https://12go.asia/en/travel/Kalamatiya/Galoya", "12Go Link")</f>
        <v>12Go Link</v>
      </c>
      <c r="E13579" s="2" t="s">
        <v>286</v>
      </c>
    </row>
    <row r="13580">
      <c r="A13580" s="2" t="s">
        <v>4994</v>
      </c>
      <c r="B13580" s="2" t="s">
        <v>5009</v>
      </c>
      <c r="C13580" s="2" t="s">
        <v>6951</v>
      </c>
      <c r="D13580" s="3" t="str">
        <f t="shared" si="3277"/>
        <v>12Go Link</v>
      </c>
      <c r="E13580" s="2" t="s">
        <v>4139</v>
      </c>
    </row>
    <row r="13581">
      <c r="A13581" s="2" t="s">
        <v>4994</v>
      </c>
      <c r="B13581" s="2" t="s">
        <v>5009</v>
      </c>
      <c r="C13581" s="2" t="s">
        <v>6951</v>
      </c>
      <c r="D13581" s="3" t="str">
        <f t="shared" si="3277"/>
        <v>12Go Link</v>
      </c>
      <c r="E13581" s="2" t="s">
        <v>3409</v>
      </c>
    </row>
    <row r="13582">
      <c r="A13582" s="2" t="s">
        <v>4994</v>
      </c>
      <c r="B13582" s="2" t="s">
        <v>5011</v>
      </c>
      <c r="C13582" s="2" t="s">
        <v>6952</v>
      </c>
      <c r="D13582" s="3" t="str">
        <f t="shared" ref="D13582:D13584" si="3278">HYPERLINK("https://12go.asia/en/travel/Kalamatiya/Kalpitiya", "12Go Link")</f>
        <v>12Go Link</v>
      </c>
      <c r="E13582" s="2" t="s">
        <v>286</v>
      </c>
    </row>
    <row r="13583">
      <c r="A13583" s="2" t="s">
        <v>4994</v>
      </c>
      <c r="B13583" s="2" t="s">
        <v>5011</v>
      </c>
      <c r="C13583" s="2" t="s">
        <v>6952</v>
      </c>
      <c r="D13583" s="3" t="str">
        <f t="shared" si="3278"/>
        <v>12Go Link</v>
      </c>
      <c r="E13583" s="2" t="s">
        <v>4139</v>
      </c>
    </row>
    <row r="13584">
      <c r="A13584" s="2" t="s">
        <v>4994</v>
      </c>
      <c r="B13584" s="2" t="s">
        <v>5011</v>
      </c>
      <c r="C13584" s="2" t="s">
        <v>6952</v>
      </c>
      <c r="D13584" s="3" t="str">
        <f t="shared" si="3278"/>
        <v>12Go Link</v>
      </c>
      <c r="E13584" s="2" t="s">
        <v>3409</v>
      </c>
    </row>
    <row r="13585">
      <c r="A13585" s="2" t="s">
        <v>4994</v>
      </c>
      <c r="B13585" s="2" t="s">
        <v>5011</v>
      </c>
      <c r="C13585" s="2" t="s">
        <v>6953</v>
      </c>
      <c r="D13585" s="3" t="str">
        <f t="shared" ref="D13585:D13587" si="3279">HYPERLINK("https://12go.asia/en/travel/Kalamatiya/Marawila", "12Go Link")</f>
        <v>12Go Link</v>
      </c>
      <c r="E13585" s="2" t="s">
        <v>286</v>
      </c>
    </row>
    <row r="13586">
      <c r="A13586" s="2" t="s">
        <v>4994</v>
      </c>
      <c r="B13586" s="2" t="s">
        <v>5011</v>
      </c>
      <c r="C13586" s="2" t="s">
        <v>6953</v>
      </c>
      <c r="D13586" s="3" t="str">
        <f t="shared" si="3279"/>
        <v>12Go Link</v>
      </c>
      <c r="E13586" s="2" t="s">
        <v>4139</v>
      </c>
    </row>
    <row r="13587">
      <c r="A13587" s="2" t="s">
        <v>4994</v>
      </c>
      <c r="B13587" s="2" t="s">
        <v>5011</v>
      </c>
      <c r="C13587" s="2" t="s">
        <v>6953</v>
      </c>
      <c r="D13587" s="3" t="str">
        <f t="shared" si="3279"/>
        <v>12Go Link</v>
      </c>
      <c r="E13587" s="2" t="s">
        <v>3409</v>
      </c>
    </row>
    <row r="13588">
      <c r="A13588" s="2" t="s">
        <v>4994</v>
      </c>
      <c r="B13588" s="2" t="s">
        <v>5014</v>
      </c>
      <c r="C13588" s="2" t="s">
        <v>6954</v>
      </c>
      <c r="D13588" s="3" t="str">
        <f t="shared" ref="D13588:D13590" si="3280">HYPERLINK("https://12go.asia/en/travel/Kalamatiya/Kiriella", "12Go Link")</f>
        <v>12Go Link</v>
      </c>
      <c r="E13588" s="2" t="s">
        <v>286</v>
      </c>
    </row>
    <row r="13589">
      <c r="A13589" s="2" t="s">
        <v>4994</v>
      </c>
      <c r="B13589" s="2" t="s">
        <v>5014</v>
      </c>
      <c r="C13589" s="2" t="s">
        <v>6954</v>
      </c>
      <c r="D13589" s="3" t="str">
        <f t="shared" si="3280"/>
        <v>12Go Link</v>
      </c>
      <c r="E13589" s="2" t="s">
        <v>4139</v>
      </c>
    </row>
    <row r="13590">
      <c r="A13590" s="2" t="s">
        <v>4994</v>
      </c>
      <c r="B13590" s="2" t="s">
        <v>5014</v>
      </c>
      <c r="C13590" s="2" t="s">
        <v>6954</v>
      </c>
      <c r="D13590" s="3" t="str">
        <f t="shared" si="3280"/>
        <v>12Go Link</v>
      </c>
      <c r="E13590" s="2" t="s">
        <v>3409</v>
      </c>
    </row>
    <row r="13591">
      <c r="A13591" s="2" t="s">
        <v>4994</v>
      </c>
      <c r="B13591" s="2" t="s">
        <v>5018</v>
      </c>
      <c r="C13591" s="2" t="s">
        <v>6955</v>
      </c>
      <c r="D13591" s="3" t="str">
        <f t="shared" ref="D13591:D13593" si="3281">HYPERLINK("https://12go.asia/en/travel/Kalamatiya/Rekawa", "12Go Link")</f>
        <v>12Go Link</v>
      </c>
      <c r="E13591" s="2" t="s">
        <v>286</v>
      </c>
    </row>
    <row r="13592">
      <c r="A13592" s="2" t="s">
        <v>4994</v>
      </c>
      <c r="B13592" s="2" t="s">
        <v>5018</v>
      </c>
      <c r="C13592" s="2" t="s">
        <v>6955</v>
      </c>
      <c r="D13592" s="3" t="str">
        <f t="shared" si="3281"/>
        <v>12Go Link</v>
      </c>
      <c r="E13592" s="2" t="s">
        <v>4139</v>
      </c>
    </row>
    <row r="13593">
      <c r="A13593" s="2" t="s">
        <v>4994</v>
      </c>
      <c r="B13593" s="2" t="s">
        <v>5018</v>
      </c>
      <c r="C13593" s="2" t="s">
        <v>6955</v>
      </c>
      <c r="D13593" s="3" t="str">
        <f t="shared" si="3281"/>
        <v>12Go Link</v>
      </c>
      <c r="E13593" s="2" t="s">
        <v>3409</v>
      </c>
    </row>
    <row r="13594">
      <c r="A13594" s="2" t="s">
        <v>4994</v>
      </c>
      <c r="B13594" s="2" t="s">
        <v>5020</v>
      </c>
      <c r="C13594" s="2" t="s">
        <v>6956</v>
      </c>
      <c r="D13594" s="3" t="str">
        <f t="shared" ref="D13594:D13596" si="3282">HYPERLINK("https://12go.asia/en/travel/Kalamatiya/Tissamaharama", "12Go Link")</f>
        <v>12Go Link</v>
      </c>
      <c r="E13594" s="2" t="s">
        <v>286</v>
      </c>
    </row>
    <row r="13595">
      <c r="A13595" s="2" t="s">
        <v>4994</v>
      </c>
      <c r="B13595" s="2" t="s">
        <v>5020</v>
      </c>
      <c r="C13595" s="2" t="s">
        <v>6956</v>
      </c>
      <c r="D13595" s="3" t="str">
        <f t="shared" si="3282"/>
        <v>12Go Link</v>
      </c>
      <c r="E13595" s="2" t="s">
        <v>4139</v>
      </c>
    </row>
    <row r="13596">
      <c r="A13596" s="2" t="s">
        <v>4994</v>
      </c>
      <c r="B13596" s="2" t="s">
        <v>5020</v>
      </c>
      <c r="C13596" s="2" t="s">
        <v>6956</v>
      </c>
      <c r="D13596" s="3" t="str">
        <f t="shared" si="3282"/>
        <v>12Go Link</v>
      </c>
      <c r="E13596" s="2" t="s">
        <v>3409</v>
      </c>
    </row>
    <row r="13597">
      <c r="A13597" s="2" t="s">
        <v>4994</v>
      </c>
      <c r="B13597" s="2" t="s">
        <v>5020</v>
      </c>
      <c r="C13597" s="2" t="s">
        <v>6957</v>
      </c>
      <c r="D13597" s="3" t="str">
        <f t="shared" ref="D13597:D13599" si="3283">HYPERLINK("https://12go.asia/en/travel/Kalamatiya/Yala-Park", "12Go Link")</f>
        <v>12Go Link</v>
      </c>
      <c r="E13597" s="2" t="s">
        <v>286</v>
      </c>
    </row>
    <row r="13598">
      <c r="A13598" s="2" t="s">
        <v>4994</v>
      </c>
      <c r="B13598" s="2" t="s">
        <v>5020</v>
      </c>
      <c r="C13598" s="2" t="s">
        <v>6957</v>
      </c>
      <c r="D13598" s="3" t="str">
        <f t="shared" si="3283"/>
        <v>12Go Link</v>
      </c>
      <c r="E13598" s="2" t="s">
        <v>4139</v>
      </c>
    </row>
    <row r="13599">
      <c r="A13599" s="2" t="s">
        <v>4994</v>
      </c>
      <c r="B13599" s="2" t="s">
        <v>5020</v>
      </c>
      <c r="C13599" s="2" t="s">
        <v>6957</v>
      </c>
      <c r="D13599" s="3" t="str">
        <f t="shared" si="3283"/>
        <v>12Go Link</v>
      </c>
      <c r="E13599" s="2" t="s">
        <v>3409</v>
      </c>
    </row>
    <row r="13600">
      <c r="A13600" s="2" t="s">
        <v>4994</v>
      </c>
      <c r="B13600" s="2" t="s">
        <v>5023</v>
      </c>
      <c r="C13600" s="2" t="s">
        <v>6958</v>
      </c>
      <c r="D13600" s="3" t="str">
        <f t="shared" ref="D13600:D13602" si="3284">HYPERLINK("https://12go.asia/en/travel/Kalamatiya/Nilaweli", "12Go Link")</f>
        <v>12Go Link</v>
      </c>
      <c r="E13600" s="2" t="s">
        <v>286</v>
      </c>
    </row>
    <row r="13601">
      <c r="A13601" s="2" t="s">
        <v>4994</v>
      </c>
      <c r="B13601" s="2" t="s">
        <v>5023</v>
      </c>
      <c r="C13601" s="2" t="s">
        <v>6958</v>
      </c>
      <c r="D13601" s="3" t="str">
        <f t="shared" si="3284"/>
        <v>12Go Link</v>
      </c>
      <c r="E13601" s="2" t="s">
        <v>4139</v>
      </c>
    </row>
    <row r="13602">
      <c r="A13602" s="2" t="s">
        <v>4994</v>
      </c>
      <c r="B13602" s="2" t="s">
        <v>5023</v>
      </c>
      <c r="C13602" s="2" t="s">
        <v>6958</v>
      </c>
      <c r="D13602" s="3" t="str">
        <f t="shared" si="3284"/>
        <v>12Go Link</v>
      </c>
      <c r="E13602" s="2" t="s">
        <v>3409</v>
      </c>
    </row>
    <row r="13603">
      <c r="A13603" s="2" t="s">
        <v>4994</v>
      </c>
      <c r="B13603" s="2" t="s">
        <v>5025</v>
      </c>
      <c r="C13603" s="2" t="s">
        <v>6959</v>
      </c>
      <c r="D13603" s="3" t="str">
        <f t="shared" ref="D13603:D13605" si="3285">HYPERLINK("https://12go.asia/en/travel/Kalamatiya/Udawalawa", "12Go Link")</f>
        <v>12Go Link</v>
      </c>
      <c r="E13603" s="2" t="s">
        <v>286</v>
      </c>
    </row>
    <row r="13604">
      <c r="A13604" s="2" t="s">
        <v>4994</v>
      </c>
      <c r="B13604" s="2" t="s">
        <v>5025</v>
      </c>
      <c r="C13604" s="2" t="s">
        <v>6959</v>
      </c>
      <c r="D13604" s="3" t="str">
        <f t="shared" si="3285"/>
        <v>12Go Link</v>
      </c>
      <c r="E13604" s="2" t="s">
        <v>4139</v>
      </c>
    </row>
    <row r="13605">
      <c r="A13605" s="2" t="s">
        <v>4994</v>
      </c>
      <c r="B13605" s="2" t="s">
        <v>5025</v>
      </c>
      <c r="C13605" s="2" t="s">
        <v>6959</v>
      </c>
      <c r="D13605" s="3" t="str">
        <f t="shared" si="3285"/>
        <v>12Go Link</v>
      </c>
      <c r="E13605" s="2" t="s">
        <v>3409</v>
      </c>
    </row>
    <row r="13606">
      <c r="A13606" s="2" t="s">
        <v>4994</v>
      </c>
      <c r="B13606" s="2" t="s">
        <v>5027</v>
      </c>
      <c r="C13606" s="2" t="s">
        <v>6960</v>
      </c>
      <c r="D13606" s="3" t="str">
        <f t="shared" ref="D13606:D13608" si="3286">HYPERLINK("https://12go.asia/en/travel/Kalamatiya/Unawatuna", "12Go Link")</f>
        <v>12Go Link</v>
      </c>
      <c r="E13606" s="2" t="s">
        <v>286</v>
      </c>
    </row>
    <row r="13607">
      <c r="A13607" s="2" t="s">
        <v>4994</v>
      </c>
      <c r="B13607" s="2" t="s">
        <v>5027</v>
      </c>
      <c r="C13607" s="2" t="s">
        <v>6960</v>
      </c>
      <c r="D13607" s="3" t="str">
        <f t="shared" si="3286"/>
        <v>12Go Link</v>
      </c>
      <c r="E13607" s="2" t="s">
        <v>4139</v>
      </c>
    </row>
    <row r="13608">
      <c r="A13608" s="2" t="s">
        <v>4994</v>
      </c>
      <c r="B13608" s="2" t="s">
        <v>5027</v>
      </c>
      <c r="C13608" s="2" t="s">
        <v>6960</v>
      </c>
      <c r="D13608" s="3" t="str">
        <f t="shared" si="3286"/>
        <v>12Go Link</v>
      </c>
      <c r="E13608" s="2" t="s">
        <v>3409</v>
      </c>
    </row>
    <row r="13609">
      <c r="A13609" s="2" t="s">
        <v>4994</v>
      </c>
      <c r="B13609" s="2" t="s">
        <v>5029</v>
      </c>
      <c r="C13609" s="2" t="s">
        <v>6961</v>
      </c>
      <c r="D13609" s="3" t="str">
        <f t="shared" ref="D13609:D13611" si="3287">HYPERLINK("https://12go.asia/en/travel/Kalamatiya/Attanagalla", "12Go Link")</f>
        <v>12Go Link</v>
      </c>
      <c r="E13609" s="2" t="s">
        <v>286</v>
      </c>
    </row>
    <row r="13610">
      <c r="A13610" s="2" t="s">
        <v>4994</v>
      </c>
      <c r="B13610" s="2" t="s">
        <v>5029</v>
      </c>
      <c r="C13610" s="2" t="s">
        <v>6961</v>
      </c>
      <c r="D13610" s="3" t="str">
        <f t="shared" si="3287"/>
        <v>12Go Link</v>
      </c>
      <c r="E13610" s="2" t="s">
        <v>4139</v>
      </c>
    </row>
    <row r="13611">
      <c r="A13611" s="2" t="s">
        <v>4994</v>
      </c>
      <c r="B13611" s="2" t="s">
        <v>5029</v>
      </c>
      <c r="C13611" s="2" t="s">
        <v>6961</v>
      </c>
      <c r="D13611" s="3" t="str">
        <f t="shared" si="3287"/>
        <v>12Go Link</v>
      </c>
      <c r="E13611" s="2" t="s">
        <v>3409</v>
      </c>
    </row>
    <row r="13612">
      <c r="A13612" s="2" t="s">
        <v>4994</v>
      </c>
      <c r="B13612" s="2" t="s">
        <v>5031</v>
      </c>
      <c r="C13612" s="2" t="s">
        <v>6962</v>
      </c>
      <c r="D13612" s="3" t="str">
        <f t="shared" ref="D13612:D13614" si="3288">HYPERLINK("https://12go.asia/en/travel/Kalamatiya/Moronthuduwa", "12Go Link")</f>
        <v>12Go Link</v>
      </c>
      <c r="E13612" s="2" t="s">
        <v>286</v>
      </c>
    </row>
    <row r="13613">
      <c r="A13613" s="2" t="s">
        <v>4994</v>
      </c>
      <c r="B13613" s="2" t="s">
        <v>5031</v>
      </c>
      <c r="C13613" s="2" t="s">
        <v>6962</v>
      </c>
      <c r="D13613" s="3" t="str">
        <f t="shared" si="3288"/>
        <v>12Go Link</v>
      </c>
      <c r="E13613" s="2" t="s">
        <v>4139</v>
      </c>
    </row>
    <row r="13614">
      <c r="A13614" s="2" t="s">
        <v>4994</v>
      </c>
      <c r="B13614" s="2" t="s">
        <v>5031</v>
      </c>
      <c r="C13614" s="2" t="s">
        <v>6962</v>
      </c>
      <c r="D13614" s="3" t="str">
        <f t="shared" si="3288"/>
        <v>12Go Link</v>
      </c>
      <c r="E13614" s="2" t="s">
        <v>3409</v>
      </c>
    </row>
    <row r="13615">
      <c r="A13615" s="2" t="s">
        <v>4994</v>
      </c>
      <c r="B13615" s="2" t="s">
        <v>5031</v>
      </c>
      <c r="C13615" s="2" t="s">
        <v>6963</v>
      </c>
      <c r="D13615" s="3" t="str">
        <f t="shared" ref="D13615:D13617" si="3289">HYPERLINK("https://12go.asia/en/travel/Kalamatiya/Waskaduwa", "12Go Link")</f>
        <v>12Go Link</v>
      </c>
      <c r="E13615" s="2" t="s">
        <v>286</v>
      </c>
    </row>
    <row r="13616">
      <c r="A13616" s="2" t="s">
        <v>4994</v>
      </c>
      <c r="B13616" s="2" t="s">
        <v>5031</v>
      </c>
      <c r="C13616" s="2" t="s">
        <v>6963</v>
      </c>
      <c r="D13616" s="3" t="str">
        <f t="shared" si="3289"/>
        <v>12Go Link</v>
      </c>
      <c r="E13616" s="2" t="s">
        <v>4139</v>
      </c>
    </row>
    <row r="13617">
      <c r="A13617" s="2" t="s">
        <v>4994</v>
      </c>
      <c r="B13617" s="2" t="s">
        <v>5031</v>
      </c>
      <c r="C13617" s="2" t="s">
        <v>6963</v>
      </c>
      <c r="D13617" s="3" t="str">
        <f t="shared" si="3289"/>
        <v>12Go Link</v>
      </c>
      <c r="E13617" s="2" t="s">
        <v>3409</v>
      </c>
    </row>
    <row r="13618">
      <c r="A13618" s="2" t="s">
        <v>4994</v>
      </c>
      <c r="B13618" s="2" t="s">
        <v>5034</v>
      </c>
      <c r="C13618" s="2" t="s">
        <v>6964</v>
      </c>
      <c r="D13618" s="3" t="str">
        <f t="shared" ref="D13618:D13620" si="3290">HYPERLINK("https://12go.asia/en/travel/Kalamatiya/Weddagala", "12Go Link")</f>
        <v>12Go Link</v>
      </c>
      <c r="E13618" s="2" t="s">
        <v>286</v>
      </c>
    </row>
    <row r="13619">
      <c r="A13619" s="2" t="s">
        <v>4994</v>
      </c>
      <c r="B13619" s="2" t="s">
        <v>5034</v>
      </c>
      <c r="C13619" s="2" t="s">
        <v>6964</v>
      </c>
      <c r="D13619" s="3" t="str">
        <f t="shared" si="3290"/>
        <v>12Go Link</v>
      </c>
      <c r="E13619" s="2" t="s">
        <v>4139</v>
      </c>
    </row>
    <row r="13620">
      <c r="A13620" s="2" t="s">
        <v>4994</v>
      </c>
      <c r="B13620" s="2" t="s">
        <v>5034</v>
      </c>
      <c r="C13620" s="2" t="s">
        <v>6964</v>
      </c>
      <c r="D13620" s="3" t="str">
        <f t="shared" si="3290"/>
        <v>12Go Link</v>
      </c>
      <c r="E13620" s="2" t="s">
        <v>3409</v>
      </c>
    </row>
    <row r="13621">
      <c r="A13621" s="2" t="s">
        <v>4994</v>
      </c>
      <c r="B13621" s="2" t="s">
        <v>5036</v>
      </c>
      <c r="C13621" s="2" t="s">
        <v>6965</v>
      </c>
      <c r="D13621" s="3" t="str">
        <f t="shared" ref="D13621:D13623" si="3291">HYPERLINK("https://12go.asia/en/travel/Kalamatiya/Weligatta", "12Go Link")</f>
        <v>12Go Link</v>
      </c>
      <c r="E13621" s="2" t="s">
        <v>286</v>
      </c>
    </row>
    <row r="13622">
      <c r="A13622" s="2" t="s">
        <v>4994</v>
      </c>
      <c r="B13622" s="2" t="s">
        <v>5036</v>
      </c>
      <c r="C13622" s="2" t="s">
        <v>6965</v>
      </c>
      <c r="D13622" s="3" t="str">
        <f t="shared" si="3291"/>
        <v>12Go Link</v>
      </c>
      <c r="E13622" s="2" t="s">
        <v>4139</v>
      </c>
    </row>
    <row r="13623">
      <c r="A13623" s="2" t="s">
        <v>4994</v>
      </c>
      <c r="B13623" s="2" t="s">
        <v>5036</v>
      </c>
      <c r="C13623" s="2" t="s">
        <v>6965</v>
      </c>
      <c r="D13623" s="3" t="str">
        <f t="shared" si="3291"/>
        <v>12Go Link</v>
      </c>
      <c r="E13623" s="2" t="s">
        <v>3409</v>
      </c>
    </row>
    <row r="13624">
      <c r="A13624" s="2" t="s">
        <v>4994</v>
      </c>
      <c r="B13624" s="2" t="s">
        <v>5038</v>
      </c>
      <c r="C13624" s="2" t="s">
        <v>6966</v>
      </c>
      <c r="D13624" s="3" t="str">
        <f t="shared" ref="D13624:D13626" si="3292">HYPERLINK("https://12go.asia/en/travel/Kalamatiya/Akuressa", "12Go Link")</f>
        <v>12Go Link</v>
      </c>
      <c r="E13624" s="2" t="s">
        <v>286</v>
      </c>
    </row>
    <row r="13625">
      <c r="A13625" s="2" t="s">
        <v>4994</v>
      </c>
      <c r="B13625" s="2" t="s">
        <v>5038</v>
      </c>
      <c r="C13625" s="2" t="s">
        <v>6966</v>
      </c>
      <c r="D13625" s="3" t="str">
        <f t="shared" si="3292"/>
        <v>12Go Link</v>
      </c>
      <c r="E13625" s="2" t="s">
        <v>4139</v>
      </c>
    </row>
    <row r="13626">
      <c r="A13626" s="2" t="s">
        <v>4994</v>
      </c>
      <c r="B13626" s="2" t="s">
        <v>5038</v>
      </c>
      <c r="C13626" s="2" t="s">
        <v>6966</v>
      </c>
      <c r="D13626" s="3" t="str">
        <f t="shared" si="3292"/>
        <v>12Go Link</v>
      </c>
      <c r="E13626" s="2" t="s">
        <v>3409</v>
      </c>
    </row>
    <row r="13627">
      <c r="A13627" s="2" t="s">
        <v>4994</v>
      </c>
      <c r="B13627" s="2" t="s">
        <v>5040</v>
      </c>
      <c r="C13627" s="2" t="s">
        <v>6967</v>
      </c>
      <c r="D13627" s="3" t="str">
        <f t="shared" ref="D13627:D13629" si="3293">HYPERLINK("https://12go.asia/en/travel/Kalamatiya/Wilpattu", "12Go Link")</f>
        <v>12Go Link</v>
      </c>
      <c r="E13627" s="2" t="s">
        <v>286</v>
      </c>
    </row>
    <row r="13628">
      <c r="A13628" s="2" t="s">
        <v>4994</v>
      </c>
      <c r="B13628" s="2" t="s">
        <v>5040</v>
      </c>
      <c r="C13628" s="2" t="s">
        <v>6967</v>
      </c>
      <c r="D13628" s="3" t="str">
        <f t="shared" si="3293"/>
        <v>12Go Link</v>
      </c>
      <c r="E13628" s="2" t="s">
        <v>4139</v>
      </c>
    </row>
    <row r="13629">
      <c r="A13629" s="2" t="s">
        <v>4994</v>
      </c>
      <c r="B13629" s="2" t="s">
        <v>5040</v>
      </c>
      <c r="C13629" s="2" t="s">
        <v>6967</v>
      </c>
      <c r="D13629" s="3" t="str">
        <f t="shared" si="3293"/>
        <v>12Go Link</v>
      </c>
      <c r="E13629" s="2" t="s">
        <v>3409</v>
      </c>
    </row>
    <row r="13630">
      <c r="A13630" s="2" t="s">
        <v>4996</v>
      </c>
      <c r="B13630" s="2" t="s">
        <v>4918</v>
      </c>
      <c r="C13630" s="2" t="s">
        <v>6968</v>
      </c>
      <c r="D13630" s="3" t="str">
        <f t="shared" ref="D13630:D13632" si="3294">HYPERLINK("https://12go.asia/en/travel/mirissa/Adams-Peak", "12Go Link")</f>
        <v>12Go Link</v>
      </c>
      <c r="E13630" s="2" t="s">
        <v>286</v>
      </c>
    </row>
    <row r="13631">
      <c r="A13631" s="2" t="s">
        <v>4996</v>
      </c>
      <c r="B13631" s="2" t="s">
        <v>4918</v>
      </c>
      <c r="C13631" s="2" t="s">
        <v>6968</v>
      </c>
      <c r="D13631" s="3" t="str">
        <f t="shared" si="3294"/>
        <v>12Go Link</v>
      </c>
      <c r="E13631" s="2" t="s">
        <v>4139</v>
      </c>
    </row>
    <row r="13632">
      <c r="A13632" s="2" t="s">
        <v>4996</v>
      </c>
      <c r="B13632" s="2" t="s">
        <v>4918</v>
      </c>
      <c r="C13632" s="2" t="s">
        <v>6968</v>
      </c>
      <c r="D13632" s="3" t="str">
        <f t="shared" si="3294"/>
        <v>12Go Link</v>
      </c>
      <c r="E13632" s="2" t="s">
        <v>3409</v>
      </c>
    </row>
    <row r="13633">
      <c r="A13633" s="2" t="s">
        <v>4996</v>
      </c>
      <c r="B13633" s="2" t="s">
        <v>4919</v>
      </c>
      <c r="C13633" s="2" t="s">
        <v>6969</v>
      </c>
      <c r="D13633" s="3" t="str">
        <f t="shared" ref="D13633:D13635" si="3295">HYPERLINK("https://12go.asia/en/travel/mirissa/Ahangama", "12Go Link")</f>
        <v>12Go Link</v>
      </c>
      <c r="E13633" s="2" t="s">
        <v>286</v>
      </c>
    </row>
    <row r="13634">
      <c r="A13634" s="2" t="s">
        <v>4996</v>
      </c>
      <c r="B13634" s="2" t="s">
        <v>4919</v>
      </c>
      <c r="C13634" s="2" t="s">
        <v>6969</v>
      </c>
      <c r="D13634" s="3" t="str">
        <f t="shared" si="3295"/>
        <v>12Go Link</v>
      </c>
      <c r="E13634" s="2" t="s">
        <v>4139</v>
      </c>
    </row>
    <row r="13635">
      <c r="A13635" s="2" t="s">
        <v>4996</v>
      </c>
      <c r="B13635" s="2" t="s">
        <v>4919</v>
      </c>
      <c r="C13635" s="2" t="s">
        <v>6969</v>
      </c>
      <c r="D13635" s="3" t="str">
        <f t="shared" si="3295"/>
        <v>12Go Link</v>
      </c>
      <c r="E13635" s="2" t="s">
        <v>3409</v>
      </c>
    </row>
    <row r="13636">
      <c r="A13636" s="2" t="s">
        <v>4996</v>
      </c>
      <c r="B13636" s="2" t="s">
        <v>4921</v>
      </c>
      <c r="C13636" s="2" t="s">
        <v>6970</v>
      </c>
      <c r="D13636" s="3" t="str">
        <f t="shared" ref="D13636:D13638" si="3296">HYPERLINK("https://12go.asia/en/travel/mirissa/Ahungalla", "12Go Link")</f>
        <v>12Go Link</v>
      </c>
      <c r="E13636" s="2" t="s">
        <v>286</v>
      </c>
    </row>
    <row r="13637">
      <c r="A13637" s="2" t="s">
        <v>4996</v>
      </c>
      <c r="B13637" s="2" t="s">
        <v>4921</v>
      </c>
      <c r="C13637" s="2" t="s">
        <v>6970</v>
      </c>
      <c r="D13637" s="3" t="str">
        <f t="shared" si="3296"/>
        <v>12Go Link</v>
      </c>
      <c r="E13637" s="2" t="s">
        <v>4139</v>
      </c>
    </row>
    <row r="13638">
      <c r="A13638" s="2" t="s">
        <v>4996</v>
      </c>
      <c r="B13638" s="2" t="s">
        <v>4921</v>
      </c>
      <c r="C13638" s="2" t="s">
        <v>6970</v>
      </c>
      <c r="D13638" s="3" t="str">
        <f t="shared" si="3296"/>
        <v>12Go Link</v>
      </c>
      <c r="E13638" s="2" t="s">
        <v>3409</v>
      </c>
    </row>
    <row r="13639">
      <c r="A13639" s="2" t="s">
        <v>4996</v>
      </c>
      <c r="B13639" s="2" t="s">
        <v>4923</v>
      </c>
      <c r="C13639" s="2" t="s">
        <v>6971</v>
      </c>
      <c r="D13639" s="3" t="str">
        <f t="shared" ref="D13639:D13641" si="3297">HYPERLINK("https://12go.asia/en/travel/mirissa/Aluthgama", "12Go Link")</f>
        <v>12Go Link</v>
      </c>
      <c r="E13639" s="2" t="s">
        <v>286</v>
      </c>
    </row>
    <row r="13640">
      <c r="A13640" s="2" t="s">
        <v>4996</v>
      </c>
      <c r="B13640" s="2" t="s">
        <v>4923</v>
      </c>
      <c r="C13640" s="2" t="s">
        <v>6971</v>
      </c>
      <c r="D13640" s="3" t="str">
        <f t="shared" si="3297"/>
        <v>12Go Link</v>
      </c>
      <c r="E13640" s="2" t="s">
        <v>4139</v>
      </c>
    </row>
    <row r="13641">
      <c r="A13641" s="2" t="s">
        <v>4996</v>
      </c>
      <c r="B13641" s="2" t="s">
        <v>4923</v>
      </c>
      <c r="C13641" s="2" t="s">
        <v>6971</v>
      </c>
      <c r="D13641" s="3" t="str">
        <f t="shared" si="3297"/>
        <v>12Go Link</v>
      </c>
      <c r="E13641" s="2" t="s">
        <v>3409</v>
      </c>
    </row>
    <row r="13642">
      <c r="A13642" s="2" t="s">
        <v>4996</v>
      </c>
      <c r="B13642" s="2" t="s">
        <v>4925</v>
      </c>
      <c r="C13642" s="2" t="s">
        <v>6972</v>
      </c>
      <c r="D13642" s="3" t="str">
        <f t="shared" ref="D13642:D13644" si="3298">HYPERLINK("https://12go.asia/en/travel/mirissa/Ambalangoda", "12Go Link")</f>
        <v>12Go Link</v>
      </c>
      <c r="E13642" s="2" t="s">
        <v>286</v>
      </c>
    </row>
    <row r="13643">
      <c r="A13643" s="2" t="s">
        <v>4996</v>
      </c>
      <c r="B13643" s="2" t="s">
        <v>4925</v>
      </c>
      <c r="C13643" s="2" t="s">
        <v>6972</v>
      </c>
      <c r="D13643" s="3" t="str">
        <f t="shared" si="3298"/>
        <v>12Go Link</v>
      </c>
      <c r="E13643" s="2" t="s">
        <v>4139</v>
      </c>
    </row>
    <row r="13644">
      <c r="A13644" s="2" t="s">
        <v>4996</v>
      </c>
      <c r="B13644" s="2" t="s">
        <v>4925</v>
      </c>
      <c r="C13644" s="2" t="s">
        <v>6972</v>
      </c>
      <c r="D13644" s="3" t="str">
        <f t="shared" si="3298"/>
        <v>12Go Link</v>
      </c>
      <c r="E13644" s="2" t="s">
        <v>3409</v>
      </c>
    </row>
    <row r="13645">
      <c r="A13645" s="2" t="s">
        <v>4996</v>
      </c>
      <c r="B13645" s="2" t="s">
        <v>4927</v>
      </c>
      <c r="C13645" s="2" t="s">
        <v>6973</v>
      </c>
      <c r="D13645" s="3" t="str">
        <f t="shared" ref="D13645:D13647" si="3299">HYPERLINK("https://12go.asia/en/travel/mirissa/Ambalantota", "12Go Link")</f>
        <v>12Go Link</v>
      </c>
      <c r="E13645" s="2" t="s">
        <v>286</v>
      </c>
    </row>
    <row r="13646">
      <c r="A13646" s="2" t="s">
        <v>4996</v>
      </c>
      <c r="B13646" s="2" t="s">
        <v>4927</v>
      </c>
      <c r="C13646" s="2" t="s">
        <v>6973</v>
      </c>
      <c r="D13646" s="3" t="str">
        <f t="shared" si="3299"/>
        <v>12Go Link</v>
      </c>
      <c r="E13646" s="2" t="s">
        <v>4139</v>
      </c>
    </row>
    <row r="13647">
      <c r="A13647" s="2" t="s">
        <v>4996</v>
      </c>
      <c r="B13647" s="2" t="s">
        <v>4927</v>
      </c>
      <c r="C13647" s="2" t="s">
        <v>6973</v>
      </c>
      <c r="D13647" s="3" t="str">
        <f t="shared" si="3299"/>
        <v>12Go Link</v>
      </c>
      <c r="E13647" s="2" t="s">
        <v>3409</v>
      </c>
    </row>
    <row r="13648">
      <c r="A13648" s="2" t="s">
        <v>4996</v>
      </c>
      <c r="B13648" s="2" t="s">
        <v>4929</v>
      </c>
      <c r="C13648" s="2" t="s">
        <v>6974</v>
      </c>
      <c r="D13648" s="3" t="str">
        <f t="shared" ref="D13648:D13650" si="3300">HYPERLINK("https://12go.asia/en/travel/mirissa/Anuradhapura", "12Go Link")</f>
        <v>12Go Link</v>
      </c>
      <c r="E13648" s="2" t="s">
        <v>286</v>
      </c>
    </row>
    <row r="13649">
      <c r="A13649" s="2" t="s">
        <v>4996</v>
      </c>
      <c r="B13649" s="2" t="s">
        <v>4929</v>
      </c>
      <c r="C13649" s="2" t="s">
        <v>6974</v>
      </c>
      <c r="D13649" s="3" t="str">
        <f t="shared" si="3300"/>
        <v>12Go Link</v>
      </c>
      <c r="E13649" s="2" t="s">
        <v>4139</v>
      </c>
    </row>
    <row r="13650">
      <c r="A13650" s="2" t="s">
        <v>4996</v>
      </c>
      <c r="B13650" s="2" t="s">
        <v>4929</v>
      </c>
      <c r="C13650" s="2" t="s">
        <v>6974</v>
      </c>
      <c r="D13650" s="3" t="str">
        <f t="shared" si="3300"/>
        <v>12Go Link</v>
      </c>
      <c r="E13650" s="2" t="s">
        <v>3409</v>
      </c>
    </row>
    <row r="13651">
      <c r="A13651" s="2" t="s">
        <v>4996</v>
      </c>
      <c r="B13651" s="2" t="s">
        <v>4931</v>
      </c>
      <c r="C13651" s="2" t="s">
        <v>6975</v>
      </c>
      <c r="D13651" s="3" t="str">
        <f t="shared" ref="D13651:D13653" si="3301">HYPERLINK("https://12go.asia/en/travel/mirissa/Arugam-bay", "12Go Link")</f>
        <v>12Go Link</v>
      </c>
      <c r="E13651" s="2" t="s">
        <v>286</v>
      </c>
    </row>
    <row r="13652">
      <c r="A13652" s="2" t="s">
        <v>4996</v>
      </c>
      <c r="B13652" s="2" t="s">
        <v>4931</v>
      </c>
      <c r="C13652" s="2" t="s">
        <v>6975</v>
      </c>
      <c r="D13652" s="3" t="str">
        <f t="shared" si="3301"/>
        <v>12Go Link</v>
      </c>
      <c r="E13652" s="2" t="s">
        <v>4139</v>
      </c>
    </row>
    <row r="13653">
      <c r="A13653" s="2" t="s">
        <v>4996</v>
      </c>
      <c r="B13653" s="2" t="s">
        <v>4931</v>
      </c>
      <c r="C13653" s="2" t="s">
        <v>6975</v>
      </c>
      <c r="D13653" s="3" t="str">
        <f t="shared" si="3301"/>
        <v>12Go Link</v>
      </c>
      <c r="E13653" s="2" t="s">
        <v>3409</v>
      </c>
    </row>
    <row r="13654">
      <c r="A13654" s="2" t="s">
        <v>4996</v>
      </c>
      <c r="B13654" s="2" t="s">
        <v>4933</v>
      </c>
      <c r="C13654" s="2" t="s">
        <v>6976</v>
      </c>
      <c r="D13654" s="3" t="str">
        <f t="shared" ref="D13654:D13656" si="3302">HYPERLINK("https://12go.asia/en/travel/mirissa/balapitiya", "12Go Link")</f>
        <v>12Go Link</v>
      </c>
      <c r="E13654" s="2" t="s">
        <v>286</v>
      </c>
    </row>
    <row r="13655">
      <c r="A13655" s="2" t="s">
        <v>4996</v>
      </c>
      <c r="B13655" s="2" t="s">
        <v>4933</v>
      </c>
      <c r="C13655" s="2" t="s">
        <v>6976</v>
      </c>
      <c r="D13655" s="3" t="str">
        <f t="shared" si="3302"/>
        <v>12Go Link</v>
      </c>
      <c r="E13655" s="2" t="s">
        <v>4139</v>
      </c>
    </row>
    <row r="13656">
      <c r="A13656" s="2" t="s">
        <v>4996</v>
      </c>
      <c r="B13656" s="2" t="s">
        <v>4933</v>
      </c>
      <c r="C13656" s="2" t="s">
        <v>6976</v>
      </c>
      <c r="D13656" s="3" t="str">
        <f t="shared" si="3302"/>
        <v>12Go Link</v>
      </c>
      <c r="E13656" s="2" t="s">
        <v>3409</v>
      </c>
    </row>
    <row r="13657">
      <c r="A13657" s="2" t="s">
        <v>4996</v>
      </c>
      <c r="B13657" s="2" t="s">
        <v>4935</v>
      </c>
      <c r="C13657" s="2" t="s">
        <v>6977</v>
      </c>
      <c r="D13657" s="3" t="str">
        <f t="shared" ref="D13657:D13659" si="3303">HYPERLINK("https://12go.asia/en/travel/mirissa/Batticaloa", "12Go Link")</f>
        <v>12Go Link</v>
      </c>
      <c r="E13657" s="2" t="s">
        <v>286</v>
      </c>
    </row>
    <row r="13658">
      <c r="A13658" s="2" t="s">
        <v>4996</v>
      </c>
      <c r="B13658" s="2" t="s">
        <v>4935</v>
      </c>
      <c r="C13658" s="2" t="s">
        <v>6977</v>
      </c>
      <c r="D13658" s="3" t="str">
        <f t="shared" si="3303"/>
        <v>12Go Link</v>
      </c>
      <c r="E13658" s="2" t="s">
        <v>4139</v>
      </c>
    </row>
    <row r="13659">
      <c r="A13659" s="2" t="s">
        <v>4996</v>
      </c>
      <c r="B13659" s="2" t="s">
        <v>4935</v>
      </c>
      <c r="C13659" s="2" t="s">
        <v>6977</v>
      </c>
      <c r="D13659" s="3" t="str">
        <f t="shared" si="3303"/>
        <v>12Go Link</v>
      </c>
      <c r="E13659" s="2" t="s">
        <v>3409</v>
      </c>
    </row>
    <row r="13660">
      <c r="A13660" s="2" t="s">
        <v>4996</v>
      </c>
      <c r="B13660" s="2" t="s">
        <v>4937</v>
      </c>
      <c r="C13660" s="2" t="s">
        <v>6978</v>
      </c>
      <c r="D13660" s="3" t="str">
        <f t="shared" ref="D13660:D13662" si="3304">HYPERLINK("https://12go.asia/en/travel/mirissa/Bentota", "12Go Link")</f>
        <v>12Go Link</v>
      </c>
      <c r="E13660" s="2" t="s">
        <v>286</v>
      </c>
    </row>
    <row r="13661">
      <c r="A13661" s="2" t="s">
        <v>4996</v>
      </c>
      <c r="B13661" s="2" t="s">
        <v>4937</v>
      </c>
      <c r="C13661" s="2" t="s">
        <v>6978</v>
      </c>
      <c r="D13661" s="3" t="str">
        <f t="shared" si="3304"/>
        <v>12Go Link</v>
      </c>
      <c r="E13661" s="2" t="s">
        <v>4139</v>
      </c>
    </row>
    <row r="13662">
      <c r="A13662" s="2" t="s">
        <v>4996</v>
      </c>
      <c r="B13662" s="2" t="s">
        <v>4937</v>
      </c>
      <c r="C13662" s="2" t="s">
        <v>6978</v>
      </c>
      <c r="D13662" s="3" t="str">
        <f t="shared" si="3304"/>
        <v>12Go Link</v>
      </c>
      <c r="E13662" s="2" t="s">
        <v>3409</v>
      </c>
    </row>
    <row r="13663">
      <c r="A13663" s="2" t="s">
        <v>4996</v>
      </c>
      <c r="B13663" s="2" t="s">
        <v>4939</v>
      </c>
      <c r="C13663" s="2" t="s">
        <v>6979</v>
      </c>
      <c r="D13663" s="3" t="str">
        <f t="shared" ref="D13663:D13665" si="3305">HYPERLINK("https://12go.asia/en/travel/mirissa/Beruwala", "12Go Link")</f>
        <v>12Go Link</v>
      </c>
      <c r="E13663" s="2" t="s">
        <v>286</v>
      </c>
    </row>
    <row r="13664">
      <c r="A13664" s="2" t="s">
        <v>4996</v>
      </c>
      <c r="B13664" s="2" t="s">
        <v>4939</v>
      </c>
      <c r="C13664" s="2" t="s">
        <v>6979</v>
      </c>
      <c r="D13664" s="3" t="str">
        <f t="shared" si="3305"/>
        <v>12Go Link</v>
      </c>
      <c r="E13664" s="2" t="s">
        <v>4139</v>
      </c>
    </row>
    <row r="13665">
      <c r="A13665" s="2" t="s">
        <v>4996</v>
      </c>
      <c r="B13665" s="2" t="s">
        <v>4939</v>
      </c>
      <c r="C13665" s="2" t="s">
        <v>6979</v>
      </c>
      <c r="D13665" s="3" t="str">
        <f t="shared" si="3305"/>
        <v>12Go Link</v>
      </c>
      <c r="E13665" s="2" t="s">
        <v>3409</v>
      </c>
    </row>
    <row r="13666">
      <c r="A13666" s="2" t="s">
        <v>4996</v>
      </c>
      <c r="B13666" s="2" t="s">
        <v>4941</v>
      </c>
      <c r="C13666" s="2" t="s">
        <v>6980</v>
      </c>
      <c r="D13666" s="3" t="str">
        <f t="shared" ref="D13666:D13668" si="3306">HYPERLINK("https://12go.asia/en/travel/mirissa/Bundala", "12Go Link")</f>
        <v>12Go Link</v>
      </c>
      <c r="E13666" s="2" t="s">
        <v>286</v>
      </c>
    </row>
    <row r="13667">
      <c r="A13667" s="2" t="s">
        <v>4996</v>
      </c>
      <c r="B13667" s="2" t="s">
        <v>4941</v>
      </c>
      <c r="C13667" s="2" t="s">
        <v>6980</v>
      </c>
      <c r="D13667" s="3" t="str">
        <f t="shared" si="3306"/>
        <v>12Go Link</v>
      </c>
      <c r="E13667" s="2" t="s">
        <v>4139</v>
      </c>
    </row>
    <row r="13668">
      <c r="A13668" s="2" t="s">
        <v>4996</v>
      </c>
      <c r="B13668" s="2" t="s">
        <v>4941</v>
      </c>
      <c r="C13668" s="2" t="s">
        <v>6980</v>
      </c>
      <c r="D13668" s="3" t="str">
        <f t="shared" si="3306"/>
        <v>12Go Link</v>
      </c>
      <c r="E13668" s="2" t="s">
        <v>3409</v>
      </c>
    </row>
    <row r="13669">
      <c r="A13669" s="2" t="s">
        <v>4996</v>
      </c>
      <c r="B13669" s="2" t="s">
        <v>4943</v>
      </c>
      <c r="C13669" s="2" t="s">
        <v>6981</v>
      </c>
      <c r="D13669" s="3" t="str">
        <f t="shared" ref="D13669:D13670" si="3307">HYPERLINK("https://12go.asia/en/travel/mirissa/Bambalapitiya", "12Go Link")</f>
        <v>12Go Link</v>
      </c>
      <c r="E13669" s="2" t="s">
        <v>4139</v>
      </c>
    </row>
    <row r="13670">
      <c r="A13670" s="2" t="s">
        <v>4996</v>
      </c>
      <c r="B13670" s="2" t="s">
        <v>4943</v>
      </c>
      <c r="C13670" s="2" t="s">
        <v>6981</v>
      </c>
      <c r="D13670" s="3" t="str">
        <f t="shared" si="3307"/>
        <v>12Go Link</v>
      </c>
      <c r="E13670" s="2" t="s">
        <v>3409</v>
      </c>
    </row>
    <row r="13671">
      <c r="A13671" s="2" t="s">
        <v>4996</v>
      </c>
      <c r="B13671" s="2" t="s">
        <v>4945</v>
      </c>
      <c r="C13671" s="2" t="s">
        <v>6982</v>
      </c>
      <c r="D13671" s="3" t="str">
        <f t="shared" ref="D13671:D13673" si="3308">HYPERLINK("https://12go.asia/en/travel/mirissa/Bandaranaike-Airport", "12Go Link")</f>
        <v>12Go Link</v>
      </c>
      <c r="E13671" s="2" t="s">
        <v>286</v>
      </c>
    </row>
    <row r="13672">
      <c r="A13672" s="2" t="s">
        <v>4996</v>
      </c>
      <c r="B13672" s="2" t="s">
        <v>4945</v>
      </c>
      <c r="C13672" s="2" t="s">
        <v>6982</v>
      </c>
      <c r="D13672" s="3" t="str">
        <f t="shared" si="3308"/>
        <v>12Go Link</v>
      </c>
      <c r="E13672" s="2" t="s">
        <v>4139</v>
      </c>
    </row>
    <row r="13673">
      <c r="A13673" s="2" t="s">
        <v>4996</v>
      </c>
      <c r="B13673" s="2" t="s">
        <v>4945</v>
      </c>
      <c r="C13673" s="2" t="s">
        <v>6982</v>
      </c>
      <c r="D13673" s="3" t="str">
        <f t="shared" si="3308"/>
        <v>12Go Link</v>
      </c>
      <c r="E13673" s="2" t="s">
        <v>3409</v>
      </c>
    </row>
    <row r="13674">
      <c r="A13674" s="2" t="s">
        <v>4996</v>
      </c>
      <c r="B13674" s="2" t="s">
        <v>4949</v>
      </c>
      <c r="C13674" s="2" t="s">
        <v>6983</v>
      </c>
      <c r="D13674" s="3" t="str">
        <f t="shared" ref="D13674:D13676" si="3309">HYPERLINK("https://12go.asia/en/travel/mirissa/Deniyaya", "12Go Link")</f>
        <v>12Go Link</v>
      </c>
      <c r="E13674" s="2" t="s">
        <v>286</v>
      </c>
    </row>
    <row r="13675">
      <c r="A13675" s="2" t="s">
        <v>4996</v>
      </c>
      <c r="B13675" s="2" t="s">
        <v>4949</v>
      </c>
      <c r="C13675" s="2" t="s">
        <v>6983</v>
      </c>
      <c r="D13675" s="3" t="str">
        <f t="shared" si="3309"/>
        <v>12Go Link</v>
      </c>
      <c r="E13675" s="2" t="s">
        <v>4139</v>
      </c>
    </row>
    <row r="13676">
      <c r="A13676" s="2" t="s">
        <v>4996</v>
      </c>
      <c r="B13676" s="2" t="s">
        <v>4949</v>
      </c>
      <c r="C13676" s="2" t="s">
        <v>6983</v>
      </c>
      <c r="D13676" s="3" t="str">
        <f t="shared" si="3309"/>
        <v>12Go Link</v>
      </c>
      <c r="E13676" s="2" t="s">
        <v>3409</v>
      </c>
    </row>
    <row r="13677">
      <c r="A13677" s="2" t="s">
        <v>4996</v>
      </c>
      <c r="B13677" s="2" t="s">
        <v>4951</v>
      </c>
      <c r="C13677" s="2" t="s">
        <v>6984</v>
      </c>
      <c r="D13677" s="3" t="str">
        <f t="shared" ref="D13677:D13679" si="3310">HYPERLINK("https://12go.asia/en/travel/mirissa/Dickwella", "12Go Link")</f>
        <v>12Go Link</v>
      </c>
      <c r="E13677" s="2" t="s">
        <v>286</v>
      </c>
    </row>
    <row r="13678">
      <c r="A13678" s="2" t="s">
        <v>4996</v>
      </c>
      <c r="B13678" s="2" t="s">
        <v>4951</v>
      </c>
      <c r="C13678" s="2" t="s">
        <v>6984</v>
      </c>
      <c r="D13678" s="3" t="str">
        <f t="shared" si="3310"/>
        <v>12Go Link</v>
      </c>
      <c r="E13678" s="2" t="s">
        <v>4139</v>
      </c>
    </row>
    <row r="13679">
      <c r="A13679" s="2" t="s">
        <v>4996</v>
      </c>
      <c r="B13679" s="2" t="s">
        <v>4951</v>
      </c>
      <c r="C13679" s="2" t="s">
        <v>6984</v>
      </c>
      <c r="D13679" s="3" t="str">
        <f t="shared" si="3310"/>
        <v>12Go Link</v>
      </c>
      <c r="E13679" s="2" t="s">
        <v>3409</v>
      </c>
    </row>
    <row r="13680">
      <c r="A13680" s="2" t="s">
        <v>4996</v>
      </c>
      <c r="B13680" s="2" t="s">
        <v>4951</v>
      </c>
      <c r="C13680" s="2" t="s">
        <v>6985</v>
      </c>
      <c r="D13680" s="3" t="str">
        <f t="shared" ref="D13680:D13682" si="3311">HYPERLINK("https://12go.asia/en/travel/mirissa/Hiriketiya-beach", "12Go Link")</f>
        <v>12Go Link</v>
      </c>
      <c r="E13680" s="2" t="s">
        <v>286</v>
      </c>
    </row>
    <row r="13681">
      <c r="A13681" s="2" t="s">
        <v>4996</v>
      </c>
      <c r="B13681" s="2" t="s">
        <v>4951</v>
      </c>
      <c r="C13681" s="2" t="s">
        <v>6985</v>
      </c>
      <c r="D13681" s="3" t="str">
        <f t="shared" si="3311"/>
        <v>12Go Link</v>
      </c>
      <c r="E13681" s="2" t="s">
        <v>4139</v>
      </c>
    </row>
    <row r="13682">
      <c r="A13682" s="2" t="s">
        <v>4996</v>
      </c>
      <c r="B13682" s="2" t="s">
        <v>4951</v>
      </c>
      <c r="C13682" s="2" t="s">
        <v>6985</v>
      </c>
      <c r="D13682" s="3" t="str">
        <f t="shared" si="3311"/>
        <v>12Go Link</v>
      </c>
      <c r="E13682" s="2" t="s">
        <v>3409</v>
      </c>
    </row>
    <row r="13683">
      <c r="A13683" s="2" t="s">
        <v>4996</v>
      </c>
      <c r="B13683" s="2" t="s">
        <v>4954</v>
      </c>
      <c r="C13683" s="2" t="s">
        <v>6986</v>
      </c>
      <c r="D13683" s="3" t="str">
        <f t="shared" ref="D13683:D13685" si="3312">HYPERLINK("https://12go.asia/en/travel/mirissa/Galle", "12Go Link")</f>
        <v>12Go Link</v>
      </c>
      <c r="E13683" s="2" t="s">
        <v>286</v>
      </c>
    </row>
    <row r="13684">
      <c r="A13684" s="2" t="s">
        <v>4996</v>
      </c>
      <c r="B13684" s="2" t="s">
        <v>4954</v>
      </c>
      <c r="C13684" s="2" t="s">
        <v>6986</v>
      </c>
      <c r="D13684" s="3" t="str">
        <f t="shared" si="3312"/>
        <v>12Go Link</v>
      </c>
      <c r="E13684" s="2" t="s">
        <v>4139</v>
      </c>
    </row>
    <row r="13685">
      <c r="A13685" s="2" t="s">
        <v>4996</v>
      </c>
      <c r="B13685" s="2" t="s">
        <v>4954</v>
      </c>
      <c r="C13685" s="2" t="s">
        <v>6986</v>
      </c>
      <c r="D13685" s="3" t="str">
        <f t="shared" si="3312"/>
        <v>12Go Link</v>
      </c>
      <c r="E13685" s="2" t="s">
        <v>3409</v>
      </c>
    </row>
    <row r="13686">
      <c r="A13686" s="2" t="s">
        <v>4996</v>
      </c>
      <c r="B13686" s="2" t="s">
        <v>4954</v>
      </c>
      <c r="C13686" s="2" t="s">
        <v>6987</v>
      </c>
      <c r="D13686" s="3" t="str">
        <f t="shared" ref="D13686:D13688" si="3313">HYPERLINK("https://12go.asia/en/travel/mirissa/Talpe", "12Go Link")</f>
        <v>12Go Link</v>
      </c>
      <c r="E13686" s="2" t="s">
        <v>286</v>
      </c>
    </row>
    <row r="13687">
      <c r="A13687" s="2" t="s">
        <v>4996</v>
      </c>
      <c r="B13687" s="2" t="s">
        <v>4954</v>
      </c>
      <c r="C13687" s="2" t="s">
        <v>6987</v>
      </c>
      <c r="D13687" s="3" t="str">
        <f t="shared" si="3313"/>
        <v>12Go Link</v>
      </c>
      <c r="E13687" s="2" t="s">
        <v>4139</v>
      </c>
    </row>
    <row r="13688">
      <c r="A13688" s="2" t="s">
        <v>4996</v>
      </c>
      <c r="B13688" s="2" t="s">
        <v>4954</v>
      </c>
      <c r="C13688" s="2" t="s">
        <v>6987</v>
      </c>
      <c r="D13688" s="3" t="str">
        <f t="shared" si="3313"/>
        <v>12Go Link</v>
      </c>
      <c r="E13688" s="2" t="s">
        <v>3409</v>
      </c>
    </row>
    <row r="13689">
      <c r="A13689" s="2" t="s">
        <v>4996</v>
      </c>
      <c r="B13689" s="2" t="s">
        <v>4957</v>
      </c>
      <c r="C13689" s="2" t="s">
        <v>6988</v>
      </c>
      <c r="D13689" s="3" t="str">
        <f t="shared" ref="D13689:D13691" si="3314">HYPERLINK("https://12go.asia/en/travel/mirissa/Habarana", "12Go Link")</f>
        <v>12Go Link</v>
      </c>
      <c r="E13689" s="2" t="s">
        <v>286</v>
      </c>
    </row>
    <row r="13690">
      <c r="A13690" s="2" t="s">
        <v>4996</v>
      </c>
      <c r="B13690" s="2" t="s">
        <v>4957</v>
      </c>
      <c r="C13690" s="2" t="s">
        <v>6988</v>
      </c>
      <c r="D13690" s="3" t="str">
        <f t="shared" si="3314"/>
        <v>12Go Link</v>
      </c>
      <c r="E13690" s="2" t="s">
        <v>4139</v>
      </c>
    </row>
    <row r="13691">
      <c r="A13691" s="2" t="s">
        <v>4996</v>
      </c>
      <c r="B13691" s="2" t="s">
        <v>4957</v>
      </c>
      <c r="C13691" s="2" t="s">
        <v>6988</v>
      </c>
      <c r="D13691" s="3" t="str">
        <f t="shared" si="3314"/>
        <v>12Go Link</v>
      </c>
      <c r="E13691" s="2" t="s">
        <v>3409</v>
      </c>
    </row>
    <row r="13692">
      <c r="A13692" s="2" t="s">
        <v>4996</v>
      </c>
      <c r="B13692" s="2" t="s">
        <v>4959</v>
      </c>
      <c r="C13692" s="2" t="s">
        <v>6989</v>
      </c>
      <c r="D13692" s="3" t="str">
        <f t="shared" ref="D13692:D13694" si="3315">HYPERLINK("https://12go.asia/en/travel/mirissa/Ella", "12Go Link")</f>
        <v>12Go Link</v>
      </c>
      <c r="E13692" s="2" t="s">
        <v>286</v>
      </c>
    </row>
    <row r="13693">
      <c r="A13693" s="2" t="s">
        <v>4996</v>
      </c>
      <c r="B13693" s="2" t="s">
        <v>4959</v>
      </c>
      <c r="C13693" s="2" t="s">
        <v>6989</v>
      </c>
      <c r="D13693" s="3" t="str">
        <f t="shared" si="3315"/>
        <v>12Go Link</v>
      </c>
      <c r="E13693" s="2" t="s">
        <v>4139</v>
      </c>
    </row>
    <row r="13694">
      <c r="A13694" s="2" t="s">
        <v>4996</v>
      </c>
      <c r="B13694" s="2" t="s">
        <v>4959</v>
      </c>
      <c r="C13694" s="2" t="s">
        <v>6989</v>
      </c>
      <c r="D13694" s="3" t="str">
        <f t="shared" si="3315"/>
        <v>12Go Link</v>
      </c>
      <c r="E13694" s="2" t="s">
        <v>3409</v>
      </c>
    </row>
    <row r="13695">
      <c r="A13695" s="2" t="s">
        <v>4996</v>
      </c>
      <c r="B13695" s="2" t="s">
        <v>4961</v>
      </c>
      <c r="C13695" s="2" t="s">
        <v>6990</v>
      </c>
      <c r="D13695" s="3" t="str">
        <f t="shared" ref="D13695:D13697" si="3316">HYPERLINK("https://12go.asia/en/travel/mirissa/Beragala", "12Go Link")</f>
        <v>12Go Link</v>
      </c>
      <c r="E13695" s="2" t="s">
        <v>286</v>
      </c>
    </row>
    <row r="13696">
      <c r="A13696" s="2" t="s">
        <v>4996</v>
      </c>
      <c r="B13696" s="2" t="s">
        <v>4961</v>
      </c>
      <c r="C13696" s="2" t="s">
        <v>6990</v>
      </c>
      <c r="D13696" s="3" t="str">
        <f t="shared" si="3316"/>
        <v>12Go Link</v>
      </c>
      <c r="E13696" s="2" t="s">
        <v>4139</v>
      </c>
    </row>
    <row r="13697">
      <c r="A13697" s="2" t="s">
        <v>4996</v>
      </c>
      <c r="B13697" s="2" t="s">
        <v>4961</v>
      </c>
      <c r="C13697" s="2" t="s">
        <v>6990</v>
      </c>
      <c r="D13697" s="3" t="str">
        <f t="shared" si="3316"/>
        <v>12Go Link</v>
      </c>
      <c r="E13697" s="2" t="s">
        <v>3409</v>
      </c>
    </row>
    <row r="13698">
      <c r="A13698" s="2" t="s">
        <v>4996</v>
      </c>
      <c r="B13698" s="2" t="s">
        <v>4963</v>
      </c>
      <c r="C13698" s="2" t="s">
        <v>6991</v>
      </c>
      <c r="D13698" s="3" t="str">
        <f t="shared" ref="D13698:D13700" si="3317">HYPERLINK("https://12go.asia/en/travel/mirissa/Dick-oya", "12Go Link")</f>
        <v>12Go Link</v>
      </c>
      <c r="E13698" s="2" t="s">
        <v>286</v>
      </c>
    </row>
    <row r="13699">
      <c r="A13699" s="2" t="s">
        <v>4996</v>
      </c>
      <c r="B13699" s="2" t="s">
        <v>4963</v>
      </c>
      <c r="C13699" s="2" t="s">
        <v>6991</v>
      </c>
      <c r="D13699" s="3" t="str">
        <f t="shared" si="3317"/>
        <v>12Go Link</v>
      </c>
      <c r="E13699" s="2" t="s">
        <v>4139</v>
      </c>
    </row>
    <row r="13700">
      <c r="A13700" s="2" t="s">
        <v>4996</v>
      </c>
      <c r="B13700" s="2" t="s">
        <v>4963</v>
      </c>
      <c r="C13700" s="2" t="s">
        <v>6991</v>
      </c>
      <c r="D13700" s="3" t="str">
        <f t="shared" si="3317"/>
        <v>12Go Link</v>
      </c>
      <c r="E13700" s="2" t="s">
        <v>3409</v>
      </c>
    </row>
    <row r="13701">
      <c r="A13701" s="2" t="s">
        <v>4996</v>
      </c>
      <c r="B13701" s="2" t="s">
        <v>4965</v>
      </c>
      <c r="C13701" s="2" t="s">
        <v>6992</v>
      </c>
      <c r="D13701" s="3" t="str">
        <f t="shared" ref="D13701:D13703" si="3318">HYPERLINK("https://12go.asia/en/travel/mirissa/Dodanduwa", "12Go Link")</f>
        <v>12Go Link</v>
      </c>
      <c r="E13701" s="2" t="s">
        <v>286</v>
      </c>
    </row>
    <row r="13702">
      <c r="A13702" s="2" t="s">
        <v>4996</v>
      </c>
      <c r="B13702" s="2" t="s">
        <v>4965</v>
      </c>
      <c r="C13702" s="2" t="s">
        <v>6992</v>
      </c>
      <c r="D13702" s="3" t="str">
        <f t="shared" si="3318"/>
        <v>12Go Link</v>
      </c>
      <c r="E13702" s="2" t="s">
        <v>4139</v>
      </c>
    </row>
    <row r="13703">
      <c r="A13703" s="2" t="s">
        <v>4996</v>
      </c>
      <c r="B13703" s="2" t="s">
        <v>4965</v>
      </c>
      <c r="C13703" s="2" t="s">
        <v>6992</v>
      </c>
      <c r="D13703" s="3" t="str">
        <f t="shared" si="3318"/>
        <v>12Go Link</v>
      </c>
      <c r="E13703" s="2" t="s">
        <v>3409</v>
      </c>
    </row>
    <row r="13704">
      <c r="A13704" s="2" t="s">
        <v>4996</v>
      </c>
      <c r="B13704" s="2" t="s">
        <v>4967</v>
      </c>
      <c r="C13704" s="2" t="s">
        <v>6993</v>
      </c>
      <c r="D13704" s="3" t="str">
        <f t="shared" ref="D13704:D13706" si="3319">HYPERLINK("https://12go.asia/en/travel/mirissa/Induruwa", "12Go Link")</f>
        <v>12Go Link</v>
      </c>
      <c r="E13704" s="2" t="s">
        <v>286</v>
      </c>
    </row>
    <row r="13705">
      <c r="A13705" s="2" t="s">
        <v>4996</v>
      </c>
      <c r="B13705" s="2" t="s">
        <v>4967</v>
      </c>
      <c r="C13705" s="2" t="s">
        <v>6993</v>
      </c>
      <c r="D13705" s="3" t="str">
        <f t="shared" si="3319"/>
        <v>12Go Link</v>
      </c>
      <c r="E13705" s="2" t="s">
        <v>4139</v>
      </c>
    </row>
    <row r="13706">
      <c r="A13706" s="2" t="s">
        <v>4996</v>
      </c>
      <c r="B13706" s="2" t="s">
        <v>4967</v>
      </c>
      <c r="C13706" s="2" t="s">
        <v>6993</v>
      </c>
      <c r="D13706" s="3" t="str">
        <f t="shared" si="3319"/>
        <v>12Go Link</v>
      </c>
      <c r="E13706" s="2" t="s">
        <v>3409</v>
      </c>
    </row>
    <row r="13707">
      <c r="A13707" s="2" t="s">
        <v>4996</v>
      </c>
      <c r="B13707" s="2" t="s">
        <v>4969</v>
      </c>
      <c r="C13707" s="2" t="s">
        <v>6994</v>
      </c>
      <c r="D13707" s="3" t="str">
        <f t="shared" ref="D13707:D13709" si="3320">HYPERLINK("https://12go.asia/en/travel/mirissa/Jaffna", "12Go Link")</f>
        <v>12Go Link</v>
      </c>
      <c r="E13707" s="2" t="s">
        <v>286</v>
      </c>
    </row>
    <row r="13708">
      <c r="A13708" s="2" t="s">
        <v>4996</v>
      </c>
      <c r="B13708" s="2" t="s">
        <v>4969</v>
      </c>
      <c r="C13708" s="2" t="s">
        <v>6994</v>
      </c>
      <c r="D13708" s="3" t="str">
        <f t="shared" si="3320"/>
        <v>12Go Link</v>
      </c>
      <c r="E13708" s="2" t="s">
        <v>4139</v>
      </c>
    </row>
    <row r="13709">
      <c r="A13709" s="2" t="s">
        <v>4996</v>
      </c>
      <c r="B13709" s="2" t="s">
        <v>4969</v>
      </c>
      <c r="C13709" s="2" t="s">
        <v>6994</v>
      </c>
      <c r="D13709" s="3" t="str">
        <f t="shared" si="3320"/>
        <v>12Go Link</v>
      </c>
      <c r="E13709" s="2" t="s">
        <v>3409</v>
      </c>
    </row>
    <row r="13710">
      <c r="A13710" s="2" t="s">
        <v>4996</v>
      </c>
      <c r="B13710" s="2" t="s">
        <v>4971</v>
      </c>
      <c r="C13710" s="2" t="s">
        <v>6995</v>
      </c>
      <c r="D13710" s="3" t="str">
        <f t="shared" ref="D13710:D13712" si="3321">HYPERLINK("https://12go.asia/en/travel/mirissa/Kalapuwa", "12Go Link")</f>
        <v>12Go Link</v>
      </c>
      <c r="E13710" s="2" t="s">
        <v>286</v>
      </c>
    </row>
    <row r="13711">
      <c r="A13711" s="2" t="s">
        <v>4996</v>
      </c>
      <c r="B13711" s="2" t="s">
        <v>4971</v>
      </c>
      <c r="C13711" s="2" t="s">
        <v>6995</v>
      </c>
      <c r="D13711" s="3" t="str">
        <f t="shared" si="3321"/>
        <v>12Go Link</v>
      </c>
      <c r="E13711" s="2" t="s">
        <v>4139</v>
      </c>
    </row>
    <row r="13712">
      <c r="A13712" s="2" t="s">
        <v>4996</v>
      </c>
      <c r="B13712" s="2" t="s">
        <v>4971</v>
      </c>
      <c r="C13712" s="2" t="s">
        <v>6995</v>
      </c>
      <c r="D13712" s="3" t="str">
        <f t="shared" si="3321"/>
        <v>12Go Link</v>
      </c>
      <c r="E13712" s="2" t="s">
        <v>3409</v>
      </c>
    </row>
    <row r="13713">
      <c r="A13713" s="2" t="s">
        <v>4996</v>
      </c>
      <c r="B13713" s="2" t="s">
        <v>4973</v>
      </c>
      <c r="C13713" s="2" t="s">
        <v>6996</v>
      </c>
      <c r="D13713" s="3" t="str">
        <f>HYPERLINK("https://12go.asia/en/travel/mirissa/Ampitiya", "12Go Link")</f>
        <v>12Go Link</v>
      </c>
      <c r="E13713" s="2" t="s">
        <v>286</v>
      </c>
    </row>
    <row r="13714">
      <c r="A13714" s="2" t="s">
        <v>4996</v>
      </c>
      <c r="B13714" s="2" t="s">
        <v>4973</v>
      </c>
      <c r="C13714" s="2" t="s">
        <v>6997</v>
      </c>
      <c r="D13714" s="3" t="str">
        <f t="shared" ref="D13714:D13716" si="3322">HYPERLINK("https://12go.asia/en/travel/mirissa/Digana", "12Go Link")</f>
        <v>12Go Link</v>
      </c>
      <c r="E13714" s="2" t="s">
        <v>286</v>
      </c>
    </row>
    <row r="13715">
      <c r="A13715" s="2" t="s">
        <v>4996</v>
      </c>
      <c r="B13715" s="2" t="s">
        <v>4973</v>
      </c>
      <c r="C13715" s="2" t="s">
        <v>6997</v>
      </c>
      <c r="D13715" s="3" t="str">
        <f t="shared" si="3322"/>
        <v>12Go Link</v>
      </c>
      <c r="E13715" s="2" t="s">
        <v>4139</v>
      </c>
    </row>
    <row r="13716">
      <c r="A13716" s="2" t="s">
        <v>4996</v>
      </c>
      <c r="B13716" s="2" t="s">
        <v>4973</v>
      </c>
      <c r="C13716" s="2" t="s">
        <v>6997</v>
      </c>
      <c r="D13716" s="3" t="str">
        <f t="shared" si="3322"/>
        <v>12Go Link</v>
      </c>
      <c r="E13716" s="2" t="s">
        <v>3409</v>
      </c>
    </row>
    <row r="13717">
      <c r="A13717" s="2" t="s">
        <v>4996</v>
      </c>
      <c r="B13717" s="2" t="s">
        <v>4976</v>
      </c>
      <c r="C13717" s="2" t="s">
        <v>6998</v>
      </c>
      <c r="D13717" s="3" t="str">
        <f t="shared" ref="D13717:D13719" si="3323">HYPERLINK("https://12go.asia/en/travel/mirissa/Kataragama", "12Go Link")</f>
        <v>12Go Link</v>
      </c>
      <c r="E13717" s="2" t="s">
        <v>286</v>
      </c>
    </row>
    <row r="13718">
      <c r="A13718" s="2" t="s">
        <v>4996</v>
      </c>
      <c r="B13718" s="2" t="s">
        <v>4976</v>
      </c>
      <c r="C13718" s="2" t="s">
        <v>6998</v>
      </c>
      <c r="D13718" s="3" t="str">
        <f t="shared" si="3323"/>
        <v>12Go Link</v>
      </c>
      <c r="E13718" s="2" t="s">
        <v>4139</v>
      </c>
    </row>
    <row r="13719">
      <c r="A13719" s="2" t="s">
        <v>4996</v>
      </c>
      <c r="B13719" s="2" t="s">
        <v>4976</v>
      </c>
      <c r="C13719" s="2" t="s">
        <v>6998</v>
      </c>
      <c r="D13719" s="3" t="str">
        <f t="shared" si="3323"/>
        <v>12Go Link</v>
      </c>
      <c r="E13719" s="2" t="s">
        <v>3409</v>
      </c>
    </row>
    <row r="13720">
      <c r="A13720" s="2" t="s">
        <v>4996</v>
      </c>
      <c r="B13720" s="2" t="s">
        <v>4978</v>
      </c>
      <c r="C13720" s="2" t="s">
        <v>6999</v>
      </c>
      <c r="D13720" s="3" t="str">
        <f t="shared" ref="D13720:D13722" si="3324">HYPERLINK("https://12go.asia/en/travel/mirissa/Alawathupitiya", "12Go Link")</f>
        <v>12Go Link</v>
      </c>
      <c r="E13720" s="2" t="s">
        <v>286</v>
      </c>
    </row>
    <row r="13721">
      <c r="A13721" s="2" t="s">
        <v>4996</v>
      </c>
      <c r="B13721" s="2" t="s">
        <v>4978</v>
      </c>
      <c r="C13721" s="2" t="s">
        <v>6999</v>
      </c>
      <c r="D13721" s="3" t="str">
        <f t="shared" si="3324"/>
        <v>12Go Link</v>
      </c>
      <c r="E13721" s="2" t="s">
        <v>4139</v>
      </c>
    </row>
    <row r="13722">
      <c r="A13722" s="2" t="s">
        <v>4996</v>
      </c>
      <c r="B13722" s="2" t="s">
        <v>4978</v>
      </c>
      <c r="C13722" s="2" t="s">
        <v>6999</v>
      </c>
      <c r="D13722" s="3" t="str">
        <f t="shared" si="3324"/>
        <v>12Go Link</v>
      </c>
      <c r="E13722" s="2" t="s">
        <v>3409</v>
      </c>
    </row>
    <row r="13723">
      <c r="A13723" s="2" t="s">
        <v>4996</v>
      </c>
      <c r="B13723" s="2" t="s">
        <v>4980</v>
      </c>
      <c r="C13723" s="2" t="s">
        <v>7000</v>
      </c>
      <c r="D13723" s="3" t="str">
        <f t="shared" ref="D13723:D13725" si="3325">HYPERLINK("https://12go.asia/en/travel/mirissa/Pinnawala", "12Go Link")</f>
        <v>12Go Link</v>
      </c>
      <c r="E13723" s="2" t="s">
        <v>286</v>
      </c>
    </row>
    <row r="13724">
      <c r="A13724" s="2" t="s">
        <v>4996</v>
      </c>
      <c r="B13724" s="2" t="s">
        <v>4980</v>
      </c>
      <c r="C13724" s="2" t="s">
        <v>7000</v>
      </c>
      <c r="D13724" s="3" t="str">
        <f t="shared" si="3325"/>
        <v>12Go Link</v>
      </c>
      <c r="E13724" s="2" t="s">
        <v>4139</v>
      </c>
    </row>
    <row r="13725">
      <c r="A13725" s="2" t="s">
        <v>4996</v>
      </c>
      <c r="B13725" s="2" t="s">
        <v>4980</v>
      </c>
      <c r="C13725" s="2" t="s">
        <v>7000</v>
      </c>
      <c r="D13725" s="3" t="str">
        <f t="shared" si="3325"/>
        <v>12Go Link</v>
      </c>
      <c r="E13725" s="2" t="s">
        <v>3409</v>
      </c>
    </row>
    <row r="13726">
      <c r="A13726" s="2" t="s">
        <v>4996</v>
      </c>
      <c r="B13726" s="2" t="s">
        <v>4982</v>
      </c>
      <c r="C13726" s="2" t="s">
        <v>7001</v>
      </c>
      <c r="D13726" s="3" t="str">
        <f t="shared" ref="D13726:D13728" si="3326">HYPERLINK("https://12go.asia/en/travel/mirissa/Kitulgala", "12Go Link")</f>
        <v>12Go Link</v>
      </c>
      <c r="E13726" s="2" t="s">
        <v>286</v>
      </c>
    </row>
    <row r="13727">
      <c r="A13727" s="2" t="s">
        <v>4996</v>
      </c>
      <c r="B13727" s="2" t="s">
        <v>4982</v>
      </c>
      <c r="C13727" s="2" t="s">
        <v>7001</v>
      </c>
      <c r="D13727" s="3" t="str">
        <f t="shared" si="3326"/>
        <v>12Go Link</v>
      </c>
      <c r="E13727" s="2" t="s">
        <v>4139</v>
      </c>
    </row>
    <row r="13728">
      <c r="A13728" s="2" t="s">
        <v>4996</v>
      </c>
      <c r="B13728" s="2" t="s">
        <v>4982</v>
      </c>
      <c r="C13728" s="2" t="s">
        <v>7001</v>
      </c>
      <c r="D13728" s="3" t="str">
        <f t="shared" si="3326"/>
        <v>12Go Link</v>
      </c>
      <c r="E13728" s="2" t="s">
        <v>3409</v>
      </c>
    </row>
    <row r="13729">
      <c r="A13729" s="2" t="s">
        <v>4996</v>
      </c>
      <c r="B13729" s="2" t="s">
        <v>4984</v>
      </c>
      <c r="C13729" s="2" t="s">
        <v>7002</v>
      </c>
      <c r="D13729" s="3" t="str">
        <f t="shared" ref="D13729:D13731" si="3327">HYPERLINK("https://12go.asia/en/travel/mirissa/Habaraduwa", "12Go Link")</f>
        <v>12Go Link</v>
      </c>
      <c r="E13729" s="2" t="s">
        <v>286</v>
      </c>
    </row>
    <row r="13730">
      <c r="A13730" s="2" t="s">
        <v>4996</v>
      </c>
      <c r="B13730" s="2" t="s">
        <v>4984</v>
      </c>
      <c r="C13730" s="2" t="s">
        <v>7002</v>
      </c>
      <c r="D13730" s="3" t="str">
        <f t="shared" si="3327"/>
        <v>12Go Link</v>
      </c>
      <c r="E13730" s="2" t="s">
        <v>4139</v>
      </c>
    </row>
    <row r="13731">
      <c r="A13731" s="2" t="s">
        <v>4996</v>
      </c>
      <c r="B13731" s="2" t="s">
        <v>4984</v>
      </c>
      <c r="C13731" s="2" t="s">
        <v>7002</v>
      </c>
      <c r="D13731" s="3" t="str">
        <f t="shared" si="3327"/>
        <v>12Go Link</v>
      </c>
      <c r="E13731" s="2" t="s">
        <v>3409</v>
      </c>
    </row>
    <row r="13732">
      <c r="A13732" s="2" t="s">
        <v>4996</v>
      </c>
      <c r="B13732" s="2" t="s">
        <v>4986</v>
      </c>
      <c r="C13732" s="2" t="s">
        <v>7003</v>
      </c>
      <c r="D13732" s="3" t="str">
        <f t="shared" ref="D13732:D13734" si="3328">HYPERLINK("https://12go.asia/en/travel/mirissa/Kosgoda", "12Go Link")</f>
        <v>12Go Link</v>
      </c>
      <c r="E13732" s="2" t="s">
        <v>286</v>
      </c>
    </row>
    <row r="13733">
      <c r="A13733" s="2" t="s">
        <v>4996</v>
      </c>
      <c r="B13733" s="2" t="s">
        <v>4986</v>
      </c>
      <c r="C13733" s="2" t="s">
        <v>7003</v>
      </c>
      <c r="D13733" s="3" t="str">
        <f t="shared" si="3328"/>
        <v>12Go Link</v>
      </c>
      <c r="E13733" s="2" t="s">
        <v>4139</v>
      </c>
    </row>
    <row r="13734">
      <c r="A13734" s="2" t="s">
        <v>4996</v>
      </c>
      <c r="B13734" s="2" t="s">
        <v>4986</v>
      </c>
      <c r="C13734" s="2" t="s">
        <v>7003</v>
      </c>
      <c r="D13734" s="3" t="str">
        <f t="shared" si="3328"/>
        <v>12Go Link</v>
      </c>
      <c r="E13734" s="2" t="s">
        <v>3409</v>
      </c>
    </row>
    <row r="13735">
      <c r="A13735" s="2" t="s">
        <v>4996</v>
      </c>
      <c r="B13735" s="2" t="s">
        <v>4988</v>
      </c>
      <c r="C13735" s="2" t="s">
        <v>7004</v>
      </c>
      <c r="D13735" s="3" t="str">
        <f t="shared" ref="D13735:D13737" si="3329">HYPERLINK("https://12go.asia/en/travel/mirissa/Kuchchaveli", "12Go Link")</f>
        <v>12Go Link</v>
      </c>
      <c r="E13735" s="2" t="s">
        <v>286</v>
      </c>
    </row>
    <row r="13736">
      <c r="A13736" s="2" t="s">
        <v>4996</v>
      </c>
      <c r="B13736" s="2" t="s">
        <v>4988</v>
      </c>
      <c r="C13736" s="2" t="s">
        <v>7004</v>
      </c>
      <c r="D13736" s="3" t="str">
        <f t="shared" si="3329"/>
        <v>12Go Link</v>
      </c>
      <c r="E13736" s="2" t="s">
        <v>4139</v>
      </c>
    </row>
    <row r="13737">
      <c r="A13737" s="2" t="s">
        <v>4996</v>
      </c>
      <c r="B13737" s="2" t="s">
        <v>4988</v>
      </c>
      <c r="C13737" s="2" t="s">
        <v>7004</v>
      </c>
      <c r="D13737" s="3" t="str">
        <f t="shared" si="3329"/>
        <v>12Go Link</v>
      </c>
      <c r="E13737" s="2" t="s">
        <v>3409</v>
      </c>
    </row>
    <row r="13738">
      <c r="A13738" s="2" t="s">
        <v>4996</v>
      </c>
      <c r="B13738" s="2" t="s">
        <v>4990</v>
      </c>
      <c r="C13738" s="2" t="s">
        <v>7005</v>
      </c>
      <c r="D13738" s="3" t="str">
        <f t="shared" ref="D13738:D13740" si="3330">HYPERLINK("https://12go.asia/en/travel/mirissa/Mannar", "12Go Link")</f>
        <v>12Go Link</v>
      </c>
      <c r="E13738" s="2" t="s">
        <v>286</v>
      </c>
    </row>
    <row r="13739">
      <c r="A13739" s="2" t="s">
        <v>4996</v>
      </c>
      <c r="B13739" s="2" t="s">
        <v>4990</v>
      </c>
      <c r="C13739" s="2" t="s">
        <v>7005</v>
      </c>
      <c r="D13739" s="3" t="str">
        <f t="shared" si="3330"/>
        <v>12Go Link</v>
      </c>
      <c r="E13739" s="2" t="s">
        <v>4139</v>
      </c>
    </row>
    <row r="13740">
      <c r="A13740" s="2" t="s">
        <v>4996</v>
      </c>
      <c r="B13740" s="2" t="s">
        <v>4990</v>
      </c>
      <c r="C13740" s="2" t="s">
        <v>7005</v>
      </c>
      <c r="D13740" s="3" t="str">
        <f t="shared" si="3330"/>
        <v>12Go Link</v>
      </c>
      <c r="E13740" s="2" t="s">
        <v>3409</v>
      </c>
    </row>
    <row r="13741">
      <c r="A13741" s="2" t="s">
        <v>4996</v>
      </c>
      <c r="B13741" s="2" t="s">
        <v>4992</v>
      </c>
      <c r="C13741" s="2" t="s">
        <v>7006</v>
      </c>
      <c r="D13741" s="3" t="str">
        <f t="shared" ref="D13741:D13743" si="3331">HYPERLINK("https://12go.asia/en/travel/mirissa/Kinigama", "12Go Link")</f>
        <v>12Go Link</v>
      </c>
      <c r="E13741" s="2" t="s">
        <v>286</v>
      </c>
    </row>
    <row r="13742">
      <c r="A13742" s="2" t="s">
        <v>4996</v>
      </c>
      <c r="B13742" s="2" t="s">
        <v>4992</v>
      </c>
      <c r="C13742" s="2" t="s">
        <v>7006</v>
      </c>
      <c r="D13742" s="3" t="str">
        <f t="shared" si="3331"/>
        <v>12Go Link</v>
      </c>
      <c r="E13742" s="2" t="s">
        <v>4139</v>
      </c>
    </row>
    <row r="13743">
      <c r="A13743" s="2" t="s">
        <v>4996</v>
      </c>
      <c r="B13743" s="2" t="s">
        <v>4992</v>
      </c>
      <c r="C13743" s="2" t="s">
        <v>7006</v>
      </c>
      <c r="D13743" s="3" t="str">
        <f t="shared" si="3331"/>
        <v>12Go Link</v>
      </c>
      <c r="E13743" s="2" t="s">
        <v>3409</v>
      </c>
    </row>
    <row r="13744">
      <c r="A13744" s="2" t="s">
        <v>4996</v>
      </c>
      <c r="B13744" s="2" t="s">
        <v>4994</v>
      </c>
      <c r="C13744" s="2" t="s">
        <v>7007</v>
      </c>
      <c r="D13744" s="3" t="str">
        <f t="shared" ref="D13744:D13746" si="3332">HYPERLINK("https://12go.asia/en/travel/mirissa/Kalamatiya", "12Go Link")</f>
        <v>12Go Link</v>
      </c>
      <c r="E13744" s="2" t="s">
        <v>286</v>
      </c>
    </row>
    <row r="13745">
      <c r="A13745" s="2" t="s">
        <v>4996</v>
      </c>
      <c r="B13745" s="2" t="s">
        <v>4994</v>
      </c>
      <c r="C13745" s="2" t="s">
        <v>7007</v>
      </c>
      <c r="D13745" s="3" t="str">
        <f t="shared" si="3332"/>
        <v>12Go Link</v>
      </c>
      <c r="E13745" s="2" t="s">
        <v>4139</v>
      </c>
    </row>
    <row r="13746">
      <c r="A13746" s="2" t="s">
        <v>4996</v>
      </c>
      <c r="B13746" s="2" t="s">
        <v>4994</v>
      </c>
      <c r="C13746" s="2" t="s">
        <v>7007</v>
      </c>
      <c r="D13746" s="3" t="str">
        <f t="shared" si="3332"/>
        <v>12Go Link</v>
      </c>
      <c r="E13746" s="2" t="s">
        <v>3409</v>
      </c>
    </row>
    <row r="13747">
      <c r="A13747" s="2" t="s">
        <v>4996</v>
      </c>
      <c r="B13747" s="2" t="s">
        <v>4994</v>
      </c>
      <c r="C13747" s="2" t="s">
        <v>7008</v>
      </c>
      <c r="D13747" s="3" t="str">
        <f t="shared" ref="D13747:D13748" si="3333">HYPERLINK("https://12go.asia/en/travel/Mirissa/Matara", "12Go Link")</f>
        <v>12Go Link</v>
      </c>
      <c r="E13747" s="2" t="s">
        <v>5080</v>
      </c>
    </row>
    <row r="13748">
      <c r="A13748" s="2" t="s">
        <v>4996</v>
      </c>
      <c r="B13748" s="2" t="s">
        <v>4994</v>
      </c>
      <c r="C13748" s="2" t="s">
        <v>7008</v>
      </c>
      <c r="D13748" s="3" t="str">
        <f t="shared" si="3333"/>
        <v>12Go Link</v>
      </c>
      <c r="E13748" s="2" t="s">
        <v>5081</v>
      </c>
    </row>
    <row r="13749">
      <c r="A13749" s="2" t="s">
        <v>4996</v>
      </c>
      <c r="B13749" s="2" t="s">
        <v>4998</v>
      </c>
      <c r="C13749" s="2" t="s">
        <v>7009</v>
      </c>
      <c r="D13749" s="3" t="str">
        <f t="shared" ref="D13749:D13751" si="3334">HYPERLINK("https://12go.asia/en/travel/mirissa/Nanu-Oya", "12Go Link")</f>
        <v>12Go Link</v>
      </c>
      <c r="E13749" s="2" t="s">
        <v>286</v>
      </c>
    </row>
    <row r="13750">
      <c r="A13750" s="2" t="s">
        <v>4996</v>
      </c>
      <c r="B13750" s="2" t="s">
        <v>4998</v>
      </c>
      <c r="C13750" s="2" t="s">
        <v>7009</v>
      </c>
      <c r="D13750" s="3" t="str">
        <f t="shared" si="3334"/>
        <v>12Go Link</v>
      </c>
      <c r="E13750" s="2" t="s">
        <v>4139</v>
      </c>
    </row>
    <row r="13751">
      <c r="A13751" s="2" t="s">
        <v>4996</v>
      </c>
      <c r="B13751" s="2" t="s">
        <v>4998</v>
      </c>
      <c r="C13751" s="2" t="s">
        <v>7009</v>
      </c>
      <c r="D13751" s="3" t="str">
        <f t="shared" si="3334"/>
        <v>12Go Link</v>
      </c>
      <c r="E13751" s="2" t="s">
        <v>3409</v>
      </c>
    </row>
    <row r="13752">
      <c r="A13752" s="2" t="s">
        <v>4996</v>
      </c>
      <c r="B13752" s="2" t="s">
        <v>5000</v>
      </c>
      <c r="C13752" s="2" t="s">
        <v>7010</v>
      </c>
      <c r="D13752" s="3" t="str">
        <f t="shared" ref="D13752:D13754" si="3335">HYPERLINK("https://12go.asia/en/travel/mirissa/Waikkal", "12Go Link")</f>
        <v>12Go Link</v>
      </c>
      <c r="E13752" s="2" t="s">
        <v>286</v>
      </c>
    </row>
    <row r="13753">
      <c r="A13753" s="2" t="s">
        <v>4996</v>
      </c>
      <c r="B13753" s="2" t="s">
        <v>5000</v>
      </c>
      <c r="C13753" s="2" t="s">
        <v>7010</v>
      </c>
      <c r="D13753" s="3" t="str">
        <f t="shared" si="3335"/>
        <v>12Go Link</v>
      </c>
      <c r="E13753" s="2" t="s">
        <v>4139</v>
      </c>
    </row>
    <row r="13754">
      <c r="A13754" s="2" t="s">
        <v>4996</v>
      </c>
      <c r="B13754" s="2" t="s">
        <v>5000</v>
      </c>
      <c r="C13754" s="2" t="s">
        <v>7010</v>
      </c>
      <c r="D13754" s="3" t="str">
        <f t="shared" si="3335"/>
        <v>12Go Link</v>
      </c>
      <c r="E13754" s="2" t="s">
        <v>3409</v>
      </c>
    </row>
    <row r="13755">
      <c r="A13755" s="2" t="s">
        <v>4996</v>
      </c>
      <c r="B13755" s="2" t="s">
        <v>5003</v>
      </c>
      <c r="C13755" s="2" t="s">
        <v>7011</v>
      </c>
      <c r="D13755" s="3" t="str">
        <f t="shared" ref="D13755:D13757" si="3336">HYPERLINK("https://12go.asia/en/travel/mirissa/Nilaveli", "12Go Link")</f>
        <v>12Go Link</v>
      </c>
      <c r="E13755" s="2" t="s">
        <v>286</v>
      </c>
    </row>
    <row r="13756">
      <c r="A13756" s="2" t="s">
        <v>4996</v>
      </c>
      <c r="B13756" s="2" t="s">
        <v>5003</v>
      </c>
      <c r="C13756" s="2" t="s">
        <v>7011</v>
      </c>
      <c r="D13756" s="3" t="str">
        <f t="shared" si="3336"/>
        <v>12Go Link</v>
      </c>
      <c r="E13756" s="2" t="s">
        <v>4139</v>
      </c>
    </row>
    <row r="13757">
      <c r="A13757" s="2" t="s">
        <v>4996</v>
      </c>
      <c r="B13757" s="2" t="s">
        <v>5003</v>
      </c>
      <c r="C13757" s="2" t="s">
        <v>7011</v>
      </c>
      <c r="D13757" s="3" t="str">
        <f t="shared" si="3336"/>
        <v>12Go Link</v>
      </c>
      <c r="E13757" s="2" t="s">
        <v>3409</v>
      </c>
    </row>
    <row r="13758">
      <c r="A13758" s="2" t="s">
        <v>4996</v>
      </c>
      <c r="B13758" s="2" t="s">
        <v>5005</v>
      </c>
      <c r="C13758" s="2" t="s">
        <v>7012</v>
      </c>
      <c r="D13758" s="3" t="str">
        <f t="shared" ref="D13758:D13759" si="3337">HYPERLINK("https://12go.asia/en/travel/mirissa/Kotmale", "12Go Link")</f>
        <v>12Go Link</v>
      </c>
      <c r="E13758" s="2" t="s">
        <v>4139</v>
      </c>
    </row>
    <row r="13759">
      <c r="A13759" s="2" t="s">
        <v>4996</v>
      </c>
      <c r="B13759" s="2" t="s">
        <v>5005</v>
      </c>
      <c r="C13759" s="2" t="s">
        <v>7012</v>
      </c>
      <c r="D13759" s="3" t="str">
        <f t="shared" si="3337"/>
        <v>12Go Link</v>
      </c>
      <c r="E13759" s="2" t="s">
        <v>3409</v>
      </c>
    </row>
    <row r="13760">
      <c r="A13760" s="2" t="s">
        <v>4996</v>
      </c>
      <c r="B13760" s="2" t="s">
        <v>5007</v>
      </c>
      <c r="C13760" s="2" t="s">
        <v>7013</v>
      </c>
      <c r="D13760" s="3" t="str">
        <f t="shared" ref="D13760:D13762" si="3338">HYPERLINK("https://12go.asia/en/travel/mirissa/Pasikuda", "12Go Link")</f>
        <v>12Go Link</v>
      </c>
      <c r="E13760" s="2" t="s">
        <v>286</v>
      </c>
    </row>
    <row r="13761">
      <c r="A13761" s="2" t="s">
        <v>4996</v>
      </c>
      <c r="B13761" s="2" t="s">
        <v>5007</v>
      </c>
      <c r="C13761" s="2" t="s">
        <v>7013</v>
      </c>
      <c r="D13761" s="3" t="str">
        <f t="shared" si="3338"/>
        <v>12Go Link</v>
      </c>
      <c r="E13761" s="2" t="s">
        <v>4139</v>
      </c>
    </row>
    <row r="13762">
      <c r="A13762" s="2" t="s">
        <v>4996</v>
      </c>
      <c r="B13762" s="2" t="s">
        <v>5007</v>
      </c>
      <c r="C13762" s="2" t="s">
        <v>7013</v>
      </c>
      <c r="D13762" s="3" t="str">
        <f t="shared" si="3338"/>
        <v>12Go Link</v>
      </c>
      <c r="E13762" s="2" t="s">
        <v>3409</v>
      </c>
    </row>
    <row r="13763">
      <c r="A13763" s="2" t="s">
        <v>4996</v>
      </c>
      <c r="B13763" s="2" t="s">
        <v>5009</v>
      </c>
      <c r="C13763" s="2" t="s">
        <v>7014</v>
      </c>
      <c r="D13763" s="3" t="str">
        <f t="shared" ref="D13763:D13765" si="3339">HYPERLINK("https://12go.asia/en/travel/mirissa/Galoya", "12Go Link")</f>
        <v>12Go Link</v>
      </c>
      <c r="E13763" s="2" t="s">
        <v>286</v>
      </c>
    </row>
    <row r="13764">
      <c r="A13764" s="2" t="s">
        <v>4996</v>
      </c>
      <c r="B13764" s="2" t="s">
        <v>5009</v>
      </c>
      <c r="C13764" s="2" t="s">
        <v>7014</v>
      </c>
      <c r="D13764" s="3" t="str">
        <f t="shared" si="3339"/>
        <v>12Go Link</v>
      </c>
      <c r="E13764" s="2" t="s">
        <v>4139</v>
      </c>
    </row>
    <row r="13765">
      <c r="A13765" s="2" t="s">
        <v>4996</v>
      </c>
      <c r="B13765" s="2" t="s">
        <v>5009</v>
      </c>
      <c r="C13765" s="2" t="s">
        <v>7014</v>
      </c>
      <c r="D13765" s="3" t="str">
        <f t="shared" si="3339"/>
        <v>12Go Link</v>
      </c>
      <c r="E13765" s="2" t="s">
        <v>3409</v>
      </c>
    </row>
    <row r="13766">
      <c r="A13766" s="2" t="s">
        <v>4996</v>
      </c>
      <c r="B13766" s="2" t="s">
        <v>5011</v>
      </c>
      <c r="C13766" s="2" t="s">
        <v>7015</v>
      </c>
      <c r="D13766" s="3" t="str">
        <f t="shared" ref="D13766:D13768" si="3340">HYPERLINK("https://12go.asia/en/travel/mirissa/Kalpitiya", "12Go Link")</f>
        <v>12Go Link</v>
      </c>
      <c r="E13766" s="2" t="s">
        <v>286</v>
      </c>
    </row>
    <row r="13767">
      <c r="A13767" s="2" t="s">
        <v>4996</v>
      </c>
      <c r="B13767" s="2" t="s">
        <v>5011</v>
      </c>
      <c r="C13767" s="2" t="s">
        <v>7015</v>
      </c>
      <c r="D13767" s="3" t="str">
        <f t="shared" si="3340"/>
        <v>12Go Link</v>
      </c>
      <c r="E13767" s="2" t="s">
        <v>4139</v>
      </c>
    </row>
    <row r="13768">
      <c r="A13768" s="2" t="s">
        <v>4996</v>
      </c>
      <c r="B13768" s="2" t="s">
        <v>5011</v>
      </c>
      <c r="C13768" s="2" t="s">
        <v>7015</v>
      </c>
      <c r="D13768" s="3" t="str">
        <f t="shared" si="3340"/>
        <v>12Go Link</v>
      </c>
      <c r="E13768" s="2" t="s">
        <v>3409</v>
      </c>
    </row>
    <row r="13769">
      <c r="A13769" s="2" t="s">
        <v>4996</v>
      </c>
      <c r="B13769" s="2" t="s">
        <v>5011</v>
      </c>
      <c r="C13769" s="2" t="s">
        <v>7016</v>
      </c>
      <c r="D13769" s="3" t="str">
        <f t="shared" ref="D13769:D13771" si="3341">HYPERLINK("https://12go.asia/en/travel/mirissa/Marawila", "12Go Link")</f>
        <v>12Go Link</v>
      </c>
      <c r="E13769" s="2" t="s">
        <v>286</v>
      </c>
    </row>
    <row r="13770">
      <c r="A13770" s="2" t="s">
        <v>4996</v>
      </c>
      <c r="B13770" s="2" t="s">
        <v>5011</v>
      </c>
      <c r="C13770" s="2" t="s">
        <v>7016</v>
      </c>
      <c r="D13770" s="3" t="str">
        <f t="shared" si="3341"/>
        <v>12Go Link</v>
      </c>
      <c r="E13770" s="2" t="s">
        <v>4139</v>
      </c>
    </row>
    <row r="13771">
      <c r="A13771" s="2" t="s">
        <v>4996</v>
      </c>
      <c r="B13771" s="2" t="s">
        <v>5011</v>
      </c>
      <c r="C13771" s="2" t="s">
        <v>7016</v>
      </c>
      <c r="D13771" s="3" t="str">
        <f t="shared" si="3341"/>
        <v>12Go Link</v>
      </c>
      <c r="E13771" s="2" t="s">
        <v>3409</v>
      </c>
    </row>
    <row r="13772">
      <c r="A13772" s="2" t="s">
        <v>4996</v>
      </c>
      <c r="B13772" s="2" t="s">
        <v>5014</v>
      </c>
      <c r="C13772" s="2" t="s">
        <v>7017</v>
      </c>
      <c r="D13772" s="3" t="str">
        <f t="shared" ref="D13772:D13774" si="3342">HYPERLINK("https://12go.asia/en/travel/mirissa/Kiriella", "12Go Link")</f>
        <v>12Go Link</v>
      </c>
      <c r="E13772" s="2" t="s">
        <v>286</v>
      </c>
    </row>
    <row r="13773">
      <c r="A13773" s="2" t="s">
        <v>4996</v>
      </c>
      <c r="B13773" s="2" t="s">
        <v>5014</v>
      </c>
      <c r="C13773" s="2" t="s">
        <v>7017</v>
      </c>
      <c r="D13773" s="3" t="str">
        <f t="shared" si="3342"/>
        <v>12Go Link</v>
      </c>
      <c r="E13773" s="2" t="s">
        <v>4139</v>
      </c>
    </row>
    <row r="13774">
      <c r="A13774" s="2" t="s">
        <v>4996</v>
      </c>
      <c r="B13774" s="2" t="s">
        <v>5014</v>
      </c>
      <c r="C13774" s="2" t="s">
        <v>7017</v>
      </c>
      <c r="D13774" s="3" t="str">
        <f t="shared" si="3342"/>
        <v>12Go Link</v>
      </c>
      <c r="E13774" s="2" t="s">
        <v>3409</v>
      </c>
    </row>
    <row r="13775">
      <c r="A13775" s="2" t="s">
        <v>4996</v>
      </c>
      <c r="B13775" s="2" t="s">
        <v>5018</v>
      </c>
      <c r="C13775" s="2" t="s">
        <v>7018</v>
      </c>
      <c r="D13775" s="3" t="str">
        <f t="shared" ref="D13775:D13777" si="3343">HYPERLINK("https://12go.asia/en/travel/mirissa/Rekawa", "12Go Link")</f>
        <v>12Go Link</v>
      </c>
      <c r="E13775" s="2" t="s">
        <v>286</v>
      </c>
    </row>
    <row r="13776">
      <c r="A13776" s="2" t="s">
        <v>4996</v>
      </c>
      <c r="B13776" s="2" t="s">
        <v>5018</v>
      </c>
      <c r="C13776" s="2" t="s">
        <v>7018</v>
      </c>
      <c r="D13776" s="3" t="str">
        <f t="shared" si="3343"/>
        <v>12Go Link</v>
      </c>
      <c r="E13776" s="2" t="s">
        <v>4139</v>
      </c>
    </row>
    <row r="13777">
      <c r="A13777" s="2" t="s">
        <v>4996</v>
      </c>
      <c r="B13777" s="2" t="s">
        <v>5018</v>
      </c>
      <c r="C13777" s="2" t="s">
        <v>7018</v>
      </c>
      <c r="D13777" s="3" t="str">
        <f t="shared" si="3343"/>
        <v>12Go Link</v>
      </c>
      <c r="E13777" s="2" t="s">
        <v>3409</v>
      </c>
    </row>
    <row r="13778">
      <c r="A13778" s="2" t="s">
        <v>4996</v>
      </c>
      <c r="B13778" s="2" t="s">
        <v>5020</v>
      </c>
      <c r="C13778" s="2" t="s">
        <v>7019</v>
      </c>
      <c r="D13778" s="3" t="str">
        <f t="shared" ref="D13778:D13780" si="3344">HYPERLINK("https://12go.asia/en/travel/mirissa/Tissamaharama", "12Go Link")</f>
        <v>12Go Link</v>
      </c>
      <c r="E13778" s="2" t="s">
        <v>286</v>
      </c>
    </row>
    <row r="13779">
      <c r="A13779" s="2" t="s">
        <v>4996</v>
      </c>
      <c r="B13779" s="2" t="s">
        <v>5020</v>
      </c>
      <c r="C13779" s="2" t="s">
        <v>7019</v>
      </c>
      <c r="D13779" s="3" t="str">
        <f t="shared" si="3344"/>
        <v>12Go Link</v>
      </c>
      <c r="E13779" s="2" t="s">
        <v>4139</v>
      </c>
    </row>
    <row r="13780">
      <c r="A13780" s="2" t="s">
        <v>4996</v>
      </c>
      <c r="B13780" s="2" t="s">
        <v>5020</v>
      </c>
      <c r="C13780" s="2" t="s">
        <v>7019</v>
      </c>
      <c r="D13780" s="3" t="str">
        <f t="shared" si="3344"/>
        <v>12Go Link</v>
      </c>
      <c r="E13780" s="2" t="s">
        <v>3409</v>
      </c>
    </row>
    <row r="13781">
      <c r="A13781" s="2" t="s">
        <v>4996</v>
      </c>
      <c r="B13781" s="2" t="s">
        <v>5020</v>
      </c>
      <c r="C13781" s="2" t="s">
        <v>7020</v>
      </c>
      <c r="D13781" s="3" t="str">
        <f t="shared" ref="D13781:D13783" si="3345">HYPERLINK("https://12go.asia/en/travel/mirissa/Yala-Park", "12Go Link")</f>
        <v>12Go Link</v>
      </c>
      <c r="E13781" s="2" t="s">
        <v>286</v>
      </c>
    </row>
    <row r="13782">
      <c r="A13782" s="2" t="s">
        <v>4996</v>
      </c>
      <c r="B13782" s="2" t="s">
        <v>5020</v>
      </c>
      <c r="C13782" s="2" t="s">
        <v>7020</v>
      </c>
      <c r="D13782" s="3" t="str">
        <f t="shared" si="3345"/>
        <v>12Go Link</v>
      </c>
      <c r="E13782" s="2" t="s">
        <v>4139</v>
      </c>
    </row>
    <row r="13783">
      <c r="A13783" s="2" t="s">
        <v>4996</v>
      </c>
      <c r="B13783" s="2" t="s">
        <v>5020</v>
      </c>
      <c r="C13783" s="2" t="s">
        <v>7020</v>
      </c>
      <c r="D13783" s="3" t="str">
        <f t="shared" si="3345"/>
        <v>12Go Link</v>
      </c>
      <c r="E13783" s="2" t="s">
        <v>3409</v>
      </c>
    </row>
    <row r="13784">
      <c r="A13784" s="2" t="s">
        <v>4996</v>
      </c>
      <c r="B13784" s="2" t="s">
        <v>5023</v>
      </c>
      <c r="C13784" s="2" t="s">
        <v>7021</v>
      </c>
      <c r="D13784" s="3" t="str">
        <f t="shared" ref="D13784:D13786" si="3346">HYPERLINK("https://12go.asia/en/travel/mirissa/Nilaweli", "12Go Link")</f>
        <v>12Go Link</v>
      </c>
      <c r="E13784" s="2" t="s">
        <v>286</v>
      </c>
    </row>
    <row r="13785">
      <c r="A13785" s="2" t="s">
        <v>4996</v>
      </c>
      <c r="B13785" s="2" t="s">
        <v>5023</v>
      </c>
      <c r="C13785" s="2" t="s">
        <v>7021</v>
      </c>
      <c r="D13785" s="3" t="str">
        <f t="shared" si="3346"/>
        <v>12Go Link</v>
      </c>
      <c r="E13785" s="2" t="s">
        <v>4139</v>
      </c>
    </row>
    <row r="13786">
      <c r="A13786" s="2" t="s">
        <v>4996</v>
      </c>
      <c r="B13786" s="2" t="s">
        <v>5023</v>
      </c>
      <c r="C13786" s="2" t="s">
        <v>7021</v>
      </c>
      <c r="D13786" s="3" t="str">
        <f t="shared" si="3346"/>
        <v>12Go Link</v>
      </c>
      <c r="E13786" s="2" t="s">
        <v>3409</v>
      </c>
    </row>
    <row r="13787">
      <c r="A13787" s="2" t="s">
        <v>4996</v>
      </c>
      <c r="B13787" s="2" t="s">
        <v>5025</v>
      </c>
      <c r="C13787" s="2" t="s">
        <v>7022</v>
      </c>
      <c r="D13787" s="3" t="str">
        <f t="shared" ref="D13787:D13789" si="3347">HYPERLINK("https://12go.asia/en/travel/mirissa/Udawalawa", "12Go Link")</f>
        <v>12Go Link</v>
      </c>
      <c r="E13787" s="2" t="s">
        <v>286</v>
      </c>
    </row>
    <row r="13788">
      <c r="A13788" s="2" t="s">
        <v>4996</v>
      </c>
      <c r="B13788" s="2" t="s">
        <v>5025</v>
      </c>
      <c r="C13788" s="2" t="s">
        <v>7022</v>
      </c>
      <c r="D13788" s="3" t="str">
        <f t="shared" si="3347"/>
        <v>12Go Link</v>
      </c>
      <c r="E13788" s="2" t="s">
        <v>4139</v>
      </c>
    </row>
    <row r="13789">
      <c r="A13789" s="2" t="s">
        <v>4996</v>
      </c>
      <c r="B13789" s="2" t="s">
        <v>5025</v>
      </c>
      <c r="C13789" s="2" t="s">
        <v>7022</v>
      </c>
      <c r="D13789" s="3" t="str">
        <f t="shared" si="3347"/>
        <v>12Go Link</v>
      </c>
      <c r="E13789" s="2" t="s">
        <v>3409</v>
      </c>
    </row>
    <row r="13790">
      <c r="A13790" s="2" t="s">
        <v>4996</v>
      </c>
      <c r="B13790" s="2" t="s">
        <v>5027</v>
      </c>
      <c r="C13790" s="2" t="s">
        <v>7023</v>
      </c>
      <c r="D13790" s="3" t="str">
        <f t="shared" ref="D13790:D13792" si="3348">HYPERLINK("https://12go.asia/en/travel/mirissa/Unawatuna", "12Go Link")</f>
        <v>12Go Link</v>
      </c>
      <c r="E13790" s="2" t="s">
        <v>286</v>
      </c>
    </row>
    <row r="13791">
      <c r="A13791" s="2" t="s">
        <v>4996</v>
      </c>
      <c r="B13791" s="2" t="s">
        <v>5027</v>
      </c>
      <c r="C13791" s="2" t="s">
        <v>7023</v>
      </c>
      <c r="D13791" s="3" t="str">
        <f t="shared" si="3348"/>
        <v>12Go Link</v>
      </c>
      <c r="E13791" s="2" t="s">
        <v>4139</v>
      </c>
    </row>
    <row r="13792">
      <c r="A13792" s="2" t="s">
        <v>4996</v>
      </c>
      <c r="B13792" s="2" t="s">
        <v>5027</v>
      </c>
      <c r="C13792" s="2" t="s">
        <v>7023</v>
      </c>
      <c r="D13792" s="3" t="str">
        <f t="shared" si="3348"/>
        <v>12Go Link</v>
      </c>
      <c r="E13792" s="2" t="s">
        <v>3409</v>
      </c>
    </row>
    <row r="13793">
      <c r="A13793" s="2" t="s">
        <v>4996</v>
      </c>
      <c r="B13793" s="2" t="s">
        <v>5029</v>
      </c>
      <c r="C13793" s="2" t="s">
        <v>7024</v>
      </c>
      <c r="D13793" s="3" t="str">
        <f t="shared" ref="D13793:D13795" si="3349">HYPERLINK("https://12go.asia/en/travel/mirissa/Attanagalla", "12Go Link")</f>
        <v>12Go Link</v>
      </c>
      <c r="E13793" s="2" t="s">
        <v>286</v>
      </c>
    </row>
    <row r="13794">
      <c r="A13794" s="2" t="s">
        <v>4996</v>
      </c>
      <c r="B13794" s="2" t="s">
        <v>5029</v>
      </c>
      <c r="C13794" s="2" t="s">
        <v>7024</v>
      </c>
      <c r="D13794" s="3" t="str">
        <f t="shared" si="3349"/>
        <v>12Go Link</v>
      </c>
      <c r="E13794" s="2" t="s">
        <v>4139</v>
      </c>
    </row>
    <row r="13795">
      <c r="A13795" s="2" t="s">
        <v>4996</v>
      </c>
      <c r="B13795" s="2" t="s">
        <v>5029</v>
      </c>
      <c r="C13795" s="2" t="s">
        <v>7024</v>
      </c>
      <c r="D13795" s="3" t="str">
        <f t="shared" si="3349"/>
        <v>12Go Link</v>
      </c>
      <c r="E13795" s="2" t="s">
        <v>3409</v>
      </c>
    </row>
    <row r="13796">
      <c r="A13796" s="2" t="s">
        <v>4996</v>
      </c>
      <c r="B13796" s="2" t="s">
        <v>5031</v>
      </c>
      <c r="C13796" s="2" t="s">
        <v>7025</v>
      </c>
      <c r="D13796" s="3" t="str">
        <f t="shared" ref="D13796:D13798" si="3350">HYPERLINK("https://12go.asia/en/travel/mirissa/Moronthuduwa", "12Go Link")</f>
        <v>12Go Link</v>
      </c>
      <c r="E13796" s="2" t="s">
        <v>286</v>
      </c>
    </row>
    <row r="13797">
      <c r="A13797" s="2" t="s">
        <v>4996</v>
      </c>
      <c r="B13797" s="2" t="s">
        <v>5031</v>
      </c>
      <c r="C13797" s="2" t="s">
        <v>7025</v>
      </c>
      <c r="D13797" s="3" t="str">
        <f t="shared" si="3350"/>
        <v>12Go Link</v>
      </c>
      <c r="E13797" s="2" t="s">
        <v>4139</v>
      </c>
    </row>
    <row r="13798">
      <c r="A13798" s="2" t="s">
        <v>4996</v>
      </c>
      <c r="B13798" s="2" t="s">
        <v>5031</v>
      </c>
      <c r="C13798" s="2" t="s">
        <v>7025</v>
      </c>
      <c r="D13798" s="3" t="str">
        <f t="shared" si="3350"/>
        <v>12Go Link</v>
      </c>
      <c r="E13798" s="2" t="s">
        <v>3409</v>
      </c>
    </row>
    <row r="13799">
      <c r="A13799" s="2" t="s">
        <v>4996</v>
      </c>
      <c r="B13799" s="2" t="s">
        <v>5031</v>
      </c>
      <c r="C13799" s="2" t="s">
        <v>7026</v>
      </c>
      <c r="D13799" s="3" t="str">
        <f t="shared" ref="D13799:D13801" si="3351">HYPERLINK("https://12go.asia/en/travel/mirissa/Waskaduwa", "12Go Link")</f>
        <v>12Go Link</v>
      </c>
      <c r="E13799" s="2" t="s">
        <v>286</v>
      </c>
    </row>
    <row r="13800">
      <c r="A13800" s="2" t="s">
        <v>4996</v>
      </c>
      <c r="B13800" s="2" t="s">
        <v>5031</v>
      </c>
      <c r="C13800" s="2" t="s">
        <v>7026</v>
      </c>
      <c r="D13800" s="3" t="str">
        <f t="shared" si="3351"/>
        <v>12Go Link</v>
      </c>
      <c r="E13800" s="2" t="s">
        <v>4139</v>
      </c>
    </row>
    <row r="13801">
      <c r="A13801" s="2" t="s">
        <v>4996</v>
      </c>
      <c r="B13801" s="2" t="s">
        <v>5031</v>
      </c>
      <c r="C13801" s="2" t="s">
        <v>7026</v>
      </c>
      <c r="D13801" s="3" t="str">
        <f t="shared" si="3351"/>
        <v>12Go Link</v>
      </c>
      <c r="E13801" s="2" t="s">
        <v>3409</v>
      </c>
    </row>
    <row r="13802">
      <c r="A13802" s="2" t="s">
        <v>4996</v>
      </c>
      <c r="B13802" s="2" t="s">
        <v>5034</v>
      </c>
      <c r="C13802" s="2" t="s">
        <v>7027</v>
      </c>
      <c r="D13802" s="3" t="str">
        <f t="shared" ref="D13802:D13804" si="3352">HYPERLINK("https://12go.asia/en/travel/mirissa/Weddagala", "12Go Link")</f>
        <v>12Go Link</v>
      </c>
      <c r="E13802" s="2" t="s">
        <v>286</v>
      </c>
    </row>
    <row r="13803">
      <c r="A13803" s="2" t="s">
        <v>4996</v>
      </c>
      <c r="B13803" s="2" t="s">
        <v>5034</v>
      </c>
      <c r="C13803" s="2" t="s">
        <v>7027</v>
      </c>
      <c r="D13803" s="3" t="str">
        <f t="shared" si="3352"/>
        <v>12Go Link</v>
      </c>
      <c r="E13803" s="2" t="s">
        <v>4139</v>
      </c>
    </row>
    <row r="13804">
      <c r="A13804" s="2" t="s">
        <v>4996</v>
      </c>
      <c r="B13804" s="2" t="s">
        <v>5034</v>
      </c>
      <c r="C13804" s="2" t="s">
        <v>7027</v>
      </c>
      <c r="D13804" s="3" t="str">
        <f t="shared" si="3352"/>
        <v>12Go Link</v>
      </c>
      <c r="E13804" s="2" t="s">
        <v>3409</v>
      </c>
    </row>
    <row r="13805">
      <c r="A13805" s="2" t="s">
        <v>4996</v>
      </c>
      <c r="B13805" s="2" t="s">
        <v>5036</v>
      </c>
      <c r="C13805" s="2" t="s">
        <v>7028</v>
      </c>
      <c r="D13805" s="3" t="str">
        <f t="shared" ref="D13805:D13807" si="3353">HYPERLINK("https://12go.asia/en/travel/mirissa/Weligatta", "12Go Link")</f>
        <v>12Go Link</v>
      </c>
      <c r="E13805" s="2" t="s">
        <v>286</v>
      </c>
    </row>
    <row r="13806">
      <c r="A13806" s="2" t="s">
        <v>4996</v>
      </c>
      <c r="B13806" s="2" t="s">
        <v>5036</v>
      </c>
      <c r="C13806" s="2" t="s">
        <v>7028</v>
      </c>
      <c r="D13806" s="3" t="str">
        <f t="shared" si="3353"/>
        <v>12Go Link</v>
      </c>
      <c r="E13806" s="2" t="s">
        <v>4139</v>
      </c>
    </row>
    <row r="13807">
      <c r="A13807" s="2" t="s">
        <v>4996</v>
      </c>
      <c r="B13807" s="2" t="s">
        <v>5036</v>
      </c>
      <c r="C13807" s="2" t="s">
        <v>7028</v>
      </c>
      <c r="D13807" s="3" t="str">
        <f t="shared" si="3353"/>
        <v>12Go Link</v>
      </c>
      <c r="E13807" s="2" t="s">
        <v>3409</v>
      </c>
    </row>
    <row r="13808">
      <c r="A13808" s="2" t="s">
        <v>4996</v>
      </c>
      <c r="B13808" s="2" t="s">
        <v>5038</v>
      </c>
      <c r="C13808" s="2" t="s">
        <v>7029</v>
      </c>
      <c r="D13808" s="3" t="str">
        <f t="shared" ref="D13808:D13810" si="3354">HYPERLINK("https://12go.asia/en/travel/mirissa/Akuressa", "12Go Link")</f>
        <v>12Go Link</v>
      </c>
      <c r="E13808" s="2" t="s">
        <v>286</v>
      </c>
    </row>
    <row r="13809">
      <c r="A13809" s="2" t="s">
        <v>4996</v>
      </c>
      <c r="B13809" s="2" t="s">
        <v>5038</v>
      </c>
      <c r="C13809" s="2" t="s">
        <v>7029</v>
      </c>
      <c r="D13809" s="3" t="str">
        <f t="shared" si="3354"/>
        <v>12Go Link</v>
      </c>
      <c r="E13809" s="2" t="s">
        <v>4139</v>
      </c>
    </row>
    <row r="13810">
      <c r="A13810" s="2" t="s">
        <v>4996</v>
      </c>
      <c r="B13810" s="2" t="s">
        <v>5038</v>
      </c>
      <c r="C13810" s="2" t="s">
        <v>7029</v>
      </c>
      <c r="D13810" s="3" t="str">
        <f t="shared" si="3354"/>
        <v>12Go Link</v>
      </c>
      <c r="E13810" s="2" t="s">
        <v>3409</v>
      </c>
    </row>
    <row r="13811">
      <c r="A13811" s="2" t="s">
        <v>4996</v>
      </c>
      <c r="B13811" s="2" t="s">
        <v>5040</v>
      </c>
      <c r="C13811" s="2" t="s">
        <v>7030</v>
      </c>
      <c r="D13811" s="3" t="str">
        <f t="shared" ref="D13811:D13813" si="3355">HYPERLINK("https://12go.asia/en/travel/mirissa/Wilpattu", "12Go Link")</f>
        <v>12Go Link</v>
      </c>
      <c r="E13811" s="2" t="s">
        <v>286</v>
      </c>
    </row>
    <row r="13812">
      <c r="A13812" s="2" t="s">
        <v>4996</v>
      </c>
      <c r="B13812" s="2" t="s">
        <v>5040</v>
      </c>
      <c r="C13812" s="2" t="s">
        <v>7030</v>
      </c>
      <c r="D13812" s="3" t="str">
        <f t="shared" si="3355"/>
        <v>12Go Link</v>
      </c>
      <c r="E13812" s="2" t="s">
        <v>4139</v>
      </c>
    </row>
    <row r="13813">
      <c r="A13813" s="2" t="s">
        <v>4996</v>
      </c>
      <c r="B13813" s="2" t="s">
        <v>5040</v>
      </c>
      <c r="C13813" s="2" t="s">
        <v>7030</v>
      </c>
      <c r="D13813" s="3" t="str">
        <f t="shared" si="3355"/>
        <v>12Go Link</v>
      </c>
      <c r="E13813" s="2" t="s">
        <v>3409</v>
      </c>
    </row>
    <row r="13814">
      <c r="A13814" s="2" t="s">
        <v>5204</v>
      </c>
      <c r="B13814" s="2" t="s">
        <v>4919</v>
      </c>
      <c r="C13814" s="2" t="s">
        <v>7031</v>
      </c>
      <c r="D13814" s="3" t="str">
        <f>HYPERLINK("https://12go.asia/en/travel/Moratuwa/Ahangama", "12Go Link")</f>
        <v>12Go Link</v>
      </c>
      <c r="E13814" s="2" t="s">
        <v>5080</v>
      </c>
    </row>
    <row r="13815">
      <c r="A13815" s="2" t="s">
        <v>5204</v>
      </c>
      <c r="B13815" s="2" t="s">
        <v>4923</v>
      </c>
      <c r="C13815" s="2" t="s">
        <v>7032</v>
      </c>
      <c r="D13815" s="3" t="str">
        <f>HYPERLINK("https://12go.asia/en/travel/Moratuwa/Aluthgama", "12Go Link")</f>
        <v>12Go Link</v>
      </c>
      <c r="E13815" s="2" t="s">
        <v>5080</v>
      </c>
    </row>
    <row r="13816">
      <c r="A13816" s="2" t="s">
        <v>5204</v>
      </c>
      <c r="B13816" s="2" t="s">
        <v>4925</v>
      </c>
      <c r="C13816" s="2" t="s">
        <v>7033</v>
      </c>
      <c r="D13816" s="3" t="str">
        <f>HYPERLINK("https://12go.asia/en/travel/Moratuwa/Ambalangoda", "12Go Link")</f>
        <v>12Go Link</v>
      </c>
      <c r="E13816" s="2" t="s">
        <v>5080</v>
      </c>
    </row>
    <row r="13817">
      <c r="A13817" s="2" t="s">
        <v>5204</v>
      </c>
      <c r="B13817" s="2" t="s">
        <v>4937</v>
      </c>
      <c r="C13817" s="2" t="s">
        <v>7034</v>
      </c>
      <c r="D13817" s="3" t="str">
        <f>HYPERLINK("https://12go.asia/en/travel/Moratuwa/Bentota", "12Go Link")</f>
        <v>12Go Link</v>
      </c>
      <c r="E13817" s="2" t="s">
        <v>5080</v>
      </c>
    </row>
    <row r="13818">
      <c r="A13818" s="2" t="s">
        <v>5204</v>
      </c>
      <c r="B13818" s="2" t="s">
        <v>4943</v>
      </c>
      <c r="C13818" s="2" t="s">
        <v>7035</v>
      </c>
      <c r="D13818" s="3" t="str">
        <f>HYPERLINK("https://12go.asia/en/travel/Moratuwa/Colombo-Fort", "12Go Link")</f>
        <v>12Go Link</v>
      </c>
      <c r="E13818" s="2" t="s">
        <v>5206</v>
      </c>
    </row>
    <row r="13819">
      <c r="A13819" s="2" t="s">
        <v>5204</v>
      </c>
      <c r="B13819" s="2" t="s">
        <v>4954</v>
      </c>
      <c r="C13819" s="2" t="s">
        <v>7036</v>
      </c>
      <c r="D13819" s="3" t="str">
        <f>HYPERLINK("https://12go.asia/en/travel/Moratuwa/Galle", "12Go Link")</f>
        <v>12Go Link</v>
      </c>
      <c r="E13819" s="2" t="s">
        <v>5080</v>
      </c>
    </row>
    <row r="13820">
      <c r="A13820" s="2" t="s">
        <v>5204</v>
      </c>
      <c r="B13820" s="2" t="s">
        <v>4954</v>
      </c>
      <c r="C13820" s="2" t="s">
        <v>7037</v>
      </c>
      <c r="D13820" s="3" t="str">
        <f>HYPERLINK("https://12go.asia/en/travel/Moratuwa/Talpe", "12Go Link")</f>
        <v>12Go Link</v>
      </c>
      <c r="E13820" s="2" t="s">
        <v>5080</v>
      </c>
    </row>
    <row r="13821">
      <c r="A13821" s="2" t="s">
        <v>5204</v>
      </c>
      <c r="B13821" s="2" t="s">
        <v>4965</v>
      </c>
      <c r="C13821" s="2" t="s">
        <v>7038</v>
      </c>
      <c r="D13821" s="3" t="str">
        <f>HYPERLINK("https://12go.asia/en/travel/Moratuwa/Dodanduwa", "12Go Link")</f>
        <v>12Go Link</v>
      </c>
      <c r="E13821" s="2" t="s">
        <v>5080</v>
      </c>
    </row>
    <row r="13822">
      <c r="A13822" s="2" t="s">
        <v>5204</v>
      </c>
      <c r="B13822" s="2" t="s">
        <v>4965</v>
      </c>
      <c r="C13822" s="2" t="s">
        <v>7039</v>
      </c>
      <c r="D13822" s="3" t="str">
        <f>HYPERLINK("https://12go.asia/en/travel/Moratuwa/Hikkaduwa", "12Go Link")</f>
        <v>12Go Link</v>
      </c>
      <c r="E13822" s="2" t="s">
        <v>5080</v>
      </c>
    </row>
    <row r="13823">
      <c r="A13823" s="2" t="s">
        <v>5204</v>
      </c>
      <c r="B13823" s="2" t="s">
        <v>4971</v>
      </c>
      <c r="C13823" s="2" t="s">
        <v>7040</v>
      </c>
      <c r="D13823" s="3" t="str">
        <f>HYPERLINK("https://12go.asia/en/travel/Moratuwa/Kalutara-South", "12Go Link")</f>
        <v>12Go Link</v>
      </c>
      <c r="E13823" s="2" t="s">
        <v>5080</v>
      </c>
    </row>
    <row r="13824">
      <c r="A13824" s="2" t="s">
        <v>5204</v>
      </c>
      <c r="B13824" s="2" t="s">
        <v>4984</v>
      </c>
      <c r="C13824" s="2" t="s">
        <v>7041</v>
      </c>
      <c r="D13824" s="3" t="str">
        <f>HYPERLINK("https://12go.asia/en/travel/Moratuwa/Koggala", "12Go Link")</f>
        <v>12Go Link</v>
      </c>
      <c r="E13824" s="2" t="s">
        <v>5080</v>
      </c>
    </row>
    <row r="13825">
      <c r="A13825" s="2" t="s">
        <v>5204</v>
      </c>
      <c r="B13825" s="2" t="s">
        <v>4994</v>
      </c>
      <c r="C13825" s="2" t="s">
        <v>7042</v>
      </c>
      <c r="D13825" s="3" t="str">
        <f>HYPERLINK("https://12go.asia/en/travel/Moratuwa/Matara", "12Go Link")</f>
        <v>12Go Link</v>
      </c>
      <c r="E13825" s="2" t="s">
        <v>5080</v>
      </c>
    </row>
    <row r="13826">
      <c r="A13826" s="2" t="s">
        <v>5204</v>
      </c>
      <c r="B13826" s="2" t="s">
        <v>4996</v>
      </c>
      <c r="C13826" s="2" t="s">
        <v>7043</v>
      </c>
      <c r="D13826" s="3" t="str">
        <f>HYPERLINK("https://12go.asia/en/travel/Moratuwa/Mirissa", "12Go Link")</f>
        <v>12Go Link</v>
      </c>
      <c r="E13826" s="2" t="s">
        <v>5080</v>
      </c>
    </row>
    <row r="13827">
      <c r="A13827" s="2" t="s">
        <v>5204</v>
      </c>
      <c r="B13827" s="2" t="s">
        <v>5683</v>
      </c>
      <c r="C13827" s="2" t="s">
        <v>7044</v>
      </c>
      <c r="D13827" s="3" t="str">
        <f>HYPERLINK("https://12go.asia/en/travel/Moratuwa/Panadura", "12Go Link")</f>
        <v>12Go Link</v>
      </c>
      <c r="E13827" s="2" t="s">
        <v>5080</v>
      </c>
    </row>
    <row r="13828">
      <c r="A13828" s="2" t="s">
        <v>5204</v>
      </c>
      <c r="B13828" s="2" t="s">
        <v>5031</v>
      </c>
      <c r="C13828" s="2" t="s">
        <v>7045</v>
      </c>
      <c r="D13828" s="3" t="str">
        <f>HYPERLINK("https://12go.asia/en/travel/Moratuwa/Wadduwa", "12Go Link")</f>
        <v>12Go Link</v>
      </c>
      <c r="E13828" s="2" t="s">
        <v>5080</v>
      </c>
    </row>
    <row r="13829">
      <c r="A13829" s="2" t="s">
        <v>5204</v>
      </c>
      <c r="B13829" s="2" t="s">
        <v>5038</v>
      </c>
      <c r="C13829" s="2" t="s">
        <v>7046</v>
      </c>
      <c r="D13829" s="3" t="str">
        <f>HYPERLINK("https://12go.asia/en/travel/Moratuwa/Weligama", "12Go Link")</f>
        <v>12Go Link</v>
      </c>
      <c r="E13829" s="2" t="s">
        <v>5080</v>
      </c>
    </row>
    <row r="13830">
      <c r="A13830" s="2" t="s">
        <v>4998</v>
      </c>
      <c r="B13830" s="2" t="s">
        <v>4945</v>
      </c>
      <c r="C13830" s="2" t="s">
        <v>7047</v>
      </c>
      <c r="D13830" s="3" t="str">
        <f t="shared" ref="D13830:D13832" si="3356">HYPERLINK("https://12go.asia/en/travel/Nanu-Oya/Bandaranaike-Airport", "12Go Link")</f>
        <v>12Go Link</v>
      </c>
      <c r="E13830" s="2" t="s">
        <v>286</v>
      </c>
    </row>
    <row r="13831">
      <c r="A13831" s="2" t="s">
        <v>4998</v>
      </c>
      <c r="B13831" s="2" t="s">
        <v>4945</v>
      </c>
      <c r="C13831" s="2" t="s">
        <v>7047</v>
      </c>
      <c r="D13831" s="3" t="str">
        <f t="shared" si="3356"/>
        <v>12Go Link</v>
      </c>
      <c r="E13831" s="2" t="s">
        <v>4139</v>
      </c>
    </row>
    <row r="13832">
      <c r="A13832" s="2" t="s">
        <v>4998</v>
      </c>
      <c r="B13832" s="2" t="s">
        <v>4945</v>
      </c>
      <c r="C13832" s="2" t="s">
        <v>7047</v>
      </c>
      <c r="D13832" s="3" t="str">
        <f t="shared" si="3356"/>
        <v>12Go Link</v>
      </c>
      <c r="E13832" s="2" t="s">
        <v>3409</v>
      </c>
    </row>
    <row r="13833">
      <c r="A13833" s="2" t="s">
        <v>5000</v>
      </c>
      <c r="B13833" s="2" t="s">
        <v>4918</v>
      </c>
      <c r="C13833" s="2" t="s">
        <v>7048</v>
      </c>
      <c r="D13833" s="3" t="str">
        <f t="shared" ref="D13833:D13835" si="3357">HYPERLINK("https://12go.asia/en/travel/Dalupotha/Adams-Peak", "12Go Link")</f>
        <v>12Go Link</v>
      </c>
      <c r="E13833" s="2" t="s">
        <v>286</v>
      </c>
    </row>
    <row r="13834">
      <c r="A13834" s="2" t="s">
        <v>5000</v>
      </c>
      <c r="B13834" s="2" t="s">
        <v>4918</v>
      </c>
      <c r="C13834" s="2" t="s">
        <v>7048</v>
      </c>
      <c r="D13834" s="3" t="str">
        <f t="shared" si="3357"/>
        <v>12Go Link</v>
      </c>
      <c r="E13834" s="2" t="s">
        <v>4139</v>
      </c>
    </row>
    <row r="13835">
      <c r="A13835" s="2" t="s">
        <v>5000</v>
      </c>
      <c r="B13835" s="2" t="s">
        <v>4918</v>
      </c>
      <c r="C13835" s="2" t="s">
        <v>7048</v>
      </c>
      <c r="D13835" s="3" t="str">
        <f t="shared" si="3357"/>
        <v>12Go Link</v>
      </c>
      <c r="E13835" s="2" t="s">
        <v>3409</v>
      </c>
    </row>
    <row r="13836">
      <c r="A13836" s="2" t="s">
        <v>5000</v>
      </c>
      <c r="B13836" s="2" t="s">
        <v>4918</v>
      </c>
      <c r="C13836" s="2" t="s">
        <v>7049</v>
      </c>
      <c r="D13836" s="3" t="str">
        <f t="shared" ref="D13836:D13838" si="3358">HYPERLINK("https://12go.asia/en/travel/Waikkal/Adams-Peak", "12Go Link")</f>
        <v>12Go Link</v>
      </c>
      <c r="E13836" s="2" t="s">
        <v>286</v>
      </c>
    </row>
    <row r="13837">
      <c r="A13837" s="2" t="s">
        <v>5000</v>
      </c>
      <c r="B13837" s="2" t="s">
        <v>4918</v>
      </c>
      <c r="C13837" s="2" t="s">
        <v>7049</v>
      </c>
      <c r="D13837" s="3" t="str">
        <f t="shared" si="3358"/>
        <v>12Go Link</v>
      </c>
      <c r="E13837" s="2" t="s">
        <v>4139</v>
      </c>
    </row>
    <row r="13838">
      <c r="A13838" s="2" t="s">
        <v>5000</v>
      </c>
      <c r="B13838" s="2" t="s">
        <v>4918</v>
      </c>
      <c r="C13838" s="2" t="s">
        <v>7049</v>
      </c>
      <c r="D13838" s="3" t="str">
        <f t="shared" si="3358"/>
        <v>12Go Link</v>
      </c>
      <c r="E13838" s="2" t="s">
        <v>3409</v>
      </c>
    </row>
    <row r="13839">
      <c r="A13839" s="2" t="s">
        <v>5000</v>
      </c>
      <c r="B13839" s="2" t="s">
        <v>4919</v>
      </c>
      <c r="C13839" s="2" t="s">
        <v>7050</v>
      </c>
      <c r="D13839" s="3" t="str">
        <f t="shared" ref="D13839:D13841" si="3359">HYPERLINK("https://12go.asia/en/travel/Waikkal/Ahangama", "12Go Link")</f>
        <v>12Go Link</v>
      </c>
      <c r="E13839" s="2" t="s">
        <v>286</v>
      </c>
    </row>
    <row r="13840">
      <c r="A13840" s="2" t="s">
        <v>5000</v>
      </c>
      <c r="B13840" s="2" t="s">
        <v>4919</v>
      </c>
      <c r="C13840" s="2" t="s">
        <v>7050</v>
      </c>
      <c r="D13840" s="3" t="str">
        <f t="shared" si="3359"/>
        <v>12Go Link</v>
      </c>
      <c r="E13840" s="2" t="s">
        <v>4139</v>
      </c>
    </row>
    <row r="13841">
      <c r="A13841" s="2" t="s">
        <v>5000</v>
      </c>
      <c r="B13841" s="2" t="s">
        <v>4919</v>
      </c>
      <c r="C13841" s="2" t="s">
        <v>7050</v>
      </c>
      <c r="D13841" s="3" t="str">
        <f t="shared" si="3359"/>
        <v>12Go Link</v>
      </c>
      <c r="E13841" s="2" t="s">
        <v>3409</v>
      </c>
    </row>
    <row r="13842">
      <c r="A13842" s="2" t="s">
        <v>5000</v>
      </c>
      <c r="B13842" s="2" t="s">
        <v>4921</v>
      </c>
      <c r="C13842" s="2" t="s">
        <v>7051</v>
      </c>
      <c r="D13842" s="3" t="str">
        <f t="shared" ref="D13842:D13844" si="3360">HYPERLINK("https://12go.asia/en/travel/Waikkal/Ahungalla", "12Go Link")</f>
        <v>12Go Link</v>
      </c>
      <c r="E13842" s="2" t="s">
        <v>286</v>
      </c>
    </row>
    <row r="13843">
      <c r="A13843" s="2" t="s">
        <v>5000</v>
      </c>
      <c r="B13843" s="2" t="s">
        <v>4921</v>
      </c>
      <c r="C13843" s="2" t="s">
        <v>7051</v>
      </c>
      <c r="D13843" s="3" t="str">
        <f t="shared" si="3360"/>
        <v>12Go Link</v>
      </c>
      <c r="E13843" s="2" t="s">
        <v>4139</v>
      </c>
    </row>
    <row r="13844">
      <c r="A13844" s="2" t="s">
        <v>5000</v>
      </c>
      <c r="B13844" s="2" t="s">
        <v>4921</v>
      </c>
      <c r="C13844" s="2" t="s">
        <v>7051</v>
      </c>
      <c r="D13844" s="3" t="str">
        <f t="shared" si="3360"/>
        <v>12Go Link</v>
      </c>
      <c r="E13844" s="2" t="s">
        <v>3409</v>
      </c>
    </row>
    <row r="13845">
      <c r="A13845" s="2" t="s">
        <v>5000</v>
      </c>
      <c r="B13845" s="2" t="s">
        <v>4923</v>
      </c>
      <c r="C13845" s="2" t="s">
        <v>7052</v>
      </c>
      <c r="D13845" s="3" t="str">
        <f t="shared" ref="D13845:D13847" si="3361">HYPERLINK("https://12go.asia/en/travel/Waikkal/Aluthgama", "12Go Link")</f>
        <v>12Go Link</v>
      </c>
      <c r="E13845" s="2" t="s">
        <v>286</v>
      </c>
    </row>
    <row r="13846">
      <c r="A13846" s="2" t="s">
        <v>5000</v>
      </c>
      <c r="B13846" s="2" t="s">
        <v>4923</v>
      </c>
      <c r="C13846" s="2" t="s">
        <v>7052</v>
      </c>
      <c r="D13846" s="3" t="str">
        <f t="shared" si="3361"/>
        <v>12Go Link</v>
      </c>
      <c r="E13846" s="2" t="s">
        <v>4139</v>
      </c>
    </row>
    <row r="13847">
      <c r="A13847" s="2" t="s">
        <v>5000</v>
      </c>
      <c r="B13847" s="2" t="s">
        <v>4923</v>
      </c>
      <c r="C13847" s="2" t="s">
        <v>7052</v>
      </c>
      <c r="D13847" s="3" t="str">
        <f t="shared" si="3361"/>
        <v>12Go Link</v>
      </c>
      <c r="E13847" s="2" t="s">
        <v>3409</v>
      </c>
    </row>
    <row r="13848">
      <c r="A13848" s="2" t="s">
        <v>5000</v>
      </c>
      <c r="B13848" s="2" t="s">
        <v>4925</v>
      </c>
      <c r="C13848" s="2" t="s">
        <v>7053</v>
      </c>
      <c r="D13848" s="3" t="str">
        <f t="shared" ref="D13848:D13850" si="3362">HYPERLINK("https://12go.asia/en/travel/Waikkal/Ambalangoda", "12Go Link")</f>
        <v>12Go Link</v>
      </c>
      <c r="E13848" s="2" t="s">
        <v>286</v>
      </c>
    </row>
    <row r="13849">
      <c r="A13849" s="2" t="s">
        <v>5000</v>
      </c>
      <c r="B13849" s="2" t="s">
        <v>4925</v>
      </c>
      <c r="C13849" s="2" t="s">
        <v>7053</v>
      </c>
      <c r="D13849" s="3" t="str">
        <f t="shared" si="3362"/>
        <v>12Go Link</v>
      </c>
      <c r="E13849" s="2" t="s">
        <v>4139</v>
      </c>
    </row>
    <row r="13850">
      <c r="A13850" s="2" t="s">
        <v>5000</v>
      </c>
      <c r="B13850" s="2" t="s">
        <v>4925</v>
      </c>
      <c r="C13850" s="2" t="s">
        <v>7053</v>
      </c>
      <c r="D13850" s="3" t="str">
        <f t="shared" si="3362"/>
        <v>12Go Link</v>
      </c>
      <c r="E13850" s="2" t="s">
        <v>3409</v>
      </c>
    </row>
    <row r="13851">
      <c r="A13851" s="2" t="s">
        <v>5000</v>
      </c>
      <c r="B13851" s="2" t="s">
        <v>4927</v>
      </c>
      <c r="C13851" s="2" t="s">
        <v>7054</v>
      </c>
      <c r="D13851" s="3" t="str">
        <f t="shared" ref="D13851:D13853" si="3363">HYPERLINK("https://12go.asia/en/travel/Waikkal/Ambalantota", "12Go Link")</f>
        <v>12Go Link</v>
      </c>
      <c r="E13851" s="2" t="s">
        <v>286</v>
      </c>
    </row>
    <row r="13852">
      <c r="A13852" s="2" t="s">
        <v>5000</v>
      </c>
      <c r="B13852" s="2" t="s">
        <v>4927</v>
      </c>
      <c r="C13852" s="2" t="s">
        <v>7054</v>
      </c>
      <c r="D13852" s="3" t="str">
        <f t="shared" si="3363"/>
        <v>12Go Link</v>
      </c>
      <c r="E13852" s="2" t="s">
        <v>4139</v>
      </c>
    </row>
    <row r="13853">
      <c r="A13853" s="2" t="s">
        <v>5000</v>
      </c>
      <c r="B13853" s="2" t="s">
        <v>4927</v>
      </c>
      <c r="C13853" s="2" t="s">
        <v>7054</v>
      </c>
      <c r="D13853" s="3" t="str">
        <f t="shared" si="3363"/>
        <v>12Go Link</v>
      </c>
      <c r="E13853" s="2" t="s">
        <v>3409</v>
      </c>
    </row>
    <row r="13854">
      <c r="A13854" s="2" t="s">
        <v>5000</v>
      </c>
      <c r="B13854" s="2" t="s">
        <v>4929</v>
      </c>
      <c r="C13854" s="2" t="s">
        <v>7055</v>
      </c>
      <c r="D13854" s="3" t="str">
        <f t="shared" ref="D13854:D13856" si="3364">HYPERLINK("https://12go.asia/en/travel/Waikkal/Anuradhapura", "12Go Link")</f>
        <v>12Go Link</v>
      </c>
      <c r="E13854" s="2" t="s">
        <v>286</v>
      </c>
    </row>
    <row r="13855">
      <c r="A13855" s="2" t="s">
        <v>5000</v>
      </c>
      <c r="B13855" s="2" t="s">
        <v>4929</v>
      </c>
      <c r="C13855" s="2" t="s">
        <v>7055</v>
      </c>
      <c r="D13855" s="3" t="str">
        <f t="shared" si="3364"/>
        <v>12Go Link</v>
      </c>
      <c r="E13855" s="2" t="s">
        <v>4139</v>
      </c>
    </row>
    <row r="13856">
      <c r="A13856" s="2" t="s">
        <v>5000</v>
      </c>
      <c r="B13856" s="2" t="s">
        <v>4929</v>
      </c>
      <c r="C13856" s="2" t="s">
        <v>7055</v>
      </c>
      <c r="D13856" s="3" t="str">
        <f t="shared" si="3364"/>
        <v>12Go Link</v>
      </c>
      <c r="E13856" s="2" t="s">
        <v>3409</v>
      </c>
    </row>
    <row r="13857">
      <c r="A13857" s="2" t="s">
        <v>5000</v>
      </c>
      <c r="B13857" s="2" t="s">
        <v>4931</v>
      </c>
      <c r="C13857" s="2" t="s">
        <v>7056</v>
      </c>
      <c r="D13857" s="3" t="str">
        <f t="shared" ref="D13857:D13859" si="3365">HYPERLINK("https://12go.asia/en/travel/Dalupotha/Arugam-bay", "12Go Link")</f>
        <v>12Go Link</v>
      </c>
      <c r="E13857" s="2" t="s">
        <v>286</v>
      </c>
    </row>
    <row r="13858">
      <c r="A13858" s="2" t="s">
        <v>5000</v>
      </c>
      <c r="B13858" s="2" t="s">
        <v>4931</v>
      </c>
      <c r="C13858" s="2" t="s">
        <v>7056</v>
      </c>
      <c r="D13858" s="3" t="str">
        <f t="shared" si="3365"/>
        <v>12Go Link</v>
      </c>
      <c r="E13858" s="2" t="s">
        <v>4139</v>
      </c>
    </row>
    <row r="13859">
      <c r="A13859" s="2" t="s">
        <v>5000</v>
      </c>
      <c r="B13859" s="2" t="s">
        <v>4931</v>
      </c>
      <c r="C13859" s="2" t="s">
        <v>7056</v>
      </c>
      <c r="D13859" s="3" t="str">
        <f t="shared" si="3365"/>
        <v>12Go Link</v>
      </c>
      <c r="E13859" s="2" t="s">
        <v>3409</v>
      </c>
    </row>
    <row r="13860">
      <c r="A13860" s="2" t="s">
        <v>5000</v>
      </c>
      <c r="B13860" s="2" t="s">
        <v>4931</v>
      </c>
      <c r="C13860" s="2" t="s">
        <v>7057</v>
      </c>
      <c r="D13860" s="3" t="str">
        <f t="shared" ref="D13860:D13862" si="3366">HYPERLINK("https://12go.asia/en/travel/Waikkal/Arugam-bay", "12Go Link")</f>
        <v>12Go Link</v>
      </c>
      <c r="E13860" s="2" t="s">
        <v>286</v>
      </c>
    </row>
    <row r="13861">
      <c r="A13861" s="2" t="s">
        <v>5000</v>
      </c>
      <c r="B13861" s="2" t="s">
        <v>4931</v>
      </c>
      <c r="C13861" s="2" t="s">
        <v>7057</v>
      </c>
      <c r="D13861" s="3" t="str">
        <f t="shared" si="3366"/>
        <v>12Go Link</v>
      </c>
      <c r="E13861" s="2" t="s">
        <v>4139</v>
      </c>
    </row>
    <row r="13862">
      <c r="A13862" s="2" t="s">
        <v>5000</v>
      </c>
      <c r="B13862" s="2" t="s">
        <v>4931</v>
      </c>
      <c r="C13862" s="2" t="s">
        <v>7057</v>
      </c>
      <c r="D13862" s="3" t="str">
        <f t="shared" si="3366"/>
        <v>12Go Link</v>
      </c>
      <c r="E13862" s="2" t="s">
        <v>3409</v>
      </c>
    </row>
    <row r="13863">
      <c r="A13863" s="2" t="s">
        <v>5000</v>
      </c>
      <c r="B13863" s="2" t="s">
        <v>4933</v>
      </c>
      <c r="C13863" s="2" t="s">
        <v>7058</v>
      </c>
      <c r="D13863" s="3" t="str">
        <f t="shared" ref="D13863:D13865" si="3367">HYPERLINK("https://12go.asia/en/travel/Waikkal/balapitiya", "12Go Link")</f>
        <v>12Go Link</v>
      </c>
      <c r="E13863" s="2" t="s">
        <v>286</v>
      </c>
    </row>
    <row r="13864">
      <c r="A13864" s="2" t="s">
        <v>5000</v>
      </c>
      <c r="B13864" s="2" t="s">
        <v>4933</v>
      </c>
      <c r="C13864" s="2" t="s">
        <v>7058</v>
      </c>
      <c r="D13864" s="3" t="str">
        <f t="shared" si="3367"/>
        <v>12Go Link</v>
      </c>
      <c r="E13864" s="2" t="s">
        <v>4139</v>
      </c>
    </row>
    <row r="13865">
      <c r="A13865" s="2" t="s">
        <v>5000</v>
      </c>
      <c r="B13865" s="2" t="s">
        <v>4933</v>
      </c>
      <c r="C13865" s="2" t="s">
        <v>7058</v>
      </c>
      <c r="D13865" s="3" t="str">
        <f t="shared" si="3367"/>
        <v>12Go Link</v>
      </c>
      <c r="E13865" s="2" t="s">
        <v>3409</v>
      </c>
    </row>
    <row r="13866">
      <c r="A13866" s="2" t="s">
        <v>5000</v>
      </c>
      <c r="B13866" s="2" t="s">
        <v>4935</v>
      </c>
      <c r="C13866" s="2" t="s">
        <v>7059</v>
      </c>
      <c r="D13866" s="3" t="str">
        <f t="shared" ref="D13866:D13868" si="3368">HYPERLINK("https://12go.asia/en/travel/Dalupotha/Batticaloa", "12Go Link")</f>
        <v>12Go Link</v>
      </c>
      <c r="E13866" s="2" t="s">
        <v>286</v>
      </c>
    </row>
    <row r="13867">
      <c r="A13867" s="2" t="s">
        <v>5000</v>
      </c>
      <c r="B13867" s="2" t="s">
        <v>4935</v>
      </c>
      <c r="C13867" s="2" t="s">
        <v>7059</v>
      </c>
      <c r="D13867" s="3" t="str">
        <f t="shared" si="3368"/>
        <v>12Go Link</v>
      </c>
      <c r="E13867" s="2" t="s">
        <v>4139</v>
      </c>
    </row>
    <row r="13868">
      <c r="A13868" s="2" t="s">
        <v>5000</v>
      </c>
      <c r="B13868" s="2" t="s">
        <v>4935</v>
      </c>
      <c r="C13868" s="2" t="s">
        <v>7059</v>
      </c>
      <c r="D13868" s="3" t="str">
        <f t="shared" si="3368"/>
        <v>12Go Link</v>
      </c>
      <c r="E13868" s="2" t="s">
        <v>3409</v>
      </c>
    </row>
    <row r="13869">
      <c r="A13869" s="2" t="s">
        <v>5000</v>
      </c>
      <c r="B13869" s="2" t="s">
        <v>4935</v>
      </c>
      <c r="C13869" s="2" t="s">
        <v>7060</v>
      </c>
      <c r="D13869" s="3" t="str">
        <f t="shared" ref="D13869:D13871" si="3369">HYPERLINK("https://12go.asia/en/travel/Waikkal/Batticaloa", "12Go Link")</f>
        <v>12Go Link</v>
      </c>
      <c r="E13869" s="2" t="s">
        <v>286</v>
      </c>
    </row>
    <row r="13870">
      <c r="A13870" s="2" t="s">
        <v>5000</v>
      </c>
      <c r="B13870" s="2" t="s">
        <v>4935</v>
      </c>
      <c r="C13870" s="2" t="s">
        <v>7060</v>
      </c>
      <c r="D13870" s="3" t="str">
        <f t="shared" si="3369"/>
        <v>12Go Link</v>
      </c>
      <c r="E13870" s="2" t="s">
        <v>4139</v>
      </c>
    </row>
    <row r="13871">
      <c r="A13871" s="2" t="s">
        <v>5000</v>
      </c>
      <c r="B13871" s="2" t="s">
        <v>4935</v>
      </c>
      <c r="C13871" s="2" t="s">
        <v>7060</v>
      </c>
      <c r="D13871" s="3" t="str">
        <f t="shared" si="3369"/>
        <v>12Go Link</v>
      </c>
      <c r="E13871" s="2" t="s">
        <v>3409</v>
      </c>
    </row>
    <row r="13872">
      <c r="A13872" s="2" t="s">
        <v>5000</v>
      </c>
      <c r="B13872" s="2" t="s">
        <v>4937</v>
      </c>
      <c r="C13872" s="2" t="s">
        <v>7061</v>
      </c>
      <c r="D13872" s="3" t="str">
        <f t="shared" ref="D13872:D13874" si="3370">HYPERLINK("https://12go.asia/en/travel/Waikkal/Bentota", "12Go Link")</f>
        <v>12Go Link</v>
      </c>
      <c r="E13872" s="2" t="s">
        <v>286</v>
      </c>
    </row>
    <row r="13873">
      <c r="A13873" s="2" t="s">
        <v>5000</v>
      </c>
      <c r="B13873" s="2" t="s">
        <v>4937</v>
      </c>
      <c r="C13873" s="2" t="s">
        <v>7061</v>
      </c>
      <c r="D13873" s="3" t="str">
        <f t="shared" si="3370"/>
        <v>12Go Link</v>
      </c>
      <c r="E13873" s="2" t="s">
        <v>4139</v>
      </c>
    </row>
    <row r="13874">
      <c r="A13874" s="2" t="s">
        <v>5000</v>
      </c>
      <c r="B13874" s="2" t="s">
        <v>4937</v>
      </c>
      <c r="C13874" s="2" t="s">
        <v>7061</v>
      </c>
      <c r="D13874" s="3" t="str">
        <f t="shared" si="3370"/>
        <v>12Go Link</v>
      </c>
      <c r="E13874" s="2" t="s">
        <v>3409</v>
      </c>
    </row>
    <row r="13875">
      <c r="A13875" s="2" t="s">
        <v>5000</v>
      </c>
      <c r="B13875" s="2" t="s">
        <v>4939</v>
      </c>
      <c r="C13875" s="2" t="s">
        <v>7062</v>
      </c>
      <c r="D13875" s="3" t="str">
        <f t="shared" ref="D13875:D13877" si="3371">HYPERLINK("https://12go.asia/en/travel/Waikkal/Beruwala", "12Go Link")</f>
        <v>12Go Link</v>
      </c>
      <c r="E13875" s="2" t="s">
        <v>286</v>
      </c>
    </row>
    <row r="13876">
      <c r="A13876" s="2" t="s">
        <v>5000</v>
      </c>
      <c r="B13876" s="2" t="s">
        <v>4939</v>
      </c>
      <c r="C13876" s="2" t="s">
        <v>7062</v>
      </c>
      <c r="D13876" s="3" t="str">
        <f t="shared" si="3371"/>
        <v>12Go Link</v>
      </c>
      <c r="E13876" s="2" t="s">
        <v>4139</v>
      </c>
    </row>
    <row r="13877">
      <c r="A13877" s="2" t="s">
        <v>5000</v>
      </c>
      <c r="B13877" s="2" t="s">
        <v>4939</v>
      </c>
      <c r="C13877" s="2" t="s">
        <v>7062</v>
      </c>
      <c r="D13877" s="3" t="str">
        <f t="shared" si="3371"/>
        <v>12Go Link</v>
      </c>
      <c r="E13877" s="2" t="s">
        <v>3409</v>
      </c>
    </row>
    <row r="13878">
      <c r="A13878" s="2" t="s">
        <v>5000</v>
      </c>
      <c r="B13878" s="2" t="s">
        <v>4941</v>
      </c>
      <c r="C13878" s="2" t="s">
        <v>7063</v>
      </c>
      <c r="D13878" s="3" t="str">
        <f t="shared" ref="D13878:D13880" si="3372">HYPERLINK("https://12go.asia/en/travel/Dalupotha/Bundala", "12Go Link")</f>
        <v>12Go Link</v>
      </c>
      <c r="E13878" s="2" t="s">
        <v>286</v>
      </c>
    </row>
    <row r="13879">
      <c r="A13879" s="2" t="s">
        <v>5000</v>
      </c>
      <c r="B13879" s="2" t="s">
        <v>4941</v>
      </c>
      <c r="C13879" s="2" t="s">
        <v>7063</v>
      </c>
      <c r="D13879" s="3" t="str">
        <f t="shared" si="3372"/>
        <v>12Go Link</v>
      </c>
      <c r="E13879" s="2" t="s">
        <v>4139</v>
      </c>
    </row>
    <row r="13880">
      <c r="A13880" s="2" t="s">
        <v>5000</v>
      </c>
      <c r="B13880" s="2" t="s">
        <v>4941</v>
      </c>
      <c r="C13880" s="2" t="s">
        <v>7063</v>
      </c>
      <c r="D13880" s="3" t="str">
        <f t="shared" si="3372"/>
        <v>12Go Link</v>
      </c>
      <c r="E13880" s="2" t="s">
        <v>3409</v>
      </c>
    </row>
    <row r="13881">
      <c r="A13881" s="2" t="s">
        <v>5000</v>
      </c>
      <c r="B13881" s="2" t="s">
        <v>4941</v>
      </c>
      <c r="C13881" s="2" t="s">
        <v>7064</v>
      </c>
      <c r="D13881" s="3" t="str">
        <f t="shared" ref="D13881:D13883" si="3373">HYPERLINK("https://12go.asia/en/travel/Waikkal/Bundala", "12Go Link")</f>
        <v>12Go Link</v>
      </c>
      <c r="E13881" s="2" t="s">
        <v>286</v>
      </c>
    </row>
    <row r="13882">
      <c r="A13882" s="2" t="s">
        <v>5000</v>
      </c>
      <c r="B13882" s="2" t="s">
        <v>4941</v>
      </c>
      <c r="C13882" s="2" t="s">
        <v>7064</v>
      </c>
      <c r="D13882" s="3" t="str">
        <f t="shared" si="3373"/>
        <v>12Go Link</v>
      </c>
      <c r="E13882" s="2" t="s">
        <v>4139</v>
      </c>
    </row>
    <row r="13883">
      <c r="A13883" s="2" t="s">
        <v>5000</v>
      </c>
      <c r="B13883" s="2" t="s">
        <v>4941</v>
      </c>
      <c r="C13883" s="2" t="s">
        <v>7064</v>
      </c>
      <c r="D13883" s="3" t="str">
        <f t="shared" si="3373"/>
        <v>12Go Link</v>
      </c>
      <c r="E13883" s="2" t="s">
        <v>3409</v>
      </c>
    </row>
    <row r="13884">
      <c r="A13884" s="2" t="s">
        <v>5000</v>
      </c>
      <c r="B13884" s="2" t="s">
        <v>5653</v>
      </c>
      <c r="C13884" s="2" t="s">
        <v>7065</v>
      </c>
      <c r="D13884" s="3" t="str">
        <f t="shared" ref="D13884:D13885" si="3374">HYPERLINK("https://12go.asia/en/travel/Negombo/Chilaw", "12Go Link")</f>
        <v>12Go Link</v>
      </c>
      <c r="E13884" s="2" t="s">
        <v>5080</v>
      </c>
    </row>
    <row r="13885">
      <c r="A13885" s="2" t="s">
        <v>5000</v>
      </c>
      <c r="B13885" s="2" t="s">
        <v>5653</v>
      </c>
      <c r="C13885" s="2" t="s">
        <v>7065</v>
      </c>
      <c r="D13885" s="3" t="str">
        <f t="shared" si="3374"/>
        <v>12Go Link</v>
      </c>
      <c r="E13885" s="2" t="s">
        <v>5081</v>
      </c>
    </row>
    <row r="13886">
      <c r="A13886" s="2" t="s">
        <v>5000</v>
      </c>
      <c r="B13886" s="2" t="s">
        <v>4943</v>
      </c>
      <c r="C13886" s="2" t="s">
        <v>7066</v>
      </c>
      <c r="D13886" s="3" t="str">
        <f t="shared" ref="D13886:D13887" si="3375">HYPERLINK("https://12go.asia/en/travel/Negombo/Colombo-Fort", "12Go Link")</f>
        <v>12Go Link</v>
      </c>
      <c r="E13886" s="2" t="s">
        <v>5080</v>
      </c>
    </row>
    <row r="13887">
      <c r="A13887" s="2" t="s">
        <v>5000</v>
      </c>
      <c r="B13887" s="2" t="s">
        <v>4943</v>
      </c>
      <c r="C13887" s="2" t="s">
        <v>7066</v>
      </c>
      <c r="D13887" s="3" t="str">
        <f t="shared" si="3375"/>
        <v>12Go Link</v>
      </c>
      <c r="E13887" s="2" t="s">
        <v>5081</v>
      </c>
    </row>
    <row r="13888">
      <c r="A13888" s="2" t="s">
        <v>5000</v>
      </c>
      <c r="B13888" s="2" t="s">
        <v>4943</v>
      </c>
      <c r="C13888" s="2" t="s">
        <v>7067</v>
      </c>
      <c r="D13888" s="3" t="str">
        <f t="shared" ref="D13888:D13890" si="3376">HYPERLINK("https://12go.asia/en/travel/Waikkal/Bambalapitiya", "12Go Link")</f>
        <v>12Go Link</v>
      </c>
      <c r="E13888" s="2" t="s">
        <v>286</v>
      </c>
    </row>
    <row r="13889">
      <c r="A13889" s="2" t="s">
        <v>5000</v>
      </c>
      <c r="B13889" s="2" t="s">
        <v>4943</v>
      </c>
      <c r="C13889" s="2" t="s">
        <v>7067</v>
      </c>
      <c r="D13889" s="3" t="str">
        <f t="shared" si="3376"/>
        <v>12Go Link</v>
      </c>
      <c r="E13889" s="2" t="s">
        <v>4139</v>
      </c>
    </row>
    <row r="13890">
      <c r="A13890" s="2" t="s">
        <v>5000</v>
      </c>
      <c r="B13890" s="2" t="s">
        <v>4943</v>
      </c>
      <c r="C13890" s="2" t="s">
        <v>7067</v>
      </c>
      <c r="D13890" s="3" t="str">
        <f t="shared" si="3376"/>
        <v>12Go Link</v>
      </c>
      <c r="E13890" s="2" t="s">
        <v>3409</v>
      </c>
    </row>
    <row r="13891">
      <c r="A13891" s="2" t="s">
        <v>5000</v>
      </c>
      <c r="B13891" s="2" t="s">
        <v>4945</v>
      </c>
      <c r="C13891" s="2" t="s">
        <v>7068</v>
      </c>
      <c r="D13891" s="3" t="str">
        <f t="shared" ref="D13891:D13893" si="3377">HYPERLINK("https://12go.asia/en/travel/Dalupotha/Bandaranaike-Airport", "12Go Link")</f>
        <v>12Go Link</v>
      </c>
      <c r="E13891" s="2" t="s">
        <v>286</v>
      </c>
    </row>
    <row r="13892">
      <c r="A13892" s="2" t="s">
        <v>5000</v>
      </c>
      <c r="B13892" s="2" t="s">
        <v>4945</v>
      </c>
      <c r="C13892" s="2" t="s">
        <v>7068</v>
      </c>
      <c r="D13892" s="3" t="str">
        <f t="shared" si="3377"/>
        <v>12Go Link</v>
      </c>
      <c r="E13892" s="2" t="s">
        <v>4139</v>
      </c>
    </row>
    <row r="13893">
      <c r="A13893" s="2" t="s">
        <v>5000</v>
      </c>
      <c r="B13893" s="2" t="s">
        <v>4945</v>
      </c>
      <c r="C13893" s="2" t="s">
        <v>7068</v>
      </c>
      <c r="D13893" s="3" t="str">
        <f t="shared" si="3377"/>
        <v>12Go Link</v>
      </c>
      <c r="E13893" s="2" t="s">
        <v>3409</v>
      </c>
    </row>
    <row r="13894">
      <c r="A13894" s="2" t="s">
        <v>5000</v>
      </c>
      <c r="B13894" s="2" t="s">
        <v>4945</v>
      </c>
      <c r="C13894" s="2" t="s">
        <v>7069</v>
      </c>
      <c r="D13894" s="3" t="str">
        <f t="shared" ref="D13894:D13896" si="3378">HYPERLINK("https://12go.asia/en/travel/Waikkal/Bandaranaike-Airport", "12Go Link")</f>
        <v>12Go Link</v>
      </c>
      <c r="E13894" s="2" t="s">
        <v>286</v>
      </c>
    </row>
    <row r="13895">
      <c r="A13895" s="2" t="s">
        <v>5000</v>
      </c>
      <c r="B13895" s="2" t="s">
        <v>4945</v>
      </c>
      <c r="C13895" s="2" t="s">
        <v>7069</v>
      </c>
      <c r="D13895" s="3" t="str">
        <f t="shared" si="3378"/>
        <v>12Go Link</v>
      </c>
      <c r="E13895" s="2" t="s">
        <v>4139</v>
      </c>
    </row>
    <row r="13896">
      <c r="A13896" s="2" t="s">
        <v>5000</v>
      </c>
      <c r="B13896" s="2" t="s">
        <v>4945</v>
      </c>
      <c r="C13896" s="2" t="s">
        <v>7069</v>
      </c>
      <c r="D13896" s="3" t="str">
        <f t="shared" si="3378"/>
        <v>12Go Link</v>
      </c>
      <c r="E13896" s="2" t="s">
        <v>3409</v>
      </c>
    </row>
    <row r="13897">
      <c r="A13897" s="2" t="s">
        <v>5000</v>
      </c>
      <c r="B13897" s="2" t="s">
        <v>4947</v>
      </c>
      <c r="C13897" s="2" t="s">
        <v>7070</v>
      </c>
      <c r="D13897" s="3" t="str">
        <f t="shared" ref="D13897:D13899" si="3379">HYPERLINK("https://12go.asia/en/travel/Waikkal/Dambulla", "12Go Link")</f>
        <v>12Go Link</v>
      </c>
      <c r="E13897" s="2" t="s">
        <v>286</v>
      </c>
    </row>
    <row r="13898">
      <c r="A13898" s="2" t="s">
        <v>5000</v>
      </c>
      <c r="B13898" s="2" t="s">
        <v>4947</v>
      </c>
      <c r="C13898" s="2" t="s">
        <v>7070</v>
      </c>
      <c r="D13898" s="3" t="str">
        <f t="shared" si="3379"/>
        <v>12Go Link</v>
      </c>
      <c r="E13898" s="2" t="s">
        <v>4139</v>
      </c>
    </row>
    <row r="13899">
      <c r="A13899" s="2" t="s">
        <v>5000</v>
      </c>
      <c r="B13899" s="2" t="s">
        <v>4947</v>
      </c>
      <c r="C13899" s="2" t="s">
        <v>7070</v>
      </c>
      <c r="D13899" s="3" t="str">
        <f t="shared" si="3379"/>
        <v>12Go Link</v>
      </c>
      <c r="E13899" s="2" t="s">
        <v>3409</v>
      </c>
    </row>
    <row r="13900">
      <c r="A13900" s="2" t="s">
        <v>5000</v>
      </c>
      <c r="B13900" s="2" t="s">
        <v>4949</v>
      </c>
      <c r="C13900" s="2" t="s">
        <v>7071</v>
      </c>
      <c r="D13900" s="3" t="str">
        <f t="shared" ref="D13900:D13902" si="3380">HYPERLINK("https://12go.asia/en/travel/Dalupotha/Deniyaya", "12Go Link")</f>
        <v>12Go Link</v>
      </c>
      <c r="E13900" s="2" t="s">
        <v>286</v>
      </c>
    </row>
    <row r="13901">
      <c r="A13901" s="2" t="s">
        <v>5000</v>
      </c>
      <c r="B13901" s="2" t="s">
        <v>4949</v>
      </c>
      <c r="C13901" s="2" t="s">
        <v>7071</v>
      </c>
      <c r="D13901" s="3" t="str">
        <f t="shared" si="3380"/>
        <v>12Go Link</v>
      </c>
      <c r="E13901" s="2" t="s">
        <v>4139</v>
      </c>
    </row>
    <row r="13902">
      <c r="A13902" s="2" t="s">
        <v>5000</v>
      </c>
      <c r="B13902" s="2" t="s">
        <v>4949</v>
      </c>
      <c r="C13902" s="2" t="s">
        <v>7071</v>
      </c>
      <c r="D13902" s="3" t="str">
        <f t="shared" si="3380"/>
        <v>12Go Link</v>
      </c>
      <c r="E13902" s="2" t="s">
        <v>3409</v>
      </c>
    </row>
    <row r="13903">
      <c r="A13903" s="2" t="s">
        <v>5000</v>
      </c>
      <c r="B13903" s="2" t="s">
        <v>4949</v>
      </c>
      <c r="C13903" s="2" t="s">
        <v>7072</v>
      </c>
      <c r="D13903" s="3" t="str">
        <f t="shared" ref="D13903:D13905" si="3381">HYPERLINK("https://12go.asia/en/travel/Waikkal/Deniyaya", "12Go Link")</f>
        <v>12Go Link</v>
      </c>
      <c r="E13903" s="2" t="s">
        <v>286</v>
      </c>
    </row>
    <row r="13904">
      <c r="A13904" s="2" t="s">
        <v>5000</v>
      </c>
      <c r="B13904" s="2" t="s">
        <v>4949</v>
      </c>
      <c r="C13904" s="2" t="s">
        <v>7072</v>
      </c>
      <c r="D13904" s="3" t="str">
        <f t="shared" si="3381"/>
        <v>12Go Link</v>
      </c>
      <c r="E13904" s="2" t="s">
        <v>4139</v>
      </c>
    </row>
    <row r="13905">
      <c r="A13905" s="2" t="s">
        <v>5000</v>
      </c>
      <c r="B13905" s="2" t="s">
        <v>4949</v>
      </c>
      <c r="C13905" s="2" t="s">
        <v>7072</v>
      </c>
      <c r="D13905" s="3" t="str">
        <f t="shared" si="3381"/>
        <v>12Go Link</v>
      </c>
      <c r="E13905" s="2" t="s">
        <v>3409</v>
      </c>
    </row>
    <row r="13906">
      <c r="A13906" s="2" t="s">
        <v>5000</v>
      </c>
      <c r="B13906" s="2" t="s">
        <v>4951</v>
      </c>
      <c r="C13906" s="2" t="s">
        <v>7073</v>
      </c>
      <c r="D13906" s="3" t="str">
        <f t="shared" ref="D13906:D13908" si="3382">HYPERLINK("https://12go.asia/en/travel/Dalupotha/Dickwella", "12Go Link")</f>
        <v>12Go Link</v>
      </c>
      <c r="E13906" s="2" t="s">
        <v>286</v>
      </c>
    </row>
    <row r="13907">
      <c r="A13907" s="2" t="s">
        <v>5000</v>
      </c>
      <c r="B13907" s="2" t="s">
        <v>4951</v>
      </c>
      <c r="C13907" s="2" t="s">
        <v>7073</v>
      </c>
      <c r="D13907" s="3" t="str">
        <f t="shared" si="3382"/>
        <v>12Go Link</v>
      </c>
      <c r="E13907" s="2" t="s">
        <v>4139</v>
      </c>
    </row>
    <row r="13908">
      <c r="A13908" s="2" t="s">
        <v>5000</v>
      </c>
      <c r="B13908" s="2" t="s">
        <v>4951</v>
      </c>
      <c r="C13908" s="2" t="s">
        <v>7073</v>
      </c>
      <c r="D13908" s="3" t="str">
        <f t="shared" si="3382"/>
        <v>12Go Link</v>
      </c>
      <c r="E13908" s="2" t="s">
        <v>3409</v>
      </c>
    </row>
    <row r="13909">
      <c r="A13909" s="2" t="s">
        <v>5000</v>
      </c>
      <c r="B13909" s="2" t="s">
        <v>4951</v>
      </c>
      <c r="C13909" s="2" t="s">
        <v>7074</v>
      </c>
      <c r="D13909" s="3" t="str">
        <f t="shared" ref="D13909:D13911" si="3383">HYPERLINK("https://12go.asia/en/travel/Dalupotha/Hiriketiya-beach", "12Go Link")</f>
        <v>12Go Link</v>
      </c>
      <c r="E13909" s="2" t="s">
        <v>286</v>
      </c>
    </row>
    <row r="13910">
      <c r="A13910" s="2" t="s">
        <v>5000</v>
      </c>
      <c r="B13910" s="2" t="s">
        <v>4951</v>
      </c>
      <c r="C13910" s="2" t="s">
        <v>7074</v>
      </c>
      <c r="D13910" s="3" t="str">
        <f t="shared" si="3383"/>
        <v>12Go Link</v>
      </c>
      <c r="E13910" s="2" t="s">
        <v>4139</v>
      </c>
    </row>
    <row r="13911">
      <c r="A13911" s="2" t="s">
        <v>5000</v>
      </c>
      <c r="B13911" s="2" t="s">
        <v>4951</v>
      </c>
      <c r="C13911" s="2" t="s">
        <v>7074</v>
      </c>
      <c r="D13911" s="3" t="str">
        <f t="shared" si="3383"/>
        <v>12Go Link</v>
      </c>
      <c r="E13911" s="2" t="s">
        <v>3409</v>
      </c>
    </row>
    <row r="13912">
      <c r="A13912" s="2" t="s">
        <v>5000</v>
      </c>
      <c r="B13912" s="2" t="s">
        <v>4951</v>
      </c>
      <c r="C13912" s="2" t="s">
        <v>7075</v>
      </c>
      <c r="D13912" s="3" t="str">
        <f t="shared" ref="D13912:D13914" si="3384">HYPERLINK("https://12go.asia/en/travel/Waikkal/Dickwella", "12Go Link")</f>
        <v>12Go Link</v>
      </c>
      <c r="E13912" s="2" t="s">
        <v>286</v>
      </c>
    </row>
    <row r="13913">
      <c r="A13913" s="2" t="s">
        <v>5000</v>
      </c>
      <c r="B13913" s="2" t="s">
        <v>4951</v>
      </c>
      <c r="C13913" s="2" t="s">
        <v>7075</v>
      </c>
      <c r="D13913" s="3" t="str">
        <f t="shared" si="3384"/>
        <v>12Go Link</v>
      </c>
      <c r="E13913" s="2" t="s">
        <v>4139</v>
      </c>
    </row>
    <row r="13914">
      <c r="A13914" s="2" t="s">
        <v>5000</v>
      </c>
      <c r="B13914" s="2" t="s">
        <v>4951</v>
      </c>
      <c r="C13914" s="2" t="s">
        <v>7075</v>
      </c>
      <c r="D13914" s="3" t="str">
        <f t="shared" si="3384"/>
        <v>12Go Link</v>
      </c>
      <c r="E13914" s="2" t="s">
        <v>3409</v>
      </c>
    </row>
    <row r="13915">
      <c r="A13915" s="2" t="s">
        <v>5000</v>
      </c>
      <c r="B13915" s="2" t="s">
        <v>4951</v>
      </c>
      <c r="C13915" s="2" t="s">
        <v>7076</v>
      </c>
      <c r="D13915" s="3" t="str">
        <f t="shared" ref="D13915:D13917" si="3385">HYPERLINK("https://12go.asia/en/travel/Waikkal/Hiriketiya-beach", "12Go Link")</f>
        <v>12Go Link</v>
      </c>
      <c r="E13915" s="2" t="s">
        <v>286</v>
      </c>
    </row>
    <row r="13916">
      <c r="A13916" s="2" t="s">
        <v>5000</v>
      </c>
      <c r="B13916" s="2" t="s">
        <v>4951</v>
      </c>
      <c r="C13916" s="2" t="s">
        <v>7076</v>
      </c>
      <c r="D13916" s="3" t="str">
        <f t="shared" si="3385"/>
        <v>12Go Link</v>
      </c>
      <c r="E13916" s="2" t="s">
        <v>4139</v>
      </c>
    </row>
    <row r="13917">
      <c r="A13917" s="2" t="s">
        <v>5000</v>
      </c>
      <c r="B13917" s="2" t="s">
        <v>4951</v>
      </c>
      <c r="C13917" s="2" t="s">
        <v>7076</v>
      </c>
      <c r="D13917" s="3" t="str">
        <f t="shared" si="3385"/>
        <v>12Go Link</v>
      </c>
      <c r="E13917" s="2" t="s">
        <v>3409</v>
      </c>
    </row>
    <row r="13918">
      <c r="A13918" s="2" t="s">
        <v>5000</v>
      </c>
      <c r="B13918" s="2" t="s">
        <v>4954</v>
      </c>
      <c r="C13918" s="2" t="s">
        <v>7077</v>
      </c>
      <c r="D13918" s="3" t="str">
        <f t="shared" ref="D13918:D13920" si="3386">HYPERLINK("https://12go.asia/en/travel/Dalupotha/Talpe", "12Go Link")</f>
        <v>12Go Link</v>
      </c>
      <c r="E13918" s="2" t="s">
        <v>286</v>
      </c>
    </row>
    <row r="13919">
      <c r="A13919" s="2" t="s">
        <v>5000</v>
      </c>
      <c r="B13919" s="2" t="s">
        <v>4954</v>
      </c>
      <c r="C13919" s="2" t="s">
        <v>7077</v>
      </c>
      <c r="D13919" s="3" t="str">
        <f t="shared" si="3386"/>
        <v>12Go Link</v>
      </c>
      <c r="E13919" s="2" t="s">
        <v>4139</v>
      </c>
    </row>
    <row r="13920">
      <c r="A13920" s="2" t="s">
        <v>5000</v>
      </c>
      <c r="B13920" s="2" t="s">
        <v>4954</v>
      </c>
      <c r="C13920" s="2" t="s">
        <v>7077</v>
      </c>
      <c r="D13920" s="3" t="str">
        <f t="shared" si="3386"/>
        <v>12Go Link</v>
      </c>
      <c r="E13920" s="2" t="s">
        <v>3409</v>
      </c>
    </row>
    <row r="13921">
      <c r="A13921" s="2" t="s">
        <v>5000</v>
      </c>
      <c r="B13921" s="2" t="s">
        <v>4954</v>
      </c>
      <c r="C13921" s="2" t="s">
        <v>7078</v>
      </c>
      <c r="D13921" s="3" t="str">
        <f t="shared" ref="D13921:D13923" si="3387">HYPERLINK("https://12go.asia/en/travel/Waikkal/Galle", "12Go Link")</f>
        <v>12Go Link</v>
      </c>
      <c r="E13921" s="2" t="s">
        <v>286</v>
      </c>
    </row>
    <row r="13922">
      <c r="A13922" s="2" t="s">
        <v>5000</v>
      </c>
      <c r="B13922" s="2" t="s">
        <v>4954</v>
      </c>
      <c r="C13922" s="2" t="s">
        <v>7078</v>
      </c>
      <c r="D13922" s="3" t="str">
        <f t="shared" si="3387"/>
        <v>12Go Link</v>
      </c>
      <c r="E13922" s="2" t="s">
        <v>4139</v>
      </c>
    </row>
    <row r="13923">
      <c r="A13923" s="2" t="s">
        <v>5000</v>
      </c>
      <c r="B13923" s="2" t="s">
        <v>4954</v>
      </c>
      <c r="C13923" s="2" t="s">
        <v>7078</v>
      </c>
      <c r="D13923" s="3" t="str">
        <f t="shared" si="3387"/>
        <v>12Go Link</v>
      </c>
      <c r="E13923" s="2" t="s">
        <v>3409</v>
      </c>
    </row>
    <row r="13924">
      <c r="A13924" s="2" t="s">
        <v>5000</v>
      </c>
      <c r="B13924" s="2" t="s">
        <v>4954</v>
      </c>
      <c r="C13924" s="2" t="s">
        <v>7079</v>
      </c>
      <c r="D13924" s="3" t="str">
        <f t="shared" ref="D13924:D13926" si="3388">HYPERLINK("https://12go.asia/en/travel/Waikkal/Talpe", "12Go Link")</f>
        <v>12Go Link</v>
      </c>
      <c r="E13924" s="2" t="s">
        <v>286</v>
      </c>
    </row>
    <row r="13925">
      <c r="A13925" s="2" t="s">
        <v>5000</v>
      </c>
      <c r="B13925" s="2" t="s">
        <v>4954</v>
      </c>
      <c r="C13925" s="2" t="s">
        <v>7079</v>
      </c>
      <c r="D13925" s="3" t="str">
        <f t="shared" si="3388"/>
        <v>12Go Link</v>
      </c>
      <c r="E13925" s="2" t="s">
        <v>4139</v>
      </c>
    </row>
    <row r="13926">
      <c r="A13926" s="2" t="s">
        <v>5000</v>
      </c>
      <c r="B13926" s="2" t="s">
        <v>4954</v>
      </c>
      <c r="C13926" s="2" t="s">
        <v>7079</v>
      </c>
      <c r="D13926" s="3" t="str">
        <f t="shared" si="3388"/>
        <v>12Go Link</v>
      </c>
      <c r="E13926" s="2" t="s">
        <v>3409</v>
      </c>
    </row>
    <row r="13927">
      <c r="A13927" s="2" t="s">
        <v>5000</v>
      </c>
      <c r="B13927" s="2" t="s">
        <v>4957</v>
      </c>
      <c r="C13927" s="2" t="s">
        <v>7080</v>
      </c>
      <c r="D13927" s="3" t="str">
        <f t="shared" ref="D13927:D13929" si="3389">HYPERLINK("https://12go.asia/en/travel/Waikkal/Habarana", "12Go Link")</f>
        <v>12Go Link</v>
      </c>
      <c r="E13927" s="2" t="s">
        <v>286</v>
      </c>
    </row>
    <row r="13928">
      <c r="A13928" s="2" t="s">
        <v>5000</v>
      </c>
      <c r="B13928" s="2" t="s">
        <v>4957</v>
      </c>
      <c r="C13928" s="2" t="s">
        <v>7080</v>
      </c>
      <c r="D13928" s="3" t="str">
        <f t="shared" si="3389"/>
        <v>12Go Link</v>
      </c>
      <c r="E13928" s="2" t="s">
        <v>4139</v>
      </c>
    </row>
    <row r="13929">
      <c r="A13929" s="2" t="s">
        <v>5000</v>
      </c>
      <c r="B13929" s="2" t="s">
        <v>4957</v>
      </c>
      <c r="C13929" s="2" t="s">
        <v>7080</v>
      </c>
      <c r="D13929" s="3" t="str">
        <f t="shared" si="3389"/>
        <v>12Go Link</v>
      </c>
      <c r="E13929" s="2" t="s">
        <v>3409</v>
      </c>
    </row>
    <row r="13930">
      <c r="A13930" s="2" t="s">
        <v>5000</v>
      </c>
      <c r="B13930" s="2" t="s">
        <v>4959</v>
      </c>
      <c r="C13930" s="2" t="s">
        <v>7081</v>
      </c>
      <c r="D13930" s="3" t="str">
        <f t="shared" ref="D13930:D13932" si="3390">HYPERLINK("https://12go.asia/en/travel/Waikkal/Ella", "12Go Link")</f>
        <v>12Go Link</v>
      </c>
      <c r="E13930" s="2" t="s">
        <v>286</v>
      </c>
    </row>
    <row r="13931">
      <c r="A13931" s="2" t="s">
        <v>5000</v>
      </c>
      <c r="B13931" s="2" t="s">
        <v>4959</v>
      </c>
      <c r="C13931" s="2" t="s">
        <v>7081</v>
      </c>
      <c r="D13931" s="3" t="str">
        <f t="shared" si="3390"/>
        <v>12Go Link</v>
      </c>
      <c r="E13931" s="2" t="s">
        <v>4139</v>
      </c>
    </row>
    <row r="13932">
      <c r="A13932" s="2" t="s">
        <v>5000</v>
      </c>
      <c r="B13932" s="2" t="s">
        <v>4959</v>
      </c>
      <c r="C13932" s="2" t="s">
        <v>7081</v>
      </c>
      <c r="D13932" s="3" t="str">
        <f t="shared" si="3390"/>
        <v>12Go Link</v>
      </c>
      <c r="E13932" s="2" t="s">
        <v>3409</v>
      </c>
    </row>
    <row r="13933">
      <c r="A13933" s="2" t="s">
        <v>5000</v>
      </c>
      <c r="B13933" s="2" t="s">
        <v>4961</v>
      </c>
      <c r="C13933" s="2" t="s">
        <v>7082</v>
      </c>
      <c r="D13933" s="3" t="str">
        <f t="shared" ref="D13933:D13935" si="3391">HYPERLINK("https://12go.asia/en/travel/Waikkal/Beragala", "12Go Link")</f>
        <v>12Go Link</v>
      </c>
      <c r="E13933" s="2" t="s">
        <v>286</v>
      </c>
    </row>
    <row r="13934">
      <c r="A13934" s="2" t="s">
        <v>5000</v>
      </c>
      <c r="B13934" s="2" t="s">
        <v>4961</v>
      </c>
      <c r="C13934" s="2" t="s">
        <v>7082</v>
      </c>
      <c r="D13934" s="3" t="str">
        <f t="shared" si="3391"/>
        <v>12Go Link</v>
      </c>
      <c r="E13934" s="2" t="s">
        <v>4139</v>
      </c>
    </row>
    <row r="13935">
      <c r="A13935" s="2" t="s">
        <v>5000</v>
      </c>
      <c r="B13935" s="2" t="s">
        <v>4961</v>
      </c>
      <c r="C13935" s="2" t="s">
        <v>7082</v>
      </c>
      <c r="D13935" s="3" t="str">
        <f t="shared" si="3391"/>
        <v>12Go Link</v>
      </c>
      <c r="E13935" s="2" t="s">
        <v>3409</v>
      </c>
    </row>
    <row r="13936">
      <c r="A13936" s="2" t="s">
        <v>5000</v>
      </c>
      <c r="B13936" s="2" t="s">
        <v>4963</v>
      </c>
      <c r="C13936" s="2" t="s">
        <v>7083</v>
      </c>
      <c r="D13936" s="3" t="str">
        <f t="shared" ref="D13936:D13938" si="3392">HYPERLINK("https://12go.asia/en/travel/Dalupotha/Dick-oya", "12Go Link")</f>
        <v>12Go Link</v>
      </c>
      <c r="E13936" s="2" t="s">
        <v>286</v>
      </c>
    </row>
    <row r="13937">
      <c r="A13937" s="2" t="s">
        <v>5000</v>
      </c>
      <c r="B13937" s="2" t="s">
        <v>4963</v>
      </c>
      <c r="C13937" s="2" t="s">
        <v>7083</v>
      </c>
      <c r="D13937" s="3" t="str">
        <f t="shared" si="3392"/>
        <v>12Go Link</v>
      </c>
      <c r="E13937" s="2" t="s">
        <v>4139</v>
      </c>
    </row>
    <row r="13938">
      <c r="A13938" s="2" t="s">
        <v>5000</v>
      </c>
      <c r="B13938" s="2" t="s">
        <v>4963</v>
      </c>
      <c r="C13938" s="2" t="s">
        <v>7083</v>
      </c>
      <c r="D13938" s="3" t="str">
        <f t="shared" si="3392"/>
        <v>12Go Link</v>
      </c>
      <c r="E13938" s="2" t="s">
        <v>3409</v>
      </c>
    </row>
    <row r="13939">
      <c r="A13939" s="2" t="s">
        <v>5000</v>
      </c>
      <c r="B13939" s="2" t="s">
        <v>4963</v>
      </c>
      <c r="C13939" s="2" t="s">
        <v>7084</v>
      </c>
      <c r="D13939" s="3" t="str">
        <f t="shared" ref="D13939:D13941" si="3393">HYPERLINK("https://12go.asia/en/travel/Waikkal/Dick-oya", "12Go Link")</f>
        <v>12Go Link</v>
      </c>
      <c r="E13939" s="2" t="s">
        <v>286</v>
      </c>
    </row>
    <row r="13940">
      <c r="A13940" s="2" t="s">
        <v>5000</v>
      </c>
      <c r="B13940" s="2" t="s">
        <v>4963</v>
      </c>
      <c r="C13940" s="2" t="s">
        <v>7084</v>
      </c>
      <c r="D13940" s="3" t="str">
        <f t="shared" si="3393"/>
        <v>12Go Link</v>
      </c>
      <c r="E13940" s="2" t="s">
        <v>4139</v>
      </c>
    </row>
    <row r="13941">
      <c r="A13941" s="2" t="s">
        <v>5000</v>
      </c>
      <c r="B13941" s="2" t="s">
        <v>4963</v>
      </c>
      <c r="C13941" s="2" t="s">
        <v>7084</v>
      </c>
      <c r="D13941" s="3" t="str">
        <f t="shared" si="3393"/>
        <v>12Go Link</v>
      </c>
      <c r="E13941" s="2" t="s">
        <v>3409</v>
      </c>
    </row>
    <row r="13942">
      <c r="A13942" s="2" t="s">
        <v>5000</v>
      </c>
      <c r="B13942" s="2" t="s">
        <v>4965</v>
      </c>
      <c r="C13942" s="2" t="s">
        <v>7085</v>
      </c>
      <c r="D13942" s="3" t="str">
        <f t="shared" ref="D13942:D13944" si="3394">HYPERLINK("https://12go.asia/en/travel/Waikkal/Dodanduwa", "12Go Link")</f>
        <v>12Go Link</v>
      </c>
      <c r="E13942" s="2" t="s">
        <v>286</v>
      </c>
    </row>
    <row r="13943">
      <c r="A13943" s="2" t="s">
        <v>5000</v>
      </c>
      <c r="B13943" s="2" t="s">
        <v>4965</v>
      </c>
      <c r="C13943" s="2" t="s">
        <v>7085</v>
      </c>
      <c r="D13943" s="3" t="str">
        <f t="shared" si="3394"/>
        <v>12Go Link</v>
      </c>
      <c r="E13943" s="2" t="s">
        <v>4139</v>
      </c>
    </row>
    <row r="13944">
      <c r="A13944" s="2" t="s">
        <v>5000</v>
      </c>
      <c r="B13944" s="2" t="s">
        <v>4965</v>
      </c>
      <c r="C13944" s="2" t="s">
        <v>7085</v>
      </c>
      <c r="D13944" s="3" t="str">
        <f t="shared" si="3394"/>
        <v>12Go Link</v>
      </c>
      <c r="E13944" s="2" t="s">
        <v>3409</v>
      </c>
    </row>
    <row r="13945">
      <c r="A13945" s="2" t="s">
        <v>5000</v>
      </c>
      <c r="B13945" s="2" t="s">
        <v>4967</v>
      </c>
      <c r="C13945" s="2" t="s">
        <v>7086</v>
      </c>
      <c r="D13945" s="3" t="str">
        <f t="shared" ref="D13945:D13947" si="3395">HYPERLINK("https://12go.asia/en/travel/Waikkal/Induruwa", "12Go Link")</f>
        <v>12Go Link</v>
      </c>
      <c r="E13945" s="2" t="s">
        <v>286</v>
      </c>
    </row>
    <row r="13946">
      <c r="A13946" s="2" t="s">
        <v>5000</v>
      </c>
      <c r="B13946" s="2" t="s">
        <v>4967</v>
      </c>
      <c r="C13946" s="2" t="s">
        <v>7086</v>
      </c>
      <c r="D13946" s="3" t="str">
        <f t="shared" si="3395"/>
        <v>12Go Link</v>
      </c>
      <c r="E13946" s="2" t="s">
        <v>4139</v>
      </c>
    </row>
    <row r="13947">
      <c r="A13947" s="2" t="s">
        <v>5000</v>
      </c>
      <c r="B13947" s="2" t="s">
        <v>4967</v>
      </c>
      <c r="C13947" s="2" t="s">
        <v>7086</v>
      </c>
      <c r="D13947" s="3" t="str">
        <f t="shared" si="3395"/>
        <v>12Go Link</v>
      </c>
      <c r="E13947" s="2" t="s">
        <v>3409</v>
      </c>
    </row>
    <row r="13948">
      <c r="A13948" s="2" t="s">
        <v>5000</v>
      </c>
      <c r="B13948" s="2" t="s">
        <v>4969</v>
      </c>
      <c r="C13948" s="2" t="s">
        <v>7087</v>
      </c>
      <c r="D13948" s="3" t="str">
        <f t="shared" ref="D13948:D13950" si="3396">HYPERLINK("https://12go.asia/en/travel/Waikkal/Jaffna", "12Go Link")</f>
        <v>12Go Link</v>
      </c>
      <c r="E13948" s="2" t="s">
        <v>286</v>
      </c>
    </row>
    <row r="13949">
      <c r="A13949" s="2" t="s">
        <v>5000</v>
      </c>
      <c r="B13949" s="2" t="s">
        <v>4969</v>
      </c>
      <c r="C13949" s="2" t="s">
        <v>7087</v>
      </c>
      <c r="D13949" s="3" t="str">
        <f t="shared" si="3396"/>
        <v>12Go Link</v>
      </c>
      <c r="E13949" s="2" t="s">
        <v>4139</v>
      </c>
    </row>
    <row r="13950">
      <c r="A13950" s="2" t="s">
        <v>5000</v>
      </c>
      <c r="B13950" s="2" t="s">
        <v>4969</v>
      </c>
      <c r="C13950" s="2" t="s">
        <v>7087</v>
      </c>
      <c r="D13950" s="3" t="str">
        <f t="shared" si="3396"/>
        <v>12Go Link</v>
      </c>
      <c r="E13950" s="2" t="s">
        <v>3409</v>
      </c>
    </row>
    <row r="13951">
      <c r="A13951" s="2" t="s">
        <v>5000</v>
      </c>
      <c r="B13951" s="2" t="s">
        <v>4971</v>
      </c>
      <c r="C13951" s="2" t="s">
        <v>7088</v>
      </c>
      <c r="D13951" s="3" t="str">
        <f t="shared" ref="D13951:D13953" si="3397">HYPERLINK("https://12go.asia/en/travel/Dalupotha/Kalapuwa", "12Go Link")</f>
        <v>12Go Link</v>
      </c>
      <c r="E13951" s="2" t="s">
        <v>286</v>
      </c>
    </row>
    <row r="13952">
      <c r="A13952" s="2" t="s">
        <v>5000</v>
      </c>
      <c r="B13952" s="2" t="s">
        <v>4971</v>
      </c>
      <c r="C13952" s="2" t="s">
        <v>7088</v>
      </c>
      <c r="D13952" s="3" t="str">
        <f t="shared" si="3397"/>
        <v>12Go Link</v>
      </c>
      <c r="E13952" s="2" t="s">
        <v>4139</v>
      </c>
    </row>
    <row r="13953">
      <c r="A13953" s="2" t="s">
        <v>5000</v>
      </c>
      <c r="B13953" s="2" t="s">
        <v>4971</v>
      </c>
      <c r="C13953" s="2" t="s">
        <v>7088</v>
      </c>
      <c r="D13953" s="3" t="str">
        <f t="shared" si="3397"/>
        <v>12Go Link</v>
      </c>
      <c r="E13953" s="2" t="s">
        <v>3409</v>
      </c>
    </row>
    <row r="13954">
      <c r="A13954" s="2" t="s">
        <v>5000</v>
      </c>
      <c r="B13954" s="2" t="s">
        <v>4971</v>
      </c>
      <c r="C13954" s="2" t="s">
        <v>7089</v>
      </c>
      <c r="D13954" s="3" t="str">
        <f t="shared" ref="D13954:D13956" si="3398">HYPERLINK("https://12go.asia/en/travel/Waikkal/Kalapuwa", "12Go Link")</f>
        <v>12Go Link</v>
      </c>
      <c r="E13954" s="2" t="s">
        <v>286</v>
      </c>
    </row>
    <row r="13955">
      <c r="A13955" s="2" t="s">
        <v>5000</v>
      </c>
      <c r="B13955" s="2" t="s">
        <v>4971</v>
      </c>
      <c r="C13955" s="2" t="s">
        <v>7089</v>
      </c>
      <c r="D13955" s="3" t="str">
        <f t="shared" si="3398"/>
        <v>12Go Link</v>
      </c>
      <c r="E13955" s="2" t="s">
        <v>4139</v>
      </c>
    </row>
    <row r="13956">
      <c r="A13956" s="2" t="s">
        <v>5000</v>
      </c>
      <c r="B13956" s="2" t="s">
        <v>4971</v>
      </c>
      <c r="C13956" s="2" t="s">
        <v>7089</v>
      </c>
      <c r="D13956" s="3" t="str">
        <f t="shared" si="3398"/>
        <v>12Go Link</v>
      </c>
      <c r="E13956" s="2" t="s">
        <v>3409</v>
      </c>
    </row>
    <row r="13957">
      <c r="A13957" s="2" t="s">
        <v>5000</v>
      </c>
      <c r="B13957" s="2" t="s">
        <v>4973</v>
      </c>
      <c r="C13957" s="2" t="s">
        <v>7090</v>
      </c>
      <c r="D13957" s="3" t="str">
        <f t="shared" ref="D13957:D13959" si="3399">HYPERLINK("https://12go.asia/en/travel/Dalupotha/Digana", "12Go Link")</f>
        <v>12Go Link</v>
      </c>
      <c r="E13957" s="2" t="s">
        <v>286</v>
      </c>
    </row>
    <row r="13958">
      <c r="A13958" s="2" t="s">
        <v>5000</v>
      </c>
      <c r="B13958" s="2" t="s">
        <v>4973</v>
      </c>
      <c r="C13958" s="2" t="s">
        <v>7090</v>
      </c>
      <c r="D13958" s="3" t="str">
        <f t="shared" si="3399"/>
        <v>12Go Link</v>
      </c>
      <c r="E13958" s="2" t="s">
        <v>4139</v>
      </c>
    </row>
    <row r="13959">
      <c r="A13959" s="2" t="s">
        <v>5000</v>
      </c>
      <c r="B13959" s="2" t="s">
        <v>4973</v>
      </c>
      <c r="C13959" s="2" t="s">
        <v>7090</v>
      </c>
      <c r="D13959" s="3" t="str">
        <f t="shared" si="3399"/>
        <v>12Go Link</v>
      </c>
      <c r="E13959" s="2" t="s">
        <v>3409</v>
      </c>
    </row>
    <row r="13960">
      <c r="A13960" s="2" t="s">
        <v>5000</v>
      </c>
      <c r="B13960" s="2" t="s">
        <v>4973</v>
      </c>
      <c r="C13960" s="2" t="s">
        <v>7091</v>
      </c>
      <c r="D13960" s="3" t="str">
        <f t="shared" ref="D13960:D13962" si="3400">HYPERLINK("https://12go.asia/en/travel/Waikkal/Ampitiya", "12Go Link")</f>
        <v>12Go Link</v>
      </c>
      <c r="E13960" s="2" t="s">
        <v>286</v>
      </c>
    </row>
    <row r="13961">
      <c r="A13961" s="2" t="s">
        <v>5000</v>
      </c>
      <c r="B13961" s="2" t="s">
        <v>4973</v>
      </c>
      <c r="C13961" s="2" t="s">
        <v>7091</v>
      </c>
      <c r="D13961" s="3" t="str">
        <f t="shared" si="3400"/>
        <v>12Go Link</v>
      </c>
      <c r="E13961" s="2" t="s">
        <v>4139</v>
      </c>
    </row>
    <row r="13962">
      <c r="A13962" s="2" t="s">
        <v>5000</v>
      </c>
      <c r="B13962" s="2" t="s">
        <v>4973</v>
      </c>
      <c r="C13962" s="2" t="s">
        <v>7091</v>
      </c>
      <c r="D13962" s="3" t="str">
        <f t="shared" si="3400"/>
        <v>12Go Link</v>
      </c>
      <c r="E13962" s="2" t="s">
        <v>3409</v>
      </c>
    </row>
    <row r="13963">
      <c r="A13963" s="2" t="s">
        <v>5000</v>
      </c>
      <c r="B13963" s="2" t="s">
        <v>4973</v>
      </c>
      <c r="C13963" s="2" t="s">
        <v>7092</v>
      </c>
      <c r="D13963" s="3" t="str">
        <f t="shared" ref="D13963:D13965" si="3401">HYPERLINK("https://12go.asia/en/travel/Waikkal/Digana", "12Go Link")</f>
        <v>12Go Link</v>
      </c>
      <c r="E13963" s="2" t="s">
        <v>286</v>
      </c>
    </row>
    <row r="13964">
      <c r="A13964" s="2" t="s">
        <v>5000</v>
      </c>
      <c r="B13964" s="2" t="s">
        <v>4973</v>
      </c>
      <c r="C13964" s="2" t="s">
        <v>7092</v>
      </c>
      <c r="D13964" s="3" t="str">
        <f t="shared" si="3401"/>
        <v>12Go Link</v>
      </c>
      <c r="E13964" s="2" t="s">
        <v>4139</v>
      </c>
    </row>
    <row r="13965">
      <c r="A13965" s="2" t="s">
        <v>5000</v>
      </c>
      <c r="B13965" s="2" t="s">
        <v>4973</v>
      </c>
      <c r="C13965" s="2" t="s">
        <v>7092</v>
      </c>
      <c r="D13965" s="3" t="str">
        <f t="shared" si="3401"/>
        <v>12Go Link</v>
      </c>
      <c r="E13965" s="2" t="s">
        <v>3409</v>
      </c>
    </row>
    <row r="13966">
      <c r="A13966" s="2" t="s">
        <v>5000</v>
      </c>
      <c r="B13966" s="2" t="s">
        <v>4976</v>
      </c>
      <c r="C13966" s="2" t="s">
        <v>7093</v>
      </c>
      <c r="D13966" s="3" t="str">
        <f t="shared" ref="D13966:D13968" si="3402">HYPERLINK("https://12go.asia/en/travel/Waikkal/Kataragama", "12Go Link")</f>
        <v>12Go Link</v>
      </c>
      <c r="E13966" s="2" t="s">
        <v>286</v>
      </c>
    </row>
    <row r="13967">
      <c r="A13967" s="2" t="s">
        <v>5000</v>
      </c>
      <c r="B13967" s="2" t="s">
        <v>4976</v>
      </c>
      <c r="C13967" s="2" t="s">
        <v>7093</v>
      </c>
      <c r="D13967" s="3" t="str">
        <f t="shared" si="3402"/>
        <v>12Go Link</v>
      </c>
      <c r="E13967" s="2" t="s">
        <v>4139</v>
      </c>
    </row>
    <row r="13968">
      <c r="A13968" s="2" t="s">
        <v>5000</v>
      </c>
      <c r="B13968" s="2" t="s">
        <v>4976</v>
      </c>
      <c r="C13968" s="2" t="s">
        <v>7093</v>
      </c>
      <c r="D13968" s="3" t="str">
        <f t="shared" si="3402"/>
        <v>12Go Link</v>
      </c>
      <c r="E13968" s="2" t="s">
        <v>3409</v>
      </c>
    </row>
    <row r="13969">
      <c r="A13969" s="2" t="s">
        <v>5000</v>
      </c>
      <c r="B13969" s="2" t="s">
        <v>4978</v>
      </c>
      <c r="C13969" s="2" t="s">
        <v>7094</v>
      </c>
      <c r="D13969" s="3" t="str">
        <f t="shared" ref="D13969:D13971" si="3403">HYPERLINK("https://12go.asia/en/travel/Dalupotha/Alawathupitiya", "12Go Link")</f>
        <v>12Go Link</v>
      </c>
      <c r="E13969" s="2" t="s">
        <v>286</v>
      </c>
    </row>
    <row r="13970">
      <c r="A13970" s="2" t="s">
        <v>5000</v>
      </c>
      <c r="B13970" s="2" t="s">
        <v>4978</v>
      </c>
      <c r="C13970" s="2" t="s">
        <v>7094</v>
      </c>
      <c r="D13970" s="3" t="str">
        <f t="shared" si="3403"/>
        <v>12Go Link</v>
      </c>
      <c r="E13970" s="2" t="s">
        <v>4139</v>
      </c>
    </row>
    <row r="13971">
      <c r="A13971" s="2" t="s">
        <v>5000</v>
      </c>
      <c r="B13971" s="2" t="s">
        <v>4978</v>
      </c>
      <c r="C13971" s="2" t="s">
        <v>7094</v>
      </c>
      <c r="D13971" s="3" t="str">
        <f t="shared" si="3403"/>
        <v>12Go Link</v>
      </c>
      <c r="E13971" s="2" t="s">
        <v>3409</v>
      </c>
    </row>
    <row r="13972">
      <c r="A13972" s="2" t="s">
        <v>5000</v>
      </c>
      <c r="B13972" s="2" t="s">
        <v>4978</v>
      </c>
      <c r="C13972" s="2" t="s">
        <v>7095</v>
      </c>
      <c r="D13972" s="3" t="str">
        <f t="shared" ref="D13972:D13974" si="3404">HYPERLINK("https://12go.asia/en/travel/Waikkal/Alawathupitiya", "12Go Link")</f>
        <v>12Go Link</v>
      </c>
      <c r="E13972" s="2" t="s">
        <v>286</v>
      </c>
    </row>
    <row r="13973">
      <c r="A13973" s="2" t="s">
        <v>5000</v>
      </c>
      <c r="B13973" s="2" t="s">
        <v>4978</v>
      </c>
      <c r="C13973" s="2" t="s">
        <v>7095</v>
      </c>
      <c r="D13973" s="3" t="str">
        <f t="shared" si="3404"/>
        <v>12Go Link</v>
      </c>
      <c r="E13973" s="2" t="s">
        <v>4139</v>
      </c>
    </row>
    <row r="13974">
      <c r="A13974" s="2" t="s">
        <v>5000</v>
      </c>
      <c r="B13974" s="2" t="s">
        <v>4978</v>
      </c>
      <c r="C13974" s="2" t="s">
        <v>7095</v>
      </c>
      <c r="D13974" s="3" t="str">
        <f t="shared" si="3404"/>
        <v>12Go Link</v>
      </c>
      <c r="E13974" s="2" t="s">
        <v>3409</v>
      </c>
    </row>
    <row r="13975">
      <c r="A13975" s="2" t="s">
        <v>5000</v>
      </c>
      <c r="B13975" s="2" t="s">
        <v>4980</v>
      </c>
      <c r="C13975" s="2" t="s">
        <v>7096</v>
      </c>
      <c r="D13975" s="3" t="str">
        <f t="shared" ref="D13975:D13977" si="3405">HYPERLINK("https://12go.asia/en/travel/Dalupotha/Pinnawala", "12Go Link")</f>
        <v>12Go Link</v>
      </c>
      <c r="E13975" s="2" t="s">
        <v>286</v>
      </c>
    </row>
    <row r="13976">
      <c r="A13976" s="2" t="s">
        <v>5000</v>
      </c>
      <c r="B13976" s="2" t="s">
        <v>4980</v>
      </c>
      <c r="C13976" s="2" t="s">
        <v>7096</v>
      </c>
      <c r="D13976" s="3" t="str">
        <f t="shared" si="3405"/>
        <v>12Go Link</v>
      </c>
      <c r="E13976" s="2" t="s">
        <v>4139</v>
      </c>
    </row>
    <row r="13977">
      <c r="A13977" s="2" t="s">
        <v>5000</v>
      </c>
      <c r="B13977" s="2" t="s">
        <v>4980</v>
      </c>
      <c r="C13977" s="2" t="s">
        <v>7096</v>
      </c>
      <c r="D13977" s="3" t="str">
        <f t="shared" si="3405"/>
        <v>12Go Link</v>
      </c>
      <c r="E13977" s="2" t="s">
        <v>3409</v>
      </c>
    </row>
    <row r="13978">
      <c r="A13978" s="2" t="s">
        <v>5000</v>
      </c>
      <c r="B13978" s="2" t="s">
        <v>4980</v>
      </c>
      <c r="C13978" s="2" t="s">
        <v>7097</v>
      </c>
      <c r="D13978" s="3" t="str">
        <f t="shared" ref="D13978:D13980" si="3406">HYPERLINK("https://12go.asia/en/travel/Waikkal/Pinnawala", "12Go Link")</f>
        <v>12Go Link</v>
      </c>
      <c r="E13978" s="2" t="s">
        <v>286</v>
      </c>
    </row>
    <row r="13979">
      <c r="A13979" s="2" t="s">
        <v>5000</v>
      </c>
      <c r="B13979" s="2" t="s">
        <v>4980</v>
      </c>
      <c r="C13979" s="2" t="s">
        <v>7097</v>
      </c>
      <c r="D13979" s="3" t="str">
        <f t="shared" si="3406"/>
        <v>12Go Link</v>
      </c>
      <c r="E13979" s="2" t="s">
        <v>4139</v>
      </c>
    </row>
    <row r="13980">
      <c r="A13980" s="2" t="s">
        <v>5000</v>
      </c>
      <c r="B13980" s="2" t="s">
        <v>4980</v>
      </c>
      <c r="C13980" s="2" t="s">
        <v>7097</v>
      </c>
      <c r="D13980" s="3" t="str">
        <f t="shared" si="3406"/>
        <v>12Go Link</v>
      </c>
      <c r="E13980" s="2" t="s">
        <v>3409</v>
      </c>
    </row>
    <row r="13981">
      <c r="A13981" s="2" t="s">
        <v>5000</v>
      </c>
      <c r="B13981" s="2" t="s">
        <v>4982</v>
      </c>
      <c r="C13981" s="2" t="s">
        <v>7098</v>
      </c>
      <c r="D13981" s="3" t="str">
        <f t="shared" ref="D13981:D13983" si="3407">HYPERLINK("https://12go.asia/en/travel/Dalupotha/Kitulgala", "12Go Link")</f>
        <v>12Go Link</v>
      </c>
      <c r="E13981" s="2" t="s">
        <v>286</v>
      </c>
    </row>
    <row r="13982">
      <c r="A13982" s="2" t="s">
        <v>5000</v>
      </c>
      <c r="B13982" s="2" t="s">
        <v>4982</v>
      </c>
      <c r="C13982" s="2" t="s">
        <v>7098</v>
      </c>
      <c r="D13982" s="3" t="str">
        <f t="shared" si="3407"/>
        <v>12Go Link</v>
      </c>
      <c r="E13982" s="2" t="s">
        <v>4139</v>
      </c>
    </row>
    <row r="13983">
      <c r="A13983" s="2" t="s">
        <v>5000</v>
      </c>
      <c r="B13983" s="2" t="s">
        <v>4982</v>
      </c>
      <c r="C13983" s="2" t="s">
        <v>7098</v>
      </c>
      <c r="D13983" s="3" t="str">
        <f t="shared" si="3407"/>
        <v>12Go Link</v>
      </c>
      <c r="E13983" s="2" t="s">
        <v>3409</v>
      </c>
    </row>
    <row r="13984">
      <c r="A13984" s="2" t="s">
        <v>5000</v>
      </c>
      <c r="B13984" s="2" t="s">
        <v>4982</v>
      </c>
      <c r="C13984" s="2" t="s">
        <v>7099</v>
      </c>
      <c r="D13984" s="3" t="str">
        <f t="shared" ref="D13984:D13986" si="3408">HYPERLINK("https://12go.asia/en/travel/Waikkal/Kitulgala", "12Go Link")</f>
        <v>12Go Link</v>
      </c>
      <c r="E13984" s="2" t="s">
        <v>286</v>
      </c>
    </row>
    <row r="13985">
      <c r="A13985" s="2" t="s">
        <v>5000</v>
      </c>
      <c r="B13985" s="2" t="s">
        <v>4982</v>
      </c>
      <c r="C13985" s="2" t="s">
        <v>7099</v>
      </c>
      <c r="D13985" s="3" t="str">
        <f t="shared" si="3408"/>
        <v>12Go Link</v>
      </c>
      <c r="E13985" s="2" t="s">
        <v>4139</v>
      </c>
    </row>
    <row r="13986">
      <c r="A13986" s="2" t="s">
        <v>5000</v>
      </c>
      <c r="B13986" s="2" t="s">
        <v>4982</v>
      </c>
      <c r="C13986" s="2" t="s">
        <v>7099</v>
      </c>
      <c r="D13986" s="3" t="str">
        <f t="shared" si="3408"/>
        <v>12Go Link</v>
      </c>
      <c r="E13986" s="2" t="s">
        <v>3409</v>
      </c>
    </row>
    <row r="13987">
      <c r="A13987" s="2" t="s">
        <v>5000</v>
      </c>
      <c r="B13987" s="2" t="s">
        <v>4984</v>
      </c>
      <c r="C13987" s="2" t="s">
        <v>7100</v>
      </c>
      <c r="D13987" s="3" t="str">
        <f t="shared" ref="D13987:D13989" si="3409">HYPERLINK("https://12go.asia/en/travel/Dalupotha/Habaraduwa", "12Go Link")</f>
        <v>12Go Link</v>
      </c>
      <c r="E13987" s="2" t="s">
        <v>286</v>
      </c>
    </row>
    <row r="13988">
      <c r="A13988" s="2" t="s">
        <v>5000</v>
      </c>
      <c r="B13988" s="2" t="s">
        <v>4984</v>
      </c>
      <c r="C13988" s="2" t="s">
        <v>7100</v>
      </c>
      <c r="D13988" s="3" t="str">
        <f t="shared" si="3409"/>
        <v>12Go Link</v>
      </c>
      <c r="E13988" s="2" t="s">
        <v>4139</v>
      </c>
    </row>
    <row r="13989">
      <c r="A13989" s="2" t="s">
        <v>5000</v>
      </c>
      <c r="B13989" s="2" t="s">
        <v>4984</v>
      </c>
      <c r="C13989" s="2" t="s">
        <v>7100</v>
      </c>
      <c r="D13989" s="3" t="str">
        <f t="shared" si="3409"/>
        <v>12Go Link</v>
      </c>
      <c r="E13989" s="2" t="s">
        <v>3409</v>
      </c>
    </row>
    <row r="13990">
      <c r="A13990" s="2" t="s">
        <v>5000</v>
      </c>
      <c r="B13990" s="2" t="s">
        <v>4984</v>
      </c>
      <c r="C13990" s="2" t="s">
        <v>7101</v>
      </c>
      <c r="D13990" s="3" t="str">
        <f t="shared" ref="D13990:D13992" si="3410">HYPERLINK("https://12go.asia/en/travel/Waikkal/Habaraduwa", "12Go Link")</f>
        <v>12Go Link</v>
      </c>
      <c r="E13990" s="2" t="s">
        <v>286</v>
      </c>
    </row>
    <row r="13991">
      <c r="A13991" s="2" t="s">
        <v>5000</v>
      </c>
      <c r="B13991" s="2" t="s">
        <v>4984</v>
      </c>
      <c r="C13991" s="2" t="s">
        <v>7101</v>
      </c>
      <c r="D13991" s="3" t="str">
        <f t="shared" si="3410"/>
        <v>12Go Link</v>
      </c>
      <c r="E13991" s="2" t="s">
        <v>4139</v>
      </c>
    </row>
    <row r="13992">
      <c r="A13992" s="2" t="s">
        <v>5000</v>
      </c>
      <c r="B13992" s="2" t="s">
        <v>4984</v>
      </c>
      <c r="C13992" s="2" t="s">
        <v>7101</v>
      </c>
      <c r="D13992" s="3" t="str">
        <f t="shared" si="3410"/>
        <v>12Go Link</v>
      </c>
      <c r="E13992" s="2" t="s">
        <v>3409</v>
      </c>
    </row>
    <row r="13993">
      <c r="A13993" s="2" t="s">
        <v>5000</v>
      </c>
      <c r="B13993" s="2" t="s">
        <v>4986</v>
      </c>
      <c r="C13993" s="2" t="s">
        <v>7102</v>
      </c>
      <c r="D13993" s="3" t="str">
        <f t="shared" ref="D13993:D13995" si="3411">HYPERLINK("https://12go.asia/en/travel/Waikkal/Kosgoda", "12Go Link")</f>
        <v>12Go Link</v>
      </c>
      <c r="E13993" s="2" t="s">
        <v>286</v>
      </c>
    </row>
    <row r="13994">
      <c r="A13994" s="2" t="s">
        <v>5000</v>
      </c>
      <c r="B13994" s="2" t="s">
        <v>4986</v>
      </c>
      <c r="C13994" s="2" t="s">
        <v>7102</v>
      </c>
      <c r="D13994" s="3" t="str">
        <f t="shared" si="3411"/>
        <v>12Go Link</v>
      </c>
      <c r="E13994" s="2" t="s">
        <v>4139</v>
      </c>
    </row>
    <row r="13995">
      <c r="A13995" s="2" t="s">
        <v>5000</v>
      </c>
      <c r="B13995" s="2" t="s">
        <v>4986</v>
      </c>
      <c r="C13995" s="2" t="s">
        <v>7102</v>
      </c>
      <c r="D13995" s="3" t="str">
        <f t="shared" si="3411"/>
        <v>12Go Link</v>
      </c>
      <c r="E13995" s="2" t="s">
        <v>3409</v>
      </c>
    </row>
    <row r="13996">
      <c r="A13996" s="2" t="s">
        <v>5000</v>
      </c>
      <c r="B13996" s="2" t="s">
        <v>4988</v>
      </c>
      <c r="C13996" s="2" t="s">
        <v>7103</v>
      </c>
      <c r="D13996" s="3" t="str">
        <f t="shared" ref="D13996:D13998" si="3412">HYPERLINK("https://12go.asia/en/travel/Dalupotha/Kuchchaveli", "12Go Link")</f>
        <v>12Go Link</v>
      </c>
      <c r="E13996" s="2" t="s">
        <v>286</v>
      </c>
    </row>
    <row r="13997">
      <c r="A13997" s="2" t="s">
        <v>5000</v>
      </c>
      <c r="B13997" s="2" t="s">
        <v>4988</v>
      </c>
      <c r="C13997" s="2" t="s">
        <v>7103</v>
      </c>
      <c r="D13997" s="3" t="str">
        <f t="shared" si="3412"/>
        <v>12Go Link</v>
      </c>
      <c r="E13997" s="2" t="s">
        <v>4139</v>
      </c>
    </row>
    <row r="13998">
      <c r="A13998" s="2" t="s">
        <v>5000</v>
      </c>
      <c r="B13998" s="2" t="s">
        <v>4988</v>
      </c>
      <c r="C13998" s="2" t="s">
        <v>7103</v>
      </c>
      <c r="D13998" s="3" t="str">
        <f t="shared" si="3412"/>
        <v>12Go Link</v>
      </c>
      <c r="E13998" s="2" t="s">
        <v>3409</v>
      </c>
    </row>
    <row r="13999">
      <c r="A13999" s="2" t="s">
        <v>5000</v>
      </c>
      <c r="B13999" s="2" t="s">
        <v>4988</v>
      </c>
      <c r="C13999" s="2" t="s">
        <v>7104</v>
      </c>
      <c r="D13999" s="3" t="str">
        <f t="shared" ref="D13999:D14001" si="3413">HYPERLINK("https://12go.asia/en/travel/Waikkal/Kuchchaveli", "12Go Link")</f>
        <v>12Go Link</v>
      </c>
      <c r="E13999" s="2" t="s">
        <v>286</v>
      </c>
    </row>
    <row r="14000">
      <c r="A14000" s="2" t="s">
        <v>5000</v>
      </c>
      <c r="B14000" s="2" t="s">
        <v>4988</v>
      </c>
      <c r="C14000" s="2" t="s">
        <v>7104</v>
      </c>
      <c r="D14000" s="3" t="str">
        <f t="shared" si="3413"/>
        <v>12Go Link</v>
      </c>
      <c r="E14000" s="2" t="s">
        <v>4139</v>
      </c>
    </row>
    <row r="14001">
      <c r="A14001" s="2" t="s">
        <v>5000</v>
      </c>
      <c r="B14001" s="2" t="s">
        <v>4988</v>
      </c>
      <c r="C14001" s="2" t="s">
        <v>7104</v>
      </c>
      <c r="D14001" s="3" t="str">
        <f t="shared" si="3413"/>
        <v>12Go Link</v>
      </c>
      <c r="E14001" s="2" t="s">
        <v>3409</v>
      </c>
    </row>
    <row r="14002">
      <c r="A14002" s="2" t="s">
        <v>5000</v>
      </c>
      <c r="B14002" s="2" t="s">
        <v>4990</v>
      </c>
      <c r="C14002" s="2" t="s">
        <v>7105</v>
      </c>
      <c r="D14002" s="3" t="str">
        <f t="shared" ref="D14002:D14004" si="3414">HYPERLINK("https://12go.asia/en/travel/Dalupotha/Mannar", "12Go Link")</f>
        <v>12Go Link</v>
      </c>
      <c r="E14002" s="2" t="s">
        <v>286</v>
      </c>
    </row>
    <row r="14003">
      <c r="A14003" s="2" t="s">
        <v>5000</v>
      </c>
      <c r="B14003" s="2" t="s">
        <v>4990</v>
      </c>
      <c r="C14003" s="2" t="s">
        <v>7105</v>
      </c>
      <c r="D14003" s="3" t="str">
        <f t="shared" si="3414"/>
        <v>12Go Link</v>
      </c>
      <c r="E14003" s="2" t="s">
        <v>4139</v>
      </c>
    </row>
    <row r="14004">
      <c r="A14004" s="2" t="s">
        <v>5000</v>
      </c>
      <c r="B14004" s="2" t="s">
        <v>4990</v>
      </c>
      <c r="C14004" s="2" t="s">
        <v>7105</v>
      </c>
      <c r="D14004" s="3" t="str">
        <f t="shared" si="3414"/>
        <v>12Go Link</v>
      </c>
      <c r="E14004" s="2" t="s">
        <v>3409</v>
      </c>
    </row>
    <row r="14005">
      <c r="A14005" s="2" t="s">
        <v>5000</v>
      </c>
      <c r="B14005" s="2" t="s">
        <v>4990</v>
      </c>
      <c r="C14005" s="2" t="s">
        <v>7106</v>
      </c>
      <c r="D14005" s="3" t="str">
        <f t="shared" ref="D14005:D14007" si="3415">HYPERLINK("https://12go.asia/en/travel/Waikkal/Mannar", "12Go Link")</f>
        <v>12Go Link</v>
      </c>
      <c r="E14005" s="2" t="s">
        <v>286</v>
      </c>
    </row>
    <row r="14006">
      <c r="A14006" s="2" t="s">
        <v>5000</v>
      </c>
      <c r="B14006" s="2" t="s">
        <v>4990</v>
      </c>
      <c r="C14006" s="2" t="s">
        <v>7106</v>
      </c>
      <c r="D14006" s="3" t="str">
        <f t="shared" si="3415"/>
        <v>12Go Link</v>
      </c>
      <c r="E14006" s="2" t="s">
        <v>4139</v>
      </c>
    </row>
    <row r="14007">
      <c r="A14007" s="2" t="s">
        <v>5000</v>
      </c>
      <c r="B14007" s="2" t="s">
        <v>4990</v>
      </c>
      <c r="C14007" s="2" t="s">
        <v>7106</v>
      </c>
      <c r="D14007" s="3" t="str">
        <f t="shared" si="3415"/>
        <v>12Go Link</v>
      </c>
      <c r="E14007" s="2" t="s">
        <v>3409</v>
      </c>
    </row>
    <row r="14008">
      <c r="A14008" s="2" t="s">
        <v>5000</v>
      </c>
      <c r="B14008" s="2" t="s">
        <v>4992</v>
      </c>
      <c r="C14008" s="2" t="s">
        <v>7107</v>
      </c>
      <c r="D14008" s="3" t="str">
        <f t="shared" ref="D14008:D14010" si="3416">HYPERLINK("https://12go.asia/en/travel/Dalupotha/Kinigama", "12Go Link")</f>
        <v>12Go Link</v>
      </c>
      <c r="E14008" s="2" t="s">
        <v>286</v>
      </c>
    </row>
    <row r="14009">
      <c r="A14009" s="2" t="s">
        <v>5000</v>
      </c>
      <c r="B14009" s="2" t="s">
        <v>4992</v>
      </c>
      <c r="C14009" s="2" t="s">
        <v>7107</v>
      </c>
      <c r="D14009" s="3" t="str">
        <f t="shared" si="3416"/>
        <v>12Go Link</v>
      </c>
      <c r="E14009" s="2" t="s">
        <v>4139</v>
      </c>
    </row>
    <row r="14010">
      <c r="A14010" s="2" t="s">
        <v>5000</v>
      </c>
      <c r="B14010" s="2" t="s">
        <v>4992</v>
      </c>
      <c r="C14010" s="2" t="s">
        <v>7107</v>
      </c>
      <c r="D14010" s="3" t="str">
        <f t="shared" si="3416"/>
        <v>12Go Link</v>
      </c>
      <c r="E14010" s="2" t="s">
        <v>3409</v>
      </c>
    </row>
    <row r="14011">
      <c r="A14011" s="2" t="s">
        <v>5000</v>
      </c>
      <c r="B14011" s="2" t="s">
        <v>4992</v>
      </c>
      <c r="C14011" s="2" t="s">
        <v>7108</v>
      </c>
      <c r="D14011" s="3" t="str">
        <f t="shared" ref="D14011:D14013" si="3417">HYPERLINK("https://12go.asia/en/travel/Waikkal/Kinigama", "12Go Link")</f>
        <v>12Go Link</v>
      </c>
      <c r="E14011" s="2" t="s">
        <v>286</v>
      </c>
    </row>
    <row r="14012">
      <c r="A14012" s="2" t="s">
        <v>5000</v>
      </c>
      <c r="B14012" s="2" t="s">
        <v>4992</v>
      </c>
      <c r="C14012" s="2" t="s">
        <v>7108</v>
      </c>
      <c r="D14012" s="3" t="str">
        <f t="shared" si="3417"/>
        <v>12Go Link</v>
      </c>
      <c r="E14012" s="2" t="s">
        <v>4139</v>
      </c>
    </row>
    <row r="14013">
      <c r="A14013" s="2" t="s">
        <v>5000</v>
      </c>
      <c r="B14013" s="2" t="s">
        <v>4992</v>
      </c>
      <c r="C14013" s="2" t="s">
        <v>7108</v>
      </c>
      <c r="D14013" s="3" t="str">
        <f t="shared" si="3417"/>
        <v>12Go Link</v>
      </c>
      <c r="E14013" s="2" t="s">
        <v>3409</v>
      </c>
    </row>
    <row r="14014">
      <c r="A14014" s="2" t="s">
        <v>5000</v>
      </c>
      <c r="B14014" s="2" t="s">
        <v>4994</v>
      </c>
      <c r="C14014" s="2" t="s">
        <v>7109</v>
      </c>
      <c r="D14014" s="3" t="str">
        <f t="shared" ref="D14014:D14016" si="3418">HYPERLINK("https://12go.asia/en/travel/Waikkal/Kalamatiya", "12Go Link")</f>
        <v>12Go Link</v>
      </c>
      <c r="E14014" s="2" t="s">
        <v>286</v>
      </c>
    </row>
    <row r="14015">
      <c r="A14015" s="2" t="s">
        <v>5000</v>
      </c>
      <c r="B14015" s="2" t="s">
        <v>4994</v>
      </c>
      <c r="C14015" s="2" t="s">
        <v>7109</v>
      </c>
      <c r="D14015" s="3" t="str">
        <f t="shared" si="3418"/>
        <v>12Go Link</v>
      </c>
      <c r="E14015" s="2" t="s">
        <v>4139</v>
      </c>
    </row>
    <row r="14016">
      <c r="A14016" s="2" t="s">
        <v>5000</v>
      </c>
      <c r="B14016" s="2" t="s">
        <v>4994</v>
      </c>
      <c r="C14016" s="2" t="s">
        <v>7109</v>
      </c>
      <c r="D14016" s="3" t="str">
        <f t="shared" si="3418"/>
        <v>12Go Link</v>
      </c>
      <c r="E14016" s="2" t="s">
        <v>3409</v>
      </c>
    </row>
    <row r="14017">
      <c r="A14017" s="2" t="s">
        <v>5000</v>
      </c>
      <c r="B14017" s="2" t="s">
        <v>4996</v>
      </c>
      <c r="C14017" s="2" t="s">
        <v>7110</v>
      </c>
      <c r="D14017" s="3" t="str">
        <f t="shared" ref="D14017:D14019" si="3419">HYPERLINK("https://12go.asia/en/travel/Waikkal/mirissa", "12Go Link")</f>
        <v>12Go Link</v>
      </c>
      <c r="E14017" s="2" t="s">
        <v>286</v>
      </c>
    </row>
    <row r="14018">
      <c r="A14018" s="2" t="s">
        <v>5000</v>
      </c>
      <c r="B14018" s="2" t="s">
        <v>4996</v>
      </c>
      <c r="C14018" s="2" t="s">
        <v>7110</v>
      </c>
      <c r="D14018" s="3" t="str">
        <f t="shared" si="3419"/>
        <v>12Go Link</v>
      </c>
      <c r="E14018" s="2" t="s">
        <v>4139</v>
      </c>
    </row>
    <row r="14019">
      <c r="A14019" s="2" t="s">
        <v>5000</v>
      </c>
      <c r="B14019" s="2" t="s">
        <v>4996</v>
      </c>
      <c r="C14019" s="2" t="s">
        <v>7110</v>
      </c>
      <c r="D14019" s="3" t="str">
        <f t="shared" si="3419"/>
        <v>12Go Link</v>
      </c>
      <c r="E14019" s="2" t="s">
        <v>3409</v>
      </c>
    </row>
    <row r="14020">
      <c r="A14020" s="2" t="s">
        <v>5000</v>
      </c>
      <c r="B14020" s="2" t="s">
        <v>4998</v>
      </c>
      <c r="C14020" s="2" t="s">
        <v>7111</v>
      </c>
      <c r="D14020" s="3" t="str">
        <f t="shared" ref="D14020:D14022" si="3420">HYPERLINK("https://12go.asia/en/travel/Dalupotha/Nanu-Oya", "12Go Link")</f>
        <v>12Go Link</v>
      </c>
      <c r="E14020" s="2" t="s">
        <v>286</v>
      </c>
    </row>
    <row r="14021">
      <c r="A14021" s="2" t="s">
        <v>5000</v>
      </c>
      <c r="B14021" s="2" t="s">
        <v>4998</v>
      </c>
      <c r="C14021" s="2" t="s">
        <v>7111</v>
      </c>
      <c r="D14021" s="3" t="str">
        <f t="shared" si="3420"/>
        <v>12Go Link</v>
      </c>
      <c r="E14021" s="2" t="s">
        <v>4139</v>
      </c>
    </row>
    <row r="14022">
      <c r="A14022" s="2" t="s">
        <v>5000</v>
      </c>
      <c r="B14022" s="2" t="s">
        <v>4998</v>
      </c>
      <c r="C14022" s="2" t="s">
        <v>7111</v>
      </c>
      <c r="D14022" s="3" t="str">
        <f t="shared" si="3420"/>
        <v>12Go Link</v>
      </c>
      <c r="E14022" s="2" t="s">
        <v>3409</v>
      </c>
    </row>
    <row r="14023">
      <c r="A14023" s="2" t="s">
        <v>5000</v>
      </c>
      <c r="B14023" s="2" t="s">
        <v>4998</v>
      </c>
      <c r="C14023" s="2" t="s">
        <v>7112</v>
      </c>
      <c r="D14023" s="3" t="str">
        <f t="shared" ref="D14023:D14025" si="3421">HYPERLINK("https://12go.asia/en/travel/Waikkal/Nanu-Oya", "12Go Link")</f>
        <v>12Go Link</v>
      </c>
      <c r="E14023" s="2" t="s">
        <v>286</v>
      </c>
    </row>
    <row r="14024">
      <c r="A14024" s="2" t="s">
        <v>5000</v>
      </c>
      <c r="B14024" s="2" t="s">
        <v>4998</v>
      </c>
      <c r="C14024" s="2" t="s">
        <v>7112</v>
      </c>
      <c r="D14024" s="3" t="str">
        <f t="shared" si="3421"/>
        <v>12Go Link</v>
      </c>
      <c r="E14024" s="2" t="s">
        <v>4139</v>
      </c>
    </row>
    <row r="14025">
      <c r="A14025" s="2" t="s">
        <v>5000</v>
      </c>
      <c r="B14025" s="2" t="s">
        <v>4998</v>
      </c>
      <c r="C14025" s="2" t="s">
        <v>7112</v>
      </c>
      <c r="D14025" s="3" t="str">
        <f t="shared" si="3421"/>
        <v>12Go Link</v>
      </c>
      <c r="E14025" s="2" t="s">
        <v>3409</v>
      </c>
    </row>
    <row r="14026">
      <c r="A14026" s="2" t="s">
        <v>5000</v>
      </c>
      <c r="B14026" s="2" t="s">
        <v>5000</v>
      </c>
      <c r="C14026" s="2" t="s">
        <v>7113</v>
      </c>
      <c r="D14026" s="3" t="str">
        <f t="shared" ref="D14026:D14028" si="3422">HYPERLINK("https://12go.asia/en/travel/Dalupotha/Waikkal", "12Go Link")</f>
        <v>12Go Link</v>
      </c>
      <c r="E14026" s="2" t="s">
        <v>286</v>
      </c>
    </row>
    <row r="14027">
      <c r="A14027" s="2" t="s">
        <v>5000</v>
      </c>
      <c r="B14027" s="2" t="s">
        <v>5000</v>
      </c>
      <c r="C14027" s="2" t="s">
        <v>7113</v>
      </c>
      <c r="D14027" s="3" t="str">
        <f t="shared" si="3422"/>
        <v>12Go Link</v>
      </c>
      <c r="E14027" s="2" t="s">
        <v>4139</v>
      </c>
    </row>
    <row r="14028">
      <c r="A14028" s="2" t="s">
        <v>5000</v>
      </c>
      <c r="B14028" s="2" t="s">
        <v>5000</v>
      </c>
      <c r="C14028" s="2" t="s">
        <v>7113</v>
      </c>
      <c r="D14028" s="3" t="str">
        <f t="shared" si="3422"/>
        <v>12Go Link</v>
      </c>
      <c r="E14028" s="2" t="s">
        <v>3409</v>
      </c>
    </row>
    <row r="14029">
      <c r="A14029" s="2" t="s">
        <v>5000</v>
      </c>
      <c r="B14029" s="2" t="s">
        <v>5000</v>
      </c>
      <c r="C14029" s="2" t="s">
        <v>7114</v>
      </c>
      <c r="D14029" s="3" t="str">
        <f t="shared" ref="D14029:D14031" si="3423">HYPERLINK("https://12go.asia/en/travel/Waikkal/Dalupotha", "12Go Link")</f>
        <v>12Go Link</v>
      </c>
      <c r="E14029" s="2" t="s">
        <v>286</v>
      </c>
    </row>
    <row r="14030">
      <c r="A14030" s="2" t="s">
        <v>5000</v>
      </c>
      <c r="B14030" s="2" t="s">
        <v>5000</v>
      </c>
      <c r="C14030" s="2" t="s">
        <v>7114</v>
      </c>
      <c r="D14030" s="3" t="str">
        <f t="shared" si="3423"/>
        <v>12Go Link</v>
      </c>
      <c r="E14030" s="2" t="s">
        <v>4139</v>
      </c>
    </row>
    <row r="14031">
      <c r="A14031" s="2" t="s">
        <v>5000</v>
      </c>
      <c r="B14031" s="2" t="s">
        <v>5000</v>
      </c>
      <c r="C14031" s="2" t="s">
        <v>7114</v>
      </c>
      <c r="D14031" s="3" t="str">
        <f t="shared" si="3423"/>
        <v>12Go Link</v>
      </c>
      <c r="E14031" s="2" t="s">
        <v>3409</v>
      </c>
    </row>
    <row r="14032">
      <c r="A14032" s="2" t="s">
        <v>5000</v>
      </c>
      <c r="B14032" s="2" t="s">
        <v>5003</v>
      </c>
      <c r="C14032" s="2" t="s">
        <v>7115</v>
      </c>
      <c r="D14032" s="3" t="str">
        <f t="shared" ref="D14032:D14034" si="3424">HYPERLINK("https://12go.asia/en/travel/Dalupotha/Nilaveli", "12Go Link")</f>
        <v>12Go Link</v>
      </c>
      <c r="E14032" s="2" t="s">
        <v>286</v>
      </c>
    </row>
    <row r="14033">
      <c r="A14033" s="2" t="s">
        <v>5000</v>
      </c>
      <c r="B14033" s="2" t="s">
        <v>5003</v>
      </c>
      <c r="C14033" s="2" t="s">
        <v>7115</v>
      </c>
      <c r="D14033" s="3" t="str">
        <f t="shared" si="3424"/>
        <v>12Go Link</v>
      </c>
      <c r="E14033" s="2" t="s">
        <v>4139</v>
      </c>
    </row>
    <row r="14034">
      <c r="A14034" s="2" t="s">
        <v>5000</v>
      </c>
      <c r="B14034" s="2" t="s">
        <v>5003</v>
      </c>
      <c r="C14034" s="2" t="s">
        <v>7115</v>
      </c>
      <c r="D14034" s="3" t="str">
        <f t="shared" si="3424"/>
        <v>12Go Link</v>
      </c>
      <c r="E14034" s="2" t="s">
        <v>3409</v>
      </c>
    </row>
    <row r="14035">
      <c r="A14035" s="2" t="s">
        <v>5000</v>
      </c>
      <c r="B14035" s="2" t="s">
        <v>5003</v>
      </c>
      <c r="C14035" s="2" t="s">
        <v>7116</v>
      </c>
      <c r="D14035" s="3" t="str">
        <f t="shared" ref="D14035:D14037" si="3425">HYPERLINK("https://12go.asia/en/travel/Waikkal/Nilaveli", "12Go Link")</f>
        <v>12Go Link</v>
      </c>
      <c r="E14035" s="2" t="s">
        <v>286</v>
      </c>
    </row>
    <row r="14036">
      <c r="A14036" s="2" t="s">
        <v>5000</v>
      </c>
      <c r="B14036" s="2" t="s">
        <v>5003</v>
      </c>
      <c r="C14036" s="2" t="s">
        <v>7116</v>
      </c>
      <c r="D14036" s="3" t="str">
        <f t="shared" si="3425"/>
        <v>12Go Link</v>
      </c>
      <c r="E14036" s="2" t="s">
        <v>4139</v>
      </c>
    </row>
    <row r="14037">
      <c r="A14037" s="2" t="s">
        <v>5000</v>
      </c>
      <c r="B14037" s="2" t="s">
        <v>5003</v>
      </c>
      <c r="C14037" s="2" t="s">
        <v>7116</v>
      </c>
      <c r="D14037" s="3" t="str">
        <f t="shared" si="3425"/>
        <v>12Go Link</v>
      </c>
      <c r="E14037" s="2" t="s">
        <v>3409</v>
      </c>
    </row>
    <row r="14038">
      <c r="A14038" s="2" t="s">
        <v>5000</v>
      </c>
      <c r="B14038" s="2" t="s">
        <v>5005</v>
      </c>
      <c r="C14038" s="2" t="s">
        <v>7117</v>
      </c>
      <c r="D14038" s="3" t="str">
        <f t="shared" ref="D14038:D14040" si="3426">HYPERLINK("https://12go.asia/en/travel/Waikkal/Kotmale", "12Go Link")</f>
        <v>12Go Link</v>
      </c>
      <c r="E14038" s="2" t="s">
        <v>286</v>
      </c>
    </row>
    <row r="14039">
      <c r="A14039" s="2" t="s">
        <v>5000</v>
      </c>
      <c r="B14039" s="2" t="s">
        <v>5005</v>
      </c>
      <c r="C14039" s="2" t="s">
        <v>7117</v>
      </c>
      <c r="D14039" s="3" t="str">
        <f t="shared" si="3426"/>
        <v>12Go Link</v>
      </c>
      <c r="E14039" s="2" t="s">
        <v>4139</v>
      </c>
    </row>
    <row r="14040">
      <c r="A14040" s="2" t="s">
        <v>5000</v>
      </c>
      <c r="B14040" s="2" t="s">
        <v>5005</v>
      </c>
      <c r="C14040" s="2" t="s">
        <v>7117</v>
      </c>
      <c r="D14040" s="3" t="str">
        <f t="shared" si="3426"/>
        <v>12Go Link</v>
      </c>
      <c r="E14040" s="2" t="s">
        <v>3409</v>
      </c>
    </row>
    <row r="14041">
      <c r="A14041" s="2" t="s">
        <v>5000</v>
      </c>
      <c r="B14041" s="2" t="s">
        <v>5007</v>
      </c>
      <c r="C14041" s="2" t="s">
        <v>7118</v>
      </c>
      <c r="D14041" s="3" t="str">
        <f t="shared" ref="D14041:D14043" si="3427">HYPERLINK("https://12go.asia/en/travel/Dalupotha/Pasikuda", "12Go Link")</f>
        <v>12Go Link</v>
      </c>
      <c r="E14041" s="2" t="s">
        <v>286</v>
      </c>
    </row>
    <row r="14042">
      <c r="A14042" s="2" t="s">
        <v>5000</v>
      </c>
      <c r="B14042" s="2" t="s">
        <v>5007</v>
      </c>
      <c r="C14042" s="2" t="s">
        <v>7118</v>
      </c>
      <c r="D14042" s="3" t="str">
        <f t="shared" si="3427"/>
        <v>12Go Link</v>
      </c>
      <c r="E14042" s="2" t="s">
        <v>4139</v>
      </c>
    </row>
    <row r="14043">
      <c r="A14043" s="2" t="s">
        <v>5000</v>
      </c>
      <c r="B14043" s="2" t="s">
        <v>5007</v>
      </c>
      <c r="C14043" s="2" t="s">
        <v>7118</v>
      </c>
      <c r="D14043" s="3" t="str">
        <f t="shared" si="3427"/>
        <v>12Go Link</v>
      </c>
      <c r="E14043" s="2" t="s">
        <v>3409</v>
      </c>
    </row>
    <row r="14044">
      <c r="A14044" s="2" t="s">
        <v>5000</v>
      </c>
      <c r="B14044" s="2" t="s">
        <v>5007</v>
      </c>
      <c r="C14044" s="2" t="s">
        <v>7119</v>
      </c>
      <c r="D14044" s="3" t="str">
        <f t="shared" ref="D14044:D14046" si="3428">HYPERLINK("https://12go.asia/en/travel/Waikkal/Pasikuda", "12Go Link")</f>
        <v>12Go Link</v>
      </c>
      <c r="E14044" s="2" t="s">
        <v>286</v>
      </c>
    </row>
    <row r="14045">
      <c r="A14045" s="2" t="s">
        <v>5000</v>
      </c>
      <c r="B14045" s="2" t="s">
        <v>5007</v>
      </c>
      <c r="C14045" s="2" t="s">
        <v>7119</v>
      </c>
      <c r="D14045" s="3" t="str">
        <f t="shared" si="3428"/>
        <v>12Go Link</v>
      </c>
      <c r="E14045" s="2" t="s">
        <v>4139</v>
      </c>
    </row>
    <row r="14046">
      <c r="A14046" s="2" t="s">
        <v>5000</v>
      </c>
      <c r="B14046" s="2" t="s">
        <v>5007</v>
      </c>
      <c r="C14046" s="2" t="s">
        <v>7119</v>
      </c>
      <c r="D14046" s="3" t="str">
        <f t="shared" si="3428"/>
        <v>12Go Link</v>
      </c>
      <c r="E14046" s="2" t="s">
        <v>3409</v>
      </c>
    </row>
    <row r="14047">
      <c r="A14047" s="2" t="s">
        <v>5000</v>
      </c>
      <c r="B14047" s="2" t="s">
        <v>5009</v>
      </c>
      <c r="C14047" s="2" t="s">
        <v>7120</v>
      </c>
      <c r="D14047" s="3" t="str">
        <f t="shared" ref="D14047:D14049" si="3429">HYPERLINK("https://12go.asia/en/travel/Dalupotha/Galoya", "12Go Link")</f>
        <v>12Go Link</v>
      </c>
      <c r="E14047" s="2" t="s">
        <v>286</v>
      </c>
    </row>
    <row r="14048">
      <c r="A14048" s="2" t="s">
        <v>5000</v>
      </c>
      <c r="B14048" s="2" t="s">
        <v>5009</v>
      </c>
      <c r="C14048" s="2" t="s">
        <v>7120</v>
      </c>
      <c r="D14048" s="3" t="str">
        <f t="shared" si="3429"/>
        <v>12Go Link</v>
      </c>
      <c r="E14048" s="2" t="s">
        <v>4139</v>
      </c>
    </row>
    <row r="14049">
      <c r="A14049" s="2" t="s">
        <v>5000</v>
      </c>
      <c r="B14049" s="2" t="s">
        <v>5009</v>
      </c>
      <c r="C14049" s="2" t="s">
        <v>7120</v>
      </c>
      <c r="D14049" s="3" t="str">
        <f t="shared" si="3429"/>
        <v>12Go Link</v>
      </c>
      <c r="E14049" s="2" t="s">
        <v>3409</v>
      </c>
    </row>
    <row r="14050">
      <c r="A14050" s="2" t="s">
        <v>5000</v>
      </c>
      <c r="B14050" s="2" t="s">
        <v>5009</v>
      </c>
      <c r="C14050" s="2" t="s">
        <v>7121</v>
      </c>
      <c r="D14050" s="3" t="str">
        <f t="shared" ref="D14050:D14052" si="3430">HYPERLINK("https://12go.asia/en/travel/Waikkal/Galoya", "12Go Link")</f>
        <v>12Go Link</v>
      </c>
      <c r="E14050" s="2" t="s">
        <v>286</v>
      </c>
    </row>
    <row r="14051">
      <c r="A14051" s="2" t="s">
        <v>5000</v>
      </c>
      <c r="B14051" s="2" t="s">
        <v>5009</v>
      </c>
      <c r="C14051" s="2" t="s">
        <v>7121</v>
      </c>
      <c r="D14051" s="3" t="str">
        <f t="shared" si="3430"/>
        <v>12Go Link</v>
      </c>
      <c r="E14051" s="2" t="s">
        <v>4139</v>
      </c>
    </row>
    <row r="14052">
      <c r="A14052" s="2" t="s">
        <v>5000</v>
      </c>
      <c r="B14052" s="2" t="s">
        <v>5009</v>
      </c>
      <c r="C14052" s="2" t="s">
        <v>7121</v>
      </c>
      <c r="D14052" s="3" t="str">
        <f t="shared" si="3430"/>
        <v>12Go Link</v>
      </c>
      <c r="E14052" s="2" t="s">
        <v>3409</v>
      </c>
    </row>
    <row r="14053">
      <c r="A14053" s="2" t="s">
        <v>5000</v>
      </c>
      <c r="B14053" s="2" t="s">
        <v>5011</v>
      </c>
      <c r="C14053" s="2" t="s">
        <v>7122</v>
      </c>
      <c r="D14053" s="3" t="str">
        <f t="shared" ref="D14053:D14055" si="3431">HYPERLINK("https://12go.asia/en/travel/Dalupotha/Kalpitiya", "12Go Link")</f>
        <v>12Go Link</v>
      </c>
      <c r="E14053" s="2" t="s">
        <v>286</v>
      </c>
    </row>
    <row r="14054">
      <c r="A14054" s="2" t="s">
        <v>5000</v>
      </c>
      <c r="B14054" s="2" t="s">
        <v>5011</v>
      </c>
      <c r="C14054" s="2" t="s">
        <v>7122</v>
      </c>
      <c r="D14054" s="3" t="str">
        <f t="shared" si="3431"/>
        <v>12Go Link</v>
      </c>
      <c r="E14054" s="2" t="s">
        <v>4139</v>
      </c>
    </row>
    <row r="14055">
      <c r="A14055" s="2" t="s">
        <v>5000</v>
      </c>
      <c r="B14055" s="2" t="s">
        <v>5011</v>
      </c>
      <c r="C14055" s="2" t="s">
        <v>7122</v>
      </c>
      <c r="D14055" s="3" t="str">
        <f t="shared" si="3431"/>
        <v>12Go Link</v>
      </c>
      <c r="E14055" s="2" t="s">
        <v>3409</v>
      </c>
    </row>
    <row r="14056">
      <c r="A14056" s="2" t="s">
        <v>5000</v>
      </c>
      <c r="B14056" s="2" t="s">
        <v>5011</v>
      </c>
      <c r="C14056" s="2" t="s">
        <v>7123</v>
      </c>
      <c r="D14056" s="3" t="str">
        <f t="shared" ref="D14056:D14058" si="3432">HYPERLINK("https://12go.asia/en/travel/Dalupotha/Marawila", "12Go Link")</f>
        <v>12Go Link</v>
      </c>
      <c r="E14056" s="2" t="s">
        <v>286</v>
      </c>
    </row>
    <row r="14057">
      <c r="A14057" s="2" t="s">
        <v>5000</v>
      </c>
      <c r="B14057" s="2" t="s">
        <v>5011</v>
      </c>
      <c r="C14057" s="2" t="s">
        <v>7123</v>
      </c>
      <c r="D14057" s="3" t="str">
        <f t="shared" si="3432"/>
        <v>12Go Link</v>
      </c>
      <c r="E14057" s="2" t="s">
        <v>4139</v>
      </c>
    </row>
    <row r="14058">
      <c r="A14058" s="2" t="s">
        <v>5000</v>
      </c>
      <c r="B14058" s="2" t="s">
        <v>5011</v>
      </c>
      <c r="C14058" s="2" t="s">
        <v>7123</v>
      </c>
      <c r="D14058" s="3" t="str">
        <f t="shared" si="3432"/>
        <v>12Go Link</v>
      </c>
      <c r="E14058" s="2" t="s">
        <v>3409</v>
      </c>
    </row>
    <row r="14059">
      <c r="A14059" s="2" t="s">
        <v>5000</v>
      </c>
      <c r="B14059" s="2" t="s">
        <v>5011</v>
      </c>
      <c r="C14059" s="2" t="s">
        <v>7124</v>
      </c>
      <c r="D14059" s="3" t="str">
        <f t="shared" ref="D14059:D14061" si="3433">HYPERLINK("https://12go.asia/en/travel/Waikkal/Kalpitiya", "12Go Link")</f>
        <v>12Go Link</v>
      </c>
      <c r="E14059" s="2" t="s">
        <v>286</v>
      </c>
    </row>
    <row r="14060">
      <c r="A14060" s="2" t="s">
        <v>5000</v>
      </c>
      <c r="B14060" s="2" t="s">
        <v>5011</v>
      </c>
      <c r="C14060" s="2" t="s">
        <v>7124</v>
      </c>
      <c r="D14060" s="3" t="str">
        <f t="shared" si="3433"/>
        <v>12Go Link</v>
      </c>
      <c r="E14060" s="2" t="s">
        <v>4139</v>
      </c>
    </row>
    <row r="14061">
      <c r="A14061" s="2" t="s">
        <v>5000</v>
      </c>
      <c r="B14061" s="2" t="s">
        <v>5011</v>
      </c>
      <c r="C14061" s="2" t="s">
        <v>7124</v>
      </c>
      <c r="D14061" s="3" t="str">
        <f t="shared" si="3433"/>
        <v>12Go Link</v>
      </c>
      <c r="E14061" s="2" t="s">
        <v>3409</v>
      </c>
    </row>
    <row r="14062">
      <c r="A14062" s="2" t="s">
        <v>5000</v>
      </c>
      <c r="B14062" s="2" t="s">
        <v>5011</v>
      </c>
      <c r="C14062" s="2" t="s">
        <v>7125</v>
      </c>
      <c r="D14062" s="3" t="str">
        <f t="shared" ref="D14062:D14064" si="3434">HYPERLINK("https://12go.asia/en/travel/Waikkal/Marawila", "12Go Link")</f>
        <v>12Go Link</v>
      </c>
      <c r="E14062" s="2" t="s">
        <v>286</v>
      </c>
    </row>
    <row r="14063">
      <c r="A14063" s="2" t="s">
        <v>5000</v>
      </c>
      <c r="B14063" s="2" t="s">
        <v>5011</v>
      </c>
      <c r="C14063" s="2" t="s">
        <v>7125</v>
      </c>
      <c r="D14063" s="3" t="str">
        <f t="shared" si="3434"/>
        <v>12Go Link</v>
      </c>
      <c r="E14063" s="2" t="s">
        <v>4139</v>
      </c>
    </row>
    <row r="14064">
      <c r="A14064" s="2" t="s">
        <v>5000</v>
      </c>
      <c r="B14064" s="2" t="s">
        <v>5011</v>
      </c>
      <c r="C14064" s="2" t="s">
        <v>7125</v>
      </c>
      <c r="D14064" s="3" t="str">
        <f t="shared" si="3434"/>
        <v>12Go Link</v>
      </c>
      <c r="E14064" s="2" t="s">
        <v>3409</v>
      </c>
    </row>
    <row r="14065">
      <c r="A14065" s="2" t="s">
        <v>5000</v>
      </c>
      <c r="B14065" s="2" t="s">
        <v>5014</v>
      </c>
      <c r="C14065" s="2" t="s">
        <v>7126</v>
      </c>
      <c r="D14065" s="3" t="str">
        <f t="shared" ref="D14065:D14067" si="3435">HYPERLINK("https://12go.asia/en/travel/Dalupotha/Kiriella", "12Go Link")</f>
        <v>12Go Link</v>
      </c>
      <c r="E14065" s="2" t="s">
        <v>286</v>
      </c>
    </row>
    <row r="14066">
      <c r="A14066" s="2" t="s">
        <v>5000</v>
      </c>
      <c r="B14066" s="2" t="s">
        <v>5014</v>
      </c>
      <c r="C14066" s="2" t="s">
        <v>7126</v>
      </c>
      <c r="D14066" s="3" t="str">
        <f t="shared" si="3435"/>
        <v>12Go Link</v>
      </c>
      <c r="E14066" s="2" t="s">
        <v>4139</v>
      </c>
    </row>
    <row r="14067">
      <c r="A14067" s="2" t="s">
        <v>5000</v>
      </c>
      <c r="B14067" s="2" t="s">
        <v>5014</v>
      </c>
      <c r="C14067" s="2" t="s">
        <v>7126</v>
      </c>
      <c r="D14067" s="3" t="str">
        <f t="shared" si="3435"/>
        <v>12Go Link</v>
      </c>
      <c r="E14067" s="2" t="s">
        <v>3409</v>
      </c>
    </row>
    <row r="14068">
      <c r="A14068" s="2" t="s">
        <v>5000</v>
      </c>
      <c r="B14068" s="2" t="s">
        <v>5014</v>
      </c>
      <c r="C14068" s="2" t="s">
        <v>7127</v>
      </c>
      <c r="D14068" s="3" t="str">
        <f t="shared" ref="D14068:D14070" si="3436">HYPERLINK("https://12go.asia/en/travel/Waikkal/Kiriella", "12Go Link")</f>
        <v>12Go Link</v>
      </c>
      <c r="E14068" s="2" t="s">
        <v>286</v>
      </c>
    </row>
    <row r="14069">
      <c r="A14069" s="2" t="s">
        <v>5000</v>
      </c>
      <c r="B14069" s="2" t="s">
        <v>5014</v>
      </c>
      <c r="C14069" s="2" t="s">
        <v>7127</v>
      </c>
      <c r="D14069" s="3" t="str">
        <f t="shared" si="3436"/>
        <v>12Go Link</v>
      </c>
      <c r="E14069" s="2" t="s">
        <v>4139</v>
      </c>
    </row>
    <row r="14070">
      <c r="A14070" s="2" t="s">
        <v>5000</v>
      </c>
      <c r="B14070" s="2" t="s">
        <v>5014</v>
      </c>
      <c r="C14070" s="2" t="s">
        <v>7127</v>
      </c>
      <c r="D14070" s="3" t="str">
        <f t="shared" si="3436"/>
        <v>12Go Link</v>
      </c>
      <c r="E14070" s="2" t="s">
        <v>3409</v>
      </c>
    </row>
    <row r="14071">
      <c r="A14071" s="2" t="s">
        <v>5000</v>
      </c>
      <c r="B14071" s="2" t="s">
        <v>5016</v>
      </c>
      <c r="C14071" s="2" t="s">
        <v>7128</v>
      </c>
      <c r="D14071" s="3" t="str">
        <f t="shared" ref="D14071:D14073" si="3437">HYPERLINK("https://12go.asia/en/travel/Waikkal/Pidurangala", "12Go Link")</f>
        <v>12Go Link</v>
      </c>
      <c r="E14071" s="2" t="s">
        <v>286</v>
      </c>
    </row>
    <row r="14072">
      <c r="A14072" s="2" t="s">
        <v>5000</v>
      </c>
      <c r="B14072" s="2" t="s">
        <v>5016</v>
      </c>
      <c r="C14072" s="2" t="s">
        <v>7128</v>
      </c>
      <c r="D14072" s="3" t="str">
        <f t="shared" si="3437"/>
        <v>12Go Link</v>
      </c>
      <c r="E14072" s="2" t="s">
        <v>4139</v>
      </c>
    </row>
    <row r="14073">
      <c r="A14073" s="2" t="s">
        <v>5000</v>
      </c>
      <c r="B14073" s="2" t="s">
        <v>5016</v>
      </c>
      <c r="C14073" s="2" t="s">
        <v>7128</v>
      </c>
      <c r="D14073" s="3" t="str">
        <f t="shared" si="3437"/>
        <v>12Go Link</v>
      </c>
      <c r="E14073" s="2" t="s">
        <v>3409</v>
      </c>
    </row>
    <row r="14074">
      <c r="A14074" s="2" t="s">
        <v>5000</v>
      </c>
      <c r="B14074" s="2" t="s">
        <v>5018</v>
      </c>
      <c r="C14074" s="2" t="s">
        <v>7129</v>
      </c>
      <c r="D14074" s="3" t="str">
        <f t="shared" ref="D14074:D14076" si="3438">HYPERLINK("https://12go.asia/en/travel/Dalupotha/Rekawa", "12Go Link")</f>
        <v>12Go Link</v>
      </c>
      <c r="E14074" s="2" t="s">
        <v>286</v>
      </c>
    </row>
    <row r="14075">
      <c r="A14075" s="2" t="s">
        <v>5000</v>
      </c>
      <c r="B14075" s="2" t="s">
        <v>5018</v>
      </c>
      <c r="C14075" s="2" t="s">
        <v>7129</v>
      </c>
      <c r="D14075" s="3" t="str">
        <f t="shared" si="3438"/>
        <v>12Go Link</v>
      </c>
      <c r="E14075" s="2" t="s">
        <v>4139</v>
      </c>
    </row>
    <row r="14076">
      <c r="A14076" s="2" t="s">
        <v>5000</v>
      </c>
      <c r="B14076" s="2" t="s">
        <v>5018</v>
      </c>
      <c r="C14076" s="2" t="s">
        <v>7129</v>
      </c>
      <c r="D14076" s="3" t="str">
        <f t="shared" si="3438"/>
        <v>12Go Link</v>
      </c>
      <c r="E14076" s="2" t="s">
        <v>3409</v>
      </c>
    </row>
    <row r="14077">
      <c r="A14077" s="2" t="s">
        <v>5000</v>
      </c>
      <c r="B14077" s="2" t="s">
        <v>5018</v>
      </c>
      <c r="C14077" s="2" t="s">
        <v>7130</v>
      </c>
      <c r="D14077" s="3" t="str">
        <f t="shared" ref="D14077:D14079" si="3439">HYPERLINK("https://12go.asia/en/travel/Waikkal/Rekawa", "12Go Link")</f>
        <v>12Go Link</v>
      </c>
      <c r="E14077" s="2" t="s">
        <v>286</v>
      </c>
    </row>
    <row r="14078">
      <c r="A14078" s="2" t="s">
        <v>5000</v>
      </c>
      <c r="B14078" s="2" t="s">
        <v>5018</v>
      </c>
      <c r="C14078" s="2" t="s">
        <v>7130</v>
      </c>
      <c r="D14078" s="3" t="str">
        <f t="shared" si="3439"/>
        <v>12Go Link</v>
      </c>
      <c r="E14078" s="2" t="s">
        <v>4139</v>
      </c>
    </row>
    <row r="14079">
      <c r="A14079" s="2" t="s">
        <v>5000</v>
      </c>
      <c r="B14079" s="2" t="s">
        <v>5018</v>
      </c>
      <c r="C14079" s="2" t="s">
        <v>7130</v>
      </c>
      <c r="D14079" s="3" t="str">
        <f t="shared" si="3439"/>
        <v>12Go Link</v>
      </c>
      <c r="E14079" s="2" t="s">
        <v>3409</v>
      </c>
    </row>
    <row r="14080">
      <c r="A14080" s="2" t="s">
        <v>5000</v>
      </c>
      <c r="B14080" s="2" t="s">
        <v>5020</v>
      </c>
      <c r="C14080" s="2" t="s">
        <v>7131</v>
      </c>
      <c r="D14080" s="3" t="str">
        <f t="shared" ref="D14080:D14082" si="3440">HYPERLINK("https://12go.asia/en/travel/Dalupotha/Tissamaharama", "12Go Link")</f>
        <v>12Go Link</v>
      </c>
      <c r="E14080" s="2" t="s">
        <v>286</v>
      </c>
    </row>
    <row r="14081">
      <c r="A14081" s="2" t="s">
        <v>5000</v>
      </c>
      <c r="B14081" s="2" t="s">
        <v>5020</v>
      </c>
      <c r="C14081" s="2" t="s">
        <v>7131</v>
      </c>
      <c r="D14081" s="3" t="str">
        <f t="shared" si="3440"/>
        <v>12Go Link</v>
      </c>
      <c r="E14081" s="2" t="s">
        <v>4139</v>
      </c>
    </row>
    <row r="14082">
      <c r="A14082" s="2" t="s">
        <v>5000</v>
      </c>
      <c r="B14082" s="2" t="s">
        <v>5020</v>
      </c>
      <c r="C14082" s="2" t="s">
        <v>7131</v>
      </c>
      <c r="D14082" s="3" t="str">
        <f t="shared" si="3440"/>
        <v>12Go Link</v>
      </c>
      <c r="E14082" s="2" t="s">
        <v>3409</v>
      </c>
    </row>
    <row r="14083">
      <c r="A14083" s="2" t="s">
        <v>5000</v>
      </c>
      <c r="B14083" s="2" t="s">
        <v>5020</v>
      </c>
      <c r="C14083" s="2" t="s">
        <v>7132</v>
      </c>
      <c r="D14083" s="3" t="str">
        <f t="shared" ref="D14083:D14085" si="3441">HYPERLINK("https://12go.asia/en/travel/Dalupotha/Yala-Park", "12Go Link")</f>
        <v>12Go Link</v>
      </c>
      <c r="E14083" s="2" t="s">
        <v>286</v>
      </c>
    </row>
    <row r="14084">
      <c r="A14084" s="2" t="s">
        <v>5000</v>
      </c>
      <c r="B14084" s="2" t="s">
        <v>5020</v>
      </c>
      <c r="C14084" s="2" t="s">
        <v>7132</v>
      </c>
      <c r="D14084" s="3" t="str">
        <f t="shared" si="3441"/>
        <v>12Go Link</v>
      </c>
      <c r="E14084" s="2" t="s">
        <v>4139</v>
      </c>
    </row>
    <row r="14085">
      <c r="A14085" s="2" t="s">
        <v>5000</v>
      </c>
      <c r="B14085" s="2" t="s">
        <v>5020</v>
      </c>
      <c r="C14085" s="2" t="s">
        <v>7132</v>
      </c>
      <c r="D14085" s="3" t="str">
        <f t="shared" si="3441"/>
        <v>12Go Link</v>
      </c>
      <c r="E14085" s="2" t="s">
        <v>3409</v>
      </c>
    </row>
    <row r="14086">
      <c r="A14086" s="2" t="s">
        <v>5000</v>
      </c>
      <c r="B14086" s="2" t="s">
        <v>5020</v>
      </c>
      <c r="C14086" s="2" t="s">
        <v>7133</v>
      </c>
      <c r="D14086" s="3" t="str">
        <f t="shared" ref="D14086:D14088" si="3442">HYPERLINK("https://12go.asia/en/travel/Waikkal/Tissamaharama", "12Go Link")</f>
        <v>12Go Link</v>
      </c>
      <c r="E14086" s="2" t="s">
        <v>286</v>
      </c>
    </row>
    <row r="14087">
      <c r="A14087" s="2" t="s">
        <v>5000</v>
      </c>
      <c r="B14087" s="2" t="s">
        <v>5020</v>
      </c>
      <c r="C14087" s="2" t="s">
        <v>7133</v>
      </c>
      <c r="D14087" s="3" t="str">
        <f t="shared" si="3442"/>
        <v>12Go Link</v>
      </c>
      <c r="E14087" s="2" t="s">
        <v>4139</v>
      </c>
    </row>
    <row r="14088">
      <c r="A14088" s="2" t="s">
        <v>5000</v>
      </c>
      <c r="B14088" s="2" t="s">
        <v>5020</v>
      </c>
      <c r="C14088" s="2" t="s">
        <v>7133</v>
      </c>
      <c r="D14088" s="3" t="str">
        <f t="shared" si="3442"/>
        <v>12Go Link</v>
      </c>
      <c r="E14088" s="2" t="s">
        <v>3409</v>
      </c>
    </row>
    <row r="14089">
      <c r="A14089" s="2" t="s">
        <v>5000</v>
      </c>
      <c r="B14089" s="2" t="s">
        <v>5020</v>
      </c>
      <c r="C14089" s="2" t="s">
        <v>7134</v>
      </c>
      <c r="D14089" s="3" t="str">
        <f t="shared" ref="D14089:D14091" si="3443">HYPERLINK("https://12go.asia/en/travel/Waikkal/Yala-Park", "12Go Link")</f>
        <v>12Go Link</v>
      </c>
      <c r="E14089" s="2" t="s">
        <v>286</v>
      </c>
    </row>
    <row r="14090">
      <c r="A14090" s="2" t="s">
        <v>5000</v>
      </c>
      <c r="B14090" s="2" t="s">
        <v>5020</v>
      </c>
      <c r="C14090" s="2" t="s">
        <v>7134</v>
      </c>
      <c r="D14090" s="3" t="str">
        <f t="shared" si="3443"/>
        <v>12Go Link</v>
      </c>
      <c r="E14090" s="2" t="s">
        <v>4139</v>
      </c>
    </row>
    <row r="14091">
      <c r="A14091" s="2" t="s">
        <v>5000</v>
      </c>
      <c r="B14091" s="2" t="s">
        <v>5020</v>
      </c>
      <c r="C14091" s="2" t="s">
        <v>7134</v>
      </c>
      <c r="D14091" s="3" t="str">
        <f t="shared" si="3443"/>
        <v>12Go Link</v>
      </c>
      <c r="E14091" s="2" t="s">
        <v>3409</v>
      </c>
    </row>
    <row r="14092">
      <c r="A14092" s="2" t="s">
        <v>5000</v>
      </c>
      <c r="B14092" s="2" t="s">
        <v>5023</v>
      </c>
      <c r="C14092" s="2" t="s">
        <v>7135</v>
      </c>
      <c r="D14092" s="3" t="str">
        <f t="shared" ref="D14092:D14094" si="3444">HYPERLINK("https://12go.asia/en/travel/Waikkal/Nilaweli", "12Go Link")</f>
        <v>12Go Link</v>
      </c>
      <c r="E14092" s="2" t="s">
        <v>286</v>
      </c>
    </row>
    <row r="14093">
      <c r="A14093" s="2" t="s">
        <v>5000</v>
      </c>
      <c r="B14093" s="2" t="s">
        <v>5023</v>
      </c>
      <c r="C14093" s="2" t="s">
        <v>7135</v>
      </c>
      <c r="D14093" s="3" t="str">
        <f t="shared" si="3444"/>
        <v>12Go Link</v>
      </c>
      <c r="E14093" s="2" t="s">
        <v>4139</v>
      </c>
    </row>
    <row r="14094">
      <c r="A14094" s="2" t="s">
        <v>5000</v>
      </c>
      <c r="B14094" s="2" t="s">
        <v>5023</v>
      </c>
      <c r="C14094" s="2" t="s">
        <v>7135</v>
      </c>
      <c r="D14094" s="3" t="str">
        <f t="shared" si="3444"/>
        <v>12Go Link</v>
      </c>
      <c r="E14094" s="2" t="s">
        <v>3409</v>
      </c>
    </row>
    <row r="14095">
      <c r="A14095" s="2" t="s">
        <v>5000</v>
      </c>
      <c r="B14095" s="2" t="s">
        <v>5025</v>
      </c>
      <c r="C14095" s="2" t="s">
        <v>7136</v>
      </c>
      <c r="D14095" s="3" t="str">
        <f t="shared" ref="D14095:D14097" si="3445">HYPERLINK("https://12go.asia/en/travel/Dalupotha/Udawalawa", "12Go Link")</f>
        <v>12Go Link</v>
      </c>
      <c r="E14095" s="2" t="s">
        <v>286</v>
      </c>
    </row>
    <row r="14096">
      <c r="A14096" s="2" t="s">
        <v>5000</v>
      </c>
      <c r="B14096" s="2" t="s">
        <v>5025</v>
      </c>
      <c r="C14096" s="2" t="s">
        <v>7136</v>
      </c>
      <c r="D14096" s="3" t="str">
        <f t="shared" si="3445"/>
        <v>12Go Link</v>
      </c>
      <c r="E14096" s="2" t="s">
        <v>4139</v>
      </c>
    </row>
    <row r="14097">
      <c r="A14097" s="2" t="s">
        <v>5000</v>
      </c>
      <c r="B14097" s="2" t="s">
        <v>5025</v>
      </c>
      <c r="C14097" s="2" t="s">
        <v>7136</v>
      </c>
      <c r="D14097" s="3" t="str">
        <f t="shared" si="3445"/>
        <v>12Go Link</v>
      </c>
      <c r="E14097" s="2" t="s">
        <v>3409</v>
      </c>
    </row>
    <row r="14098">
      <c r="A14098" s="2" t="s">
        <v>5000</v>
      </c>
      <c r="B14098" s="2" t="s">
        <v>5025</v>
      </c>
      <c r="C14098" s="2" t="s">
        <v>7137</v>
      </c>
      <c r="D14098" s="3" t="str">
        <f t="shared" ref="D14098:D14100" si="3446">HYPERLINK("https://12go.asia/en/travel/Waikkal/Udawalawa", "12Go Link")</f>
        <v>12Go Link</v>
      </c>
      <c r="E14098" s="2" t="s">
        <v>286</v>
      </c>
    </row>
    <row r="14099">
      <c r="A14099" s="2" t="s">
        <v>5000</v>
      </c>
      <c r="B14099" s="2" t="s">
        <v>5025</v>
      </c>
      <c r="C14099" s="2" t="s">
        <v>7137</v>
      </c>
      <c r="D14099" s="3" t="str">
        <f t="shared" si="3446"/>
        <v>12Go Link</v>
      </c>
      <c r="E14099" s="2" t="s">
        <v>4139</v>
      </c>
    </row>
    <row r="14100">
      <c r="A14100" s="2" t="s">
        <v>5000</v>
      </c>
      <c r="B14100" s="2" t="s">
        <v>5025</v>
      </c>
      <c r="C14100" s="2" t="s">
        <v>7137</v>
      </c>
      <c r="D14100" s="3" t="str">
        <f t="shared" si="3446"/>
        <v>12Go Link</v>
      </c>
      <c r="E14100" s="2" t="s">
        <v>3409</v>
      </c>
    </row>
    <row r="14101">
      <c r="A14101" s="2" t="s">
        <v>5000</v>
      </c>
      <c r="B14101" s="2" t="s">
        <v>5027</v>
      </c>
      <c r="C14101" s="2" t="s">
        <v>7138</v>
      </c>
      <c r="D14101" s="3" t="str">
        <f t="shared" ref="D14101:D14103" si="3447">HYPERLINK("https://12go.asia/en/travel/Waikkal/Unawatuna", "12Go Link")</f>
        <v>12Go Link</v>
      </c>
      <c r="E14101" s="2" t="s">
        <v>286</v>
      </c>
    </row>
    <row r="14102">
      <c r="A14102" s="2" t="s">
        <v>5000</v>
      </c>
      <c r="B14102" s="2" t="s">
        <v>5027</v>
      </c>
      <c r="C14102" s="2" t="s">
        <v>7138</v>
      </c>
      <c r="D14102" s="3" t="str">
        <f t="shared" si="3447"/>
        <v>12Go Link</v>
      </c>
      <c r="E14102" s="2" t="s">
        <v>4139</v>
      </c>
    </row>
    <row r="14103">
      <c r="A14103" s="2" t="s">
        <v>5000</v>
      </c>
      <c r="B14103" s="2" t="s">
        <v>5027</v>
      </c>
      <c r="C14103" s="2" t="s">
        <v>7138</v>
      </c>
      <c r="D14103" s="3" t="str">
        <f t="shared" si="3447"/>
        <v>12Go Link</v>
      </c>
      <c r="E14103" s="2" t="s">
        <v>3409</v>
      </c>
    </row>
    <row r="14104">
      <c r="A14104" s="2" t="s">
        <v>5000</v>
      </c>
      <c r="B14104" s="2" t="s">
        <v>5029</v>
      </c>
      <c r="C14104" s="2" t="s">
        <v>7139</v>
      </c>
      <c r="D14104" s="3" t="str">
        <f t="shared" ref="D14104:D14106" si="3448">HYPERLINK("https://12go.asia/en/travel/Dalupotha/Attanagalla", "12Go Link")</f>
        <v>12Go Link</v>
      </c>
      <c r="E14104" s="2" t="s">
        <v>286</v>
      </c>
    </row>
    <row r="14105">
      <c r="A14105" s="2" t="s">
        <v>5000</v>
      </c>
      <c r="B14105" s="2" t="s">
        <v>5029</v>
      </c>
      <c r="C14105" s="2" t="s">
        <v>7139</v>
      </c>
      <c r="D14105" s="3" t="str">
        <f t="shared" si="3448"/>
        <v>12Go Link</v>
      </c>
      <c r="E14105" s="2" t="s">
        <v>4139</v>
      </c>
    </row>
    <row r="14106">
      <c r="A14106" s="2" t="s">
        <v>5000</v>
      </c>
      <c r="B14106" s="2" t="s">
        <v>5029</v>
      </c>
      <c r="C14106" s="2" t="s">
        <v>7139</v>
      </c>
      <c r="D14106" s="3" t="str">
        <f t="shared" si="3448"/>
        <v>12Go Link</v>
      </c>
      <c r="E14106" s="2" t="s">
        <v>3409</v>
      </c>
    </row>
    <row r="14107">
      <c r="A14107" s="2" t="s">
        <v>5000</v>
      </c>
      <c r="B14107" s="2" t="s">
        <v>5029</v>
      </c>
      <c r="C14107" s="2" t="s">
        <v>7140</v>
      </c>
      <c r="D14107" s="3" t="str">
        <f t="shared" ref="D14107:D14109" si="3449">HYPERLINK("https://12go.asia/en/travel/Waikkal/Attanagalla", "12Go Link")</f>
        <v>12Go Link</v>
      </c>
      <c r="E14107" s="2" t="s">
        <v>286</v>
      </c>
    </row>
    <row r="14108">
      <c r="A14108" s="2" t="s">
        <v>5000</v>
      </c>
      <c r="B14108" s="2" t="s">
        <v>5029</v>
      </c>
      <c r="C14108" s="2" t="s">
        <v>7140</v>
      </c>
      <c r="D14108" s="3" t="str">
        <f t="shared" si="3449"/>
        <v>12Go Link</v>
      </c>
      <c r="E14108" s="2" t="s">
        <v>4139</v>
      </c>
    </row>
    <row r="14109">
      <c r="A14109" s="2" t="s">
        <v>5000</v>
      </c>
      <c r="B14109" s="2" t="s">
        <v>5029</v>
      </c>
      <c r="C14109" s="2" t="s">
        <v>7140</v>
      </c>
      <c r="D14109" s="3" t="str">
        <f t="shared" si="3449"/>
        <v>12Go Link</v>
      </c>
      <c r="E14109" s="2" t="s">
        <v>3409</v>
      </c>
    </row>
    <row r="14110">
      <c r="A14110" s="2" t="s">
        <v>5000</v>
      </c>
      <c r="B14110" s="2" t="s">
        <v>5031</v>
      </c>
      <c r="C14110" s="2" t="s">
        <v>7141</v>
      </c>
      <c r="D14110" s="3" t="str">
        <f t="shared" ref="D14110:D14112" si="3450">HYPERLINK("https://12go.asia/en/travel/Dalupotha/Waskaduwa", "12Go Link")</f>
        <v>12Go Link</v>
      </c>
      <c r="E14110" s="2" t="s">
        <v>286</v>
      </c>
    </row>
    <row r="14111">
      <c r="A14111" s="2" t="s">
        <v>5000</v>
      </c>
      <c r="B14111" s="2" t="s">
        <v>5031</v>
      </c>
      <c r="C14111" s="2" t="s">
        <v>7141</v>
      </c>
      <c r="D14111" s="3" t="str">
        <f t="shared" si="3450"/>
        <v>12Go Link</v>
      </c>
      <c r="E14111" s="2" t="s">
        <v>4139</v>
      </c>
    </row>
    <row r="14112">
      <c r="A14112" s="2" t="s">
        <v>5000</v>
      </c>
      <c r="B14112" s="2" t="s">
        <v>5031</v>
      </c>
      <c r="C14112" s="2" t="s">
        <v>7141</v>
      </c>
      <c r="D14112" s="3" t="str">
        <f t="shared" si="3450"/>
        <v>12Go Link</v>
      </c>
      <c r="E14112" s="2" t="s">
        <v>3409</v>
      </c>
    </row>
    <row r="14113">
      <c r="A14113" s="2" t="s">
        <v>5000</v>
      </c>
      <c r="B14113" s="2" t="s">
        <v>5031</v>
      </c>
      <c r="C14113" s="2" t="s">
        <v>7142</v>
      </c>
      <c r="D14113" s="3" t="str">
        <f t="shared" ref="D14113:D14115" si="3451">HYPERLINK("https://12go.asia/en/travel/Waikkal/Moronthuduwa", "12Go Link")</f>
        <v>12Go Link</v>
      </c>
      <c r="E14113" s="2" t="s">
        <v>286</v>
      </c>
    </row>
    <row r="14114">
      <c r="A14114" s="2" t="s">
        <v>5000</v>
      </c>
      <c r="B14114" s="2" t="s">
        <v>5031</v>
      </c>
      <c r="C14114" s="2" t="s">
        <v>7142</v>
      </c>
      <c r="D14114" s="3" t="str">
        <f t="shared" si="3451"/>
        <v>12Go Link</v>
      </c>
      <c r="E14114" s="2" t="s">
        <v>4139</v>
      </c>
    </row>
    <row r="14115">
      <c r="A14115" s="2" t="s">
        <v>5000</v>
      </c>
      <c r="B14115" s="2" t="s">
        <v>5031</v>
      </c>
      <c r="C14115" s="2" t="s">
        <v>7142</v>
      </c>
      <c r="D14115" s="3" t="str">
        <f t="shared" si="3451"/>
        <v>12Go Link</v>
      </c>
      <c r="E14115" s="2" t="s">
        <v>3409</v>
      </c>
    </row>
    <row r="14116">
      <c r="A14116" s="2" t="s">
        <v>5000</v>
      </c>
      <c r="B14116" s="2" t="s">
        <v>5031</v>
      </c>
      <c r="C14116" s="2" t="s">
        <v>7143</v>
      </c>
      <c r="D14116" s="3" t="str">
        <f t="shared" ref="D14116:D14118" si="3452">HYPERLINK("https://12go.asia/en/travel/Waikkal/Waskaduwa", "12Go Link")</f>
        <v>12Go Link</v>
      </c>
      <c r="E14116" s="2" t="s">
        <v>286</v>
      </c>
    </row>
    <row r="14117">
      <c r="A14117" s="2" t="s">
        <v>5000</v>
      </c>
      <c r="B14117" s="2" t="s">
        <v>5031</v>
      </c>
      <c r="C14117" s="2" t="s">
        <v>7143</v>
      </c>
      <c r="D14117" s="3" t="str">
        <f t="shared" si="3452"/>
        <v>12Go Link</v>
      </c>
      <c r="E14117" s="2" t="s">
        <v>4139</v>
      </c>
    </row>
    <row r="14118">
      <c r="A14118" s="2" t="s">
        <v>5000</v>
      </c>
      <c r="B14118" s="2" t="s">
        <v>5031</v>
      </c>
      <c r="C14118" s="2" t="s">
        <v>7143</v>
      </c>
      <c r="D14118" s="3" t="str">
        <f t="shared" si="3452"/>
        <v>12Go Link</v>
      </c>
      <c r="E14118" s="2" t="s">
        <v>3409</v>
      </c>
    </row>
    <row r="14119">
      <c r="A14119" s="2" t="s">
        <v>5000</v>
      </c>
      <c r="B14119" s="2" t="s">
        <v>5034</v>
      </c>
      <c r="C14119" s="2" t="s">
        <v>7144</v>
      </c>
      <c r="D14119" s="3" t="str">
        <f t="shared" ref="D14119:D14121" si="3453">HYPERLINK("https://12go.asia/en/travel/Dalupotha/Weddagala", "12Go Link")</f>
        <v>12Go Link</v>
      </c>
      <c r="E14119" s="2" t="s">
        <v>286</v>
      </c>
    </row>
    <row r="14120">
      <c r="A14120" s="2" t="s">
        <v>5000</v>
      </c>
      <c r="B14120" s="2" t="s">
        <v>5034</v>
      </c>
      <c r="C14120" s="2" t="s">
        <v>7144</v>
      </c>
      <c r="D14120" s="3" t="str">
        <f t="shared" si="3453"/>
        <v>12Go Link</v>
      </c>
      <c r="E14120" s="2" t="s">
        <v>4139</v>
      </c>
    </row>
    <row r="14121">
      <c r="A14121" s="2" t="s">
        <v>5000</v>
      </c>
      <c r="B14121" s="2" t="s">
        <v>5034</v>
      </c>
      <c r="C14121" s="2" t="s">
        <v>7144</v>
      </c>
      <c r="D14121" s="3" t="str">
        <f t="shared" si="3453"/>
        <v>12Go Link</v>
      </c>
      <c r="E14121" s="2" t="s">
        <v>3409</v>
      </c>
    </row>
    <row r="14122">
      <c r="A14122" s="2" t="s">
        <v>5000</v>
      </c>
      <c r="B14122" s="2" t="s">
        <v>5034</v>
      </c>
      <c r="C14122" s="2" t="s">
        <v>7145</v>
      </c>
      <c r="D14122" s="3" t="str">
        <f t="shared" ref="D14122:D14124" si="3454">HYPERLINK("https://12go.asia/en/travel/Waikkal/Weddagala", "12Go Link")</f>
        <v>12Go Link</v>
      </c>
      <c r="E14122" s="2" t="s">
        <v>286</v>
      </c>
    </row>
    <row r="14123">
      <c r="A14123" s="2" t="s">
        <v>5000</v>
      </c>
      <c r="B14123" s="2" t="s">
        <v>5034</v>
      </c>
      <c r="C14123" s="2" t="s">
        <v>7145</v>
      </c>
      <c r="D14123" s="3" t="str">
        <f t="shared" si="3454"/>
        <v>12Go Link</v>
      </c>
      <c r="E14123" s="2" t="s">
        <v>4139</v>
      </c>
    </row>
    <row r="14124">
      <c r="A14124" s="2" t="s">
        <v>5000</v>
      </c>
      <c r="B14124" s="2" t="s">
        <v>5034</v>
      </c>
      <c r="C14124" s="2" t="s">
        <v>7145</v>
      </c>
      <c r="D14124" s="3" t="str">
        <f t="shared" si="3454"/>
        <v>12Go Link</v>
      </c>
      <c r="E14124" s="2" t="s">
        <v>3409</v>
      </c>
    </row>
    <row r="14125">
      <c r="A14125" s="2" t="s">
        <v>5000</v>
      </c>
      <c r="B14125" s="2" t="s">
        <v>5036</v>
      </c>
      <c r="C14125" s="2" t="s">
        <v>7146</v>
      </c>
      <c r="D14125" s="3" t="str">
        <f t="shared" ref="D14125:D14127" si="3455">HYPERLINK("https://12go.asia/en/travel/Dalupotha/Weligatta", "12Go Link")</f>
        <v>12Go Link</v>
      </c>
      <c r="E14125" s="2" t="s">
        <v>286</v>
      </c>
    </row>
    <row r="14126">
      <c r="A14126" s="2" t="s">
        <v>5000</v>
      </c>
      <c r="B14126" s="2" t="s">
        <v>5036</v>
      </c>
      <c r="C14126" s="2" t="s">
        <v>7146</v>
      </c>
      <c r="D14126" s="3" t="str">
        <f t="shared" si="3455"/>
        <v>12Go Link</v>
      </c>
      <c r="E14126" s="2" t="s">
        <v>4139</v>
      </c>
    </row>
    <row r="14127">
      <c r="A14127" s="2" t="s">
        <v>5000</v>
      </c>
      <c r="B14127" s="2" t="s">
        <v>5036</v>
      </c>
      <c r="C14127" s="2" t="s">
        <v>7146</v>
      </c>
      <c r="D14127" s="3" t="str">
        <f t="shared" si="3455"/>
        <v>12Go Link</v>
      </c>
      <c r="E14127" s="2" t="s">
        <v>3409</v>
      </c>
    </row>
    <row r="14128">
      <c r="A14128" s="2" t="s">
        <v>5000</v>
      </c>
      <c r="B14128" s="2" t="s">
        <v>5036</v>
      </c>
      <c r="C14128" s="2" t="s">
        <v>7147</v>
      </c>
      <c r="D14128" s="3" t="str">
        <f t="shared" ref="D14128:D14130" si="3456">HYPERLINK("https://12go.asia/en/travel/Waikkal/Weligatta", "12Go Link")</f>
        <v>12Go Link</v>
      </c>
      <c r="E14128" s="2" t="s">
        <v>286</v>
      </c>
    </row>
    <row r="14129">
      <c r="A14129" s="2" t="s">
        <v>5000</v>
      </c>
      <c r="B14129" s="2" t="s">
        <v>5036</v>
      </c>
      <c r="C14129" s="2" t="s">
        <v>7147</v>
      </c>
      <c r="D14129" s="3" t="str">
        <f t="shared" si="3456"/>
        <v>12Go Link</v>
      </c>
      <c r="E14129" s="2" t="s">
        <v>4139</v>
      </c>
    </row>
    <row r="14130">
      <c r="A14130" s="2" t="s">
        <v>5000</v>
      </c>
      <c r="B14130" s="2" t="s">
        <v>5036</v>
      </c>
      <c r="C14130" s="2" t="s">
        <v>7147</v>
      </c>
      <c r="D14130" s="3" t="str">
        <f t="shared" si="3456"/>
        <v>12Go Link</v>
      </c>
      <c r="E14130" s="2" t="s">
        <v>3409</v>
      </c>
    </row>
    <row r="14131">
      <c r="A14131" s="2" t="s">
        <v>5000</v>
      </c>
      <c r="B14131" s="2" t="s">
        <v>5038</v>
      </c>
      <c r="C14131" s="2" t="s">
        <v>7148</v>
      </c>
      <c r="D14131" s="3" t="str">
        <f t="shared" ref="D14131:D14133" si="3457">HYPERLINK("https://12go.asia/en/travel/Dalupotha/Akuressa", "12Go Link")</f>
        <v>12Go Link</v>
      </c>
      <c r="E14131" s="2" t="s">
        <v>286</v>
      </c>
    </row>
    <row r="14132">
      <c r="A14132" s="2" t="s">
        <v>5000</v>
      </c>
      <c r="B14132" s="2" t="s">
        <v>5038</v>
      </c>
      <c r="C14132" s="2" t="s">
        <v>7148</v>
      </c>
      <c r="D14132" s="3" t="str">
        <f t="shared" si="3457"/>
        <v>12Go Link</v>
      </c>
      <c r="E14132" s="2" t="s">
        <v>4139</v>
      </c>
    </row>
    <row r="14133">
      <c r="A14133" s="2" t="s">
        <v>5000</v>
      </c>
      <c r="B14133" s="2" t="s">
        <v>5038</v>
      </c>
      <c r="C14133" s="2" t="s">
        <v>7148</v>
      </c>
      <c r="D14133" s="3" t="str">
        <f t="shared" si="3457"/>
        <v>12Go Link</v>
      </c>
      <c r="E14133" s="2" t="s">
        <v>3409</v>
      </c>
    </row>
    <row r="14134">
      <c r="A14134" s="2" t="s">
        <v>5000</v>
      </c>
      <c r="B14134" s="2" t="s">
        <v>5038</v>
      </c>
      <c r="C14134" s="2" t="s">
        <v>7149</v>
      </c>
      <c r="D14134" s="3" t="str">
        <f t="shared" ref="D14134:D14136" si="3458">HYPERLINK("https://12go.asia/en/travel/Waikkal/Akuressa", "12Go Link")</f>
        <v>12Go Link</v>
      </c>
      <c r="E14134" s="2" t="s">
        <v>286</v>
      </c>
    </row>
    <row r="14135">
      <c r="A14135" s="2" t="s">
        <v>5000</v>
      </c>
      <c r="B14135" s="2" t="s">
        <v>5038</v>
      </c>
      <c r="C14135" s="2" t="s">
        <v>7149</v>
      </c>
      <c r="D14135" s="3" t="str">
        <f t="shared" si="3458"/>
        <v>12Go Link</v>
      </c>
      <c r="E14135" s="2" t="s">
        <v>4139</v>
      </c>
    </row>
    <row r="14136">
      <c r="A14136" s="2" t="s">
        <v>5000</v>
      </c>
      <c r="B14136" s="2" t="s">
        <v>5038</v>
      </c>
      <c r="C14136" s="2" t="s">
        <v>7149</v>
      </c>
      <c r="D14136" s="3" t="str">
        <f t="shared" si="3458"/>
        <v>12Go Link</v>
      </c>
      <c r="E14136" s="2" t="s">
        <v>3409</v>
      </c>
    </row>
    <row r="14137">
      <c r="A14137" s="2" t="s">
        <v>5000</v>
      </c>
      <c r="B14137" s="2" t="s">
        <v>5040</v>
      </c>
      <c r="C14137" s="2" t="s">
        <v>7150</v>
      </c>
      <c r="D14137" s="3" t="str">
        <f t="shared" ref="D14137:D14139" si="3459">HYPERLINK("https://12go.asia/en/travel/Dalupotha/Wilpattu", "12Go Link")</f>
        <v>12Go Link</v>
      </c>
      <c r="E14137" s="2" t="s">
        <v>286</v>
      </c>
    </row>
    <row r="14138">
      <c r="A14138" s="2" t="s">
        <v>5000</v>
      </c>
      <c r="B14138" s="2" t="s">
        <v>5040</v>
      </c>
      <c r="C14138" s="2" t="s">
        <v>7150</v>
      </c>
      <c r="D14138" s="3" t="str">
        <f t="shared" si="3459"/>
        <v>12Go Link</v>
      </c>
      <c r="E14138" s="2" t="s">
        <v>4139</v>
      </c>
    </row>
    <row r="14139">
      <c r="A14139" s="2" t="s">
        <v>5000</v>
      </c>
      <c r="B14139" s="2" t="s">
        <v>5040</v>
      </c>
      <c r="C14139" s="2" t="s">
        <v>7150</v>
      </c>
      <c r="D14139" s="3" t="str">
        <f t="shared" si="3459"/>
        <v>12Go Link</v>
      </c>
      <c r="E14139" s="2" t="s">
        <v>3409</v>
      </c>
    </row>
    <row r="14140">
      <c r="A14140" s="2" t="s">
        <v>5000</v>
      </c>
      <c r="B14140" s="2" t="s">
        <v>5040</v>
      </c>
      <c r="C14140" s="2" t="s">
        <v>7151</v>
      </c>
      <c r="D14140" s="3" t="str">
        <f t="shared" ref="D14140:D14142" si="3460">HYPERLINK("https://12go.asia/en/travel/Waikkal/Wilpattu", "12Go Link")</f>
        <v>12Go Link</v>
      </c>
      <c r="E14140" s="2" t="s">
        <v>286</v>
      </c>
    </row>
    <row r="14141">
      <c r="A14141" s="2" t="s">
        <v>5000</v>
      </c>
      <c r="B14141" s="2" t="s">
        <v>5040</v>
      </c>
      <c r="C14141" s="2" t="s">
        <v>7151</v>
      </c>
      <c r="D14141" s="3" t="str">
        <f t="shared" si="3460"/>
        <v>12Go Link</v>
      </c>
      <c r="E14141" s="2" t="s">
        <v>4139</v>
      </c>
    </row>
    <row r="14142">
      <c r="A14142" s="2" t="s">
        <v>5000</v>
      </c>
      <c r="B14142" s="2" t="s">
        <v>5040</v>
      </c>
      <c r="C14142" s="2" t="s">
        <v>7151</v>
      </c>
      <c r="D14142" s="3" t="str">
        <f t="shared" si="3460"/>
        <v>12Go Link</v>
      </c>
      <c r="E14142" s="2" t="s">
        <v>3409</v>
      </c>
    </row>
    <row r="14143">
      <c r="A14143" s="2" t="s">
        <v>5003</v>
      </c>
      <c r="B14143" s="2" t="s">
        <v>4945</v>
      </c>
      <c r="C14143" s="2" t="s">
        <v>7152</v>
      </c>
      <c r="D14143" s="3" t="str">
        <f t="shared" ref="D14143:D14145" si="3461">HYPERLINK("https://12go.asia/en/travel/Nilaveli/Bandaranaike-Airport", "12Go Link")</f>
        <v>12Go Link</v>
      </c>
      <c r="E14143" s="2" t="s">
        <v>286</v>
      </c>
    </row>
    <row r="14144">
      <c r="A14144" s="2" t="s">
        <v>5003</v>
      </c>
      <c r="B14144" s="2" t="s">
        <v>4945</v>
      </c>
      <c r="C14144" s="2" t="s">
        <v>7152</v>
      </c>
      <c r="D14144" s="3" t="str">
        <f t="shared" si="3461"/>
        <v>12Go Link</v>
      </c>
      <c r="E14144" s="2" t="s">
        <v>4139</v>
      </c>
    </row>
    <row r="14145">
      <c r="A14145" s="2" t="s">
        <v>5003</v>
      </c>
      <c r="B14145" s="2" t="s">
        <v>4945</v>
      </c>
      <c r="C14145" s="2" t="s">
        <v>7152</v>
      </c>
      <c r="D14145" s="3" t="str">
        <f t="shared" si="3461"/>
        <v>12Go Link</v>
      </c>
      <c r="E14145" s="2" t="s">
        <v>3409</v>
      </c>
    </row>
    <row r="14146">
      <c r="A14146" s="2" t="s">
        <v>5003</v>
      </c>
      <c r="B14146" s="2" t="s">
        <v>4973</v>
      </c>
      <c r="C14146" s="2" t="s">
        <v>7153</v>
      </c>
      <c r="D14146" s="3" t="str">
        <f t="shared" ref="D14146:D14148" si="3462">HYPERLINK("https://12go.asia/en/travel/Nilaveli/Ampitiya", "12Go Link")</f>
        <v>12Go Link</v>
      </c>
      <c r="E14146" s="2" t="s">
        <v>286</v>
      </c>
    </row>
    <row r="14147">
      <c r="A14147" s="2" t="s">
        <v>5003</v>
      </c>
      <c r="B14147" s="2" t="s">
        <v>4973</v>
      </c>
      <c r="C14147" s="2" t="s">
        <v>7153</v>
      </c>
      <c r="D14147" s="3" t="str">
        <f t="shared" si="3462"/>
        <v>12Go Link</v>
      </c>
      <c r="E14147" s="2" t="s">
        <v>4139</v>
      </c>
    </row>
    <row r="14148">
      <c r="A14148" s="2" t="s">
        <v>5003</v>
      </c>
      <c r="B14148" s="2" t="s">
        <v>4973</v>
      </c>
      <c r="C14148" s="2" t="s">
        <v>7153</v>
      </c>
      <c r="D14148" s="3" t="str">
        <f t="shared" si="3462"/>
        <v>12Go Link</v>
      </c>
      <c r="E14148" s="2" t="s">
        <v>3409</v>
      </c>
    </row>
    <row r="14149">
      <c r="A14149" s="2" t="s">
        <v>5005</v>
      </c>
      <c r="B14149" s="2" t="s">
        <v>4945</v>
      </c>
      <c r="C14149" s="2" t="s">
        <v>7154</v>
      </c>
      <c r="D14149" s="3" t="str">
        <f t="shared" ref="D14149:D14151" si="3463">HYPERLINK("https://12go.asia/en/travel/Kotmale/Bandaranaike-Airport", "12Go Link")</f>
        <v>12Go Link</v>
      </c>
      <c r="E14149" s="2" t="s">
        <v>286</v>
      </c>
    </row>
    <row r="14150">
      <c r="A14150" s="2" t="s">
        <v>5005</v>
      </c>
      <c r="B14150" s="2" t="s">
        <v>4945</v>
      </c>
      <c r="C14150" s="2" t="s">
        <v>7154</v>
      </c>
      <c r="D14150" s="3" t="str">
        <f t="shared" si="3463"/>
        <v>12Go Link</v>
      </c>
      <c r="E14150" s="2" t="s">
        <v>4139</v>
      </c>
    </row>
    <row r="14151">
      <c r="A14151" s="2" t="s">
        <v>5005</v>
      </c>
      <c r="B14151" s="2" t="s">
        <v>4945</v>
      </c>
      <c r="C14151" s="2" t="s">
        <v>7154</v>
      </c>
      <c r="D14151" s="3" t="str">
        <f t="shared" si="3463"/>
        <v>12Go Link</v>
      </c>
      <c r="E14151" s="2" t="s">
        <v>3409</v>
      </c>
    </row>
    <row r="14152">
      <c r="A14152" s="2" t="s">
        <v>5005</v>
      </c>
      <c r="B14152" s="2" t="s">
        <v>4973</v>
      </c>
      <c r="C14152" s="2" t="s">
        <v>7155</v>
      </c>
      <c r="D14152" s="3" t="str">
        <f t="shared" ref="D14152:D14154" si="3464">HYPERLINK("https://12go.asia/en/travel/Kotmale/Ampitiya", "12Go Link")</f>
        <v>12Go Link</v>
      </c>
      <c r="E14152" s="2" t="s">
        <v>286</v>
      </c>
    </row>
    <row r="14153">
      <c r="A14153" s="2" t="s">
        <v>5005</v>
      </c>
      <c r="B14153" s="2" t="s">
        <v>4973</v>
      </c>
      <c r="C14153" s="2" t="s">
        <v>7155</v>
      </c>
      <c r="D14153" s="3" t="str">
        <f t="shared" si="3464"/>
        <v>12Go Link</v>
      </c>
      <c r="E14153" s="2" t="s">
        <v>4139</v>
      </c>
    </row>
    <row r="14154">
      <c r="A14154" s="2" t="s">
        <v>5005</v>
      </c>
      <c r="B14154" s="2" t="s">
        <v>4973</v>
      </c>
      <c r="C14154" s="2" t="s">
        <v>7155</v>
      </c>
      <c r="D14154" s="3" t="str">
        <f t="shared" si="3464"/>
        <v>12Go Link</v>
      </c>
      <c r="E14154" s="2" t="s">
        <v>3409</v>
      </c>
    </row>
    <row r="14155">
      <c r="A14155" s="2" t="s">
        <v>5005</v>
      </c>
      <c r="B14155" s="2" t="s">
        <v>5020</v>
      </c>
      <c r="C14155" s="2" t="s">
        <v>7156</v>
      </c>
      <c r="D14155" s="3" t="str">
        <f t="shared" ref="D14155:D14157" si="3465">HYPERLINK("https://12go.asia/en/travel/Kotmale/Yala-Park", "12Go Link")</f>
        <v>12Go Link</v>
      </c>
      <c r="E14155" s="2" t="s">
        <v>286</v>
      </c>
    </row>
    <row r="14156">
      <c r="A14156" s="2" t="s">
        <v>5005</v>
      </c>
      <c r="B14156" s="2" t="s">
        <v>5020</v>
      </c>
      <c r="C14156" s="2" t="s">
        <v>7156</v>
      </c>
      <c r="D14156" s="3" t="str">
        <f t="shared" si="3465"/>
        <v>12Go Link</v>
      </c>
      <c r="E14156" s="2" t="s">
        <v>4139</v>
      </c>
    </row>
    <row r="14157">
      <c r="A14157" s="2" t="s">
        <v>5005</v>
      </c>
      <c r="B14157" s="2" t="s">
        <v>5020</v>
      </c>
      <c r="C14157" s="2" t="s">
        <v>7156</v>
      </c>
      <c r="D14157" s="3" t="str">
        <f t="shared" si="3465"/>
        <v>12Go Link</v>
      </c>
      <c r="E14157" s="2" t="s">
        <v>3409</v>
      </c>
    </row>
    <row r="14158">
      <c r="A14158" s="2" t="s">
        <v>5005</v>
      </c>
      <c r="B14158" s="2" t="s">
        <v>5038</v>
      </c>
      <c r="C14158" s="2" t="s">
        <v>7157</v>
      </c>
      <c r="D14158" s="3" t="str">
        <f t="shared" ref="D14158:D14160" si="3466">HYPERLINK("https://12go.asia/en/travel/Kotmale/Akuressa", "12Go Link")</f>
        <v>12Go Link</v>
      </c>
      <c r="E14158" s="2" t="s">
        <v>286</v>
      </c>
    </row>
    <row r="14159">
      <c r="A14159" s="2" t="s">
        <v>5005</v>
      </c>
      <c r="B14159" s="2" t="s">
        <v>5038</v>
      </c>
      <c r="C14159" s="2" t="s">
        <v>7157</v>
      </c>
      <c r="D14159" s="3" t="str">
        <f t="shared" si="3466"/>
        <v>12Go Link</v>
      </c>
      <c r="E14159" s="2" t="s">
        <v>4139</v>
      </c>
    </row>
    <row r="14160">
      <c r="A14160" s="2" t="s">
        <v>5005</v>
      </c>
      <c r="B14160" s="2" t="s">
        <v>5038</v>
      </c>
      <c r="C14160" s="2" t="s">
        <v>7157</v>
      </c>
      <c r="D14160" s="3" t="str">
        <f t="shared" si="3466"/>
        <v>12Go Link</v>
      </c>
      <c r="E14160" s="2" t="s">
        <v>3409</v>
      </c>
    </row>
    <row r="14161">
      <c r="A14161" s="2" t="s">
        <v>5683</v>
      </c>
      <c r="B14161" s="2" t="s">
        <v>4943</v>
      </c>
      <c r="C14161" s="2" t="s">
        <v>7158</v>
      </c>
      <c r="D14161" s="3" t="str">
        <f>HYPERLINK("https://12go.asia/en/travel/Panadura/Colombo-Fort", "12Go Link")</f>
        <v>12Go Link</v>
      </c>
      <c r="E14161" s="2" t="s">
        <v>5206</v>
      </c>
    </row>
    <row r="14162">
      <c r="A14162" s="2" t="s">
        <v>5683</v>
      </c>
      <c r="B14162" s="2" t="s">
        <v>4954</v>
      </c>
      <c r="C14162" s="2" t="s">
        <v>7159</v>
      </c>
      <c r="D14162" s="3" t="str">
        <f>HYPERLINK("https://12go.asia/en/travel/Panadura/Galle", "12Go Link")</f>
        <v>12Go Link</v>
      </c>
      <c r="E14162" s="2" t="s">
        <v>5080</v>
      </c>
    </row>
    <row r="14163">
      <c r="A14163" s="2" t="s">
        <v>5683</v>
      </c>
      <c r="B14163" s="2" t="s">
        <v>4994</v>
      </c>
      <c r="C14163" s="2" t="s">
        <v>7160</v>
      </c>
      <c r="D14163" s="3" t="str">
        <f>HYPERLINK("https://12go.asia/en/travel/Panadura/Matara", "12Go Link")</f>
        <v>12Go Link</v>
      </c>
      <c r="E14163" s="2" t="s">
        <v>5080</v>
      </c>
    </row>
    <row r="14164">
      <c r="A14164" s="2" t="s">
        <v>5683</v>
      </c>
      <c r="B14164" s="2" t="s">
        <v>5204</v>
      </c>
      <c r="C14164" s="2" t="s">
        <v>7161</v>
      </c>
      <c r="D14164" s="3" t="str">
        <f>HYPERLINK("https://12go.asia/en/travel/Panadura/Moratuwa", "12Go Link")</f>
        <v>12Go Link</v>
      </c>
      <c r="E14164" s="2" t="s">
        <v>5206</v>
      </c>
    </row>
    <row r="14165">
      <c r="A14165" s="2" t="s">
        <v>5007</v>
      </c>
      <c r="B14165" s="2" t="s">
        <v>4931</v>
      </c>
      <c r="C14165" s="2" t="s">
        <v>7162</v>
      </c>
      <c r="D14165" s="3" t="str">
        <f>HYPERLINK("https://12go.asia/en/travel/Pasikuda/Arugam-bay", "12Go Link")</f>
        <v>12Go Link</v>
      </c>
      <c r="E14165" s="2" t="s">
        <v>286</v>
      </c>
    </row>
    <row r="14166">
      <c r="A14166" s="2" t="s">
        <v>5007</v>
      </c>
      <c r="B14166" s="2" t="s">
        <v>4945</v>
      </c>
      <c r="C14166" s="2" t="s">
        <v>7163</v>
      </c>
      <c r="D14166" s="3" t="str">
        <f t="shared" ref="D14166:D14168" si="3467">HYPERLINK("https://12go.asia/en/travel/Pasikuda/Bandaranaike-Airport", "12Go Link")</f>
        <v>12Go Link</v>
      </c>
      <c r="E14166" s="2" t="s">
        <v>286</v>
      </c>
    </row>
    <row r="14167">
      <c r="A14167" s="2" t="s">
        <v>5007</v>
      </c>
      <c r="B14167" s="2" t="s">
        <v>4945</v>
      </c>
      <c r="C14167" s="2" t="s">
        <v>7163</v>
      </c>
      <c r="D14167" s="3" t="str">
        <f t="shared" si="3467"/>
        <v>12Go Link</v>
      </c>
      <c r="E14167" s="2" t="s">
        <v>4139</v>
      </c>
    </row>
    <row r="14168">
      <c r="A14168" s="2" t="s">
        <v>5007</v>
      </c>
      <c r="B14168" s="2" t="s">
        <v>4945</v>
      </c>
      <c r="C14168" s="2" t="s">
        <v>7163</v>
      </c>
      <c r="D14168" s="3" t="str">
        <f t="shared" si="3467"/>
        <v>12Go Link</v>
      </c>
      <c r="E14168" s="2" t="s">
        <v>3409</v>
      </c>
    </row>
    <row r="14169">
      <c r="A14169" s="2" t="s">
        <v>5011</v>
      </c>
      <c r="B14169" s="2" t="s">
        <v>4918</v>
      </c>
      <c r="C14169" s="2" t="s">
        <v>7164</v>
      </c>
      <c r="D14169" s="3" t="str">
        <f t="shared" ref="D14169:D14171" si="3468">HYPERLINK("https://12go.asia/en/travel/Kalpitiya/Adams-Peak", "12Go Link")</f>
        <v>12Go Link</v>
      </c>
      <c r="E14169" s="2" t="s">
        <v>286</v>
      </c>
    </row>
    <row r="14170">
      <c r="A14170" s="2" t="s">
        <v>5011</v>
      </c>
      <c r="B14170" s="2" t="s">
        <v>4918</v>
      </c>
      <c r="C14170" s="2" t="s">
        <v>7164</v>
      </c>
      <c r="D14170" s="3" t="str">
        <f t="shared" si="3468"/>
        <v>12Go Link</v>
      </c>
      <c r="E14170" s="2" t="s">
        <v>4139</v>
      </c>
    </row>
    <row r="14171">
      <c r="A14171" s="2" t="s">
        <v>5011</v>
      </c>
      <c r="B14171" s="2" t="s">
        <v>4918</v>
      </c>
      <c r="C14171" s="2" t="s">
        <v>7164</v>
      </c>
      <c r="D14171" s="3" t="str">
        <f t="shared" si="3468"/>
        <v>12Go Link</v>
      </c>
      <c r="E14171" s="2" t="s">
        <v>3409</v>
      </c>
    </row>
    <row r="14172">
      <c r="A14172" s="2" t="s">
        <v>5011</v>
      </c>
      <c r="B14172" s="2" t="s">
        <v>4918</v>
      </c>
      <c r="C14172" s="2" t="s">
        <v>7165</v>
      </c>
      <c r="D14172" s="3" t="str">
        <f t="shared" ref="D14172:D14174" si="3469">HYPERLINK("https://12go.asia/en/travel/Marawila/Adams-Peak", "12Go Link")</f>
        <v>12Go Link</v>
      </c>
      <c r="E14172" s="2" t="s">
        <v>286</v>
      </c>
    </row>
    <row r="14173">
      <c r="A14173" s="2" t="s">
        <v>5011</v>
      </c>
      <c r="B14173" s="2" t="s">
        <v>4918</v>
      </c>
      <c r="C14173" s="2" t="s">
        <v>7165</v>
      </c>
      <c r="D14173" s="3" t="str">
        <f t="shared" si="3469"/>
        <v>12Go Link</v>
      </c>
      <c r="E14173" s="2" t="s">
        <v>4139</v>
      </c>
    </row>
    <row r="14174">
      <c r="A14174" s="2" t="s">
        <v>5011</v>
      </c>
      <c r="B14174" s="2" t="s">
        <v>4918</v>
      </c>
      <c r="C14174" s="2" t="s">
        <v>7165</v>
      </c>
      <c r="D14174" s="3" t="str">
        <f t="shared" si="3469"/>
        <v>12Go Link</v>
      </c>
      <c r="E14174" s="2" t="s">
        <v>3409</v>
      </c>
    </row>
    <row r="14175">
      <c r="A14175" s="2" t="s">
        <v>5011</v>
      </c>
      <c r="B14175" s="2" t="s">
        <v>4919</v>
      </c>
      <c r="C14175" s="2" t="s">
        <v>7166</v>
      </c>
      <c r="D14175" s="3" t="str">
        <f t="shared" ref="D14175:D14177" si="3470">HYPERLINK("https://12go.asia/en/travel/Kalpitiya/Ahangama", "12Go Link")</f>
        <v>12Go Link</v>
      </c>
      <c r="E14175" s="2" t="s">
        <v>286</v>
      </c>
    </row>
    <row r="14176">
      <c r="A14176" s="2" t="s">
        <v>5011</v>
      </c>
      <c r="B14176" s="2" t="s">
        <v>4919</v>
      </c>
      <c r="C14176" s="2" t="s">
        <v>7166</v>
      </c>
      <c r="D14176" s="3" t="str">
        <f t="shared" si="3470"/>
        <v>12Go Link</v>
      </c>
      <c r="E14176" s="2" t="s">
        <v>4139</v>
      </c>
    </row>
    <row r="14177">
      <c r="A14177" s="2" t="s">
        <v>5011</v>
      </c>
      <c r="B14177" s="2" t="s">
        <v>4919</v>
      </c>
      <c r="C14177" s="2" t="s">
        <v>7166</v>
      </c>
      <c r="D14177" s="3" t="str">
        <f t="shared" si="3470"/>
        <v>12Go Link</v>
      </c>
      <c r="E14177" s="2" t="s">
        <v>3409</v>
      </c>
    </row>
    <row r="14178">
      <c r="A14178" s="2" t="s">
        <v>5011</v>
      </c>
      <c r="B14178" s="2" t="s">
        <v>4919</v>
      </c>
      <c r="C14178" s="2" t="s">
        <v>7167</v>
      </c>
      <c r="D14178" s="3" t="str">
        <f t="shared" ref="D14178:D14180" si="3471">HYPERLINK("https://12go.asia/en/travel/Marawila/Ahangama", "12Go Link")</f>
        <v>12Go Link</v>
      </c>
      <c r="E14178" s="2" t="s">
        <v>286</v>
      </c>
    </row>
    <row r="14179">
      <c r="A14179" s="2" t="s">
        <v>5011</v>
      </c>
      <c r="B14179" s="2" t="s">
        <v>4919</v>
      </c>
      <c r="C14179" s="2" t="s">
        <v>7167</v>
      </c>
      <c r="D14179" s="3" t="str">
        <f t="shared" si="3471"/>
        <v>12Go Link</v>
      </c>
      <c r="E14179" s="2" t="s">
        <v>4139</v>
      </c>
    </row>
    <row r="14180">
      <c r="A14180" s="2" t="s">
        <v>5011</v>
      </c>
      <c r="B14180" s="2" t="s">
        <v>4919</v>
      </c>
      <c r="C14180" s="2" t="s">
        <v>7167</v>
      </c>
      <c r="D14180" s="3" t="str">
        <f t="shared" si="3471"/>
        <v>12Go Link</v>
      </c>
      <c r="E14180" s="2" t="s">
        <v>3409</v>
      </c>
    </row>
    <row r="14181">
      <c r="A14181" s="2" t="s">
        <v>5011</v>
      </c>
      <c r="B14181" s="2" t="s">
        <v>4921</v>
      </c>
      <c r="C14181" s="2" t="s">
        <v>7168</v>
      </c>
      <c r="D14181" s="3" t="str">
        <f t="shared" ref="D14181:D14183" si="3472">HYPERLINK("https://12go.asia/en/travel/Kalpitiya/Ahungalla", "12Go Link")</f>
        <v>12Go Link</v>
      </c>
      <c r="E14181" s="2" t="s">
        <v>286</v>
      </c>
    </row>
    <row r="14182">
      <c r="A14182" s="2" t="s">
        <v>5011</v>
      </c>
      <c r="B14182" s="2" t="s">
        <v>4921</v>
      </c>
      <c r="C14182" s="2" t="s">
        <v>7168</v>
      </c>
      <c r="D14182" s="3" t="str">
        <f t="shared" si="3472"/>
        <v>12Go Link</v>
      </c>
      <c r="E14182" s="2" t="s">
        <v>4139</v>
      </c>
    </row>
    <row r="14183">
      <c r="A14183" s="2" t="s">
        <v>5011</v>
      </c>
      <c r="B14183" s="2" t="s">
        <v>4921</v>
      </c>
      <c r="C14183" s="2" t="s">
        <v>7168</v>
      </c>
      <c r="D14183" s="3" t="str">
        <f t="shared" si="3472"/>
        <v>12Go Link</v>
      </c>
      <c r="E14183" s="2" t="s">
        <v>3409</v>
      </c>
    </row>
    <row r="14184">
      <c r="A14184" s="2" t="s">
        <v>5011</v>
      </c>
      <c r="B14184" s="2" t="s">
        <v>4921</v>
      </c>
      <c r="C14184" s="2" t="s">
        <v>7169</v>
      </c>
      <c r="D14184" s="3" t="str">
        <f t="shared" ref="D14184:D14186" si="3473">HYPERLINK("https://12go.asia/en/travel/Marawila/Ahungalla", "12Go Link")</f>
        <v>12Go Link</v>
      </c>
      <c r="E14184" s="2" t="s">
        <v>286</v>
      </c>
    </row>
    <row r="14185">
      <c r="A14185" s="2" t="s">
        <v>5011</v>
      </c>
      <c r="B14185" s="2" t="s">
        <v>4921</v>
      </c>
      <c r="C14185" s="2" t="s">
        <v>7169</v>
      </c>
      <c r="D14185" s="3" t="str">
        <f t="shared" si="3473"/>
        <v>12Go Link</v>
      </c>
      <c r="E14185" s="2" t="s">
        <v>4139</v>
      </c>
    </row>
    <row r="14186">
      <c r="A14186" s="2" t="s">
        <v>5011</v>
      </c>
      <c r="B14186" s="2" t="s">
        <v>4921</v>
      </c>
      <c r="C14186" s="2" t="s">
        <v>7169</v>
      </c>
      <c r="D14186" s="3" t="str">
        <f t="shared" si="3473"/>
        <v>12Go Link</v>
      </c>
      <c r="E14186" s="2" t="s">
        <v>3409</v>
      </c>
    </row>
    <row r="14187">
      <c r="A14187" s="2" t="s">
        <v>5011</v>
      </c>
      <c r="B14187" s="2" t="s">
        <v>4923</v>
      </c>
      <c r="C14187" s="2" t="s">
        <v>7170</v>
      </c>
      <c r="D14187" s="3" t="str">
        <f t="shared" ref="D14187:D14189" si="3474">HYPERLINK("https://12go.asia/en/travel/Kalpitiya/Aluthgama", "12Go Link")</f>
        <v>12Go Link</v>
      </c>
      <c r="E14187" s="2" t="s">
        <v>286</v>
      </c>
    </row>
    <row r="14188">
      <c r="A14188" s="2" t="s">
        <v>5011</v>
      </c>
      <c r="B14188" s="2" t="s">
        <v>4923</v>
      </c>
      <c r="C14188" s="2" t="s">
        <v>7170</v>
      </c>
      <c r="D14188" s="3" t="str">
        <f t="shared" si="3474"/>
        <v>12Go Link</v>
      </c>
      <c r="E14188" s="2" t="s">
        <v>4139</v>
      </c>
    </row>
    <row r="14189">
      <c r="A14189" s="2" t="s">
        <v>5011</v>
      </c>
      <c r="B14189" s="2" t="s">
        <v>4923</v>
      </c>
      <c r="C14189" s="2" t="s">
        <v>7170</v>
      </c>
      <c r="D14189" s="3" t="str">
        <f t="shared" si="3474"/>
        <v>12Go Link</v>
      </c>
      <c r="E14189" s="2" t="s">
        <v>3409</v>
      </c>
    </row>
    <row r="14190">
      <c r="A14190" s="2" t="s">
        <v>5011</v>
      </c>
      <c r="B14190" s="2" t="s">
        <v>4923</v>
      </c>
      <c r="C14190" s="2" t="s">
        <v>7171</v>
      </c>
      <c r="D14190" s="3" t="str">
        <f t="shared" ref="D14190:D14192" si="3475">HYPERLINK("https://12go.asia/en/travel/Marawila/Aluthgama", "12Go Link")</f>
        <v>12Go Link</v>
      </c>
      <c r="E14190" s="2" t="s">
        <v>286</v>
      </c>
    </row>
    <row r="14191">
      <c r="A14191" s="2" t="s">
        <v>5011</v>
      </c>
      <c r="B14191" s="2" t="s">
        <v>4923</v>
      </c>
      <c r="C14191" s="2" t="s">
        <v>7171</v>
      </c>
      <c r="D14191" s="3" t="str">
        <f t="shared" si="3475"/>
        <v>12Go Link</v>
      </c>
      <c r="E14191" s="2" t="s">
        <v>4139</v>
      </c>
    </row>
    <row r="14192">
      <c r="A14192" s="2" t="s">
        <v>5011</v>
      </c>
      <c r="B14192" s="2" t="s">
        <v>4923</v>
      </c>
      <c r="C14192" s="2" t="s">
        <v>7171</v>
      </c>
      <c r="D14192" s="3" t="str">
        <f t="shared" si="3475"/>
        <v>12Go Link</v>
      </c>
      <c r="E14192" s="2" t="s">
        <v>3409</v>
      </c>
    </row>
    <row r="14193">
      <c r="A14193" s="2" t="s">
        <v>5011</v>
      </c>
      <c r="B14193" s="2" t="s">
        <v>4925</v>
      </c>
      <c r="C14193" s="2" t="s">
        <v>7172</v>
      </c>
      <c r="D14193" s="3" t="str">
        <f t="shared" ref="D14193:D14195" si="3476">HYPERLINK("https://12go.asia/en/travel/Kalpitiya/Ambalangoda", "12Go Link")</f>
        <v>12Go Link</v>
      </c>
      <c r="E14193" s="2" t="s">
        <v>286</v>
      </c>
    </row>
    <row r="14194">
      <c r="A14194" s="2" t="s">
        <v>5011</v>
      </c>
      <c r="B14194" s="2" t="s">
        <v>4925</v>
      </c>
      <c r="C14194" s="2" t="s">
        <v>7172</v>
      </c>
      <c r="D14194" s="3" t="str">
        <f t="shared" si="3476"/>
        <v>12Go Link</v>
      </c>
      <c r="E14194" s="2" t="s">
        <v>4139</v>
      </c>
    </row>
    <row r="14195">
      <c r="A14195" s="2" t="s">
        <v>5011</v>
      </c>
      <c r="B14195" s="2" t="s">
        <v>4925</v>
      </c>
      <c r="C14195" s="2" t="s">
        <v>7172</v>
      </c>
      <c r="D14195" s="3" t="str">
        <f t="shared" si="3476"/>
        <v>12Go Link</v>
      </c>
      <c r="E14195" s="2" t="s">
        <v>3409</v>
      </c>
    </row>
    <row r="14196">
      <c r="A14196" s="2" t="s">
        <v>5011</v>
      </c>
      <c r="B14196" s="2" t="s">
        <v>4925</v>
      </c>
      <c r="C14196" s="2" t="s">
        <v>7173</v>
      </c>
      <c r="D14196" s="3" t="str">
        <f t="shared" ref="D14196:D14198" si="3477">HYPERLINK("https://12go.asia/en/travel/Marawila/Ambalangoda", "12Go Link")</f>
        <v>12Go Link</v>
      </c>
      <c r="E14196" s="2" t="s">
        <v>286</v>
      </c>
    </row>
    <row r="14197">
      <c r="A14197" s="2" t="s">
        <v>5011</v>
      </c>
      <c r="B14197" s="2" t="s">
        <v>4925</v>
      </c>
      <c r="C14197" s="2" t="s">
        <v>7173</v>
      </c>
      <c r="D14197" s="3" t="str">
        <f t="shared" si="3477"/>
        <v>12Go Link</v>
      </c>
      <c r="E14197" s="2" t="s">
        <v>4139</v>
      </c>
    </row>
    <row r="14198">
      <c r="A14198" s="2" t="s">
        <v>5011</v>
      </c>
      <c r="B14198" s="2" t="s">
        <v>4925</v>
      </c>
      <c r="C14198" s="2" t="s">
        <v>7173</v>
      </c>
      <c r="D14198" s="3" t="str">
        <f t="shared" si="3477"/>
        <v>12Go Link</v>
      </c>
      <c r="E14198" s="2" t="s">
        <v>3409</v>
      </c>
    </row>
    <row r="14199">
      <c r="A14199" s="2" t="s">
        <v>5011</v>
      </c>
      <c r="B14199" s="2" t="s">
        <v>4927</v>
      </c>
      <c r="C14199" s="2" t="s">
        <v>7174</v>
      </c>
      <c r="D14199" s="3" t="str">
        <f t="shared" ref="D14199:D14201" si="3478">HYPERLINK("https://12go.asia/en/travel/Kalpitiya/Ambalantota", "12Go Link")</f>
        <v>12Go Link</v>
      </c>
      <c r="E14199" s="2" t="s">
        <v>286</v>
      </c>
    </row>
    <row r="14200">
      <c r="A14200" s="2" t="s">
        <v>5011</v>
      </c>
      <c r="B14200" s="2" t="s">
        <v>4927</v>
      </c>
      <c r="C14200" s="2" t="s">
        <v>7174</v>
      </c>
      <c r="D14200" s="3" t="str">
        <f t="shared" si="3478"/>
        <v>12Go Link</v>
      </c>
      <c r="E14200" s="2" t="s">
        <v>4139</v>
      </c>
    </row>
    <row r="14201">
      <c r="A14201" s="2" t="s">
        <v>5011</v>
      </c>
      <c r="B14201" s="2" t="s">
        <v>4927</v>
      </c>
      <c r="C14201" s="2" t="s">
        <v>7174</v>
      </c>
      <c r="D14201" s="3" t="str">
        <f t="shared" si="3478"/>
        <v>12Go Link</v>
      </c>
      <c r="E14201" s="2" t="s">
        <v>3409</v>
      </c>
    </row>
    <row r="14202">
      <c r="A14202" s="2" t="s">
        <v>5011</v>
      </c>
      <c r="B14202" s="2" t="s">
        <v>4927</v>
      </c>
      <c r="C14202" s="2" t="s">
        <v>7175</v>
      </c>
      <c r="D14202" s="3" t="str">
        <f t="shared" ref="D14202:D14204" si="3479">HYPERLINK("https://12go.asia/en/travel/Marawila/Ambalantota", "12Go Link")</f>
        <v>12Go Link</v>
      </c>
      <c r="E14202" s="2" t="s">
        <v>286</v>
      </c>
    </row>
    <row r="14203">
      <c r="A14203" s="2" t="s">
        <v>5011</v>
      </c>
      <c r="B14203" s="2" t="s">
        <v>4927</v>
      </c>
      <c r="C14203" s="2" t="s">
        <v>7175</v>
      </c>
      <c r="D14203" s="3" t="str">
        <f t="shared" si="3479"/>
        <v>12Go Link</v>
      </c>
      <c r="E14203" s="2" t="s">
        <v>4139</v>
      </c>
    </row>
    <row r="14204">
      <c r="A14204" s="2" t="s">
        <v>5011</v>
      </c>
      <c r="B14204" s="2" t="s">
        <v>4927</v>
      </c>
      <c r="C14204" s="2" t="s">
        <v>7175</v>
      </c>
      <c r="D14204" s="3" t="str">
        <f t="shared" si="3479"/>
        <v>12Go Link</v>
      </c>
      <c r="E14204" s="2" t="s">
        <v>3409</v>
      </c>
    </row>
    <row r="14205">
      <c r="A14205" s="2" t="s">
        <v>5011</v>
      </c>
      <c r="B14205" s="2" t="s">
        <v>4929</v>
      </c>
      <c r="C14205" s="2" t="s">
        <v>7176</v>
      </c>
      <c r="D14205" s="3" t="str">
        <f t="shared" ref="D14205:D14207" si="3480">HYPERLINK("https://12go.asia/en/travel/Kalpitiya/Anuradhapura", "12Go Link")</f>
        <v>12Go Link</v>
      </c>
      <c r="E14205" s="2" t="s">
        <v>286</v>
      </c>
    </row>
    <row r="14206">
      <c r="A14206" s="2" t="s">
        <v>5011</v>
      </c>
      <c r="B14206" s="2" t="s">
        <v>4929</v>
      </c>
      <c r="C14206" s="2" t="s">
        <v>7176</v>
      </c>
      <c r="D14206" s="3" t="str">
        <f t="shared" si="3480"/>
        <v>12Go Link</v>
      </c>
      <c r="E14206" s="2" t="s">
        <v>4139</v>
      </c>
    </row>
    <row r="14207">
      <c r="A14207" s="2" t="s">
        <v>5011</v>
      </c>
      <c r="B14207" s="2" t="s">
        <v>4929</v>
      </c>
      <c r="C14207" s="2" t="s">
        <v>7176</v>
      </c>
      <c r="D14207" s="3" t="str">
        <f t="shared" si="3480"/>
        <v>12Go Link</v>
      </c>
      <c r="E14207" s="2" t="s">
        <v>3409</v>
      </c>
    </row>
    <row r="14208">
      <c r="A14208" s="2" t="s">
        <v>5011</v>
      </c>
      <c r="B14208" s="2" t="s">
        <v>4929</v>
      </c>
      <c r="C14208" s="2" t="s">
        <v>7177</v>
      </c>
      <c r="D14208" s="3" t="str">
        <f t="shared" ref="D14208:D14210" si="3481">HYPERLINK("https://12go.asia/en/travel/Marawila/Anuradhapura", "12Go Link")</f>
        <v>12Go Link</v>
      </c>
      <c r="E14208" s="2" t="s">
        <v>286</v>
      </c>
    </row>
    <row r="14209">
      <c r="A14209" s="2" t="s">
        <v>5011</v>
      </c>
      <c r="B14209" s="2" t="s">
        <v>4929</v>
      </c>
      <c r="C14209" s="2" t="s">
        <v>7177</v>
      </c>
      <c r="D14209" s="3" t="str">
        <f t="shared" si="3481"/>
        <v>12Go Link</v>
      </c>
      <c r="E14209" s="2" t="s">
        <v>4139</v>
      </c>
    </row>
    <row r="14210">
      <c r="A14210" s="2" t="s">
        <v>5011</v>
      </c>
      <c r="B14210" s="2" t="s">
        <v>4929</v>
      </c>
      <c r="C14210" s="2" t="s">
        <v>7177</v>
      </c>
      <c r="D14210" s="3" t="str">
        <f t="shared" si="3481"/>
        <v>12Go Link</v>
      </c>
      <c r="E14210" s="2" t="s">
        <v>3409</v>
      </c>
    </row>
    <row r="14211">
      <c r="A14211" s="2" t="s">
        <v>5011</v>
      </c>
      <c r="B14211" s="2" t="s">
        <v>4931</v>
      </c>
      <c r="C14211" s="2" t="s">
        <v>7178</v>
      </c>
      <c r="D14211" s="3" t="str">
        <f t="shared" ref="D14211:D14213" si="3482">HYPERLINK("https://12go.asia/en/travel/Kalpitiya/Arugam-bay", "12Go Link")</f>
        <v>12Go Link</v>
      </c>
      <c r="E14211" s="2" t="s">
        <v>286</v>
      </c>
    </row>
    <row r="14212">
      <c r="A14212" s="2" t="s">
        <v>5011</v>
      </c>
      <c r="B14212" s="2" t="s">
        <v>4931</v>
      </c>
      <c r="C14212" s="2" t="s">
        <v>7178</v>
      </c>
      <c r="D14212" s="3" t="str">
        <f t="shared" si="3482"/>
        <v>12Go Link</v>
      </c>
      <c r="E14212" s="2" t="s">
        <v>4139</v>
      </c>
    </row>
    <row r="14213">
      <c r="A14213" s="2" t="s">
        <v>5011</v>
      </c>
      <c r="B14213" s="2" t="s">
        <v>4931</v>
      </c>
      <c r="C14213" s="2" t="s">
        <v>7178</v>
      </c>
      <c r="D14213" s="3" t="str">
        <f t="shared" si="3482"/>
        <v>12Go Link</v>
      </c>
      <c r="E14213" s="2" t="s">
        <v>3409</v>
      </c>
    </row>
    <row r="14214">
      <c r="A14214" s="2" t="s">
        <v>5011</v>
      </c>
      <c r="B14214" s="2" t="s">
        <v>4931</v>
      </c>
      <c r="C14214" s="2" t="s">
        <v>7179</v>
      </c>
      <c r="D14214" s="3" t="str">
        <f t="shared" ref="D14214:D14216" si="3483">HYPERLINK("https://12go.asia/en/travel/Marawila/Arugam-bay", "12Go Link")</f>
        <v>12Go Link</v>
      </c>
      <c r="E14214" s="2" t="s">
        <v>286</v>
      </c>
    </row>
    <row r="14215">
      <c r="A14215" s="2" t="s">
        <v>5011</v>
      </c>
      <c r="B14215" s="2" t="s">
        <v>4931</v>
      </c>
      <c r="C14215" s="2" t="s">
        <v>7179</v>
      </c>
      <c r="D14215" s="3" t="str">
        <f t="shared" si="3483"/>
        <v>12Go Link</v>
      </c>
      <c r="E14215" s="2" t="s">
        <v>4139</v>
      </c>
    </row>
    <row r="14216">
      <c r="A14216" s="2" t="s">
        <v>5011</v>
      </c>
      <c r="B14216" s="2" t="s">
        <v>4931</v>
      </c>
      <c r="C14216" s="2" t="s">
        <v>7179</v>
      </c>
      <c r="D14216" s="3" t="str">
        <f t="shared" si="3483"/>
        <v>12Go Link</v>
      </c>
      <c r="E14216" s="2" t="s">
        <v>3409</v>
      </c>
    </row>
    <row r="14217">
      <c r="A14217" s="2" t="s">
        <v>5011</v>
      </c>
      <c r="B14217" s="2" t="s">
        <v>4933</v>
      </c>
      <c r="C14217" s="2" t="s">
        <v>7180</v>
      </c>
      <c r="D14217" s="3" t="str">
        <f t="shared" ref="D14217:D14219" si="3484">HYPERLINK("https://12go.asia/en/travel/Kalpitiya/balapitiya", "12Go Link")</f>
        <v>12Go Link</v>
      </c>
      <c r="E14217" s="2" t="s">
        <v>286</v>
      </c>
    </row>
    <row r="14218">
      <c r="A14218" s="2" t="s">
        <v>5011</v>
      </c>
      <c r="B14218" s="2" t="s">
        <v>4933</v>
      </c>
      <c r="C14218" s="2" t="s">
        <v>7180</v>
      </c>
      <c r="D14218" s="3" t="str">
        <f t="shared" si="3484"/>
        <v>12Go Link</v>
      </c>
      <c r="E14218" s="2" t="s">
        <v>4139</v>
      </c>
    </row>
    <row r="14219">
      <c r="A14219" s="2" t="s">
        <v>5011</v>
      </c>
      <c r="B14219" s="2" t="s">
        <v>4933</v>
      </c>
      <c r="C14219" s="2" t="s">
        <v>7180</v>
      </c>
      <c r="D14219" s="3" t="str">
        <f t="shared" si="3484"/>
        <v>12Go Link</v>
      </c>
      <c r="E14219" s="2" t="s">
        <v>3409</v>
      </c>
    </row>
    <row r="14220">
      <c r="A14220" s="2" t="s">
        <v>5011</v>
      </c>
      <c r="B14220" s="2" t="s">
        <v>4933</v>
      </c>
      <c r="C14220" s="2" t="s">
        <v>7181</v>
      </c>
      <c r="D14220" s="3" t="str">
        <f t="shared" ref="D14220:D14222" si="3485">HYPERLINK("https://12go.asia/en/travel/Marawila/balapitiya", "12Go Link")</f>
        <v>12Go Link</v>
      </c>
      <c r="E14220" s="2" t="s">
        <v>286</v>
      </c>
    </row>
    <row r="14221">
      <c r="A14221" s="2" t="s">
        <v>5011</v>
      </c>
      <c r="B14221" s="2" t="s">
        <v>4933</v>
      </c>
      <c r="C14221" s="2" t="s">
        <v>7181</v>
      </c>
      <c r="D14221" s="3" t="str">
        <f t="shared" si="3485"/>
        <v>12Go Link</v>
      </c>
      <c r="E14221" s="2" t="s">
        <v>4139</v>
      </c>
    </row>
    <row r="14222">
      <c r="A14222" s="2" t="s">
        <v>5011</v>
      </c>
      <c r="B14222" s="2" t="s">
        <v>4933</v>
      </c>
      <c r="C14222" s="2" t="s">
        <v>7181</v>
      </c>
      <c r="D14222" s="3" t="str">
        <f t="shared" si="3485"/>
        <v>12Go Link</v>
      </c>
      <c r="E14222" s="2" t="s">
        <v>3409</v>
      </c>
    </row>
    <row r="14223">
      <c r="A14223" s="2" t="s">
        <v>5011</v>
      </c>
      <c r="B14223" s="2" t="s">
        <v>4935</v>
      </c>
      <c r="C14223" s="2" t="s">
        <v>7182</v>
      </c>
      <c r="D14223" s="3" t="str">
        <f t="shared" ref="D14223:D14225" si="3486">HYPERLINK("https://12go.asia/en/travel/Kalpitiya/Batticaloa", "12Go Link")</f>
        <v>12Go Link</v>
      </c>
      <c r="E14223" s="2" t="s">
        <v>286</v>
      </c>
    </row>
    <row r="14224">
      <c r="A14224" s="2" t="s">
        <v>5011</v>
      </c>
      <c r="B14224" s="2" t="s">
        <v>4935</v>
      </c>
      <c r="C14224" s="2" t="s">
        <v>7182</v>
      </c>
      <c r="D14224" s="3" t="str">
        <f t="shared" si="3486"/>
        <v>12Go Link</v>
      </c>
      <c r="E14224" s="2" t="s">
        <v>4139</v>
      </c>
    </row>
    <row r="14225">
      <c r="A14225" s="2" t="s">
        <v>5011</v>
      </c>
      <c r="B14225" s="2" t="s">
        <v>4935</v>
      </c>
      <c r="C14225" s="2" t="s">
        <v>7182</v>
      </c>
      <c r="D14225" s="3" t="str">
        <f t="shared" si="3486"/>
        <v>12Go Link</v>
      </c>
      <c r="E14225" s="2" t="s">
        <v>3409</v>
      </c>
    </row>
    <row r="14226">
      <c r="A14226" s="2" t="s">
        <v>5011</v>
      </c>
      <c r="B14226" s="2" t="s">
        <v>4935</v>
      </c>
      <c r="C14226" s="2" t="s">
        <v>7183</v>
      </c>
      <c r="D14226" s="3" t="str">
        <f t="shared" ref="D14226:D14228" si="3487">HYPERLINK("https://12go.asia/en/travel/Marawila/Batticaloa", "12Go Link")</f>
        <v>12Go Link</v>
      </c>
      <c r="E14226" s="2" t="s">
        <v>286</v>
      </c>
    </row>
    <row r="14227">
      <c r="A14227" s="2" t="s">
        <v>5011</v>
      </c>
      <c r="B14227" s="2" t="s">
        <v>4935</v>
      </c>
      <c r="C14227" s="2" t="s">
        <v>7183</v>
      </c>
      <c r="D14227" s="3" t="str">
        <f t="shared" si="3487"/>
        <v>12Go Link</v>
      </c>
      <c r="E14227" s="2" t="s">
        <v>4139</v>
      </c>
    </row>
    <row r="14228">
      <c r="A14228" s="2" t="s">
        <v>5011</v>
      </c>
      <c r="B14228" s="2" t="s">
        <v>4935</v>
      </c>
      <c r="C14228" s="2" t="s">
        <v>7183</v>
      </c>
      <c r="D14228" s="3" t="str">
        <f t="shared" si="3487"/>
        <v>12Go Link</v>
      </c>
      <c r="E14228" s="2" t="s">
        <v>3409</v>
      </c>
    </row>
    <row r="14229">
      <c r="A14229" s="2" t="s">
        <v>5011</v>
      </c>
      <c r="B14229" s="2" t="s">
        <v>4937</v>
      </c>
      <c r="C14229" s="2" t="s">
        <v>7184</v>
      </c>
      <c r="D14229" s="3" t="str">
        <f t="shared" ref="D14229:D14231" si="3488">HYPERLINK("https://12go.asia/en/travel/Kalpitiya/Bentota", "12Go Link")</f>
        <v>12Go Link</v>
      </c>
      <c r="E14229" s="2" t="s">
        <v>286</v>
      </c>
    </row>
    <row r="14230">
      <c r="A14230" s="2" t="s">
        <v>5011</v>
      </c>
      <c r="B14230" s="2" t="s">
        <v>4937</v>
      </c>
      <c r="C14230" s="2" t="s">
        <v>7184</v>
      </c>
      <c r="D14230" s="3" t="str">
        <f t="shared" si="3488"/>
        <v>12Go Link</v>
      </c>
      <c r="E14230" s="2" t="s">
        <v>4139</v>
      </c>
    </row>
    <row r="14231">
      <c r="A14231" s="2" t="s">
        <v>5011</v>
      </c>
      <c r="B14231" s="2" t="s">
        <v>4937</v>
      </c>
      <c r="C14231" s="2" t="s">
        <v>7184</v>
      </c>
      <c r="D14231" s="3" t="str">
        <f t="shared" si="3488"/>
        <v>12Go Link</v>
      </c>
      <c r="E14231" s="2" t="s">
        <v>3409</v>
      </c>
    </row>
    <row r="14232">
      <c r="A14232" s="2" t="s">
        <v>5011</v>
      </c>
      <c r="B14232" s="2" t="s">
        <v>4937</v>
      </c>
      <c r="C14232" s="2" t="s">
        <v>7185</v>
      </c>
      <c r="D14232" s="3" t="str">
        <f t="shared" ref="D14232:D14234" si="3489">HYPERLINK("https://12go.asia/en/travel/Marawila/Bentota", "12Go Link")</f>
        <v>12Go Link</v>
      </c>
      <c r="E14232" s="2" t="s">
        <v>286</v>
      </c>
    </row>
    <row r="14233">
      <c r="A14233" s="2" t="s">
        <v>5011</v>
      </c>
      <c r="B14233" s="2" t="s">
        <v>4937</v>
      </c>
      <c r="C14233" s="2" t="s">
        <v>7185</v>
      </c>
      <c r="D14233" s="3" t="str">
        <f t="shared" si="3489"/>
        <v>12Go Link</v>
      </c>
      <c r="E14233" s="2" t="s">
        <v>4139</v>
      </c>
    </row>
    <row r="14234">
      <c r="A14234" s="2" t="s">
        <v>5011</v>
      </c>
      <c r="B14234" s="2" t="s">
        <v>4937</v>
      </c>
      <c r="C14234" s="2" t="s">
        <v>7185</v>
      </c>
      <c r="D14234" s="3" t="str">
        <f t="shared" si="3489"/>
        <v>12Go Link</v>
      </c>
      <c r="E14234" s="2" t="s">
        <v>3409</v>
      </c>
    </row>
    <row r="14235">
      <c r="A14235" s="2" t="s">
        <v>5011</v>
      </c>
      <c r="B14235" s="2" t="s">
        <v>4939</v>
      </c>
      <c r="C14235" s="2" t="s">
        <v>7186</v>
      </c>
      <c r="D14235" s="3" t="str">
        <f t="shared" ref="D14235:D14237" si="3490">HYPERLINK("https://12go.asia/en/travel/Kalpitiya/Beruwala", "12Go Link")</f>
        <v>12Go Link</v>
      </c>
      <c r="E14235" s="2" t="s">
        <v>286</v>
      </c>
    </row>
    <row r="14236">
      <c r="A14236" s="2" t="s">
        <v>5011</v>
      </c>
      <c r="B14236" s="2" t="s">
        <v>4939</v>
      </c>
      <c r="C14236" s="2" t="s">
        <v>7186</v>
      </c>
      <c r="D14236" s="3" t="str">
        <f t="shared" si="3490"/>
        <v>12Go Link</v>
      </c>
      <c r="E14236" s="2" t="s">
        <v>4139</v>
      </c>
    </row>
    <row r="14237">
      <c r="A14237" s="2" t="s">
        <v>5011</v>
      </c>
      <c r="B14237" s="2" t="s">
        <v>4939</v>
      </c>
      <c r="C14237" s="2" t="s">
        <v>7186</v>
      </c>
      <c r="D14237" s="3" t="str">
        <f t="shared" si="3490"/>
        <v>12Go Link</v>
      </c>
      <c r="E14237" s="2" t="s">
        <v>3409</v>
      </c>
    </row>
    <row r="14238">
      <c r="A14238" s="2" t="s">
        <v>5011</v>
      </c>
      <c r="B14238" s="2" t="s">
        <v>4939</v>
      </c>
      <c r="C14238" s="2" t="s">
        <v>7187</v>
      </c>
      <c r="D14238" s="3" t="str">
        <f t="shared" ref="D14238:D14240" si="3491">HYPERLINK("https://12go.asia/en/travel/Marawila/Beruwala", "12Go Link")</f>
        <v>12Go Link</v>
      </c>
      <c r="E14238" s="2" t="s">
        <v>286</v>
      </c>
    </row>
    <row r="14239">
      <c r="A14239" s="2" t="s">
        <v>5011</v>
      </c>
      <c r="B14239" s="2" t="s">
        <v>4939</v>
      </c>
      <c r="C14239" s="2" t="s">
        <v>7187</v>
      </c>
      <c r="D14239" s="3" t="str">
        <f t="shared" si="3491"/>
        <v>12Go Link</v>
      </c>
      <c r="E14239" s="2" t="s">
        <v>4139</v>
      </c>
    </row>
    <row r="14240">
      <c r="A14240" s="2" t="s">
        <v>5011</v>
      </c>
      <c r="B14240" s="2" t="s">
        <v>4939</v>
      </c>
      <c r="C14240" s="2" t="s">
        <v>7187</v>
      </c>
      <c r="D14240" s="3" t="str">
        <f t="shared" si="3491"/>
        <v>12Go Link</v>
      </c>
      <c r="E14240" s="2" t="s">
        <v>3409</v>
      </c>
    </row>
    <row r="14241">
      <c r="A14241" s="2" t="s">
        <v>5011</v>
      </c>
      <c r="B14241" s="2" t="s">
        <v>4941</v>
      </c>
      <c r="C14241" s="2" t="s">
        <v>7188</v>
      </c>
      <c r="D14241" s="3" t="str">
        <f t="shared" ref="D14241:D14243" si="3492">HYPERLINK("https://12go.asia/en/travel/Kalpitiya/Bundala", "12Go Link")</f>
        <v>12Go Link</v>
      </c>
      <c r="E14241" s="2" t="s">
        <v>286</v>
      </c>
    </row>
    <row r="14242">
      <c r="A14242" s="2" t="s">
        <v>5011</v>
      </c>
      <c r="B14242" s="2" t="s">
        <v>4941</v>
      </c>
      <c r="C14242" s="2" t="s">
        <v>7188</v>
      </c>
      <c r="D14242" s="3" t="str">
        <f t="shared" si="3492"/>
        <v>12Go Link</v>
      </c>
      <c r="E14242" s="2" t="s">
        <v>4139</v>
      </c>
    </row>
    <row r="14243">
      <c r="A14243" s="2" t="s">
        <v>5011</v>
      </c>
      <c r="B14243" s="2" t="s">
        <v>4941</v>
      </c>
      <c r="C14243" s="2" t="s">
        <v>7188</v>
      </c>
      <c r="D14243" s="3" t="str">
        <f t="shared" si="3492"/>
        <v>12Go Link</v>
      </c>
      <c r="E14243" s="2" t="s">
        <v>3409</v>
      </c>
    </row>
    <row r="14244">
      <c r="A14244" s="2" t="s">
        <v>5011</v>
      </c>
      <c r="B14244" s="2" t="s">
        <v>4941</v>
      </c>
      <c r="C14244" s="2" t="s">
        <v>7189</v>
      </c>
      <c r="D14244" s="3" t="str">
        <f t="shared" ref="D14244:D14246" si="3493">HYPERLINK("https://12go.asia/en/travel/Marawila/Bundala", "12Go Link")</f>
        <v>12Go Link</v>
      </c>
      <c r="E14244" s="2" t="s">
        <v>286</v>
      </c>
    </row>
    <row r="14245">
      <c r="A14245" s="2" t="s">
        <v>5011</v>
      </c>
      <c r="B14245" s="2" t="s">
        <v>4941</v>
      </c>
      <c r="C14245" s="2" t="s">
        <v>7189</v>
      </c>
      <c r="D14245" s="3" t="str">
        <f t="shared" si="3493"/>
        <v>12Go Link</v>
      </c>
      <c r="E14245" s="2" t="s">
        <v>4139</v>
      </c>
    </row>
    <row r="14246">
      <c r="A14246" s="2" t="s">
        <v>5011</v>
      </c>
      <c r="B14246" s="2" t="s">
        <v>4941</v>
      </c>
      <c r="C14246" s="2" t="s">
        <v>7189</v>
      </c>
      <c r="D14246" s="3" t="str">
        <f t="shared" si="3493"/>
        <v>12Go Link</v>
      </c>
      <c r="E14246" s="2" t="s">
        <v>3409</v>
      </c>
    </row>
    <row r="14247">
      <c r="A14247" s="2" t="s">
        <v>5011</v>
      </c>
      <c r="B14247" s="2" t="s">
        <v>4943</v>
      </c>
      <c r="C14247" s="2" t="s">
        <v>7190</v>
      </c>
      <c r="D14247" s="3" t="str">
        <f t="shared" ref="D14247:D14249" si="3494">HYPERLINK("https://12go.asia/en/travel/Kalpitiya/Bambalapitiya", "12Go Link")</f>
        <v>12Go Link</v>
      </c>
      <c r="E14247" s="2" t="s">
        <v>286</v>
      </c>
    </row>
    <row r="14248">
      <c r="A14248" s="2" t="s">
        <v>5011</v>
      </c>
      <c r="B14248" s="2" t="s">
        <v>4943</v>
      </c>
      <c r="C14248" s="2" t="s">
        <v>7190</v>
      </c>
      <c r="D14248" s="3" t="str">
        <f t="shared" si="3494"/>
        <v>12Go Link</v>
      </c>
      <c r="E14248" s="2" t="s">
        <v>4139</v>
      </c>
    </row>
    <row r="14249">
      <c r="A14249" s="2" t="s">
        <v>5011</v>
      </c>
      <c r="B14249" s="2" t="s">
        <v>4943</v>
      </c>
      <c r="C14249" s="2" t="s">
        <v>7190</v>
      </c>
      <c r="D14249" s="3" t="str">
        <f t="shared" si="3494"/>
        <v>12Go Link</v>
      </c>
      <c r="E14249" s="2" t="s">
        <v>3409</v>
      </c>
    </row>
    <row r="14250">
      <c r="A14250" s="2" t="s">
        <v>5011</v>
      </c>
      <c r="B14250" s="2" t="s">
        <v>4943</v>
      </c>
      <c r="C14250" s="2" t="s">
        <v>7191</v>
      </c>
      <c r="D14250" s="3" t="str">
        <f t="shared" ref="D14250:D14252" si="3495">HYPERLINK("https://12go.asia/en/travel/Marawila/Bambalapitiya", "12Go Link")</f>
        <v>12Go Link</v>
      </c>
      <c r="E14250" s="2" t="s">
        <v>286</v>
      </c>
    </row>
    <row r="14251">
      <c r="A14251" s="2" t="s">
        <v>5011</v>
      </c>
      <c r="B14251" s="2" t="s">
        <v>4943</v>
      </c>
      <c r="C14251" s="2" t="s">
        <v>7191</v>
      </c>
      <c r="D14251" s="3" t="str">
        <f t="shared" si="3495"/>
        <v>12Go Link</v>
      </c>
      <c r="E14251" s="2" t="s">
        <v>4139</v>
      </c>
    </row>
    <row r="14252">
      <c r="A14252" s="2" t="s">
        <v>5011</v>
      </c>
      <c r="B14252" s="2" t="s">
        <v>4943</v>
      </c>
      <c r="C14252" s="2" t="s">
        <v>7191</v>
      </c>
      <c r="D14252" s="3" t="str">
        <f t="shared" si="3495"/>
        <v>12Go Link</v>
      </c>
      <c r="E14252" s="2" t="s">
        <v>3409</v>
      </c>
    </row>
    <row r="14253">
      <c r="A14253" s="2" t="s">
        <v>5011</v>
      </c>
      <c r="B14253" s="2" t="s">
        <v>4945</v>
      </c>
      <c r="C14253" s="2" t="s">
        <v>7192</v>
      </c>
      <c r="D14253" s="3" t="str">
        <f t="shared" ref="D14253:D14255" si="3496">HYPERLINK("https://12go.asia/en/travel/Kalpitiya/Bandaranaike-Airport", "12Go Link")</f>
        <v>12Go Link</v>
      </c>
      <c r="E14253" s="2" t="s">
        <v>286</v>
      </c>
    </row>
    <row r="14254">
      <c r="A14254" s="2" t="s">
        <v>5011</v>
      </c>
      <c r="B14254" s="2" t="s">
        <v>4945</v>
      </c>
      <c r="C14254" s="2" t="s">
        <v>7192</v>
      </c>
      <c r="D14254" s="3" t="str">
        <f t="shared" si="3496"/>
        <v>12Go Link</v>
      </c>
      <c r="E14254" s="2" t="s">
        <v>4139</v>
      </c>
    </row>
    <row r="14255">
      <c r="A14255" s="2" t="s">
        <v>5011</v>
      </c>
      <c r="B14255" s="2" t="s">
        <v>4945</v>
      </c>
      <c r="C14255" s="2" t="s">
        <v>7192</v>
      </c>
      <c r="D14255" s="3" t="str">
        <f t="shared" si="3496"/>
        <v>12Go Link</v>
      </c>
      <c r="E14255" s="2" t="s">
        <v>3409</v>
      </c>
    </row>
    <row r="14256">
      <c r="A14256" s="2" t="s">
        <v>5011</v>
      </c>
      <c r="B14256" s="2" t="s">
        <v>4945</v>
      </c>
      <c r="C14256" s="2" t="s">
        <v>7193</v>
      </c>
      <c r="D14256" s="3" t="str">
        <f t="shared" ref="D14256:D14258" si="3497">HYPERLINK("https://12go.asia/en/travel/Marawila/Bandaranaike-Airport", "12Go Link")</f>
        <v>12Go Link</v>
      </c>
      <c r="E14256" s="2" t="s">
        <v>286</v>
      </c>
    </row>
    <row r="14257">
      <c r="A14257" s="2" t="s">
        <v>5011</v>
      </c>
      <c r="B14257" s="2" t="s">
        <v>4945</v>
      </c>
      <c r="C14257" s="2" t="s">
        <v>7193</v>
      </c>
      <c r="D14257" s="3" t="str">
        <f t="shared" si="3497"/>
        <v>12Go Link</v>
      </c>
      <c r="E14257" s="2" t="s">
        <v>4139</v>
      </c>
    </row>
    <row r="14258">
      <c r="A14258" s="2" t="s">
        <v>5011</v>
      </c>
      <c r="B14258" s="2" t="s">
        <v>4945</v>
      </c>
      <c r="C14258" s="2" t="s">
        <v>7193</v>
      </c>
      <c r="D14258" s="3" t="str">
        <f t="shared" si="3497"/>
        <v>12Go Link</v>
      </c>
      <c r="E14258" s="2" t="s">
        <v>3409</v>
      </c>
    </row>
    <row r="14259">
      <c r="A14259" s="2" t="s">
        <v>5011</v>
      </c>
      <c r="B14259" s="2" t="s">
        <v>4947</v>
      </c>
      <c r="C14259" s="2" t="s">
        <v>7194</v>
      </c>
      <c r="D14259" s="3" t="str">
        <f t="shared" ref="D14259:D14261" si="3498">HYPERLINK("https://12go.asia/en/travel/Kalpitiya/Dambulla", "12Go Link")</f>
        <v>12Go Link</v>
      </c>
      <c r="E14259" s="2" t="s">
        <v>286</v>
      </c>
    </row>
    <row r="14260">
      <c r="A14260" s="2" t="s">
        <v>5011</v>
      </c>
      <c r="B14260" s="2" t="s">
        <v>4947</v>
      </c>
      <c r="C14260" s="2" t="s">
        <v>7194</v>
      </c>
      <c r="D14260" s="3" t="str">
        <f t="shared" si="3498"/>
        <v>12Go Link</v>
      </c>
      <c r="E14260" s="2" t="s">
        <v>4139</v>
      </c>
    </row>
    <row r="14261">
      <c r="A14261" s="2" t="s">
        <v>5011</v>
      </c>
      <c r="B14261" s="2" t="s">
        <v>4947</v>
      </c>
      <c r="C14261" s="2" t="s">
        <v>7194</v>
      </c>
      <c r="D14261" s="3" t="str">
        <f t="shared" si="3498"/>
        <v>12Go Link</v>
      </c>
      <c r="E14261" s="2" t="s">
        <v>3409</v>
      </c>
    </row>
    <row r="14262">
      <c r="A14262" s="2" t="s">
        <v>5011</v>
      </c>
      <c r="B14262" s="2" t="s">
        <v>4947</v>
      </c>
      <c r="C14262" s="2" t="s">
        <v>7195</v>
      </c>
      <c r="D14262" s="3" t="str">
        <f t="shared" ref="D14262:D14264" si="3499">HYPERLINK("https://12go.asia/en/travel/Marawila/Dambulla", "12Go Link")</f>
        <v>12Go Link</v>
      </c>
      <c r="E14262" s="2" t="s">
        <v>286</v>
      </c>
    </row>
    <row r="14263">
      <c r="A14263" s="2" t="s">
        <v>5011</v>
      </c>
      <c r="B14263" s="2" t="s">
        <v>4947</v>
      </c>
      <c r="C14263" s="2" t="s">
        <v>7195</v>
      </c>
      <c r="D14263" s="3" t="str">
        <f t="shared" si="3499"/>
        <v>12Go Link</v>
      </c>
      <c r="E14263" s="2" t="s">
        <v>4139</v>
      </c>
    </row>
    <row r="14264">
      <c r="A14264" s="2" t="s">
        <v>5011</v>
      </c>
      <c r="B14264" s="2" t="s">
        <v>4947</v>
      </c>
      <c r="C14264" s="2" t="s">
        <v>7195</v>
      </c>
      <c r="D14264" s="3" t="str">
        <f t="shared" si="3499"/>
        <v>12Go Link</v>
      </c>
      <c r="E14264" s="2" t="s">
        <v>3409</v>
      </c>
    </row>
    <row r="14265">
      <c r="A14265" s="2" t="s">
        <v>5011</v>
      </c>
      <c r="B14265" s="2" t="s">
        <v>4949</v>
      </c>
      <c r="C14265" s="2" t="s">
        <v>7196</v>
      </c>
      <c r="D14265" s="3" t="str">
        <f t="shared" ref="D14265:D14267" si="3500">HYPERLINK("https://12go.asia/en/travel/Kalpitiya/Deniyaya", "12Go Link")</f>
        <v>12Go Link</v>
      </c>
      <c r="E14265" s="2" t="s">
        <v>286</v>
      </c>
    </row>
    <row r="14266">
      <c r="A14266" s="2" t="s">
        <v>5011</v>
      </c>
      <c r="B14266" s="2" t="s">
        <v>4949</v>
      </c>
      <c r="C14266" s="2" t="s">
        <v>7196</v>
      </c>
      <c r="D14266" s="3" t="str">
        <f t="shared" si="3500"/>
        <v>12Go Link</v>
      </c>
      <c r="E14266" s="2" t="s">
        <v>4139</v>
      </c>
    </row>
    <row r="14267">
      <c r="A14267" s="2" t="s">
        <v>5011</v>
      </c>
      <c r="B14267" s="2" t="s">
        <v>4949</v>
      </c>
      <c r="C14267" s="2" t="s">
        <v>7196</v>
      </c>
      <c r="D14267" s="3" t="str">
        <f t="shared" si="3500"/>
        <v>12Go Link</v>
      </c>
      <c r="E14267" s="2" t="s">
        <v>3409</v>
      </c>
    </row>
    <row r="14268">
      <c r="A14268" s="2" t="s">
        <v>5011</v>
      </c>
      <c r="B14268" s="2" t="s">
        <v>4949</v>
      </c>
      <c r="C14268" s="2" t="s">
        <v>7197</v>
      </c>
      <c r="D14268" s="3" t="str">
        <f t="shared" ref="D14268:D14270" si="3501">HYPERLINK("https://12go.asia/en/travel/Marawila/Deniyaya", "12Go Link")</f>
        <v>12Go Link</v>
      </c>
      <c r="E14268" s="2" t="s">
        <v>286</v>
      </c>
    </row>
    <row r="14269">
      <c r="A14269" s="2" t="s">
        <v>5011</v>
      </c>
      <c r="B14269" s="2" t="s">
        <v>4949</v>
      </c>
      <c r="C14269" s="2" t="s">
        <v>7197</v>
      </c>
      <c r="D14269" s="3" t="str">
        <f t="shared" si="3501"/>
        <v>12Go Link</v>
      </c>
      <c r="E14269" s="2" t="s">
        <v>4139</v>
      </c>
    </row>
    <row r="14270">
      <c r="A14270" s="2" t="s">
        <v>5011</v>
      </c>
      <c r="B14270" s="2" t="s">
        <v>4949</v>
      </c>
      <c r="C14270" s="2" t="s">
        <v>7197</v>
      </c>
      <c r="D14270" s="3" t="str">
        <f t="shared" si="3501"/>
        <v>12Go Link</v>
      </c>
      <c r="E14270" s="2" t="s">
        <v>3409</v>
      </c>
    </row>
    <row r="14271">
      <c r="A14271" s="2" t="s">
        <v>5011</v>
      </c>
      <c r="B14271" s="2" t="s">
        <v>4951</v>
      </c>
      <c r="C14271" s="2" t="s">
        <v>7198</v>
      </c>
      <c r="D14271" s="3" t="str">
        <f t="shared" ref="D14271:D14273" si="3502">HYPERLINK("https://12go.asia/en/travel/Kalpitiya/Dickwella", "12Go Link")</f>
        <v>12Go Link</v>
      </c>
      <c r="E14271" s="2" t="s">
        <v>286</v>
      </c>
    </row>
    <row r="14272">
      <c r="A14272" s="2" t="s">
        <v>5011</v>
      </c>
      <c r="B14272" s="2" t="s">
        <v>4951</v>
      </c>
      <c r="C14272" s="2" t="s">
        <v>7198</v>
      </c>
      <c r="D14272" s="3" t="str">
        <f t="shared" si="3502"/>
        <v>12Go Link</v>
      </c>
      <c r="E14272" s="2" t="s">
        <v>4139</v>
      </c>
    </row>
    <row r="14273">
      <c r="A14273" s="2" t="s">
        <v>5011</v>
      </c>
      <c r="B14273" s="2" t="s">
        <v>4951</v>
      </c>
      <c r="C14273" s="2" t="s">
        <v>7198</v>
      </c>
      <c r="D14273" s="3" t="str">
        <f t="shared" si="3502"/>
        <v>12Go Link</v>
      </c>
      <c r="E14273" s="2" t="s">
        <v>3409</v>
      </c>
    </row>
    <row r="14274">
      <c r="A14274" s="2" t="s">
        <v>5011</v>
      </c>
      <c r="B14274" s="2" t="s">
        <v>4951</v>
      </c>
      <c r="C14274" s="2" t="s">
        <v>7199</v>
      </c>
      <c r="D14274" s="3" t="str">
        <f t="shared" ref="D14274:D14276" si="3503">HYPERLINK("https://12go.asia/en/travel/Kalpitiya/Hiriketiya-beach", "12Go Link")</f>
        <v>12Go Link</v>
      </c>
      <c r="E14274" s="2" t="s">
        <v>286</v>
      </c>
    </row>
    <row r="14275">
      <c r="A14275" s="2" t="s">
        <v>5011</v>
      </c>
      <c r="B14275" s="2" t="s">
        <v>4951</v>
      </c>
      <c r="C14275" s="2" t="s">
        <v>7199</v>
      </c>
      <c r="D14275" s="3" t="str">
        <f t="shared" si="3503"/>
        <v>12Go Link</v>
      </c>
      <c r="E14275" s="2" t="s">
        <v>4139</v>
      </c>
    </row>
    <row r="14276">
      <c r="A14276" s="2" t="s">
        <v>5011</v>
      </c>
      <c r="B14276" s="2" t="s">
        <v>4951</v>
      </c>
      <c r="C14276" s="2" t="s">
        <v>7199</v>
      </c>
      <c r="D14276" s="3" t="str">
        <f t="shared" si="3503"/>
        <v>12Go Link</v>
      </c>
      <c r="E14276" s="2" t="s">
        <v>3409</v>
      </c>
    </row>
    <row r="14277">
      <c r="A14277" s="2" t="s">
        <v>5011</v>
      </c>
      <c r="B14277" s="2" t="s">
        <v>4951</v>
      </c>
      <c r="C14277" s="2" t="s">
        <v>7200</v>
      </c>
      <c r="D14277" s="3" t="str">
        <f t="shared" ref="D14277:D14279" si="3504">HYPERLINK("https://12go.asia/en/travel/Marawila/Dickwella", "12Go Link")</f>
        <v>12Go Link</v>
      </c>
      <c r="E14277" s="2" t="s">
        <v>286</v>
      </c>
    </row>
    <row r="14278">
      <c r="A14278" s="2" t="s">
        <v>5011</v>
      </c>
      <c r="B14278" s="2" t="s">
        <v>4951</v>
      </c>
      <c r="C14278" s="2" t="s">
        <v>7200</v>
      </c>
      <c r="D14278" s="3" t="str">
        <f t="shared" si="3504"/>
        <v>12Go Link</v>
      </c>
      <c r="E14278" s="2" t="s">
        <v>4139</v>
      </c>
    </row>
    <row r="14279">
      <c r="A14279" s="2" t="s">
        <v>5011</v>
      </c>
      <c r="B14279" s="2" t="s">
        <v>4951</v>
      </c>
      <c r="C14279" s="2" t="s">
        <v>7200</v>
      </c>
      <c r="D14279" s="3" t="str">
        <f t="shared" si="3504"/>
        <v>12Go Link</v>
      </c>
      <c r="E14279" s="2" t="s">
        <v>3409</v>
      </c>
    </row>
    <row r="14280">
      <c r="A14280" s="2" t="s">
        <v>5011</v>
      </c>
      <c r="B14280" s="2" t="s">
        <v>4951</v>
      </c>
      <c r="C14280" s="2" t="s">
        <v>7201</v>
      </c>
      <c r="D14280" s="3" t="str">
        <f t="shared" ref="D14280:D14282" si="3505">HYPERLINK("https://12go.asia/en/travel/Marawila/Hiriketiya-beach", "12Go Link")</f>
        <v>12Go Link</v>
      </c>
      <c r="E14280" s="2" t="s">
        <v>286</v>
      </c>
    </row>
    <row r="14281">
      <c r="A14281" s="2" t="s">
        <v>5011</v>
      </c>
      <c r="B14281" s="2" t="s">
        <v>4951</v>
      </c>
      <c r="C14281" s="2" t="s">
        <v>7201</v>
      </c>
      <c r="D14281" s="3" t="str">
        <f t="shared" si="3505"/>
        <v>12Go Link</v>
      </c>
      <c r="E14281" s="2" t="s">
        <v>4139</v>
      </c>
    </row>
    <row r="14282">
      <c r="A14282" s="2" t="s">
        <v>5011</v>
      </c>
      <c r="B14282" s="2" t="s">
        <v>4951</v>
      </c>
      <c r="C14282" s="2" t="s">
        <v>7201</v>
      </c>
      <c r="D14282" s="3" t="str">
        <f t="shared" si="3505"/>
        <v>12Go Link</v>
      </c>
      <c r="E14282" s="2" t="s">
        <v>3409</v>
      </c>
    </row>
    <row r="14283">
      <c r="A14283" s="2" t="s">
        <v>5011</v>
      </c>
      <c r="B14283" s="2" t="s">
        <v>4954</v>
      </c>
      <c r="C14283" s="2" t="s">
        <v>7202</v>
      </c>
      <c r="D14283" s="3" t="str">
        <f t="shared" ref="D14283:D14285" si="3506">HYPERLINK("https://12go.asia/en/travel/Kalpitiya/Galle", "12Go Link")</f>
        <v>12Go Link</v>
      </c>
      <c r="E14283" s="2" t="s">
        <v>286</v>
      </c>
    </row>
    <row r="14284">
      <c r="A14284" s="2" t="s">
        <v>5011</v>
      </c>
      <c r="B14284" s="2" t="s">
        <v>4954</v>
      </c>
      <c r="C14284" s="2" t="s">
        <v>7202</v>
      </c>
      <c r="D14284" s="3" t="str">
        <f t="shared" si="3506"/>
        <v>12Go Link</v>
      </c>
      <c r="E14284" s="2" t="s">
        <v>4139</v>
      </c>
    </row>
    <row r="14285">
      <c r="A14285" s="2" t="s">
        <v>5011</v>
      </c>
      <c r="B14285" s="2" t="s">
        <v>4954</v>
      </c>
      <c r="C14285" s="2" t="s">
        <v>7202</v>
      </c>
      <c r="D14285" s="3" t="str">
        <f t="shared" si="3506"/>
        <v>12Go Link</v>
      </c>
      <c r="E14285" s="2" t="s">
        <v>3409</v>
      </c>
    </row>
    <row r="14286">
      <c r="A14286" s="2" t="s">
        <v>5011</v>
      </c>
      <c r="B14286" s="2" t="s">
        <v>4954</v>
      </c>
      <c r="C14286" s="2" t="s">
        <v>7203</v>
      </c>
      <c r="D14286" s="3" t="str">
        <f t="shared" ref="D14286:D14288" si="3507">HYPERLINK("https://12go.asia/en/travel/Kalpitiya/Talpe", "12Go Link")</f>
        <v>12Go Link</v>
      </c>
      <c r="E14286" s="2" t="s">
        <v>286</v>
      </c>
    </row>
    <row r="14287">
      <c r="A14287" s="2" t="s">
        <v>5011</v>
      </c>
      <c r="B14287" s="2" t="s">
        <v>4954</v>
      </c>
      <c r="C14287" s="2" t="s">
        <v>7203</v>
      </c>
      <c r="D14287" s="3" t="str">
        <f t="shared" si="3507"/>
        <v>12Go Link</v>
      </c>
      <c r="E14287" s="2" t="s">
        <v>4139</v>
      </c>
    </row>
    <row r="14288">
      <c r="A14288" s="2" t="s">
        <v>5011</v>
      </c>
      <c r="B14288" s="2" t="s">
        <v>4954</v>
      </c>
      <c r="C14288" s="2" t="s">
        <v>7203</v>
      </c>
      <c r="D14288" s="3" t="str">
        <f t="shared" si="3507"/>
        <v>12Go Link</v>
      </c>
      <c r="E14288" s="2" t="s">
        <v>3409</v>
      </c>
    </row>
    <row r="14289">
      <c r="A14289" s="2" t="s">
        <v>5011</v>
      </c>
      <c r="B14289" s="2" t="s">
        <v>4954</v>
      </c>
      <c r="C14289" s="2" t="s">
        <v>7204</v>
      </c>
      <c r="D14289" s="3" t="str">
        <f t="shared" ref="D14289:D14291" si="3508">HYPERLINK("https://12go.asia/en/travel/Marawila/Galle", "12Go Link")</f>
        <v>12Go Link</v>
      </c>
      <c r="E14289" s="2" t="s">
        <v>286</v>
      </c>
    </row>
    <row r="14290">
      <c r="A14290" s="2" t="s">
        <v>5011</v>
      </c>
      <c r="B14290" s="2" t="s">
        <v>4954</v>
      </c>
      <c r="C14290" s="2" t="s">
        <v>7204</v>
      </c>
      <c r="D14290" s="3" t="str">
        <f t="shared" si="3508"/>
        <v>12Go Link</v>
      </c>
      <c r="E14290" s="2" t="s">
        <v>4139</v>
      </c>
    </row>
    <row r="14291">
      <c r="A14291" s="2" t="s">
        <v>5011</v>
      </c>
      <c r="B14291" s="2" t="s">
        <v>4954</v>
      </c>
      <c r="C14291" s="2" t="s">
        <v>7204</v>
      </c>
      <c r="D14291" s="3" t="str">
        <f t="shared" si="3508"/>
        <v>12Go Link</v>
      </c>
      <c r="E14291" s="2" t="s">
        <v>3409</v>
      </c>
    </row>
    <row r="14292">
      <c r="A14292" s="2" t="s">
        <v>5011</v>
      </c>
      <c r="B14292" s="2" t="s">
        <v>4954</v>
      </c>
      <c r="C14292" s="2" t="s">
        <v>7205</v>
      </c>
      <c r="D14292" s="3" t="str">
        <f t="shared" ref="D14292:D14294" si="3509">HYPERLINK("https://12go.asia/en/travel/Marawila/Talpe", "12Go Link")</f>
        <v>12Go Link</v>
      </c>
      <c r="E14292" s="2" t="s">
        <v>286</v>
      </c>
    </row>
    <row r="14293">
      <c r="A14293" s="2" t="s">
        <v>5011</v>
      </c>
      <c r="B14293" s="2" t="s">
        <v>4954</v>
      </c>
      <c r="C14293" s="2" t="s">
        <v>7205</v>
      </c>
      <c r="D14293" s="3" t="str">
        <f t="shared" si="3509"/>
        <v>12Go Link</v>
      </c>
      <c r="E14293" s="2" t="s">
        <v>4139</v>
      </c>
    </row>
    <row r="14294">
      <c r="A14294" s="2" t="s">
        <v>5011</v>
      </c>
      <c r="B14294" s="2" t="s">
        <v>4954</v>
      </c>
      <c r="C14294" s="2" t="s">
        <v>7205</v>
      </c>
      <c r="D14294" s="3" t="str">
        <f t="shared" si="3509"/>
        <v>12Go Link</v>
      </c>
      <c r="E14294" s="2" t="s">
        <v>3409</v>
      </c>
    </row>
    <row r="14295">
      <c r="A14295" s="2" t="s">
        <v>5011</v>
      </c>
      <c r="B14295" s="2" t="s">
        <v>4957</v>
      </c>
      <c r="C14295" s="2" t="s">
        <v>7206</v>
      </c>
      <c r="D14295" s="3" t="str">
        <f t="shared" ref="D14295:D14297" si="3510">HYPERLINK("https://12go.asia/en/travel/Kalpitiya/Habarana", "12Go Link")</f>
        <v>12Go Link</v>
      </c>
      <c r="E14295" s="2" t="s">
        <v>286</v>
      </c>
    </row>
    <row r="14296">
      <c r="A14296" s="2" t="s">
        <v>5011</v>
      </c>
      <c r="B14296" s="2" t="s">
        <v>4957</v>
      </c>
      <c r="C14296" s="2" t="s">
        <v>7206</v>
      </c>
      <c r="D14296" s="3" t="str">
        <f t="shared" si="3510"/>
        <v>12Go Link</v>
      </c>
      <c r="E14296" s="2" t="s">
        <v>4139</v>
      </c>
    </row>
    <row r="14297">
      <c r="A14297" s="2" t="s">
        <v>5011</v>
      </c>
      <c r="B14297" s="2" t="s">
        <v>4957</v>
      </c>
      <c r="C14297" s="2" t="s">
        <v>7206</v>
      </c>
      <c r="D14297" s="3" t="str">
        <f t="shared" si="3510"/>
        <v>12Go Link</v>
      </c>
      <c r="E14297" s="2" t="s">
        <v>3409</v>
      </c>
    </row>
    <row r="14298">
      <c r="A14298" s="2" t="s">
        <v>5011</v>
      </c>
      <c r="B14298" s="2" t="s">
        <v>4957</v>
      </c>
      <c r="C14298" s="2" t="s">
        <v>7207</v>
      </c>
      <c r="D14298" s="3" t="str">
        <f t="shared" ref="D14298:D14300" si="3511">HYPERLINK("https://12go.asia/en/travel/Marawila/Habarana", "12Go Link")</f>
        <v>12Go Link</v>
      </c>
      <c r="E14298" s="2" t="s">
        <v>286</v>
      </c>
    </row>
    <row r="14299">
      <c r="A14299" s="2" t="s">
        <v>5011</v>
      </c>
      <c r="B14299" s="2" t="s">
        <v>4957</v>
      </c>
      <c r="C14299" s="2" t="s">
        <v>7207</v>
      </c>
      <c r="D14299" s="3" t="str">
        <f t="shared" si="3511"/>
        <v>12Go Link</v>
      </c>
      <c r="E14299" s="2" t="s">
        <v>4139</v>
      </c>
    </row>
    <row r="14300">
      <c r="A14300" s="2" t="s">
        <v>5011</v>
      </c>
      <c r="B14300" s="2" t="s">
        <v>4957</v>
      </c>
      <c r="C14300" s="2" t="s">
        <v>7207</v>
      </c>
      <c r="D14300" s="3" t="str">
        <f t="shared" si="3511"/>
        <v>12Go Link</v>
      </c>
      <c r="E14300" s="2" t="s">
        <v>3409</v>
      </c>
    </row>
    <row r="14301">
      <c r="A14301" s="2" t="s">
        <v>5011</v>
      </c>
      <c r="B14301" s="2" t="s">
        <v>4959</v>
      </c>
      <c r="C14301" s="2" t="s">
        <v>7208</v>
      </c>
      <c r="D14301" s="3" t="str">
        <f t="shared" ref="D14301:D14303" si="3512">HYPERLINK("https://12go.asia/en/travel/Kalpitiya/Ella", "12Go Link")</f>
        <v>12Go Link</v>
      </c>
      <c r="E14301" s="2" t="s">
        <v>286</v>
      </c>
    </row>
    <row r="14302">
      <c r="A14302" s="2" t="s">
        <v>5011</v>
      </c>
      <c r="B14302" s="2" t="s">
        <v>4959</v>
      </c>
      <c r="C14302" s="2" t="s">
        <v>7208</v>
      </c>
      <c r="D14302" s="3" t="str">
        <f t="shared" si="3512"/>
        <v>12Go Link</v>
      </c>
      <c r="E14302" s="2" t="s">
        <v>4139</v>
      </c>
    </row>
    <row r="14303">
      <c r="A14303" s="2" t="s">
        <v>5011</v>
      </c>
      <c r="B14303" s="2" t="s">
        <v>4959</v>
      </c>
      <c r="C14303" s="2" t="s">
        <v>7208</v>
      </c>
      <c r="D14303" s="3" t="str">
        <f t="shared" si="3512"/>
        <v>12Go Link</v>
      </c>
      <c r="E14303" s="2" t="s">
        <v>3409</v>
      </c>
    </row>
    <row r="14304">
      <c r="A14304" s="2" t="s">
        <v>5011</v>
      </c>
      <c r="B14304" s="2" t="s">
        <v>4959</v>
      </c>
      <c r="C14304" s="2" t="s">
        <v>7209</v>
      </c>
      <c r="D14304" s="3" t="str">
        <f t="shared" ref="D14304:D14306" si="3513">HYPERLINK("https://12go.asia/en/travel/Marawila/Ella", "12Go Link")</f>
        <v>12Go Link</v>
      </c>
      <c r="E14304" s="2" t="s">
        <v>286</v>
      </c>
    </row>
    <row r="14305">
      <c r="A14305" s="2" t="s">
        <v>5011</v>
      </c>
      <c r="B14305" s="2" t="s">
        <v>4959</v>
      </c>
      <c r="C14305" s="2" t="s">
        <v>7209</v>
      </c>
      <c r="D14305" s="3" t="str">
        <f t="shared" si="3513"/>
        <v>12Go Link</v>
      </c>
      <c r="E14305" s="2" t="s">
        <v>4139</v>
      </c>
    </row>
    <row r="14306">
      <c r="A14306" s="2" t="s">
        <v>5011</v>
      </c>
      <c r="B14306" s="2" t="s">
        <v>4959</v>
      </c>
      <c r="C14306" s="2" t="s">
        <v>7209</v>
      </c>
      <c r="D14306" s="3" t="str">
        <f t="shared" si="3513"/>
        <v>12Go Link</v>
      </c>
      <c r="E14306" s="2" t="s">
        <v>3409</v>
      </c>
    </row>
    <row r="14307">
      <c r="A14307" s="2" t="s">
        <v>5011</v>
      </c>
      <c r="B14307" s="2" t="s">
        <v>4961</v>
      </c>
      <c r="C14307" s="2" t="s">
        <v>7210</v>
      </c>
      <c r="D14307" s="3" t="str">
        <f t="shared" ref="D14307:D14309" si="3514">HYPERLINK("https://12go.asia/en/travel/Kalpitiya/Beragala", "12Go Link")</f>
        <v>12Go Link</v>
      </c>
      <c r="E14307" s="2" t="s">
        <v>286</v>
      </c>
    </row>
    <row r="14308">
      <c r="A14308" s="2" t="s">
        <v>5011</v>
      </c>
      <c r="B14308" s="2" t="s">
        <v>4961</v>
      </c>
      <c r="C14308" s="2" t="s">
        <v>7210</v>
      </c>
      <c r="D14308" s="3" t="str">
        <f t="shared" si="3514"/>
        <v>12Go Link</v>
      </c>
      <c r="E14308" s="2" t="s">
        <v>4139</v>
      </c>
    </row>
    <row r="14309">
      <c r="A14309" s="2" t="s">
        <v>5011</v>
      </c>
      <c r="B14309" s="2" t="s">
        <v>4961</v>
      </c>
      <c r="C14309" s="2" t="s">
        <v>7210</v>
      </c>
      <c r="D14309" s="3" t="str">
        <f t="shared" si="3514"/>
        <v>12Go Link</v>
      </c>
      <c r="E14309" s="2" t="s">
        <v>3409</v>
      </c>
    </row>
    <row r="14310">
      <c r="A14310" s="2" t="s">
        <v>5011</v>
      </c>
      <c r="B14310" s="2" t="s">
        <v>4961</v>
      </c>
      <c r="C14310" s="2" t="s">
        <v>7211</v>
      </c>
      <c r="D14310" s="3" t="str">
        <f t="shared" ref="D14310:D14312" si="3515">HYPERLINK("https://12go.asia/en/travel/Marawila/Beragala", "12Go Link")</f>
        <v>12Go Link</v>
      </c>
      <c r="E14310" s="2" t="s">
        <v>286</v>
      </c>
    </row>
    <row r="14311">
      <c r="A14311" s="2" t="s">
        <v>5011</v>
      </c>
      <c r="B14311" s="2" t="s">
        <v>4961</v>
      </c>
      <c r="C14311" s="2" t="s">
        <v>7211</v>
      </c>
      <c r="D14311" s="3" t="str">
        <f t="shared" si="3515"/>
        <v>12Go Link</v>
      </c>
      <c r="E14311" s="2" t="s">
        <v>4139</v>
      </c>
    </row>
    <row r="14312">
      <c r="A14312" s="2" t="s">
        <v>5011</v>
      </c>
      <c r="B14312" s="2" t="s">
        <v>4961</v>
      </c>
      <c r="C14312" s="2" t="s">
        <v>7211</v>
      </c>
      <c r="D14312" s="3" t="str">
        <f t="shared" si="3515"/>
        <v>12Go Link</v>
      </c>
      <c r="E14312" s="2" t="s">
        <v>3409</v>
      </c>
    </row>
    <row r="14313">
      <c r="A14313" s="2" t="s">
        <v>5011</v>
      </c>
      <c r="B14313" s="2" t="s">
        <v>4963</v>
      </c>
      <c r="C14313" s="2" t="s">
        <v>7212</v>
      </c>
      <c r="D14313" s="3" t="str">
        <f t="shared" ref="D14313:D14315" si="3516">HYPERLINK("https://12go.asia/en/travel/Kalpitiya/Dick-oya", "12Go Link")</f>
        <v>12Go Link</v>
      </c>
      <c r="E14313" s="2" t="s">
        <v>286</v>
      </c>
    </row>
    <row r="14314">
      <c r="A14314" s="2" t="s">
        <v>5011</v>
      </c>
      <c r="B14314" s="2" t="s">
        <v>4963</v>
      </c>
      <c r="C14314" s="2" t="s">
        <v>7212</v>
      </c>
      <c r="D14314" s="3" t="str">
        <f t="shared" si="3516"/>
        <v>12Go Link</v>
      </c>
      <c r="E14314" s="2" t="s">
        <v>4139</v>
      </c>
    </row>
    <row r="14315">
      <c r="A14315" s="2" t="s">
        <v>5011</v>
      </c>
      <c r="B14315" s="2" t="s">
        <v>4963</v>
      </c>
      <c r="C14315" s="2" t="s">
        <v>7212</v>
      </c>
      <c r="D14315" s="3" t="str">
        <f t="shared" si="3516"/>
        <v>12Go Link</v>
      </c>
      <c r="E14315" s="2" t="s">
        <v>3409</v>
      </c>
    </row>
    <row r="14316">
      <c r="A14316" s="2" t="s">
        <v>5011</v>
      </c>
      <c r="B14316" s="2" t="s">
        <v>4963</v>
      </c>
      <c r="C14316" s="2" t="s">
        <v>7213</v>
      </c>
      <c r="D14316" s="3" t="str">
        <f t="shared" ref="D14316:D14318" si="3517">HYPERLINK("https://12go.asia/en/travel/Marawila/Dick-oya", "12Go Link")</f>
        <v>12Go Link</v>
      </c>
      <c r="E14316" s="2" t="s">
        <v>286</v>
      </c>
    </row>
    <row r="14317">
      <c r="A14317" s="2" t="s">
        <v>5011</v>
      </c>
      <c r="B14317" s="2" t="s">
        <v>4963</v>
      </c>
      <c r="C14317" s="2" t="s">
        <v>7213</v>
      </c>
      <c r="D14317" s="3" t="str">
        <f t="shared" si="3517"/>
        <v>12Go Link</v>
      </c>
      <c r="E14317" s="2" t="s">
        <v>4139</v>
      </c>
    </row>
    <row r="14318">
      <c r="A14318" s="2" t="s">
        <v>5011</v>
      </c>
      <c r="B14318" s="2" t="s">
        <v>4963</v>
      </c>
      <c r="C14318" s="2" t="s">
        <v>7213</v>
      </c>
      <c r="D14318" s="3" t="str">
        <f t="shared" si="3517"/>
        <v>12Go Link</v>
      </c>
      <c r="E14318" s="2" t="s">
        <v>3409</v>
      </c>
    </row>
    <row r="14319">
      <c r="A14319" s="2" t="s">
        <v>5011</v>
      </c>
      <c r="B14319" s="2" t="s">
        <v>4965</v>
      </c>
      <c r="C14319" s="2" t="s">
        <v>7214</v>
      </c>
      <c r="D14319" s="3" t="str">
        <f t="shared" ref="D14319:D14321" si="3518">HYPERLINK("https://12go.asia/en/travel/Kalpitiya/Dodanduwa", "12Go Link")</f>
        <v>12Go Link</v>
      </c>
      <c r="E14319" s="2" t="s">
        <v>286</v>
      </c>
    </row>
    <row r="14320">
      <c r="A14320" s="2" t="s">
        <v>5011</v>
      </c>
      <c r="B14320" s="2" t="s">
        <v>4965</v>
      </c>
      <c r="C14320" s="2" t="s">
        <v>7214</v>
      </c>
      <c r="D14320" s="3" t="str">
        <f t="shared" si="3518"/>
        <v>12Go Link</v>
      </c>
      <c r="E14320" s="2" t="s">
        <v>4139</v>
      </c>
    </row>
    <row r="14321">
      <c r="A14321" s="2" t="s">
        <v>5011</v>
      </c>
      <c r="B14321" s="2" t="s">
        <v>4965</v>
      </c>
      <c r="C14321" s="2" t="s">
        <v>7214</v>
      </c>
      <c r="D14321" s="3" t="str">
        <f t="shared" si="3518"/>
        <v>12Go Link</v>
      </c>
      <c r="E14321" s="2" t="s">
        <v>3409</v>
      </c>
    </row>
    <row r="14322">
      <c r="A14322" s="2" t="s">
        <v>5011</v>
      </c>
      <c r="B14322" s="2" t="s">
        <v>4965</v>
      </c>
      <c r="C14322" s="2" t="s">
        <v>7215</v>
      </c>
      <c r="D14322" s="3" t="str">
        <f t="shared" ref="D14322:D14324" si="3519">HYPERLINK("https://12go.asia/en/travel/Marawila/Dodanduwa", "12Go Link")</f>
        <v>12Go Link</v>
      </c>
      <c r="E14322" s="2" t="s">
        <v>286</v>
      </c>
    </row>
    <row r="14323">
      <c r="A14323" s="2" t="s">
        <v>5011</v>
      </c>
      <c r="B14323" s="2" t="s">
        <v>4965</v>
      </c>
      <c r="C14323" s="2" t="s">
        <v>7215</v>
      </c>
      <c r="D14323" s="3" t="str">
        <f t="shared" si="3519"/>
        <v>12Go Link</v>
      </c>
      <c r="E14323" s="2" t="s">
        <v>4139</v>
      </c>
    </row>
    <row r="14324">
      <c r="A14324" s="2" t="s">
        <v>5011</v>
      </c>
      <c r="B14324" s="2" t="s">
        <v>4965</v>
      </c>
      <c r="C14324" s="2" t="s">
        <v>7215</v>
      </c>
      <c r="D14324" s="3" t="str">
        <f t="shared" si="3519"/>
        <v>12Go Link</v>
      </c>
      <c r="E14324" s="2" t="s">
        <v>3409</v>
      </c>
    </row>
    <row r="14325">
      <c r="A14325" s="2" t="s">
        <v>5011</v>
      </c>
      <c r="B14325" s="2" t="s">
        <v>4967</v>
      </c>
      <c r="C14325" s="2" t="s">
        <v>7216</v>
      </c>
      <c r="D14325" s="3" t="str">
        <f t="shared" ref="D14325:D14327" si="3520">HYPERLINK("https://12go.asia/en/travel/Kalpitiya/Induruwa", "12Go Link")</f>
        <v>12Go Link</v>
      </c>
      <c r="E14325" s="2" t="s">
        <v>286</v>
      </c>
    </row>
    <row r="14326">
      <c r="A14326" s="2" t="s">
        <v>5011</v>
      </c>
      <c r="B14326" s="2" t="s">
        <v>4967</v>
      </c>
      <c r="C14326" s="2" t="s">
        <v>7216</v>
      </c>
      <c r="D14326" s="3" t="str">
        <f t="shared" si="3520"/>
        <v>12Go Link</v>
      </c>
      <c r="E14326" s="2" t="s">
        <v>4139</v>
      </c>
    </row>
    <row r="14327">
      <c r="A14327" s="2" t="s">
        <v>5011</v>
      </c>
      <c r="B14327" s="2" t="s">
        <v>4967</v>
      </c>
      <c r="C14327" s="2" t="s">
        <v>7216</v>
      </c>
      <c r="D14327" s="3" t="str">
        <f t="shared" si="3520"/>
        <v>12Go Link</v>
      </c>
      <c r="E14327" s="2" t="s">
        <v>3409</v>
      </c>
    </row>
    <row r="14328">
      <c r="A14328" s="2" t="s">
        <v>5011</v>
      </c>
      <c r="B14328" s="2" t="s">
        <v>4967</v>
      </c>
      <c r="C14328" s="2" t="s">
        <v>7217</v>
      </c>
      <c r="D14328" s="3" t="str">
        <f t="shared" ref="D14328:D14330" si="3521">HYPERLINK("https://12go.asia/en/travel/Marawila/Induruwa", "12Go Link")</f>
        <v>12Go Link</v>
      </c>
      <c r="E14328" s="2" t="s">
        <v>286</v>
      </c>
    </row>
    <row r="14329">
      <c r="A14329" s="2" t="s">
        <v>5011</v>
      </c>
      <c r="B14329" s="2" t="s">
        <v>4967</v>
      </c>
      <c r="C14329" s="2" t="s">
        <v>7217</v>
      </c>
      <c r="D14329" s="3" t="str">
        <f t="shared" si="3521"/>
        <v>12Go Link</v>
      </c>
      <c r="E14329" s="2" t="s">
        <v>4139</v>
      </c>
    </row>
    <row r="14330">
      <c r="A14330" s="2" t="s">
        <v>5011</v>
      </c>
      <c r="B14330" s="2" t="s">
        <v>4967</v>
      </c>
      <c r="C14330" s="2" t="s">
        <v>7217</v>
      </c>
      <c r="D14330" s="3" t="str">
        <f t="shared" si="3521"/>
        <v>12Go Link</v>
      </c>
      <c r="E14330" s="2" t="s">
        <v>3409</v>
      </c>
    </row>
    <row r="14331">
      <c r="A14331" s="2" t="s">
        <v>5011</v>
      </c>
      <c r="B14331" s="2" t="s">
        <v>4969</v>
      </c>
      <c r="C14331" s="2" t="s">
        <v>7218</v>
      </c>
      <c r="D14331" s="3" t="str">
        <f t="shared" ref="D14331:D14333" si="3522">HYPERLINK("https://12go.asia/en/travel/Kalpitiya/Jaffna", "12Go Link")</f>
        <v>12Go Link</v>
      </c>
      <c r="E14331" s="2" t="s">
        <v>286</v>
      </c>
    </row>
    <row r="14332">
      <c r="A14332" s="2" t="s">
        <v>5011</v>
      </c>
      <c r="B14332" s="2" t="s">
        <v>4969</v>
      </c>
      <c r="C14332" s="2" t="s">
        <v>7218</v>
      </c>
      <c r="D14332" s="3" t="str">
        <f t="shared" si="3522"/>
        <v>12Go Link</v>
      </c>
      <c r="E14332" s="2" t="s">
        <v>4139</v>
      </c>
    </row>
    <row r="14333">
      <c r="A14333" s="2" t="s">
        <v>5011</v>
      </c>
      <c r="B14333" s="2" t="s">
        <v>4969</v>
      </c>
      <c r="C14333" s="2" t="s">
        <v>7218</v>
      </c>
      <c r="D14333" s="3" t="str">
        <f t="shared" si="3522"/>
        <v>12Go Link</v>
      </c>
      <c r="E14333" s="2" t="s">
        <v>3409</v>
      </c>
    </row>
    <row r="14334">
      <c r="A14334" s="2" t="s">
        <v>5011</v>
      </c>
      <c r="B14334" s="2" t="s">
        <v>4969</v>
      </c>
      <c r="C14334" s="2" t="s">
        <v>7219</v>
      </c>
      <c r="D14334" s="3" t="str">
        <f t="shared" ref="D14334:D14336" si="3523">HYPERLINK("https://12go.asia/en/travel/Marawila/Jaffna", "12Go Link")</f>
        <v>12Go Link</v>
      </c>
      <c r="E14334" s="2" t="s">
        <v>286</v>
      </c>
    </row>
    <row r="14335">
      <c r="A14335" s="2" t="s">
        <v>5011</v>
      </c>
      <c r="B14335" s="2" t="s">
        <v>4969</v>
      </c>
      <c r="C14335" s="2" t="s">
        <v>7219</v>
      </c>
      <c r="D14335" s="3" t="str">
        <f t="shared" si="3523"/>
        <v>12Go Link</v>
      </c>
      <c r="E14335" s="2" t="s">
        <v>4139</v>
      </c>
    </row>
    <row r="14336">
      <c r="A14336" s="2" t="s">
        <v>5011</v>
      </c>
      <c r="B14336" s="2" t="s">
        <v>4969</v>
      </c>
      <c r="C14336" s="2" t="s">
        <v>7219</v>
      </c>
      <c r="D14336" s="3" t="str">
        <f t="shared" si="3523"/>
        <v>12Go Link</v>
      </c>
      <c r="E14336" s="2" t="s">
        <v>3409</v>
      </c>
    </row>
    <row r="14337">
      <c r="A14337" s="2" t="s">
        <v>5011</v>
      </c>
      <c r="B14337" s="2" t="s">
        <v>4971</v>
      </c>
      <c r="C14337" s="2" t="s">
        <v>7220</v>
      </c>
      <c r="D14337" s="3" t="str">
        <f t="shared" ref="D14337:D14339" si="3524">HYPERLINK("https://12go.asia/en/travel/Kalpitiya/Kalapuwa", "12Go Link")</f>
        <v>12Go Link</v>
      </c>
      <c r="E14337" s="2" t="s">
        <v>286</v>
      </c>
    </row>
    <row r="14338">
      <c r="A14338" s="2" t="s">
        <v>5011</v>
      </c>
      <c r="B14338" s="2" t="s">
        <v>4971</v>
      </c>
      <c r="C14338" s="2" t="s">
        <v>7220</v>
      </c>
      <c r="D14338" s="3" t="str">
        <f t="shared" si="3524"/>
        <v>12Go Link</v>
      </c>
      <c r="E14338" s="2" t="s">
        <v>4139</v>
      </c>
    </row>
    <row r="14339">
      <c r="A14339" s="2" t="s">
        <v>5011</v>
      </c>
      <c r="B14339" s="2" t="s">
        <v>4971</v>
      </c>
      <c r="C14339" s="2" t="s">
        <v>7220</v>
      </c>
      <c r="D14339" s="3" t="str">
        <f t="shared" si="3524"/>
        <v>12Go Link</v>
      </c>
      <c r="E14339" s="2" t="s">
        <v>3409</v>
      </c>
    </row>
    <row r="14340">
      <c r="A14340" s="2" t="s">
        <v>5011</v>
      </c>
      <c r="B14340" s="2" t="s">
        <v>4971</v>
      </c>
      <c r="C14340" s="2" t="s">
        <v>7221</v>
      </c>
      <c r="D14340" s="3" t="str">
        <f t="shared" ref="D14340:D14342" si="3525">HYPERLINK("https://12go.asia/en/travel/Marawila/Kalapuwa", "12Go Link")</f>
        <v>12Go Link</v>
      </c>
      <c r="E14340" s="2" t="s">
        <v>286</v>
      </c>
    </row>
    <row r="14341">
      <c r="A14341" s="2" t="s">
        <v>5011</v>
      </c>
      <c r="B14341" s="2" t="s">
        <v>4971</v>
      </c>
      <c r="C14341" s="2" t="s">
        <v>7221</v>
      </c>
      <c r="D14341" s="3" t="str">
        <f t="shared" si="3525"/>
        <v>12Go Link</v>
      </c>
      <c r="E14341" s="2" t="s">
        <v>4139</v>
      </c>
    </row>
    <row r="14342">
      <c r="A14342" s="2" t="s">
        <v>5011</v>
      </c>
      <c r="B14342" s="2" t="s">
        <v>4971</v>
      </c>
      <c r="C14342" s="2" t="s">
        <v>7221</v>
      </c>
      <c r="D14342" s="3" t="str">
        <f t="shared" si="3525"/>
        <v>12Go Link</v>
      </c>
      <c r="E14342" s="2" t="s">
        <v>3409</v>
      </c>
    </row>
    <row r="14343">
      <c r="A14343" s="2" t="s">
        <v>5011</v>
      </c>
      <c r="B14343" s="2" t="s">
        <v>4973</v>
      </c>
      <c r="C14343" s="2" t="s">
        <v>7222</v>
      </c>
      <c r="D14343" s="3" t="str">
        <f t="shared" ref="D14343:D14345" si="3526">HYPERLINK("https://12go.asia/en/travel/Kalpitiya/Ampitiya", "12Go Link")</f>
        <v>12Go Link</v>
      </c>
      <c r="E14343" s="2" t="s">
        <v>286</v>
      </c>
    </row>
    <row r="14344">
      <c r="A14344" s="2" t="s">
        <v>5011</v>
      </c>
      <c r="B14344" s="2" t="s">
        <v>4973</v>
      </c>
      <c r="C14344" s="2" t="s">
        <v>7222</v>
      </c>
      <c r="D14344" s="3" t="str">
        <f t="shared" si="3526"/>
        <v>12Go Link</v>
      </c>
      <c r="E14344" s="2" t="s">
        <v>4139</v>
      </c>
    </row>
    <row r="14345">
      <c r="A14345" s="2" t="s">
        <v>5011</v>
      </c>
      <c r="B14345" s="2" t="s">
        <v>4973</v>
      </c>
      <c r="C14345" s="2" t="s">
        <v>7222</v>
      </c>
      <c r="D14345" s="3" t="str">
        <f t="shared" si="3526"/>
        <v>12Go Link</v>
      </c>
      <c r="E14345" s="2" t="s">
        <v>3409</v>
      </c>
    </row>
    <row r="14346">
      <c r="A14346" s="2" t="s">
        <v>5011</v>
      </c>
      <c r="B14346" s="2" t="s">
        <v>4973</v>
      </c>
      <c r="C14346" s="2" t="s">
        <v>7223</v>
      </c>
      <c r="D14346" s="3" t="str">
        <f t="shared" ref="D14346:D14348" si="3527">HYPERLINK("https://12go.asia/en/travel/Kalpitiya/Digana", "12Go Link")</f>
        <v>12Go Link</v>
      </c>
      <c r="E14346" s="2" t="s">
        <v>286</v>
      </c>
    </row>
    <row r="14347">
      <c r="A14347" s="2" t="s">
        <v>5011</v>
      </c>
      <c r="B14347" s="2" t="s">
        <v>4973</v>
      </c>
      <c r="C14347" s="2" t="s">
        <v>7223</v>
      </c>
      <c r="D14347" s="3" t="str">
        <f t="shared" si="3527"/>
        <v>12Go Link</v>
      </c>
      <c r="E14347" s="2" t="s">
        <v>4139</v>
      </c>
    </row>
    <row r="14348">
      <c r="A14348" s="2" t="s">
        <v>5011</v>
      </c>
      <c r="B14348" s="2" t="s">
        <v>4973</v>
      </c>
      <c r="C14348" s="2" t="s">
        <v>7223</v>
      </c>
      <c r="D14348" s="3" t="str">
        <f t="shared" si="3527"/>
        <v>12Go Link</v>
      </c>
      <c r="E14348" s="2" t="s">
        <v>3409</v>
      </c>
    </row>
    <row r="14349">
      <c r="A14349" s="2" t="s">
        <v>5011</v>
      </c>
      <c r="B14349" s="2" t="s">
        <v>4973</v>
      </c>
      <c r="C14349" s="2" t="s">
        <v>7224</v>
      </c>
      <c r="D14349" s="3" t="str">
        <f t="shared" ref="D14349:D14351" si="3528">HYPERLINK("https://12go.asia/en/travel/Marawila/Ampitiya", "12Go Link")</f>
        <v>12Go Link</v>
      </c>
      <c r="E14349" s="2" t="s">
        <v>286</v>
      </c>
    </row>
    <row r="14350">
      <c r="A14350" s="2" t="s">
        <v>5011</v>
      </c>
      <c r="B14350" s="2" t="s">
        <v>4973</v>
      </c>
      <c r="C14350" s="2" t="s">
        <v>7224</v>
      </c>
      <c r="D14350" s="3" t="str">
        <f t="shared" si="3528"/>
        <v>12Go Link</v>
      </c>
      <c r="E14350" s="2" t="s">
        <v>4139</v>
      </c>
    </row>
    <row r="14351">
      <c r="A14351" s="2" t="s">
        <v>5011</v>
      </c>
      <c r="B14351" s="2" t="s">
        <v>4973</v>
      </c>
      <c r="C14351" s="2" t="s">
        <v>7224</v>
      </c>
      <c r="D14351" s="3" t="str">
        <f t="shared" si="3528"/>
        <v>12Go Link</v>
      </c>
      <c r="E14351" s="2" t="s">
        <v>3409</v>
      </c>
    </row>
    <row r="14352">
      <c r="A14352" s="2" t="s">
        <v>5011</v>
      </c>
      <c r="B14352" s="2" t="s">
        <v>4973</v>
      </c>
      <c r="C14352" s="2" t="s">
        <v>7225</v>
      </c>
      <c r="D14352" s="3" t="str">
        <f t="shared" ref="D14352:D14354" si="3529">HYPERLINK("https://12go.asia/en/travel/Marawila/Digana", "12Go Link")</f>
        <v>12Go Link</v>
      </c>
      <c r="E14352" s="2" t="s">
        <v>286</v>
      </c>
    </row>
    <row r="14353">
      <c r="A14353" s="2" t="s">
        <v>5011</v>
      </c>
      <c r="B14353" s="2" t="s">
        <v>4973</v>
      </c>
      <c r="C14353" s="2" t="s">
        <v>7225</v>
      </c>
      <c r="D14353" s="3" t="str">
        <f t="shared" si="3529"/>
        <v>12Go Link</v>
      </c>
      <c r="E14353" s="2" t="s">
        <v>4139</v>
      </c>
    </row>
    <row r="14354">
      <c r="A14354" s="2" t="s">
        <v>5011</v>
      </c>
      <c r="B14354" s="2" t="s">
        <v>4973</v>
      </c>
      <c r="C14354" s="2" t="s">
        <v>7225</v>
      </c>
      <c r="D14354" s="3" t="str">
        <f t="shared" si="3529"/>
        <v>12Go Link</v>
      </c>
      <c r="E14354" s="2" t="s">
        <v>3409</v>
      </c>
    </row>
    <row r="14355">
      <c r="A14355" s="2" t="s">
        <v>5011</v>
      </c>
      <c r="B14355" s="2" t="s">
        <v>4976</v>
      </c>
      <c r="C14355" s="2" t="s">
        <v>7226</v>
      </c>
      <c r="D14355" s="3" t="str">
        <f t="shared" ref="D14355:D14357" si="3530">HYPERLINK("https://12go.asia/en/travel/Kalpitiya/Kataragama", "12Go Link")</f>
        <v>12Go Link</v>
      </c>
      <c r="E14355" s="2" t="s">
        <v>286</v>
      </c>
    </row>
    <row r="14356">
      <c r="A14356" s="2" t="s">
        <v>5011</v>
      </c>
      <c r="B14356" s="2" t="s">
        <v>4976</v>
      </c>
      <c r="C14356" s="2" t="s">
        <v>7226</v>
      </c>
      <c r="D14356" s="3" t="str">
        <f t="shared" si="3530"/>
        <v>12Go Link</v>
      </c>
      <c r="E14356" s="2" t="s">
        <v>4139</v>
      </c>
    </row>
    <row r="14357">
      <c r="A14357" s="2" t="s">
        <v>5011</v>
      </c>
      <c r="B14357" s="2" t="s">
        <v>4976</v>
      </c>
      <c r="C14357" s="2" t="s">
        <v>7226</v>
      </c>
      <c r="D14357" s="3" t="str">
        <f t="shared" si="3530"/>
        <v>12Go Link</v>
      </c>
      <c r="E14357" s="2" t="s">
        <v>3409</v>
      </c>
    </row>
    <row r="14358">
      <c r="A14358" s="2" t="s">
        <v>5011</v>
      </c>
      <c r="B14358" s="2" t="s">
        <v>4976</v>
      </c>
      <c r="C14358" s="2" t="s">
        <v>7227</v>
      </c>
      <c r="D14358" s="3" t="str">
        <f t="shared" ref="D14358:D14360" si="3531">HYPERLINK("https://12go.asia/en/travel/Marawila/Kataragama", "12Go Link")</f>
        <v>12Go Link</v>
      </c>
      <c r="E14358" s="2" t="s">
        <v>286</v>
      </c>
    </row>
    <row r="14359">
      <c r="A14359" s="2" t="s">
        <v>5011</v>
      </c>
      <c r="B14359" s="2" t="s">
        <v>4976</v>
      </c>
      <c r="C14359" s="2" t="s">
        <v>7227</v>
      </c>
      <c r="D14359" s="3" t="str">
        <f t="shared" si="3531"/>
        <v>12Go Link</v>
      </c>
      <c r="E14359" s="2" t="s">
        <v>4139</v>
      </c>
    </row>
    <row r="14360">
      <c r="A14360" s="2" t="s">
        <v>5011</v>
      </c>
      <c r="B14360" s="2" t="s">
        <v>4976</v>
      </c>
      <c r="C14360" s="2" t="s">
        <v>7227</v>
      </c>
      <c r="D14360" s="3" t="str">
        <f t="shared" si="3531"/>
        <v>12Go Link</v>
      </c>
      <c r="E14360" s="2" t="s">
        <v>3409</v>
      </c>
    </row>
    <row r="14361">
      <c r="A14361" s="2" t="s">
        <v>5011</v>
      </c>
      <c r="B14361" s="2" t="s">
        <v>4978</v>
      </c>
      <c r="C14361" s="2" t="s">
        <v>7228</v>
      </c>
      <c r="D14361" s="3" t="str">
        <f t="shared" ref="D14361:D14363" si="3532">HYPERLINK("https://12go.asia/en/travel/Marawila/Alawathupitiya", "12Go Link")</f>
        <v>12Go Link</v>
      </c>
      <c r="E14361" s="2" t="s">
        <v>286</v>
      </c>
    </row>
    <row r="14362">
      <c r="A14362" s="2" t="s">
        <v>5011</v>
      </c>
      <c r="B14362" s="2" t="s">
        <v>4978</v>
      </c>
      <c r="C14362" s="2" t="s">
        <v>7228</v>
      </c>
      <c r="D14362" s="3" t="str">
        <f t="shared" si="3532"/>
        <v>12Go Link</v>
      </c>
      <c r="E14362" s="2" t="s">
        <v>4139</v>
      </c>
    </row>
    <row r="14363">
      <c r="A14363" s="2" t="s">
        <v>5011</v>
      </c>
      <c r="B14363" s="2" t="s">
        <v>4978</v>
      </c>
      <c r="C14363" s="2" t="s">
        <v>7228</v>
      </c>
      <c r="D14363" s="3" t="str">
        <f t="shared" si="3532"/>
        <v>12Go Link</v>
      </c>
      <c r="E14363" s="2" t="s">
        <v>3409</v>
      </c>
    </row>
    <row r="14364">
      <c r="A14364" s="2" t="s">
        <v>5011</v>
      </c>
      <c r="B14364" s="2" t="s">
        <v>4980</v>
      </c>
      <c r="C14364" s="2" t="s">
        <v>7229</v>
      </c>
      <c r="D14364" s="3" t="str">
        <f t="shared" ref="D14364:D14366" si="3533">HYPERLINK("https://12go.asia/en/travel/Kalpitiya/Pinnawala", "12Go Link")</f>
        <v>12Go Link</v>
      </c>
      <c r="E14364" s="2" t="s">
        <v>286</v>
      </c>
    </row>
    <row r="14365">
      <c r="A14365" s="2" t="s">
        <v>5011</v>
      </c>
      <c r="B14365" s="2" t="s">
        <v>4980</v>
      </c>
      <c r="C14365" s="2" t="s">
        <v>7229</v>
      </c>
      <c r="D14365" s="3" t="str">
        <f t="shared" si="3533"/>
        <v>12Go Link</v>
      </c>
      <c r="E14365" s="2" t="s">
        <v>4139</v>
      </c>
    </row>
    <row r="14366">
      <c r="A14366" s="2" t="s">
        <v>5011</v>
      </c>
      <c r="B14366" s="2" t="s">
        <v>4980</v>
      </c>
      <c r="C14366" s="2" t="s">
        <v>7229</v>
      </c>
      <c r="D14366" s="3" t="str">
        <f t="shared" si="3533"/>
        <v>12Go Link</v>
      </c>
      <c r="E14366" s="2" t="s">
        <v>3409</v>
      </c>
    </row>
    <row r="14367">
      <c r="A14367" s="2" t="s">
        <v>5011</v>
      </c>
      <c r="B14367" s="2" t="s">
        <v>4980</v>
      </c>
      <c r="C14367" s="2" t="s">
        <v>7230</v>
      </c>
      <c r="D14367" s="3" t="str">
        <f t="shared" ref="D14367:D14369" si="3534">HYPERLINK("https://12go.asia/en/travel/Marawila/Pinnawala", "12Go Link")</f>
        <v>12Go Link</v>
      </c>
      <c r="E14367" s="2" t="s">
        <v>286</v>
      </c>
    </row>
    <row r="14368">
      <c r="A14368" s="2" t="s">
        <v>5011</v>
      </c>
      <c r="B14368" s="2" t="s">
        <v>4980</v>
      </c>
      <c r="C14368" s="2" t="s">
        <v>7230</v>
      </c>
      <c r="D14368" s="3" t="str">
        <f t="shared" si="3534"/>
        <v>12Go Link</v>
      </c>
      <c r="E14368" s="2" t="s">
        <v>4139</v>
      </c>
    </row>
    <row r="14369">
      <c r="A14369" s="2" t="s">
        <v>5011</v>
      </c>
      <c r="B14369" s="2" t="s">
        <v>4980</v>
      </c>
      <c r="C14369" s="2" t="s">
        <v>7230</v>
      </c>
      <c r="D14369" s="3" t="str">
        <f t="shared" si="3534"/>
        <v>12Go Link</v>
      </c>
      <c r="E14369" s="2" t="s">
        <v>3409</v>
      </c>
    </row>
    <row r="14370">
      <c r="A14370" s="2" t="s">
        <v>5011</v>
      </c>
      <c r="B14370" s="2" t="s">
        <v>4982</v>
      </c>
      <c r="C14370" s="2" t="s">
        <v>7231</v>
      </c>
      <c r="D14370" s="3" t="str">
        <f t="shared" ref="D14370:D14372" si="3535">HYPERLINK("https://12go.asia/en/travel/Kalpitiya/Kitulgala", "12Go Link")</f>
        <v>12Go Link</v>
      </c>
      <c r="E14370" s="2" t="s">
        <v>286</v>
      </c>
    </row>
    <row r="14371">
      <c r="A14371" s="2" t="s">
        <v>5011</v>
      </c>
      <c r="B14371" s="2" t="s">
        <v>4982</v>
      </c>
      <c r="C14371" s="2" t="s">
        <v>7231</v>
      </c>
      <c r="D14371" s="3" t="str">
        <f t="shared" si="3535"/>
        <v>12Go Link</v>
      </c>
      <c r="E14371" s="2" t="s">
        <v>4139</v>
      </c>
    </row>
    <row r="14372">
      <c r="A14372" s="2" t="s">
        <v>5011</v>
      </c>
      <c r="B14372" s="2" t="s">
        <v>4982</v>
      </c>
      <c r="C14372" s="2" t="s">
        <v>7231</v>
      </c>
      <c r="D14372" s="3" t="str">
        <f t="shared" si="3535"/>
        <v>12Go Link</v>
      </c>
      <c r="E14372" s="2" t="s">
        <v>3409</v>
      </c>
    </row>
    <row r="14373">
      <c r="A14373" s="2" t="s">
        <v>5011</v>
      </c>
      <c r="B14373" s="2" t="s">
        <v>4982</v>
      </c>
      <c r="C14373" s="2" t="s">
        <v>7232</v>
      </c>
      <c r="D14373" s="3" t="str">
        <f t="shared" ref="D14373:D14375" si="3536">HYPERLINK("https://12go.asia/en/travel/Marawila/Kitulgala", "12Go Link")</f>
        <v>12Go Link</v>
      </c>
      <c r="E14373" s="2" t="s">
        <v>286</v>
      </c>
    </row>
    <row r="14374">
      <c r="A14374" s="2" t="s">
        <v>5011</v>
      </c>
      <c r="B14374" s="2" t="s">
        <v>4982</v>
      </c>
      <c r="C14374" s="2" t="s">
        <v>7232</v>
      </c>
      <c r="D14374" s="3" t="str">
        <f t="shared" si="3536"/>
        <v>12Go Link</v>
      </c>
      <c r="E14374" s="2" t="s">
        <v>4139</v>
      </c>
    </row>
    <row r="14375">
      <c r="A14375" s="2" t="s">
        <v>5011</v>
      </c>
      <c r="B14375" s="2" t="s">
        <v>4982</v>
      </c>
      <c r="C14375" s="2" t="s">
        <v>7232</v>
      </c>
      <c r="D14375" s="3" t="str">
        <f t="shared" si="3536"/>
        <v>12Go Link</v>
      </c>
      <c r="E14375" s="2" t="s">
        <v>3409</v>
      </c>
    </row>
    <row r="14376">
      <c r="A14376" s="2" t="s">
        <v>5011</v>
      </c>
      <c r="B14376" s="2" t="s">
        <v>4984</v>
      </c>
      <c r="C14376" s="2" t="s">
        <v>7233</v>
      </c>
      <c r="D14376" s="3" t="str">
        <f t="shared" ref="D14376:D14378" si="3537">HYPERLINK("https://12go.asia/en/travel/Kalpitiya/Habaraduwa", "12Go Link")</f>
        <v>12Go Link</v>
      </c>
      <c r="E14376" s="2" t="s">
        <v>286</v>
      </c>
    </row>
    <row r="14377">
      <c r="A14377" s="2" t="s">
        <v>5011</v>
      </c>
      <c r="B14377" s="2" t="s">
        <v>4984</v>
      </c>
      <c r="C14377" s="2" t="s">
        <v>7233</v>
      </c>
      <c r="D14377" s="3" t="str">
        <f t="shared" si="3537"/>
        <v>12Go Link</v>
      </c>
      <c r="E14377" s="2" t="s">
        <v>4139</v>
      </c>
    </row>
    <row r="14378">
      <c r="A14378" s="2" t="s">
        <v>5011</v>
      </c>
      <c r="B14378" s="2" t="s">
        <v>4984</v>
      </c>
      <c r="C14378" s="2" t="s">
        <v>7233</v>
      </c>
      <c r="D14378" s="3" t="str">
        <f t="shared" si="3537"/>
        <v>12Go Link</v>
      </c>
      <c r="E14378" s="2" t="s">
        <v>3409</v>
      </c>
    </row>
    <row r="14379">
      <c r="A14379" s="2" t="s">
        <v>5011</v>
      </c>
      <c r="B14379" s="2" t="s">
        <v>4984</v>
      </c>
      <c r="C14379" s="2" t="s">
        <v>7234</v>
      </c>
      <c r="D14379" s="3" t="str">
        <f t="shared" ref="D14379:D14381" si="3538">HYPERLINK("https://12go.asia/en/travel/Marawila/Habaraduwa", "12Go Link")</f>
        <v>12Go Link</v>
      </c>
      <c r="E14379" s="2" t="s">
        <v>286</v>
      </c>
    </row>
    <row r="14380">
      <c r="A14380" s="2" t="s">
        <v>5011</v>
      </c>
      <c r="B14380" s="2" t="s">
        <v>4984</v>
      </c>
      <c r="C14380" s="2" t="s">
        <v>7234</v>
      </c>
      <c r="D14380" s="3" t="str">
        <f t="shared" si="3538"/>
        <v>12Go Link</v>
      </c>
      <c r="E14380" s="2" t="s">
        <v>4139</v>
      </c>
    </row>
    <row r="14381">
      <c r="A14381" s="2" t="s">
        <v>5011</v>
      </c>
      <c r="B14381" s="2" t="s">
        <v>4984</v>
      </c>
      <c r="C14381" s="2" t="s">
        <v>7234</v>
      </c>
      <c r="D14381" s="3" t="str">
        <f t="shared" si="3538"/>
        <v>12Go Link</v>
      </c>
      <c r="E14381" s="2" t="s">
        <v>3409</v>
      </c>
    </row>
    <row r="14382">
      <c r="A14382" s="2" t="s">
        <v>5011</v>
      </c>
      <c r="B14382" s="2" t="s">
        <v>4986</v>
      </c>
      <c r="C14382" s="2" t="s">
        <v>7235</v>
      </c>
      <c r="D14382" s="3" t="str">
        <f t="shared" ref="D14382:D14384" si="3539">HYPERLINK("https://12go.asia/en/travel/Kalpitiya/Kosgoda", "12Go Link")</f>
        <v>12Go Link</v>
      </c>
      <c r="E14382" s="2" t="s">
        <v>286</v>
      </c>
    </row>
    <row r="14383">
      <c r="A14383" s="2" t="s">
        <v>5011</v>
      </c>
      <c r="B14383" s="2" t="s">
        <v>4986</v>
      </c>
      <c r="C14383" s="2" t="s">
        <v>7235</v>
      </c>
      <c r="D14383" s="3" t="str">
        <f t="shared" si="3539"/>
        <v>12Go Link</v>
      </c>
      <c r="E14383" s="2" t="s">
        <v>4139</v>
      </c>
    </row>
    <row r="14384">
      <c r="A14384" s="2" t="s">
        <v>5011</v>
      </c>
      <c r="B14384" s="2" t="s">
        <v>4986</v>
      </c>
      <c r="C14384" s="2" t="s">
        <v>7235</v>
      </c>
      <c r="D14384" s="3" t="str">
        <f t="shared" si="3539"/>
        <v>12Go Link</v>
      </c>
      <c r="E14384" s="2" t="s">
        <v>3409</v>
      </c>
    </row>
    <row r="14385">
      <c r="A14385" s="2" t="s">
        <v>5011</v>
      </c>
      <c r="B14385" s="2" t="s">
        <v>4986</v>
      </c>
      <c r="C14385" s="2" t="s">
        <v>7236</v>
      </c>
      <c r="D14385" s="3" t="str">
        <f t="shared" ref="D14385:D14387" si="3540">HYPERLINK("https://12go.asia/en/travel/Marawila/Kosgoda", "12Go Link")</f>
        <v>12Go Link</v>
      </c>
      <c r="E14385" s="2" t="s">
        <v>286</v>
      </c>
    </row>
    <row r="14386">
      <c r="A14386" s="2" t="s">
        <v>5011</v>
      </c>
      <c r="B14386" s="2" t="s">
        <v>4986</v>
      </c>
      <c r="C14386" s="2" t="s">
        <v>7236</v>
      </c>
      <c r="D14386" s="3" t="str">
        <f t="shared" si="3540"/>
        <v>12Go Link</v>
      </c>
      <c r="E14386" s="2" t="s">
        <v>4139</v>
      </c>
    </row>
    <row r="14387">
      <c r="A14387" s="2" t="s">
        <v>5011</v>
      </c>
      <c r="B14387" s="2" t="s">
        <v>4986</v>
      </c>
      <c r="C14387" s="2" t="s">
        <v>7236</v>
      </c>
      <c r="D14387" s="3" t="str">
        <f t="shared" si="3540"/>
        <v>12Go Link</v>
      </c>
      <c r="E14387" s="2" t="s">
        <v>3409</v>
      </c>
    </row>
    <row r="14388">
      <c r="A14388" s="2" t="s">
        <v>5011</v>
      </c>
      <c r="B14388" s="2" t="s">
        <v>4988</v>
      </c>
      <c r="C14388" s="2" t="s">
        <v>7237</v>
      </c>
      <c r="D14388" s="3" t="str">
        <f t="shared" ref="D14388:D14390" si="3541">HYPERLINK("https://12go.asia/en/travel/Kalpitiya/Kuchchaveli", "12Go Link")</f>
        <v>12Go Link</v>
      </c>
      <c r="E14388" s="2" t="s">
        <v>286</v>
      </c>
    </row>
    <row r="14389">
      <c r="A14389" s="2" t="s">
        <v>5011</v>
      </c>
      <c r="B14389" s="2" t="s">
        <v>4988</v>
      </c>
      <c r="C14389" s="2" t="s">
        <v>7237</v>
      </c>
      <c r="D14389" s="3" t="str">
        <f t="shared" si="3541"/>
        <v>12Go Link</v>
      </c>
      <c r="E14389" s="2" t="s">
        <v>4139</v>
      </c>
    </row>
    <row r="14390">
      <c r="A14390" s="2" t="s">
        <v>5011</v>
      </c>
      <c r="B14390" s="2" t="s">
        <v>4988</v>
      </c>
      <c r="C14390" s="2" t="s">
        <v>7237</v>
      </c>
      <c r="D14390" s="3" t="str">
        <f t="shared" si="3541"/>
        <v>12Go Link</v>
      </c>
      <c r="E14390" s="2" t="s">
        <v>3409</v>
      </c>
    </row>
    <row r="14391">
      <c r="A14391" s="2" t="s">
        <v>5011</v>
      </c>
      <c r="B14391" s="2" t="s">
        <v>4988</v>
      </c>
      <c r="C14391" s="2" t="s">
        <v>7238</v>
      </c>
      <c r="D14391" s="3" t="str">
        <f t="shared" ref="D14391:D14393" si="3542">HYPERLINK("https://12go.asia/en/travel/Marawila/Kuchchaveli", "12Go Link")</f>
        <v>12Go Link</v>
      </c>
      <c r="E14391" s="2" t="s">
        <v>286</v>
      </c>
    </row>
    <row r="14392">
      <c r="A14392" s="2" t="s">
        <v>5011</v>
      </c>
      <c r="B14392" s="2" t="s">
        <v>4988</v>
      </c>
      <c r="C14392" s="2" t="s">
        <v>7238</v>
      </c>
      <c r="D14392" s="3" t="str">
        <f t="shared" si="3542"/>
        <v>12Go Link</v>
      </c>
      <c r="E14392" s="2" t="s">
        <v>4139</v>
      </c>
    </row>
    <row r="14393">
      <c r="A14393" s="2" t="s">
        <v>5011</v>
      </c>
      <c r="B14393" s="2" t="s">
        <v>4988</v>
      </c>
      <c r="C14393" s="2" t="s">
        <v>7238</v>
      </c>
      <c r="D14393" s="3" t="str">
        <f t="shared" si="3542"/>
        <v>12Go Link</v>
      </c>
      <c r="E14393" s="2" t="s">
        <v>3409</v>
      </c>
    </row>
    <row r="14394">
      <c r="A14394" s="2" t="s">
        <v>5011</v>
      </c>
      <c r="B14394" s="2" t="s">
        <v>4990</v>
      </c>
      <c r="C14394" s="2" t="s">
        <v>7239</v>
      </c>
      <c r="D14394" s="3" t="str">
        <f t="shared" ref="D14394:D14396" si="3543">HYPERLINK("https://12go.asia/en/travel/Kalpitiya/Mannar", "12Go Link")</f>
        <v>12Go Link</v>
      </c>
      <c r="E14394" s="2" t="s">
        <v>286</v>
      </c>
    </row>
    <row r="14395">
      <c r="A14395" s="2" t="s">
        <v>5011</v>
      </c>
      <c r="B14395" s="2" t="s">
        <v>4990</v>
      </c>
      <c r="C14395" s="2" t="s">
        <v>7239</v>
      </c>
      <c r="D14395" s="3" t="str">
        <f t="shared" si="3543"/>
        <v>12Go Link</v>
      </c>
      <c r="E14395" s="2" t="s">
        <v>4139</v>
      </c>
    </row>
    <row r="14396">
      <c r="A14396" s="2" t="s">
        <v>5011</v>
      </c>
      <c r="B14396" s="2" t="s">
        <v>4990</v>
      </c>
      <c r="C14396" s="2" t="s">
        <v>7239</v>
      </c>
      <c r="D14396" s="3" t="str">
        <f t="shared" si="3543"/>
        <v>12Go Link</v>
      </c>
      <c r="E14396" s="2" t="s">
        <v>3409</v>
      </c>
    </row>
    <row r="14397">
      <c r="A14397" s="2" t="s">
        <v>5011</v>
      </c>
      <c r="B14397" s="2" t="s">
        <v>4990</v>
      </c>
      <c r="C14397" s="2" t="s">
        <v>7240</v>
      </c>
      <c r="D14397" s="3" t="str">
        <f t="shared" ref="D14397:D14399" si="3544">HYPERLINK("https://12go.asia/en/travel/Marawila/Mannar", "12Go Link")</f>
        <v>12Go Link</v>
      </c>
      <c r="E14397" s="2" t="s">
        <v>286</v>
      </c>
    </row>
    <row r="14398">
      <c r="A14398" s="2" t="s">
        <v>5011</v>
      </c>
      <c r="B14398" s="2" t="s">
        <v>4990</v>
      </c>
      <c r="C14398" s="2" t="s">
        <v>7240</v>
      </c>
      <c r="D14398" s="3" t="str">
        <f t="shared" si="3544"/>
        <v>12Go Link</v>
      </c>
      <c r="E14398" s="2" t="s">
        <v>4139</v>
      </c>
    </row>
    <row r="14399">
      <c r="A14399" s="2" t="s">
        <v>5011</v>
      </c>
      <c r="B14399" s="2" t="s">
        <v>4990</v>
      </c>
      <c r="C14399" s="2" t="s">
        <v>7240</v>
      </c>
      <c r="D14399" s="3" t="str">
        <f t="shared" si="3544"/>
        <v>12Go Link</v>
      </c>
      <c r="E14399" s="2" t="s">
        <v>3409</v>
      </c>
    </row>
    <row r="14400">
      <c r="A14400" s="2" t="s">
        <v>5011</v>
      </c>
      <c r="B14400" s="2" t="s">
        <v>4992</v>
      </c>
      <c r="C14400" s="2" t="s">
        <v>7241</v>
      </c>
      <c r="D14400" s="3" t="str">
        <f t="shared" ref="D14400:D14402" si="3545">HYPERLINK("https://12go.asia/en/travel/Kalpitiya/Kinigama", "12Go Link")</f>
        <v>12Go Link</v>
      </c>
      <c r="E14400" s="2" t="s">
        <v>286</v>
      </c>
    </row>
    <row r="14401">
      <c r="A14401" s="2" t="s">
        <v>5011</v>
      </c>
      <c r="B14401" s="2" t="s">
        <v>4992</v>
      </c>
      <c r="C14401" s="2" t="s">
        <v>7241</v>
      </c>
      <c r="D14401" s="3" t="str">
        <f t="shared" si="3545"/>
        <v>12Go Link</v>
      </c>
      <c r="E14401" s="2" t="s">
        <v>4139</v>
      </c>
    </row>
    <row r="14402">
      <c r="A14402" s="2" t="s">
        <v>5011</v>
      </c>
      <c r="B14402" s="2" t="s">
        <v>4992</v>
      </c>
      <c r="C14402" s="2" t="s">
        <v>7241</v>
      </c>
      <c r="D14402" s="3" t="str">
        <f t="shared" si="3545"/>
        <v>12Go Link</v>
      </c>
      <c r="E14402" s="2" t="s">
        <v>3409</v>
      </c>
    </row>
    <row r="14403">
      <c r="A14403" s="2" t="s">
        <v>5011</v>
      </c>
      <c r="B14403" s="2" t="s">
        <v>4992</v>
      </c>
      <c r="C14403" s="2" t="s">
        <v>7242</v>
      </c>
      <c r="D14403" s="3" t="str">
        <f t="shared" ref="D14403:D14405" si="3546">HYPERLINK("https://12go.asia/en/travel/Marawila/Kinigama", "12Go Link")</f>
        <v>12Go Link</v>
      </c>
      <c r="E14403" s="2" t="s">
        <v>286</v>
      </c>
    </row>
    <row r="14404">
      <c r="A14404" s="2" t="s">
        <v>5011</v>
      </c>
      <c r="B14404" s="2" t="s">
        <v>4992</v>
      </c>
      <c r="C14404" s="2" t="s">
        <v>7242</v>
      </c>
      <c r="D14404" s="3" t="str">
        <f t="shared" si="3546"/>
        <v>12Go Link</v>
      </c>
      <c r="E14404" s="2" t="s">
        <v>4139</v>
      </c>
    </row>
    <row r="14405">
      <c r="A14405" s="2" t="s">
        <v>5011</v>
      </c>
      <c r="B14405" s="2" t="s">
        <v>4992</v>
      </c>
      <c r="C14405" s="2" t="s">
        <v>7242</v>
      </c>
      <c r="D14405" s="3" t="str">
        <f t="shared" si="3546"/>
        <v>12Go Link</v>
      </c>
      <c r="E14405" s="2" t="s">
        <v>3409</v>
      </c>
    </row>
    <row r="14406">
      <c r="A14406" s="2" t="s">
        <v>5011</v>
      </c>
      <c r="B14406" s="2" t="s">
        <v>4994</v>
      </c>
      <c r="C14406" s="2" t="s">
        <v>7243</v>
      </c>
      <c r="D14406" s="3" t="str">
        <f t="shared" ref="D14406:D14408" si="3547">HYPERLINK("https://12go.asia/en/travel/Kalpitiya/Kalamatiya", "12Go Link")</f>
        <v>12Go Link</v>
      </c>
      <c r="E14406" s="2" t="s">
        <v>286</v>
      </c>
    </row>
    <row r="14407">
      <c r="A14407" s="2" t="s">
        <v>5011</v>
      </c>
      <c r="B14407" s="2" t="s">
        <v>4994</v>
      </c>
      <c r="C14407" s="2" t="s">
        <v>7243</v>
      </c>
      <c r="D14407" s="3" t="str">
        <f t="shared" si="3547"/>
        <v>12Go Link</v>
      </c>
      <c r="E14407" s="2" t="s">
        <v>4139</v>
      </c>
    </row>
    <row r="14408">
      <c r="A14408" s="2" t="s">
        <v>5011</v>
      </c>
      <c r="B14408" s="2" t="s">
        <v>4994</v>
      </c>
      <c r="C14408" s="2" t="s">
        <v>7243</v>
      </c>
      <c r="D14408" s="3" t="str">
        <f t="shared" si="3547"/>
        <v>12Go Link</v>
      </c>
      <c r="E14408" s="2" t="s">
        <v>3409</v>
      </c>
    </row>
    <row r="14409">
      <c r="A14409" s="2" t="s">
        <v>5011</v>
      </c>
      <c r="B14409" s="2" t="s">
        <v>4994</v>
      </c>
      <c r="C14409" s="2" t="s">
        <v>7244</v>
      </c>
      <c r="D14409" s="3" t="str">
        <f t="shared" ref="D14409:D14411" si="3548">HYPERLINK("https://12go.asia/en/travel/Marawila/Kalamatiya", "12Go Link")</f>
        <v>12Go Link</v>
      </c>
      <c r="E14409" s="2" t="s">
        <v>286</v>
      </c>
    </row>
    <row r="14410">
      <c r="A14410" s="2" t="s">
        <v>5011</v>
      </c>
      <c r="B14410" s="2" t="s">
        <v>4994</v>
      </c>
      <c r="C14410" s="2" t="s">
        <v>7244</v>
      </c>
      <c r="D14410" s="3" t="str">
        <f t="shared" si="3548"/>
        <v>12Go Link</v>
      </c>
      <c r="E14410" s="2" t="s">
        <v>4139</v>
      </c>
    </row>
    <row r="14411">
      <c r="A14411" s="2" t="s">
        <v>5011</v>
      </c>
      <c r="B14411" s="2" t="s">
        <v>4994</v>
      </c>
      <c r="C14411" s="2" t="s">
        <v>7244</v>
      </c>
      <c r="D14411" s="3" t="str">
        <f t="shared" si="3548"/>
        <v>12Go Link</v>
      </c>
      <c r="E14411" s="2" t="s">
        <v>3409</v>
      </c>
    </row>
    <row r="14412">
      <c r="A14412" s="2" t="s">
        <v>5011</v>
      </c>
      <c r="B14412" s="2" t="s">
        <v>4996</v>
      </c>
      <c r="C14412" s="2" t="s">
        <v>7245</v>
      </c>
      <c r="D14412" s="3" t="str">
        <f t="shared" ref="D14412:D14414" si="3549">HYPERLINK("https://12go.asia/en/travel/Kalpitiya/mirissa", "12Go Link")</f>
        <v>12Go Link</v>
      </c>
      <c r="E14412" s="2" t="s">
        <v>286</v>
      </c>
    </row>
    <row r="14413">
      <c r="A14413" s="2" t="s">
        <v>5011</v>
      </c>
      <c r="B14413" s="2" t="s">
        <v>4996</v>
      </c>
      <c r="C14413" s="2" t="s">
        <v>7245</v>
      </c>
      <c r="D14413" s="3" t="str">
        <f t="shared" si="3549"/>
        <v>12Go Link</v>
      </c>
      <c r="E14413" s="2" t="s">
        <v>4139</v>
      </c>
    </row>
    <row r="14414">
      <c r="A14414" s="2" t="s">
        <v>5011</v>
      </c>
      <c r="B14414" s="2" t="s">
        <v>4996</v>
      </c>
      <c r="C14414" s="2" t="s">
        <v>7245</v>
      </c>
      <c r="D14414" s="3" t="str">
        <f t="shared" si="3549"/>
        <v>12Go Link</v>
      </c>
      <c r="E14414" s="2" t="s">
        <v>3409</v>
      </c>
    </row>
    <row r="14415">
      <c r="A14415" s="2" t="s">
        <v>5011</v>
      </c>
      <c r="B14415" s="2" t="s">
        <v>4996</v>
      </c>
      <c r="C14415" s="2" t="s">
        <v>7246</v>
      </c>
      <c r="D14415" s="3" t="str">
        <f t="shared" ref="D14415:D14417" si="3550">HYPERLINK("https://12go.asia/en/travel/Marawila/mirissa", "12Go Link")</f>
        <v>12Go Link</v>
      </c>
      <c r="E14415" s="2" t="s">
        <v>286</v>
      </c>
    </row>
    <row r="14416">
      <c r="A14416" s="2" t="s">
        <v>5011</v>
      </c>
      <c r="B14416" s="2" t="s">
        <v>4996</v>
      </c>
      <c r="C14416" s="2" t="s">
        <v>7246</v>
      </c>
      <c r="D14416" s="3" t="str">
        <f t="shared" si="3550"/>
        <v>12Go Link</v>
      </c>
      <c r="E14416" s="2" t="s">
        <v>4139</v>
      </c>
    </row>
    <row r="14417">
      <c r="A14417" s="2" t="s">
        <v>5011</v>
      </c>
      <c r="B14417" s="2" t="s">
        <v>4996</v>
      </c>
      <c r="C14417" s="2" t="s">
        <v>7246</v>
      </c>
      <c r="D14417" s="3" t="str">
        <f t="shared" si="3550"/>
        <v>12Go Link</v>
      </c>
      <c r="E14417" s="2" t="s">
        <v>3409</v>
      </c>
    </row>
    <row r="14418">
      <c r="A14418" s="2" t="s">
        <v>5011</v>
      </c>
      <c r="B14418" s="2" t="s">
        <v>4998</v>
      </c>
      <c r="C14418" s="2" t="s">
        <v>7247</v>
      </c>
      <c r="D14418" s="3" t="str">
        <f t="shared" ref="D14418:D14420" si="3551">HYPERLINK("https://12go.asia/en/travel/Kalpitiya/Nanu-Oya", "12Go Link")</f>
        <v>12Go Link</v>
      </c>
      <c r="E14418" s="2" t="s">
        <v>286</v>
      </c>
    </row>
    <row r="14419">
      <c r="A14419" s="2" t="s">
        <v>5011</v>
      </c>
      <c r="B14419" s="2" t="s">
        <v>4998</v>
      </c>
      <c r="C14419" s="2" t="s">
        <v>7247</v>
      </c>
      <c r="D14419" s="3" t="str">
        <f t="shared" si="3551"/>
        <v>12Go Link</v>
      </c>
      <c r="E14419" s="2" t="s">
        <v>4139</v>
      </c>
    </row>
    <row r="14420">
      <c r="A14420" s="2" t="s">
        <v>5011</v>
      </c>
      <c r="B14420" s="2" t="s">
        <v>4998</v>
      </c>
      <c r="C14420" s="2" t="s">
        <v>7247</v>
      </c>
      <c r="D14420" s="3" t="str">
        <f t="shared" si="3551"/>
        <v>12Go Link</v>
      </c>
      <c r="E14420" s="2" t="s">
        <v>3409</v>
      </c>
    </row>
    <row r="14421">
      <c r="A14421" s="2" t="s">
        <v>5011</v>
      </c>
      <c r="B14421" s="2" t="s">
        <v>4998</v>
      </c>
      <c r="C14421" s="2" t="s">
        <v>7248</v>
      </c>
      <c r="D14421" s="3" t="str">
        <f t="shared" ref="D14421:D14423" si="3552">HYPERLINK("https://12go.asia/en/travel/Marawila/Nanu-Oya", "12Go Link")</f>
        <v>12Go Link</v>
      </c>
      <c r="E14421" s="2" t="s">
        <v>286</v>
      </c>
    </row>
    <row r="14422">
      <c r="A14422" s="2" t="s">
        <v>5011</v>
      </c>
      <c r="B14422" s="2" t="s">
        <v>4998</v>
      </c>
      <c r="C14422" s="2" t="s">
        <v>7248</v>
      </c>
      <c r="D14422" s="3" t="str">
        <f t="shared" si="3552"/>
        <v>12Go Link</v>
      </c>
      <c r="E14422" s="2" t="s">
        <v>4139</v>
      </c>
    </row>
    <row r="14423">
      <c r="A14423" s="2" t="s">
        <v>5011</v>
      </c>
      <c r="B14423" s="2" t="s">
        <v>4998</v>
      </c>
      <c r="C14423" s="2" t="s">
        <v>7248</v>
      </c>
      <c r="D14423" s="3" t="str">
        <f t="shared" si="3552"/>
        <v>12Go Link</v>
      </c>
      <c r="E14423" s="2" t="s">
        <v>3409</v>
      </c>
    </row>
    <row r="14424">
      <c r="A14424" s="2" t="s">
        <v>5011</v>
      </c>
      <c r="B14424" s="2" t="s">
        <v>5000</v>
      </c>
      <c r="C14424" s="2" t="s">
        <v>7249</v>
      </c>
      <c r="D14424" s="3" t="str">
        <f t="shared" ref="D14424:D14426" si="3553">HYPERLINK("https://12go.asia/en/travel/Kalpitiya/Dalupotha", "12Go Link")</f>
        <v>12Go Link</v>
      </c>
      <c r="E14424" s="2" t="s">
        <v>286</v>
      </c>
    </row>
    <row r="14425">
      <c r="A14425" s="2" t="s">
        <v>5011</v>
      </c>
      <c r="B14425" s="2" t="s">
        <v>5000</v>
      </c>
      <c r="C14425" s="2" t="s">
        <v>7249</v>
      </c>
      <c r="D14425" s="3" t="str">
        <f t="shared" si="3553"/>
        <v>12Go Link</v>
      </c>
      <c r="E14425" s="2" t="s">
        <v>4139</v>
      </c>
    </row>
    <row r="14426">
      <c r="A14426" s="2" t="s">
        <v>5011</v>
      </c>
      <c r="B14426" s="2" t="s">
        <v>5000</v>
      </c>
      <c r="C14426" s="2" t="s">
        <v>7249</v>
      </c>
      <c r="D14426" s="3" t="str">
        <f t="shared" si="3553"/>
        <v>12Go Link</v>
      </c>
      <c r="E14426" s="2" t="s">
        <v>3409</v>
      </c>
    </row>
    <row r="14427">
      <c r="A14427" s="2" t="s">
        <v>5011</v>
      </c>
      <c r="B14427" s="2" t="s">
        <v>5000</v>
      </c>
      <c r="C14427" s="2" t="s">
        <v>7250</v>
      </c>
      <c r="D14427" s="3" t="str">
        <f t="shared" ref="D14427:D14429" si="3554">HYPERLINK("https://12go.asia/en/travel/Kalpitiya/Waikkal", "12Go Link")</f>
        <v>12Go Link</v>
      </c>
      <c r="E14427" s="2" t="s">
        <v>286</v>
      </c>
    </row>
    <row r="14428">
      <c r="A14428" s="2" t="s">
        <v>5011</v>
      </c>
      <c r="B14428" s="2" t="s">
        <v>5000</v>
      </c>
      <c r="C14428" s="2" t="s">
        <v>7250</v>
      </c>
      <c r="D14428" s="3" t="str">
        <f t="shared" si="3554"/>
        <v>12Go Link</v>
      </c>
      <c r="E14428" s="2" t="s">
        <v>4139</v>
      </c>
    </row>
    <row r="14429">
      <c r="A14429" s="2" t="s">
        <v>5011</v>
      </c>
      <c r="B14429" s="2" t="s">
        <v>5000</v>
      </c>
      <c r="C14429" s="2" t="s">
        <v>7250</v>
      </c>
      <c r="D14429" s="3" t="str">
        <f t="shared" si="3554"/>
        <v>12Go Link</v>
      </c>
      <c r="E14429" s="2" t="s">
        <v>3409</v>
      </c>
    </row>
    <row r="14430">
      <c r="A14430" s="2" t="s">
        <v>5011</v>
      </c>
      <c r="B14430" s="2" t="s">
        <v>5000</v>
      </c>
      <c r="C14430" s="2" t="s">
        <v>7251</v>
      </c>
      <c r="D14430" s="3" t="str">
        <f t="shared" ref="D14430:D14432" si="3555">HYPERLINK("https://12go.asia/en/travel/Marawila/Dalupotha", "12Go Link")</f>
        <v>12Go Link</v>
      </c>
      <c r="E14430" s="2" t="s">
        <v>286</v>
      </c>
    </row>
    <row r="14431">
      <c r="A14431" s="2" t="s">
        <v>5011</v>
      </c>
      <c r="B14431" s="2" t="s">
        <v>5000</v>
      </c>
      <c r="C14431" s="2" t="s">
        <v>7251</v>
      </c>
      <c r="D14431" s="3" t="str">
        <f t="shared" si="3555"/>
        <v>12Go Link</v>
      </c>
      <c r="E14431" s="2" t="s">
        <v>4139</v>
      </c>
    </row>
    <row r="14432">
      <c r="A14432" s="2" t="s">
        <v>5011</v>
      </c>
      <c r="B14432" s="2" t="s">
        <v>5000</v>
      </c>
      <c r="C14432" s="2" t="s">
        <v>7251</v>
      </c>
      <c r="D14432" s="3" t="str">
        <f t="shared" si="3555"/>
        <v>12Go Link</v>
      </c>
      <c r="E14432" s="2" t="s">
        <v>3409</v>
      </c>
    </row>
    <row r="14433">
      <c r="A14433" s="2" t="s">
        <v>5011</v>
      </c>
      <c r="B14433" s="2" t="s">
        <v>5000</v>
      </c>
      <c r="C14433" s="2" t="s">
        <v>7252</v>
      </c>
      <c r="D14433" s="3" t="str">
        <f t="shared" ref="D14433:D14435" si="3556">HYPERLINK("https://12go.asia/en/travel/Marawila/Waikkal", "12Go Link")</f>
        <v>12Go Link</v>
      </c>
      <c r="E14433" s="2" t="s">
        <v>286</v>
      </c>
    </row>
    <row r="14434">
      <c r="A14434" s="2" t="s">
        <v>5011</v>
      </c>
      <c r="B14434" s="2" t="s">
        <v>5000</v>
      </c>
      <c r="C14434" s="2" t="s">
        <v>7252</v>
      </c>
      <c r="D14434" s="3" t="str">
        <f t="shared" si="3556"/>
        <v>12Go Link</v>
      </c>
      <c r="E14434" s="2" t="s">
        <v>4139</v>
      </c>
    </row>
    <row r="14435">
      <c r="A14435" s="2" t="s">
        <v>5011</v>
      </c>
      <c r="B14435" s="2" t="s">
        <v>5000</v>
      </c>
      <c r="C14435" s="2" t="s">
        <v>7252</v>
      </c>
      <c r="D14435" s="3" t="str">
        <f t="shared" si="3556"/>
        <v>12Go Link</v>
      </c>
      <c r="E14435" s="2" t="s">
        <v>3409</v>
      </c>
    </row>
    <row r="14436">
      <c r="A14436" s="2" t="s">
        <v>5011</v>
      </c>
      <c r="B14436" s="2" t="s">
        <v>5003</v>
      </c>
      <c r="C14436" s="2" t="s">
        <v>7253</v>
      </c>
      <c r="D14436" s="3" t="str">
        <f t="shared" ref="D14436:D14438" si="3557">HYPERLINK("https://12go.asia/en/travel/Kalpitiya/Nilaveli", "12Go Link")</f>
        <v>12Go Link</v>
      </c>
      <c r="E14436" s="2" t="s">
        <v>286</v>
      </c>
    </row>
    <row r="14437">
      <c r="A14437" s="2" t="s">
        <v>5011</v>
      </c>
      <c r="B14437" s="2" t="s">
        <v>5003</v>
      </c>
      <c r="C14437" s="2" t="s">
        <v>7253</v>
      </c>
      <c r="D14437" s="3" t="str">
        <f t="shared" si="3557"/>
        <v>12Go Link</v>
      </c>
      <c r="E14437" s="2" t="s">
        <v>4139</v>
      </c>
    </row>
    <row r="14438">
      <c r="A14438" s="2" t="s">
        <v>5011</v>
      </c>
      <c r="B14438" s="2" t="s">
        <v>5003</v>
      </c>
      <c r="C14438" s="2" t="s">
        <v>7253</v>
      </c>
      <c r="D14438" s="3" t="str">
        <f t="shared" si="3557"/>
        <v>12Go Link</v>
      </c>
      <c r="E14438" s="2" t="s">
        <v>3409</v>
      </c>
    </row>
    <row r="14439">
      <c r="A14439" s="2" t="s">
        <v>5011</v>
      </c>
      <c r="B14439" s="2" t="s">
        <v>5003</v>
      </c>
      <c r="C14439" s="2" t="s">
        <v>7254</v>
      </c>
      <c r="D14439" s="3" t="str">
        <f t="shared" ref="D14439:D14441" si="3558">HYPERLINK("https://12go.asia/en/travel/Marawila/Nilaveli", "12Go Link")</f>
        <v>12Go Link</v>
      </c>
      <c r="E14439" s="2" t="s">
        <v>286</v>
      </c>
    </row>
    <row r="14440">
      <c r="A14440" s="2" t="s">
        <v>5011</v>
      </c>
      <c r="B14440" s="2" t="s">
        <v>5003</v>
      </c>
      <c r="C14440" s="2" t="s">
        <v>7254</v>
      </c>
      <c r="D14440" s="3" t="str">
        <f t="shared" si="3558"/>
        <v>12Go Link</v>
      </c>
      <c r="E14440" s="2" t="s">
        <v>4139</v>
      </c>
    </row>
    <row r="14441">
      <c r="A14441" s="2" t="s">
        <v>5011</v>
      </c>
      <c r="B14441" s="2" t="s">
        <v>5003</v>
      </c>
      <c r="C14441" s="2" t="s">
        <v>7254</v>
      </c>
      <c r="D14441" s="3" t="str">
        <f t="shared" si="3558"/>
        <v>12Go Link</v>
      </c>
      <c r="E14441" s="2" t="s">
        <v>3409</v>
      </c>
    </row>
    <row r="14442">
      <c r="A14442" s="2" t="s">
        <v>5011</v>
      </c>
      <c r="B14442" s="2" t="s">
        <v>5005</v>
      </c>
      <c r="C14442" s="2" t="s">
        <v>7255</v>
      </c>
      <c r="D14442" s="3" t="str">
        <f t="shared" ref="D14442:D14444" si="3559">HYPERLINK("https://12go.asia/en/travel/Kalpitiya/Kotmale", "12Go Link")</f>
        <v>12Go Link</v>
      </c>
      <c r="E14442" s="2" t="s">
        <v>286</v>
      </c>
    </row>
    <row r="14443">
      <c r="A14443" s="2" t="s">
        <v>5011</v>
      </c>
      <c r="B14443" s="2" t="s">
        <v>5005</v>
      </c>
      <c r="C14443" s="2" t="s">
        <v>7255</v>
      </c>
      <c r="D14443" s="3" t="str">
        <f t="shared" si="3559"/>
        <v>12Go Link</v>
      </c>
      <c r="E14443" s="2" t="s">
        <v>4139</v>
      </c>
    </row>
    <row r="14444">
      <c r="A14444" s="2" t="s">
        <v>5011</v>
      </c>
      <c r="B14444" s="2" t="s">
        <v>5005</v>
      </c>
      <c r="C14444" s="2" t="s">
        <v>7255</v>
      </c>
      <c r="D14444" s="3" t="str">
        <f t="shared" si="3559"/>
        <v>12Go Link</v>
      </c>
      <c r="E14444" s="2" t="s">
        <v>3409</v>
      </c>
    </row>
    <row r="14445">
      <c r="A14445" s="2" t="s">
        <v>5011</v>
      </c>
      <c r="B14445" s="2" t="s">
        <v>5005</v>
      </c>
      <c r="C14445" s="2" t="s">
        <v>7256</v>
      </c>
      <c r="D14445" s="3" t="str">
        <f t="shared" ref="D14445:D14447" si="3560">HYPERLINK("https://12go.asia/en/travel/Marawila/Kotmale", "12Go Link")</f>
        <v>12Go Link</v>
      </c>
      <c r="E14445" s="2" t="s">
        <v>286</v>
      </c>
    </row>
    <row r="14446">
      <c r="A14446" s="2" t="s">
        <v>5011</v>
      </c>
      <c r="B14446" s="2" t="s">
        <v>5005</v>
      </c>
      <c r="C14446" s="2" t="s">
        <v>7256</v>
      </c>
      <c r="D14446" s="3" t="str">
        <f t="shared" si="3560"/>
        <v>12Go Link</v>
      </c>
      <c r="E14446" s="2" t="s">
        <v>4139</v>
      </c>
    </row>
    <row r="14447">
      <c r="A14447" s="2" t="s">
        <v>5011</v>
      </c>
      <c r="B14447" s="2" t="s">
        <v>5005</v>
      </c>
      <c r="C14447" s="2" t="s">
        <v>7256</v>
      </c>
      <c r="D14447" s="3" t="str">
        <f t="shared" si="3560"/>
        <v>12Go Link</v>
      </c>
      <c r="E14447" s="2" t="s">
        <v>3409</v>
      </c>
    </row>
    <row r="14448">
      <c r="A14448" s="2" t="s">
        <v>5011</v>
      </c>
      <c r="B14448" s="2" t="s">
        <v>5007</v>
      </c>
      <c r="C14448" s="2" t="s">
        <v>7257</v>
      </c>
      <c r="D14448" s="3" t="str">
        <f t="shared" ref="D14448:D14450" si="3561">HYPERLINK("https://12go.asia/en/travel/Kalpitiya/Pasikuda", "12Go Link")</f>
        <v>12Go Link</v>
      </c>
      <c r="E14448" s="2" t="s">
        <v>286</v>
      </c>
    </row>
    <row r="14449">
      <c r="A14449" s="2" t="s">
        <v>5011</v>
      </c>
      <c r="B14449" s="2" t="s">
        <v>5007</v>
      </c>
      <c r="C14449" s="2" t="s">
        <v>7257</v>
      </c>
      <c r="D14449" s="3" t="str">
        <f t="shared" si="3561"/>
        <v>12Go Link</v>
      </c>
      <c r="E14449" s="2" t="s">
        <v>4139</v>
      </c>
    </row>
    <row r="14450">
      <c r="A14450" s="2" t="s">
        <v>5011</v>
      </c>
      <c r="B14450" s="2" t="s">
        <v>5007</v>
      </c>
      <c r="C14450" s="2" t="s">
        <v>7257</v>
      </c>
      <c r="D14450" s="3" t="str">
        <f t="shared" si="3561"/>
        <v>12Go Link</v>
      </c>
      <c r="E14450" s="2" t="s">
        <v>3409</v>
      </c>
    </row>
    <row r="14451">
      <c r="A14451" s="2" t="s">
        <v>5011</v>
      </c>
      <c r="B14451" s="2" t="s">
        <v>5007</v>
      </c>
      <c r="C14451" s="2" t="s">
        <v>7258</v>
      </c>
      <c r="D14451" s="3" t="str">
        <f t="shared" ref="D14451:D14453" si="3562">HYPERLINK("https://12go.asia/en/travel/Marawila/Pasikuda", "12Go Link")</f>
        <v>12Go Link</v>
      </c>
      <c r="E14451" s="2" t="s">
        <v>286</v>
      </c>
    </row>
    <row r="14452">
      <c r="A14452" s="2" t="s">
        <v>5011</v>
      </c>
      <c r="B14452" s="2" t="s">
        <v>5007</v>
      </c>
      <c r="C14452" s="2" t="s">
        <v>7258</v>
      </c>
      <c r="D14452" s="3" t="str">
        <f t="shared" si="3562"/>
        <v>12Go Link</v>
      </c>
      <c r="E14452" s="2" t="s">
        <v>4139</v>
      </c>
    </row>
    <row r="14453">
      <c r="A14453" s="2" t="s">
        <v>5011</v>
      </c>
      <c r="B14453" s="2" t="s">
        <v>5007</v>
      </c>
      <c r="C14453" s="2" t="s">
        <v>7258</v>
      </c>
      <c r="D14453" s="3" t="str">
        <f t="shared" si="3562"/>
        <v>12Go Link</v>
      </c>
      <c r="E14453" s="2" t="s">
        <v>3409</v>
      </c>
    </row>
    <row r="14454">
      <c r="A14454" s="2" t="s">
        <v>5011</v>
      </c>
      <c r="B14454" s="2" t="s">
        <v>5009</v>
      </c>
      <c r="C14454" s="2" t="s">
        <v>7259</v>
      </c>
      <c r="D14454" s="3" t="str">
        <f t="shared" ref="D14454:D14456" si="3563">HYPERLINK("https://12go.asia/en/travel/Kalpitiya/Galoya", "12Go Link")</f>
        <v>12Go Link</v>
      </c>
      <c r="E14454" s="2" t="s">
        <v>286</v>
      </c>
    </row>
    <row r="14455">
      <c r="A14455" s="2" t="s">
        <v>5011</v>
      </c>
      <c r="B14455" s="2" t="s">
        <v>5009</v>
      </c>
      <c r="C14455" s="2" t="s">
        <v>7259</v>
      </c>
      <c r="D14455" s="3" t="str">
        <f t="shared" si="3563"/>
        <v>12Go Link</v>
      </c>
      <c r="E14455" s="2" t="s">
        <v>4139</v>
      </c>
    </row>
    <row r="14456">
      <c r="A14456" s="2" t="s">
        <v>5011</v>
      </c>
      <c r="B14456" s="2" t="s">
        <v>5009</v>
      </c>
      <c r="C14456" s="2" t="s">
        <v>7259</v>
      </c>
      <c r="D14456" s="3" t="str">
        <f t="shared" si="3563"/>
        <v>12Go Link</v>
      </c>
      <c r="E14456" s="2" t="s">
        <v>3409</v>
      </c>
    </row>
    <row r="14457">
      <c r="A14457" s="2" t="s">
        <v>5011</v>
      </c>
      <c r="B14457" s="2" t="s">
        <v>5009</v>
      </c>
      <c r="C14457" s="2" t="s">
        <v>7260</v>
      </c>
      <c r="D14457" s="3" t="str">
        <f t="shared" ref="D14457:D14459" si="3564">HYPERLINK("https://12go.asia/en/travel/Marawila/Galoya", "12Go Link")</f>
        <v>12Go Link</v>
      </c>
      <c r="E14457" s="2" t="s">
        <v>286</v>
      </c>
    </row>
    <row r="14458">
      <c r="A14458" s="2" t="s">
        <v>5011</v>
      </c>
      <c r="B14458" s="2" t="s">
        <v>5009</v>
      </c>
      <c r="C14458" s="2" t="s">
        <v>7260</v>
      </c>
      <c r="D14458" s="3" t="str">
        <f t="shared" si="3564"/>
        <v>12Go Link</v>
      </c>
      <c r="E14458" s="2" t="s">
        <v>4139</v>
      </c>
    </row>
    <row r="14459">
      <c r="A14459" s="2" t="s">
        <v>5011</v>
      </c>
      <c r="B14459" s="2" t="s">
        <v>5009</v>
      </c>
      <c r="C14459" s="2" t="s">
        <v>7260</v>
      </c>
      <c r="D14459" s="3" t="str">
        <f t="shared" si="3564"/>
        <v>12Go Link</v>
      </c>
      <c r="E14459" s="2" t="s">
        <v>3409</v>
      </c>
    </row>
    <row r="14460">
      <c r="A14460" s="2" t="s">
        <v>5011</v>
      </c>
      <c r="B14460" s="2" t="s">
        <v>5011</v>
      </c>
      <c r="C14460" s="2" t="s">
        <v>7261</v>
      </c>
      <c r="D14460" s="3" t="str">
        <f t="shared" ref="D14460:D14462" si="3565">HYPERLINK("https://12go.asia/en/travel/Kalpitiya/Marawila", "12Go Link")</f>
        <v>12Go Link</v>
      </c>
      <c r="E14460" s="2" t="s">
        <v>286</v>
      </c>
    </row>
    <row r="14461">
      <c r="A14461" s="2" t="s">
        <v>5011</v>
      </c>
      <c r="B14461" s="2" t="s">
        <v>5011</v>
      </c>
      <c r="C14461" s="2" t="s">
        <v>7261</v>
      </c>
      <c r="D14461" s="3" t="str">
        <f t="shared" si="3565"/>
        <v>12Go Link</v>
      </c>
      <c r="E14461" s="2" t="s">
        <v>4139</v>
      </c>
    </row>
    <row r="14462">
      <c r="A14462" s="2" t="s">
        <v>5011</v>
      </c>
      <c r="B14462" s="2" t="s">
        <v>5011</v>
      </c>
      <c r="C14462" s="2" t="s">
        <v>7261</v>
      </c>
      <c r="D14462" s="3" t="str">
        <f t="shared" si="3565"/>
        <v>12Go Link</v>
      </c>
      <c r="E14462" s="2" t="s">
        <v>3409</v>
      </c>
    </row>
    <row r="14463">
      <c r="A14463" s="2" t="s">
        <v>5011</v>
      </c>
      <c r="B14463" s="2" t="s">
        <v>5011</v>
      </c>
      <c r="C14463" s="2" t="s">
        <v>7262</v>
      </c>
      <c r="D14463" s="3" t="str">
        <f t="shared" ref="D14463:D14465" si="3566">HYPERLINK("https://12go.asia/en/travel/Marawila/Chilaw", "12Go Link")</f>
        <v>12Go Link</v>
      </c>
      <c r="E14463" s="2" t="s">
        <v>286</v>
      </c>
    </row>
    <row r="14464">
      <c r="A14464" s="2" t="s">
        <v>5011</v>
      </c>
      <c r="B14464" s="2" t="s">
        <v>5011</v>
      </c>
      <c r="C14464" s="2" t="s">
        <v>7262</v>
      </c>
      <c r="D14464" s="3" t="str">
        <f t="shared" si="3566"/>
        <v>12Go Link</v>
      </c>
      <c r="E14464" s="2" t="s">
        <v>4139</v>
      </c>
    </row>
    <row r="14465">
      <c r="A14465" s="2" t="s">
        <v>5011</v>
      </c>
      <c r="B14465" s="2" t="s">
        <v>5011</v>
      </c>
      <c r="C14465" s="2" t="s">
        <v>7262</v>
      </c>
      <c r="D14465" s="3" t="str">
        <f t="shared" si="3566"/>
        <v>12Go Link</v>
      </c>
      <c r="E14465" s="2" t="s">
        <v>3409</v>
      </c>
    </row>
    <row r="14466">
      <c r="A14466" s="2" t="s">
        <v>5011</v>
      </c>
      <c r="B14466" s="2" t="s">
        <v>5011</v>
      </c>
      <c r="C14466" s="2" t="s">
        <v>7263</v>
      </c>
      <c r="D14466" s="3" t="str">
        <f t="shared" ref="D14466:D14468" si="3567">HYPERLINK("https://12go.asia/en/travel/Marawila/Kalpitiya", "12Go Link")</f>
        <v>12Go Link</v>
      </c>
      <c r="E14466" s="2" t="s">
        <v>286</v>
      </c>
    </row>
    <row r="14467">
      <c r="A14467" s="2" t="s">
        <v>5011</v>
      </c>
      <c r="B14467" s="2" t="s">
        <v>5011</v>
      </c>
      <c r="C14467" s="2" t="s">
        <v>7263</v>
      </c>
      <c r="D14467" s="3" t="str">
        <f t="shared" si="3567"/>
        <v>12Go Link</v>
      </c>
      <c r="E14467" s="2" t="s">
        <v>4139</v>
      </c>
    </row>
    <row r="14468">
      <c r="A14468" s="2" t="s">
        <v>5011</v>
      </c>
      <c r="B14468" s="2" t="s">
        <v>5011</v>
      </c>
      <c r="C14468" s="2" t="s">
        <v>7263</v>
      </c>
      <c r="D14468" s="3" t="str">
        <f t="shared" si="3567"/>
        <v>12Go Link</v>
      </c>
      <c r="E14468" s="2" t="s">
        <v>3409</v>
      </c>
    </row>
    <row r="14469">
      <c r="A14469" s="2" t="s">
        <v>5011</v>
      </c>
      <c r="B14469" s="2" t="s">
        <v>5014</v>
      </c>
      <c r="C14469" s="2" t="s">
        <v>7264</v>
      </c>
      <c r="D14469" s="3" t="str">
        <f t="shared" ref="D14469:D14471" si="3568">HYPERLINK("https://12go.asia/en/travel/Kalpitiya/Kiriella", "12Go Link")</f>
        <v>12Go Link</v>
      </c>
      <c r="E14469" s="2" t="s">
        <v>286</v>
      </c>
    </row>
    <row r="14470">
      <c r="A14470" s="2" t="s">
        <v>5011</v>
      </c>
      <c r="B14470" s="2" t="s">
        <v>5014</v>
      </c>
      <c r="C14470" s="2" t="s">
        <v>7264</v>
      </c>
      <c r="D14470" s="3" t="str">
        <f t="shared" si="3568"/>
        <v>12Go Link</v>
      </c>
      <c r="E14470" s="2" t="s">
        <v>4139</v>
      </c>
    </row>
    <row r="14471">
      <c r="A14471" s="2" t="s">
        <v>5011</v>
      </c>
      <c r="B14471" s="2" t="s">
        <v>5014</v>
      </c>
      <c r="C14471" s="2" t="s">
        <v>7264</v>
      </c>
      <c r="D14471" s="3" t="str">
        <f t="shared" si="3568"/>
        <v>12Go Link</v>
      </c>
      <c r="E14471" s="2" t="s">
        <v>3409</v>
      </c>
    </row>
    <row r="14472">
      <c r="A14472" s="2" t="s">
        <v>5011</v>
      </c>
      <c r="B14472" s="2" t="s">
        <v>5014</v>
      </c>
      <c r="C14472" s="2" t="s">
        <v>7265</v>
      </c>
      <c r="D14472" s="3" t="str">
        <f t="shared" ref="D14472:D14474" si="3569">HYPERLINK("https://12go.asia/en/travel/Marawila/Kiriella", "12Go Link")</f>
        <v>12Go Link</v>
      </c>
      <c r="E14472" s="2" t="s">
        <v>286</v>
      </c>
    </row>
    <row r="14473">
      <c r="A14473" s="2" t="s">
        <v>5011</v>
      </c>
      <c r="B14473" s="2" t="s">
        <v>5014</v>
      </c>
      <c r="C14473" s="2" t="s">
        <v>7265</v>
      </c>
      <c r="D14473" s="3" t="str">
        <f t="shared" si="3569"/>
        <v>12Go Link</v>
      </c>
      <c r="E14473" s="2" t="s">
        <v>4139</v>
      </c>
    </row>
    <row r="14474">
      <c r="A14474" s="2" t="s">
        <v>5011</v>
      </c>
      <c r="B14474" s="2" t="s">
        <v>5014</v>
      </c>
      <c r="C14474" s="2" t="s">
        <v>7265</v>
      </c>
      <c r="D14474" s="3" t="str">
        <f t="shared" si="3569"/>
        <v>12Go Link</v>
      </c>
      <c r="E14474" s="2" t="s">
        <v>3409</v>
      </c>
    </row>
    <row r="14475">
      <c r="A14475" s="2" t="s">
        <v>5011</v>
      </c>
      <c r="B14475" s="2" t="s">
        <v>5016</v>
      </c>
      <c r="C14475" s="2" t="s">
        <v>7266</v>
      </c>
      <c r="D14475" s="3" t="str">
        <f t="shared" ref="D14475:D14477" si="3570">HYPERLINK("https://12go.asia/en/travel/Kalpitiya/Pidurangala", "12Go Link")</f>
        <v>12Go Link</v>
      </c>
      <c r="E14475" s="2" t="s">
        <v>286</v>
      </c>
    </row>
    <row r="14476">
      <c r="A14476" s="2" t="s">
        <v>5011</v>
      </c>
      <c r="B14476" s="2" t="s">
        <v>5016</v>
      </c>
      <c r="C14476" s="2" t="s">
        <v>7266</v>
      </c>
      <c r="D14476" s="3" t="str">
        <f t="shared" si="3570"/>
        <v>12Go Link</v>
      </c>
      <c r="E14476" s="2" t="s">
        <v>4139</v>
      </c>
    </row>
    <row r="14477">
      <c r="A14477" s="2" t="s">
        <v>5011</v>
      </c>
      <c r="B14477" s="2" t="s">
        <v>5016</v>
      </c>
      <c r="C14477" s="2" t="s">
        <v>7266</v>
      </c>
      <c r="D14477" s="3" t="str">
        <f t="shared" si="3570"/>
        <v>12Go Link</v>
      </c>
      <c r="E14477" s="2" t="s">
        <v>3409</v>
      </c>
    </row>
    <row r="14478">
      <c r="A14478" s="2" t="s">
        <v>5011</v>
      </c>
      <c r="B14478" s="2" t="s">
        <v>5016</v>
      </c>
      <c r="C14478" s="2" t="s">
        <v>7267</v>
      </c>
      <c r="D14478" s="3" t="str">
        <f t="shared" ref="D14478:D14480" si="3571">HYPERLINK("https://12go.asia/en/travel/Marawila/Pidurangala", "12Go Link")</f>
        <v>12Go Link</v>
      </c>
      <c r="E14478" s="2" t="s">
        <v>286</v>
      </c>
    </row>
    <row r="14479">
      <c r="A14479" s="2" t="s">
        <v>5011</v>
      </c>
      <c r="B14479" s="2" t="s">
        <v>5016</v>
      </c>
      <c r="C14479" s="2" t="s">
        <v>7267</v>
      </c>
      <c r="D14479" s="3" t="str">
        <f t="shared" si="3571"/>
        <v>12Go Link</v>
      </c>
      <c r="E14479" s="2" t="s">
        <v>4139</v>
      </c>
    </row>
    <row r="14480">
      <c r="A14480" s="2" t="s">
        <v>5011</v>
      </c>
      <c r="B14480" s="2" t="s">
        <v>5016</v>
      </c>
      <c r="C14480" s="2" t="s">
        <v>7267</v>
      </c>
      <c r="D14480" s="3" t="str">
        <f t="shared" si="3571"/>
        <v>12Go Link</v>
      </c>
      <c r="E14480" s="2" t="s">
        <v>3409</v>
      </c>
    </row>
    <row r="14481">
      <c r="A14481" s="2" t="s">
        <v>5011</v>
      </c>
      <c r="B14481" s="2" t="s">
        <v>5018</v>
      </c>
      <c r="C14481" s="2" t="s">
        <v>7268</v>
      </c>
      <c r="D14481" s="3" t="str">
        <f t="shared" ref="D14481:D14483" si="3572">HYPERLINK("https://12go.asia/en/travel/Kalpitiya/Rekawa", "12Go Link")</f>
        <v>12Go Link</v>
      </c>
      <c r="E14481" s="2" t="s">
        <v>286</v>
      </c>
    </row>
    <row r="14482">
      <c r="A14482" s="2" t="s">
        <v>5011</v>
      </c>
      <c r="B14482" s="2" t="s">
        <v>5018</v>
      </c>
      <c r="C14482" s="2" t="s">
        <v>7268</v>
      </c>
      <c r="D14482" s="3" t="str">
        <f t="shared" si="3572"/>
        <v>12Go Link</v>
      </c>
      <c r="E14482" s="2" t="s">
        <v>4139</v>
      </c>
    </row>
    <row r="14483">
      <c r="A14483" s="2" t="s">
        <v>5011</v>
      </c>
      <c r="B14483" s="2" t="s">
        <v>5018</v>
      </c>
      <c r="C14483" s="2" t="s">
        <v>7268</v>
      </c>
      <c r="D14483" s="3" t="str">
        <f t="shared" si="3572"/>
        <v>12Go Link</v>
      </c>
      <c r="E14483" s="2" t="s">
        <v>3409</v>
      </c>
    </row>
    <row r="14484">
      <c r="A14484" s="2" t="s">
        <v>5011</v>
      </c>
      <c r="B14484" s="2" t="s">
        <v>5018</v>
      </c>
      <c r="C14484" s="2" t="s">
        <v>7269</v>
      </c>
      <c r="D14484" s="3" t="str">
        <f t="shared" ref="D14484:D14486" si="3573">HYPERLINK("https://12go.asia/en/travel/Marawila/Rekawa", "12Go Link")</f>
        <v>12Go Link</v>
      </c>
      <c r="E14484" s="2" t="s">
        <v>286</v>
      </c>
    </row>
    <row r="14485">
      <c r="A14485" s="2" t="s">
        <v>5011</v>
      </c>
      <c r="B14485" s="2" t="s">
        <v>5018</v>
      </c>
      <c r="C14485" s="2" t="s">
        <v>7269</v>
      </c>
      <c r="D14485" s="3" t="str">
        <f t="shared" si="3573"/>
        <v>12Go Link</v>
      </c>
      <c r="E14485" s="2" t="s">
        <v>4139</v>
      </c>
    </row>
    <row r="14486">
      <c r="A14486" s="2" t="s">
        <v>5011</v>
      </c>
      <c r="B14486" s="2" t="s">
        <v>5018</v>
      </c>
      <c r="C14486" s="2" t="s">
        <v>7269</v>
      </c>
      <c r="D14486" s="3" t="str">
        <f t="shared" si="3573"/>
        <v>12Go Link</v>
      </c>
      <c r="E14486" s="2" t="s">
        <v>3409</v>
      </c>
    </row>
    <row r="14487">
      <c r="A14487" s="2" t="s">
        <v>5011</v>
      </c>
      <c r="B14487" s="2" t="s">
        <v>5020</v>
      </c>
      <c r="C14487" s="2" t="s">
        <v>7270</v>
      </c>
      <c r="D14487" s="3" t="str">
        <f t="shared" ref="D14487:D14489" si="3574">HYPERLINK("https://12go.asia/en/travel/Kalpitiya/Tissamaharama", "12Go Link")</f>
        <v>12Go Link</v>
      </c>
      <c r="E14487" s="2" t="s">
        <v>286</v>
      </c>
    </row>
    <row r="14488">
      <c r="A14488" s="2" t="s">
        <v>5011</v>
      </c>
      <c r="B14488" s="2" t="s">
        <v>5020</v>
      </c>
      <c r="C14488" s="2" t="s">
        <v>7270</v>
      </c>
      <c r="D14488" s="3" t="str">
        <f t="shared" si="3574"/>
        <v>12Go Link</v>
      </c>
      <c r="E14488" s="2" t="s">
        <v>4139</v>
      </c>
    </row>
    <row r="14489">
      <c r="A14489" s="2" t="s">
        <v>5011</v>
      </c>
      <c r="B14489" s="2" t="s">
        <v>5020</v>
      </c>
      <c r="C14489" s="2" t="s">
        <v>7270</v>
      </c>
      <c r="D14489" s="3" t="str">
        <f t="shared" si="3574"/>
        <v>12Go Link</v>
      </c>
      <c r="E14489" s="2" t="s">
        <v>3409</v>
      </c>
    </row>
    <row r="14490">
      <c r="A14490" s="2" t="s">
        <v>5011</v>
      </c>
      <c r="B14490" s="2" t="s">
        <v>5020</v>
      </c>
      <c r="C14490" s="2" t="s">
        <v>7271</v>
      </c>
      <c r="D14490" s="3" t="str">
        <f t="shared" ref="D14490:D14492" si="3575">HYPERLINK("https://12go.asia/en/travel/Kalpitiya/Yala-Park", "12Go Link")</f>
        <v>12Go Link</v>
      </c>
      <c r="E14490" s="2" t="s">
        <v>286</v>
      </c>
    </row>
    <row r="14491">
      <c r="A14491" s="2" t="s">
        <v>5011</v>
      </c>
      <c r="B14491" s="2" t="s">
        <v>5020</v>
      </c>
      <c r="C14491" s="2" t="s">
        <v>7271</v>
      </c>
      <c r="D14491" s="3" t="str">
        <f t="shared" si="3575"/>
        <v>12Go Link</v>
      </c>
      <c r="E14491" s="2" t="s">
        <v>4139</v>
      </c>
    </row>
    <row r="14492">
      <c r="A14492" s="2" t="s">
        <v>5011</v>
      </c>
      <c r="B14492" s="2" t="s">
        <v>5020</v>
      </c>
      <c r="C14492" s="2" t="s">
        <v>7271</v>
      </c>
      <c r="D14492" s="3" t="str">
        <f t="shared" si="3575"/>
        <v>12Go Link</v>
      </c>
      <c r="E14492" s="2" t="s">
        <v>3409</v>
      </c>
    </row>
    <row r="14493">
      <c r="A14493" s="2" t="s">
        <v>5011</v>
      </c>
      <c r="B14493" s="2" t="s">
        <v>5020</v>
      </c>
      <c r="C14493" s="2" t="s">
        <v>7272</v>
      </c>
      <c r="D14493" s="3" t="str">
        <f t="shared" ref="D14493:D14495" si="3576">HYPERLINK("https://12go.asia/en/travel/Marawila/Tissamaharama", "12Go Link")</f>
        <v>12Go Link</v>
      </c>
      <c r="E14493" s="2" t="s">
        <v>286</v>
      </c>
    </row>
    <row r="14494">
      <c r="A14494" s="2" t="s">
        <v>5011</v>
      </c>
      <c r="B14494" s="2" t="s">
        <v>5020</v>
      </c>
      <c r="C14494" s="2" t="s">
        <v>7272</v>
      </c>
      <c r="D14494" s="3" t="str">
        <f t="shared" si="3576"/>
        <v>12Go Link</v>
      </c>
      <c r="E14494" s="2" t="s">
        <v>4139</v>
      </c>
    </row>
    <row r="14495">
      <c r="A14495" s="2" t="s">
        <v>5011</v>
      </c>
      <c r="B14495" s="2" t="s">
        <v>5020</v>
      </c>
      <c r="C14495" s="2" t="s">
        <v>7272</v>
      </c>
      <c r="D14495" s="3" t="str">
        <f t="shared" si="3576"/>
        <v>12Go Link</v>
      </c>
      <c r="E14495" s="2" t="s">
        <v>3409</v>
      </c>
    </row>
    <row r="14496">
      <c r="A14496" s="2" t="s">
        <v>5011</v>
      </c>
      <c r="B14496" s="2" t="s">
        <v>5020</v>
      </c>
      <c r="C14496" s="2" t="s">
        <v>7273</v>
      </c>
      <c r="D14496" s="3" t="str">
        <f t="shared" ref="D14496:D14498" si="3577">HYPERLINK("https://12go.asia/en/travel/Marawila/Yala-Park", "12Go Link")</f>
        <v>12Go Link</v>
      </c>
      <c r="E14496" s="2" t="s">
        <v>286</v>
      </c>
    </row>
    <row r="14497">
      <c r="A14497" s="2" t="s">
        <v>5011</v>
      </c>
      <c r="B14497" s="2" t="s">
        <v>5020</v>
      </c>
      <c r="C14497" s="2" t="s">
        <v>7273</v>
      </c>
      <c r="D14497" s="3" t="str">
        <f t="shared" si="3577"/>
        <v>12Go Link</v>
      </c>
      <c r="E14497" s="2" t="s">
        <v>4139</v>
      </c>
    </row>
    <row r="14498">
      <c r="A14498" s="2" t="s">
        <v>5011</v>
      </c>
      <c r="B14498" s="2" t="s">
        <v>5020</v>
      </c>
      <c r="C14498" s="2" t="s">
        <v>7273</v>
      </c>
      <c r="D14498" s="3" t="str">
        <f t="shared" si="3577"/>
        <v>12Go Link</v>
      </c>
      <c r="E14498" s="2" t="s">
        <v>3409</v>
      </c>
    </row>
    <row r="14499">
      <c r="A14499" s="2" t="s">
        <v>5011</v>
      </c>
      <c r="B14499" s="2" t="s">
        <v>5023</v>
      </c>
      <c r="C14499" s="2" t="s">
        <v>7274</v>
      </c>
      <c r="D14499" s="3" t="str">
        <f t="shared" ref="D14499:D14501" si="3578">HYPERLINK("https://12go.asia/en/travel/Kalpitiya/Nilaweli", "12Go Link")</f>
        <v>12Go Link</v>
      </c>
      <c r="E14499" s="2" t="s">
        <v>286</v>
      </c>
    </row>
    <row r="14500">
      <c r="A14500" s="2" t="s">
        <v>5011</v>
      </c>
      <c r="B14500" s="2" t="s">
        <v>5023</v>
      </c>
      <c r="C14500" s="2" t="s">
        <v>7274</v>
      </c>
      <c r="D14500" s="3" t="str">
        <f t="shared" si="3578"/>
        <v>12Go Link</v>
      </c>
      <c r="E14500" s="2" t="s">
        <v>4139</v>
      </c>
    </row>
    <row r="14501">
      <c r="A14501" s="2" t="s">
        <v>5011</v>
      </c>
      <c r="B14501" s="2" t="s">
        <v>5023</v>
      </c>
      <c r="C14501" s="2" t="s">
        <v>7274</v>
      </c>
      <c r="D14501" s="3" t="str">
        <f t="shared" si="3578"/>
        <v>12Go Link</v>
      </c>
      <c r="E14501" s="2" t="s">
        <v>3409</v>
      </c>
    </row>
    <row r="14502">
      <c r="A14502" s="2" t="s">
        <v>5011</v>
      </c>
      <c r="B14502" s="2" t="s">
        <v>5023</v>
      </c>
      <c r="C14502" s="2" t="s">
        <v>7275</v>
      </c>
      <c r="D14502" s="3" t="str">
        <f t="shared" ref="D14502:D14504" si="3579">HYPERLINK("https://12go.asia/en/travel/Marawila/Nilaweli", "12Go Link")</f>
        <v>12Go Link</v>
      </c>
      <c r="E14502" s="2" t="s">
        <v>286</v>
      </c>
    </row>
    <row r="14503">
      <c r="A14503" s="2" t="s">
        <v>5011</v>
      </c>
      <c r="B14503" s="2" t="s">
        <v>5023</v>
      </c>
      <c r="C14503" s="2" t="s">
        <v>7275</v>
      </c>
      <c r="D14503" s="3" t="str">
        <f t="shared" si="3579"/>
        <v>12Go Link</v>
      </c>
      <c r="E14503" s="2" t="s">
        <v>4139</v>
      </c>
    </row>
    <row r="14504">
      <c r="A14504" s="2" t="s">
        <v>5011</v>
      </c>
      <c r="B14504" s="2" t="s">
        <v>5023</v>
      </c>
      <c r="C14504" s="2" t="s">
        <v>7275</v>
      </c>
      <c r="D14504" s="3" t="str">
        <f t="shared" si="3579"/>
        <v>12Go Link</v>
      </c>
      <c r="E14504" s="2" t="s">
        <v>3409</v>
      </c>
    </row>
    <row r="14505">
      <c r="A14505" s="2" t="s">
        <v>5011</v>
      </c>
      <c r="B14505" s="2" t="s">
        <v>5025</v>
      </c>
      <c r="C14505" s="2" t="s">
        <v>7276</v>
      </c>
      <c r="D14505" s="3" t="str">
        <f t="shared" ref="D14505:D14507" si="3580">HYPERLINK("https://12go.asia/en/travel/Kalpitiya/Udawalawa", "12Go Link")</f>
        <v>12Go Link</v>
      </c>
      <c r="E14505" s="2" t="s">
        <v>286</v>
      </c>
    </row>
    <row r="14506">
      <c r="A14506" s="2" t="s">
        <v>5011</v>
      </c>
      <c r="B14506" s="2" t="s">
        <v>5025</v>
      </c>
      <c r="C14506" s="2" t="s">
        <v>7276</v>
      </c>
      <c r="D14506" s="3" t="str">
        <f t="shared" si="3580"/>
        <v>12Go Link</v>
      </c>
      <c r="E14506" s="2" t="s">
        <v>4139</v>
      </c>
    </row>
    <row r="14507">
      <c r="A14507" s="2" t="s">
        <v>5011</v>
      </c>
      <c r="B14507" s="2" t="s">
        <v>5025</v>
      </c>
      <c r="C14507" s="2" t="s">
        <v>7276</v>
      </c>
      <c r="D14507" s="3" t="str">
        <f t="shared" si="3580"/>
        <v>12Go Link</v>
      </c>
      <c r="E14507" s="2" t="s">
        <v>3409</v>
      </c>
    </row>
    <row r="14508">
      <c r="A14508" s="2" t="s">
        <v>5011</v>
      </c>
      <c r="B14508" s="2" t="s">
        <v>5025</v>
      </c>
      <c r="C14508" s="2" t="s">
        <v>7277</v>
      </c>
      <c r="D14508" s="3" t="str">
        <f t="shared" ref="D14508:D14510" si="3581">HYPERLINK("https://12go.asia/en/travel/Marawila/Udawalawa", "12Go Link")</f>
        <v>12Go Link</v>
      </c>
      <c r="E14508" s="2" t="s">
        <v>286</v>
      </c>
    </row>
    <row r="14509">
      <c r="A14509" s="2" t="s">
        <v>5011</v>
      </c>
      <c r="B14509" s="2" t="s">
        <v>5025</v>
      </c>
      <c r="C14509" s="2" t="s">
        <v>7277</v>
      </c>
      <c r="D14509" s="3" t="str">
        <f t="shared" si="3581"/>
        <v>12Go Link</v>
      </c>
      <c r="E14509" s="2" t="s">
        <v>4139</v>
      </c>
    </row>
    <row r="14510">
      <c r="A14510" s="2" t="s">
        <v>5011</v>
      </c>
      <c r="B14510" s="2" t="s">
        <v>5025</v>
      </c>
      <c r="C14510" s="2" t="s">
        <v>7277</v>
      </c>
      <c r="D14510" s="3" t="str">
        <f t="shared" si="3581"/>
        <v>12Go Link</v>
      </c>
      <c r="E14510" s="2" t="s">
        <v>3409</v>
      </c>
    </row>
    <row r="14511">
      <c r="A14511" s="2" t="s">
        <v>5011</v>
      </c>
      <c r="B14511" s="2" t="s">
        <v>5027</v>
      </c>
      <c r="C14511" s="2" t="s">
        <v>7278</v>
      </c>
      <c r="D14511" s="3" t="str">
        <f t="shared" ref="D14511:D14513" si="3582">HYPERLINK("https://12go.asia/en/travel/Kalpitiya/Unawatuna", "12Go Link")</f>
        <v>12Go Link</v>
      </c>
      <c r="E14511" s="2" t="s">
        <v>286</v>
      </c>
    </row>
    <row r="14512">
      <c r="A14512" s="2" t="s">
        <v>5011</v>
      </c>
      <c r="B14512" s="2" t="s">
        <v>5027</v>
      </c>
      <c r="C14512" s="2" t="s">
        <v>7278</v>
      </c>
      <c r="D14512" s="3" t="str">
        <f t="shared" si="3582"/>
        <v>12Go Link</v>
      </c>
      <c r="E14512" s="2" t="s">
        <v>4139</v>
      </c>
    </row>
    <row r="14513">
      <c r="A14513" s="2" t="s">
        <v>5011</v>
      </c>
      <c r="B14513" s="2" t="s">
        <v>5027</v>
      </c>
      <c r="C14513" s="2" t="s">
        <v>7278</v>
      </c>
      <c r="D14513" s="3" t="str">
        <f t="shared" si="3582"/>
        <v>12Go Link</v>
      </c>
      <c r="E14513" s="2" t="s">
        <v>3409</v>
      </c>
    </row>
    <row r="14514">
      <c r="A14514" s="2" t="s">
        <v>5011</v>
      </c>
      <c r="B14514" s="2" t="s">
        <v>5027</v>
      </c>
      <c r="C14514" s="2" t="s">
        <v>7279</v>
      </c>
      <c r="D14514" s="3" t="str">
        <f t="shared" ref="D14514:D14516" si="3583">HYPERLINK("https://12go.asia/en/travel/Marawila/Unawatuna", "12Go Link")</f>
        <v>12Go Link</v>
      </c>
      <c r="E14514" s="2" t="s">
        <v>286</v>
      </c>
    </row>
    <row r="14515">
      <c r="A14515" s="2" t="s">
        <v>5011</v>
      </c>
      <c r="B14515" s="2" t="s">
        <v>5027</v>
      </c>
      <c r="C14515" s="2" t="s">
        <v>7279</v>
      </c>
      <c r="D14515" s="3" t="str">
        <f t="shared" si="3583"/>
        <v>12Go Link</v>
      </c>
      <c r="E14515" s="2" t="s">
        <v>4139</v>
      </c>
    </row>
    <row r="14516">
      <c r="A14516" s="2" t="s">
        <v>5011</v>
      </c>
      <c r="B14516" s="2" t="s">
        <v>5027</v>
      </c>
      <c r="C14516" s="2" t="s">
        <v>7279</v>
      </c>
      <c r="D14516" s="3" t="str">
        <f t="shared" si="3583"/>
        <v>12Go Link</v>
      </c>
      <c r="E14516" s="2" t="s">
        <v>3409</v>
      </c>
    </row>
    <row r="14517">
      <c r="A14517" s="2" t="s">
        <v>5011</v>
      </c>
      <c r="B14517" s="2" t="s">
        <v>5029</v>
      </c>
      <c r="C14517" s="2" t="s">
        <v>7280</v>
      </c>
      <c r="D14517" s="3" t="str">
        <f t="shared" ref="D14517:D14519" si="3584">HYPERLINK("https://12go.asia/en/travel/Kalpitiya/Attanagalla", "12Go Link")</f>
        <v>12Go Link</v>
      </c>
      <c r="E14517" s="2" t="s">
        <v>286</v>
      </c>
    </row>
    <row r="14518">
      <c r="A14518" s="2" t="s">
        <v>5011</v>
      </c>
      <c r="B14518" s="2" t="s">
        <v>5029</v>
      </c>
      <c r="C14518" s="2" t="s">
        <v>7280</v>
      </c>
      <c r="D14518" s="3" t="str">
        <f t="shared" si="3584"/>
        <v>12Go Link</v>
      </c>
      <c r="E14518" s="2" t="s">
        <v>4139</v>
      </c>
    </row>
    <row r="14519">
      <c r="A14519" s="2" t="s">
        <v>5011</v>
      </c>
      <c r="B14519" s="2" t="s">
        <v>5029</v>
      </c>
      <c r="C14519" s="2" t="s">
        <v>7280</v>
      </c>
      <c r="D14519" s="3" t="str">
        <f t="shared" si="3584"/>
        <v>12Go Link</v>
      </c>
      <c r="E14519" s="2" t="s">
        <v>3409</v>
      </c>
    </row>
    <row r="14520">
      <c r="A14520" s="2" t="s">
        <v>5011</v>
      </c>
      <c r="B14520" s="2" t="s">
        <v>5029</v>
      </c>
      <c r="C14520" s="2" t="s">
        <v>7281</v>
      </c>
      <c r="D14520" s="3" t="str">
        <f t="shared" ref="D14520:D14522" si="3585">HYPERLINK("https://12go.asia/en/travel/Marawila/Attanagalla", "12Go Link")</f>
        <v>12Go Link</v>
      </c>
      <c r="E14520" s="2" t="s">
        <v>286</v>
      </c>
    </row>
    <row r="14521">
      <c r="A14521" s="2" t="s">
        <v>5011</v>
      </c>
      <c r="B14521" s="2" t="s">
        <v>5029</v>
      </c>
      <c r="C14521" s="2" t="s">
        <v>7281</v>
      </c>
      <c r="D14521" s="3" t="str">
        <f t="shared" si="3585"/>
        <v>12Go Link</v>
      </c>
      <c r="E14521" s="2" t="s">
        <v>4139</v>
      </c>
    </row>
    <row r="14522">
      <c r="A14522" s="2" t="s">
        <v>5011</v>
      </c>
      <c r="B14522" s="2" t="s">
        <v>5029</v>
      </c>
      <c r="C14522" s="2" t="s">
        <v>7281</v>
      </c>
      <c r="D14522" s="3" t="str">
        <f t="shared" si="3585"/>
        <v>12Go Link</v>
      </c>
      <c r="E14522" s="2" t="s">
        <v>3409</v>
      </c>
    </row>
    <row r="14523">
      <c r="A14523" s="2" t="s">
        <v>5011</v>
      </c>
      <c r="B14523" s="2" t="s">
        <v>5031</v>
      </c>
      <c r="C14523" s="2" t="s">
        <v>7282</v>
      </c>
      <c r="D14523" s="3" t="str">
        <f t="shared" ref="D14523:D14525" si="3586">HYPERLINK("https://12go.asia/en/travel/Kalpitiya/Moronthuduwa", "12Go Link")</f>
        <v>12Go Link</v>
      </c>
      <c r="E14523" s="2" t="s">
        <v>286</v>
      </c>
    </row>
    <row r="14524">
      <c r="A14524" s="2" t="s">
        <v>5011</v>
      </c>
      <c r="B14524" s="2" t="s">
        <v>5031</v>
      </c>
      <c r="C14524" s="2" t="s">
        <v>7282</v>
      </c>
      <c r="D14524" s="3" t="str">
        <f t="shared" si="3586"/>
        <v>12Go Link</v>
      </c>
      <c r="E14524" s="2" t="s">
        <v>4139</v>
      </c>
    </row>
    <row r="14525">
      <c r="A14525" s="2" t="s">
        <v>5011</v>
      </c>
      <c r="B14525" s="2" t="s">
        <v>5031</v>
      </c>
      <c r="C14525" s="2" t="s">
        <v>7282</v>
      </c>
      <c r="D14525" s="3" t="str">
        <f t="shared" si="3586"/>
        <v>12Go Link</v>
      </c>
      <c r="E14525" s="2" t="s">
        <v>3409</v>
      </c>
    </row>
    <row r="14526">
      <c r="A14526" s="2" t="s">
        <v>5011</v>
      </c>
      <c r="B14526" s="2" t="s">
        <v>5031</v>
      </c>
      <c r="C14526" s="2" t="s">
        <v>7283</v>
      </c>
      <c r="D14526" s="3" t="str">
        <f t="shared" ref="D14526:D14528" si="3587">HYPERLINK("https://12go.asia/en/travel/Kalpitiya/Waskaduwa", "12Go Link")</f>
        <v>12Go Link</v>
      </c>
      <c r="E14526" s="2" t="s">
        <v>286</v>
      </c>
    </row>
    <row r="14527">
      <c r="A14527" s="2" t="s">
        <v>5011</v>
      </c>
      <c r="B14527" s="2" t="s">
        <v>5031</v>
      </c>
      <c r="C14527" s="2" t="s">
        <v>7283</v>
      </c>
      <c r="D14527" s="3" t="str">
        <f t="shared" si="3587"/>
        <v>12Go Link</v>
      </c>
      <c r="E14527" s="2" t="s">
        <v>4139</v>
      </c>
    </row>
    <row r="14528">
      <c r="A14528" s="2" t="s">
        <v>5011</v>
      </c>
      <c r="B14528" s="2" t="s">
        <v>5031</v>
      </c>
      <c r="C14528" s="2" t="s">
        <v>7283</v>
      </c>
      <c r="D14528" s="3" t="str">
        <f t="shared" si="3587"/>
        <v>12Go Link</v>
      </c>
      <c r="E14528" s="2" t="s">
        <v>3409</v>
      </c>
    </row>
    <row r="14529">
      <c r="A14529" s="2" t="s">
        <v>5011</v>
      </c>
      <c r="B14529" s="2" t="s">
        <v>5031</v>
      </c>
      <c r="C14529" s="2" t="s">
        <v>7284</v>
      </c>
      <c r="D14529" s="3" t="str">
        <f t="shared" ref="D14529:D14531" si="3588">HYPERLINK("https://12go.asia/en/travel/Marawila/Moronthuduwa", "12Go Link")</f>
        <v>12Go Link</v>
      </c>
      <c r="E14529" s="2" t="s">
        <v>286</v>
      </c>
    </row>
    <row r="14530">
      <c r="A14530" s="2" t="s">
        <v>5011</v>
      </c>
      <c r="B14530" s="2" t="s">
        <v>5031</v>
      </c>
      <c r="C14530" s="2" t="s">
        <v>7284</v>
      </c>
      <c r="D14530" s="3" t="str">
        <f t="shared" si="3588"/>
        <v>12Go Link</v>
      </c>
      <c r="E14530" s="2" t="s">
        <v>4139</v>
      </c>
    </row>
    <row r="14531">
      <c r="A14531" s="2" t="s">
        <v>5011</v>
      </c>
      <c r="B14531" s="2" t="s">
        <v>5031</v>
      </c>
      <c r="C14531" s="2" t="s">
        <v>7284</v>
      </c>
      <c r="D14531" s="3" t="str">
        <f t="shared" si="3588"/>
        <v>12Go Link</v>
      </c>
      <c r="E14531" s="2" t="s">
        <v>3409</v>
      </c>
    </row>
    <row r="14532">
      <c r="A14532" s="2" t="s">
        <v>5011</v>
      </c>
      <c r="B14532" s="2" t="s">
        <v>5031</v>
      </c>
      <c r="C14532" s="2" t="s">
        <v>7285</v>
      </c>
      <c r="D14532" s="3" t="str">
        <f t="shared" ref="D14532:D14534" si="3589">HYPERLINK("https://12go.asia/en/travel/Marawila/Waskaduwa", "12Go Link")</f>
        <v>12Go Link</v>
      </c>
      <c r="E14532" s="2" t="s">
        <v>286</v>
      </c>
    </row>
    <row r="14533">
      <c r="A14533" s="2" t="s">
        <v>5011</v>
      </c>
      <c r="B14533" s="2" t="s">
        <v>5031</v>
      </c>
      <c r="C14533" s="2" t="s">
        <v>7285</v>
      </c>
      <c r="D14533" s="3" t="str">
        <f t="shared" si="3589"/>
        <v>12Go Link</v>
      </c>
      <c r="E14533" s="2" t="s">
        <v>4139</v>
      </c>
    </row>
    <row r="14534">
      <c r="A14534" s="2" t="s">
        <v>5011</v>
      </c>
      <c r="B14534" s="2" t="s">
        <v>5031</v>
      </c>
      <c r="C14534" s="2" t="s">
        <v>7285</v>
      </c>
      <c r="D14534" s="3" t="str">
        <f t="shared" si="3589"/>
        <v>12Go Link</v>
      </c>
      <c r="E14534" s="2" t="s">
        <v>3409</v>
      </c>
    </row>
    <row r="14535">
      <c r="A14535" s="2" t="s">
        <v>5011</v>
      </c>
      <c r="B14535" s="2" t="s">
        <v>5034</v>
      </c>
      <c r="C14535" s="2" t="s">
        <v>7286</v>
      </c>
      <c r="D14535" s="3" t="str">
        <f t="shared" ref="D14535:D14537" si="3590">HYPERLINK("https://12go.asia/en/travel/Kalpitiya/Weddagala", "12Go Link")</f>
        <v>12Go Link</v>
      </c>
      <c r="E14535" s="2" t="s">
        <v>286</v>
      </c>
    </row>
    <row r="14536">
      <c r="A14536" s="2" t="s">
        <v>5011</v>
      </c>
      <c r="B14536" s="2" t="s">
        <v>5034</v>
      </c>
      <c r="C14536" s="2" t="s">
        <v>7286</v>
      </c>
      <c r="D14536" s="3" t="str">
        <f t="shared" si="3590"/>
        <v>12Go Link</v>
      </c>
      <c r="E14536" s="2" t="s">
        <v>4139</v>
      </c>
    </row>
    <row r="14537">
      <c r="A14537" s="2" t="s">
        <v>5011</v>
      </c>
      <c r="B14537" s="2" t="s">
        <v>5034</v>
      </c>
      <c r="C14537" s="2" t="s">
        <v>7286</v>
      </c>
      <c r="D14537" s="3" t="str">
        <f t="shared" si="3590"/>
        <v>12Go Link</v>
      </c>
      <c r="E14537" s="2" t="s">
        <v>3409</v>
      </c>
    </row>
    <row r="14538">
      <c r="A14538" s="2" t="s">
        <v>5011</v>
      </c>
      <c r="B14538" s="2" t="s">
        <v>5034</v>
      </c>
      <c r="C14538" s="2" t="s">
        <v>7287</v>
      </c>
      <c r="D14538" s="3" t="str">
        <f t="shared" ref="D14538:D14540" si="3591">HYPERLINK("https://12go.asia/en/travel/Marawila/Weddagala", "12Go Link")</f>
        <v>12Go Link</v>
      </c>
      <c r="E14538" s="2" t="s">
        <v>286</v>
      </c>
    </row>
    <row r="14539">
      <c r="A14539" s="2" t="s">
        <v>5011</v>
      </c>
      <c r="B14539" s="2" t="s">
        <v>5034</v>
      </c>
      <c r="C14539" s="2" t="s">
        <v>7287</v>
      </c>
      <c r="D14539" s="3" t="str">
        <f t="shared" si="3591"/>
        <v>12Go Link</v>
      </c>
      <c r="E14539" s="2" t="s">
        <v>4139</v>
      </c>
    </row>
    <row r="14540">
      <c r="A14540" s="2" t="s">
        <v>5011</v>
      </c>
      <c r="B14540" s="2" t="s">
        <v>5034</v>
      </c>
      <c r="C14540" s="2" t="s">
        <v>7287</v>
      </c>
      <c r="D14540" s="3" t="str">
        <f t="shared" si="3591"/>
        <v>12Go Link</v>
      </c>
      <c r="E14540" s="2" t="s">
        <v>3409</v>
      </c>
    </row>
    <row r="14541">
      <c r="A14541" s="2" t="s">
        <v>5011</v>
      </c>
      <c r="B14541" s="2" t="s">
        <v>5036</v>
      </c>
      <c r="C14541" s="2" t="s">
        <v>7288</v>
      </c>
      <c r="D14541" s="3" t="str">
        <f t="shared" ref="D14541:D14543" si="3592">HYPERLINK("https://12go.asia/en/travel/Kalpitiya/Weligatta", "12Go Link")</f>
        <v>12Go Link</v>
      </c>
      <c r="E14541" s="2" t="s">
        <v>286</v>
      </c>
    </row>
    <row r="14542">
      <c r="A14542" s="2" t="s">
        <v>5011</v>
      </c>
      <c r="B14542" s="2" t="s">
        <v>5036</v>
      </c>
      <c r="C14542" s="2" t="s">
        <v>7288</v>
      </c>
      <c r="D14542" s="3" t="str">
        <f t="shared" si="3592"/>
        <v>12Go Link</v>
      </c>
      <c r="E14542" s="2" t="s">
        <v>4139</v>
      </c>
    </row>
    <row r="14543">
      <c r="A14543" s="2" t="s">
        <v>5011</v>
      </c>
      <c r="B14543" s="2" t="s">
        <v>5036</v>
      </c>
      <c r="C14543" s="2" t="s">
        <v>7288</v>
      </c>
      <c r="D14543" s="3" t="str">
        <f t="shared" si="3592"/>
        <v>12Go Link</v>
      </c>
      <c r="E14543" s="2" t="s">
        <v>3409</v>
      </c>
    </row>
    <row r="14544">
      <c r="A14544" s="2" t="s">
        <v>5011</v>
      </c>
      <c r="B14544" s="2" t="s">
        <v>5036</v>
      </c>
      <c r="C14544" s="2" t="s">
        <v>7289</v>
      </c>
      <c r="D14544" s="3" t="str">
        <f t="shared" ref="D14544:D14546" si="3593">HYPERLINK("https://12go.asia/en/travel/Marawila/Weligatta", "12Go Link")</f>
        <v>12Go Link</v>
      </c>
      <c r="E14544" s="2" t="s">
        <v>286</v>
      </c>
    </row>
    <row r="14545">
      <c r="A14545" s="2" t="s">
        <v>5011</v>
      </c>
      <c r="B14545" s="2" t="s">
        <v>5036</v>
      </c>
      <c r="C14545" s="2" t="s">
        <v>7289</v>
      </c>
      <c r="D14545" s="3" t="str">
        <f t="shared" si="3593"/>
        <v>12Go Link</v>
      </c>
      <c r="E14545" s="2" t="s">
        <v>4139</v>
      </c>
    </row>
    <row r="14546">
      <c r="A14546" s="2" t="s">
        <v>5011</v>
      </c>
      <c r="B14546" s="2" t="s">
        <v>5036</v>
      </c>
      <c r="C14546" s="2" t="s">
        <v>7289</v>
      </c>
      <c r="D14546" s="3" t="str">
        <f t="shared" si="3593"/>
        <v>12Go Link</v>
      </c>
      <c r="E14546" s="2" t="s">
        <v>3409</v>
      </c>
    </row>
    <row r="14547">
      <c r="A14547" s="2" t="s">
        <v>5011</v>
      </c>
      <c r="B14547" s="2" t="s">
        <v>5038</v>
      </c>
      <c r="C14547" s="2" t="s">
        <v>7290</v>
      </c>
      <c r="D14547" s="3" t="str">
        <f t="shared" ref="D14547:D14549" si="3594">HYPERLINK("https://12go.asia/en/travel/Kalpitiya/Akuressa", "12Go Link")</f>
        <v>12Go Link</v>
      </c>
      <c r="E14547" s="2" t="s">
        <v>286</v>
      </c>
    </row>
    <row r="14548">
      <c r="A14548" s="2" t="s">
        <v>5011</v>
      </c>
      <c r="B14548" s="2" t="s">
        <v>5038</v>
      </c>
      <c r="C14548" s="2" t="s">
        <v>7290</v>
      </c>
      <c r="D14548" s="3" t="str">
        <f t="shared" si="3594"/>
        <v>12Go Link</v>
      </c>
      <c r="E14548" s="2" t="s">
        <v>4139</v>
      </c>
    </row>
    <row r="14549">
      <c r="A14549" s="2" t="s">
        <v>5011</v>
      </c>
      <c r="B14549" s="2" t="s">
        <v>5038</v>
      </c>
      <c r="C14549" s="2" t="s">
        <v>7290</v>
      </c>
      <c r="D14549" s="3" t="str">
        <f t="shared" si="3594"/>
        <v>12Go Link</v>
      </c>
      <c r="E14549" s="2" t="s">
        <v>3409</v>
      </c>
    </row>
    <row r="14550">
      <c r="A14550" s="2" t="s">
        <v>5011</v>
      </c>
      <c r="B14550" s="2" t="s">
        <v>5038</v>
      </c>
      <c r="C14550" s="2" t="s">
        <v>7291</v>
      </c>
      <c r="D14550" s="3" t="str">
        <f t="shared" ref="D14550:D14552" si="3595">HYPERLINK("https://12go.asia/en/travel/Marawila/Akuressa", "12Go Link")</f>
        <v>12Go Link</v>
      </c>
      <c r="E14550" s="2" t="s">
        <v>286</v>
      </c>
    </row>
    <row r="14551">
      <c r="A14551" s="2" t="s">
        <v>5011</v>
      </c>
      <c r="B14551" s="2" t="s">
        <v>5038</v>
      </c>
      <c r="C14551" s="2" t="s">
        <v>7291</v>
      </c>
      <c r="D14551" s="3" t="str">
        <f t="shared" si="3595"/>
        <v>12Go Link</v>
      </c>
      <c r="E14551" s="2" t="s">
        <v>4139</v>
      </c>
    </row>
    <row r="14552">
      <c r="A14552" s="2" t="s">
        <v>5011</v>
      </c>
      <c r="B14552" s="2" t="s">
        <v>5038</v>
      </c>
      <c r="C14552" s="2" t="s">
        <v>7291</v>
      </c>
      <c r="D14552" s="3" t="str">
        <f t="shared" si="3595"/>
        <v>12Go Link</v>
      </c>
      <c r="E14552" s="2" t="s">
        <v>3409</v>
      </c>
    </row>
    <row r="14553">
      <c r="A14553" s="2" t="s">
        <v>5011</v>
      </c>
      <c r="B14553" s="2" t="s">
        <v>5040</v>
      </c>
      <c r="C14553" s="2" t="s">
        <v>7292</v>
      </c>
      <c r="D14553" s="3" t="str">
        <f t="shared" ref="D14553:D14555" si="3596">HYPERLINK("https://12go.asia/en/travel/Kalpitiya/Wilpattu", "12Go Link")</f>
        <v>12Go Link</v>
      </c>
      <c r="E14553" s="2" t="s">
        <v>286</v>
      </c>
    </row>
    <row r="14554">
      <c r="A14554" s="2" t="s">
        <v>5011</v>
      </c>
      <c r="B14554" s="2" t="s">
        <v>5040</v>
      </c>
      <c r="C14554" s="2" t="s">
        <v>7292</v>
      </c>
      <c r="D14554" s="3" t="str">
        <f t="shared" si="3596"/>
        <v>12Go Link</v>
      </c>
      <c r="E14554" s="2" t="s">
        <v>4139</v>
      </c>
    </row>
    <row r="14555">
      <c r="A14555" s="2" t="s">
        <v>5011</v>
      </c>
      <c r="B14555" s="2" t="s">
        <v>5040</v>
      </c>
      <c r="C14555" s="2" t="s">
        <v>7292</v>
      </c>
      <c r="D14555" s="3" t="str">
        <f t="shared" si="3596"/>
        <v>12Go Link</v>
      </c>
      <c r="E14555" s="2" t="s">
        <v>3409</v>
      </c>
    </row>
    <row r="14556">
      <c r="A14556" s="2" t="s">
        <v>5011</v>
      </c>
      <c r="B14556" s="2" t="s">
        <v>5040</v>
      </c>
      <c r="C14556" s="2" t="s">
        <v>7293</v>
      </c>
      <c r="D14556" s="3" t="str">
        <f t="shared" ref="D14556:D14558" si="3597">HYPERLINK("https://12go.asia/en/travel/Marawila/Wilpattu", "12Go Link")</f>
        <v>12Go Link</v>
      </c>
      <c r="E14556" s="2" t="s">
        <v>286</v>
      </c>
    </row>
    <row r="14557">
      <c r="A14557" s="2" t="s">
        <v>5011</v>
      </c>
      <c r="B14557" s="2" t="s">
        <v>5040</v>
      </c>
      <c r="C14557" s="2" t="s">
        <v>7293</v>
      </c>
      <c r="D14557" s="3" t="str">
        <f t="shared" si="3597"/>
        <v>12Go Link</v>
      </c>
      <c r="E14557" s="2" t="s">
        <v>4139</v>
      </c>
    </row>
    <row r="14558">
      <c r="A14558" s="2" t="s">
        <v>5011</v>
      </c>
      <c r="B14558" s="2" t="s">
        <v>5040</v>
      </c>
      <c r="C14558" s="2" t="s">
        <v>7293</v>
      </c>
      <c r="D14558" s="3" t="str">
        <f t="shared" si="3597"/>
        <v>12Go Link</v>
      </c>
      <c r="E14558" s="2" t="s">
        <v>3409</v>
      </c>
    </row>
    <row r="14559">
      <c r="A14559" s="2" t="s">
        <v>5014</v>
      </c>
      <c r="B14559" s="2" t="s">
        <v>4918</v>
      </c>
      <c r="C14559" s="2" t="s">
        <v>7294</v>
      </c>
      <c r="D14559" s="3" t="str">
        <f t="shared" ref="D14559:D14561" si="3598">HYPERLINK("https://12go.asia/en/travel/Kiriella/Adams-Peak", "12Go Link")</f>
        <v>12Go Link</v>
      </c>
      <c r="E14559" s="2" t="s">
        <v>286</v>
      </c>
    </row>
    <row r="14560">
      <c r="A14560" s="2" t="s">
        <v>5014</v>
      </c>
      <c r="B14560" s="2" t="s">
        <v>4918</v>
      </c>
      <c r="C14560" s="2" t="s">
        <v>7294</v>
      </c>
      <c r="D14560" s="3" t="str">
        <f t="shared" si="3598"/>
        <v>12Go Link</v>
      </c>
      <c r="E14560" s="2" t="s">
        <v>4139</v>
      </c>
    </row>
    <row r="14561">
      <c r="A14561" s="2" t="s">
        <v>5014</v>
      </c>
      <c r="B14561" s="2" t="s">
        <v>4918</v>
      </c>
      <c r="C14561" s="2" t="s">
        <v>7294</v>
      </c>
      <c r="D14561" s="3" t="str">
        <f t="shared" si="3598"/>
        <v>12Go Link</v>
      </c>
      <c r="E14561" s="2" t="s">
        <v>3409</v>
      </c>
    </row>
    <row r="14562">
      <c r="A14562" s="2" t="s">
        <v>5014</v>
      </c>
      <c r="B14562" s="2" t="s">
        <v>4919</v>
      </c>
      <c r="C14562" s="2" t="s">
        <v>7295</v>
      </c>
      <c r="D14562" s="3" t="str">
        <f t="shared" ref="D14562:D14564" si="3599">HYPERLINK("https://12go.asia/en/travel/Kiriella/Ahangama", "12Go Link")</f>
        <v>12Go Link</v>
      </c>
      <c r="E14562" s="2" t="s">
        <v>286</v>
      </c>
    </row>
    <row r="14563">
      <c r="A14563" s="2" t="s">
        <v>5014</v>
      </c>
      <c r="B14563" s="2" t="s">
        <v>4919</v>
      </c>
      <c r="C14563" s="2" t="s">
        <v>7295</v>
      </c>
      <c r="D14563" s="3" t="str">
        <f t="shared" si="3599"/>
        <v>12Go Link</v>
      </c>
      <c r="E14563" s="2" t="s">
        <v>4139</v>
      </c>
    </row>
    <row r="14564">
      <c r="A14564" s="2" t="s">
        <v>5014</v>
      </c>
      <c r="B14564" s="2" t="s">
        <v>4919</v>
      </c>
      <c r="C14564" s="2" t="s">
        <v>7295</v>
      </c>
      <c r="D14564" s="3" t="str">
        <f t="shared" si="3599"/>
        <v>12Go Link</v>
      </c>
      <c r="E14564" s="2" t="s">
        <v>3409</v>
      </c>
    </row>
    <row r="14565">
      <c r="A14565" s="2" t="s">
        <v>5014</v>
      </c>
      <c r="B14565" s="2" t="s">
        <v>4921</v>
      </c>
      <c r="C14565" s="2" t="s">
        <v>7296</v>
      </c>
      <c r="D14565" s="3" t="str">
        <f t="shared" ref="D14565:D14567" si="3600">HYPERLINK("https://12go.asia/en/travel/Kiriella/Ahungalla", "12Go Link")</f>
        <v>12Go Link</v>
      </c>
      <c r="E14565" s="2" t="s">
        <v>286</v>
      </c>
    </row>
    <row r="14566">
      <c r="A14566" s="2" t="s">
        <v>5014</v>
      </c>
      <c r="B14566" s="2" t="s">
        <v>4921</v>
      </c>
      <c r="C14566" s="2" t="s">
        <v>7296</v>
      </c>
      <c r="D14566" s="3" t="str">
        <f t="shared" si="3600"/>
        <v>12Go Link</v>
      </c>
      <c r="E14566" s="2" t="s">
        <v>4139</v>
      </c>
    </row>
    <row r="14567">
      <c r="A14567" s="2" t="s">
        <v>5014</v>
      </c>
      <c r="B14567" s="2" t="s">
        <v>4921</v>
      </c>
      <c r="C14567" s="2" t="s">
        <v>7296</v>
      </c>
      <c r="D14567" s="3" t="str">
        <f t="shared" si="3600"/>
        <v>12Go Link</v>
      </c>
      <c r="E14567" s="2" t="s">
        <v>3409</v>
      </c>
    </row>
    <row r="14568">
      <c r="A14568" s="2" t="s">
        <v>5014</v>
      </c>
      <c r="B14568" s="2" t="s">
        <v>4923</v>
      </c>
      <c r="C14568" s="2" t="s">
        <v>7297</v>
      </c>
      <c r="D14568" s="3" t="str">
        <f t="shared" ref="D14568:D14570" si="3601">HYPERLINK("https://12go.asia/en/travel/Kiriella/Aluthgama", "12Go Link")</f>
        <v>12Go Link</v>
      </c>
      <c r="E14568" s="2" t="s">
        <v>286</v>
      </c>
    </row>
    <row r="14569">
      <c r="A14569" s="2" t="s">
        <v>5014</v>
      </c>
      <c r="B14569" s="2" t="s">
        <v>4923</v>
      </c>
      <c r="C14569" s="2" t="s">
        <v>7297</v>
      </c>
      <c r="D14569" s="3" t="str">
        <f t="shared" si="3601"/>
        <v>12Go Link</v>
      </c>
      <c r="E14569" s="2" t="s">
        <v>4139</v>
      </c>
    </row>
    <row r="14570">
      <c r="A14570" s="2" t="s">
        <v>5014</v>
      </c>
      <c r="B14570" s="2" t="s">
        <v>4923</v>
      </c>
      <c r="C14570" s="2" t="s">
        <v>7297</v>
      </c>
      <c r="D14570" s="3" t="str">
        <f t="shared" si="3601"/>
        <v>12Go Link</v>
      </c>
      <c r="E14570" s="2" t="s">
        <v>3409</v>
      </c>
    </row>
    <row r="14571">
      <c r="A14571" s="2" t="s">
        <v>5014</v>
      </c>
      <c r="B14571" s="2" t="s">
        <v>4925</v>
      </c>
      <c r="C14571" s="2" t="s">
        <v>7298</v>
      </c>
      <c r="D14571" s="3" t="str">
        <f t="shared" ref="D14571:D14573" si="3602">HYPERLINK("https://12go.asia/en/travel/Kiriella/Ambalangoda", "12Go Link")</f>
        <v>12Go Link</v>
      </c>
      <c r="E14571" s="2" t="s">
        <v>286</v>
      </c>
    </row>
    <row r="14572">
      <c r="A14572" s="2" t="s">
        <v>5014</v>
      </c>
      <c r="B14572" s="2" t="s">
        <v>4925</v>
      </c>
      <c r="C14572" s="2" t="s">
        <v>7298</v>
      </c>
      <c r="D14572" s="3" t="str">
        <f t="shared" si="3602"/>
        <v>12Go Link</v>
      </c>
      <c r="E14572" s="2" t="s">
        <v>4139</v>
      </c>
    </row>
    <row r="14573">
      <c r="A14573" s="2" t="s">
        <v>5014</v>
      </c>
      <c r="B14573" s="2" t="s">
        <v>4925</v>
      </c>
      <c r="C14573" s="2" t="s">
        <v>7298</v>
      </c>
      <c r="D14573" s="3" t="str">
        <f t="shared" si="3602"/>
        <v>12Go Link</v>
      </c>
      <c r="E14573" s="2" t="s">
        <v>3409</v>
      </c>
    </row>
    <row r="14574">
      <c r="A14574" s="2" t="s">
        <v>5014</v>
      </c>
      <c r="B14574" s="2" t="s">
        <v>4927</v>
      </c>
      <c r="C14574" s="2" t="s">
        <v>7299</v>
      </c>
      <c r="D14574" s="3" t="str">
        <f t="shared" ref="D14574:D14576" si="3603">HYPERLINK("https://12go.asia/en/travel/Kiriella/Ambalantota", "12Go Link")</f>
        <v>12Go Link</v>
      </c>
      <c r="E14574" s="2" t="s">
        <v>286</v>
      </c>
    </row>
    <row r="14575">
      <c r="A14575" s="2" t="s">
        <v>5014</v>
      </c>
      <c r="B14575" s="2" t="s">
        <v>4927</v>
      </c>
      <c r="C14575" s="2" t="s">
        <v>7299</v>
      </c>
      <c r="D14575" s="3" t="str">
        <f t="shared" si="3603"/>
        <v>12Go Link</v>
      </c>
      <c r="E14575" s="2" t="s">
        <v>4139</v>
      </c>
    </row>
    <row r="14576">
      <c r="A14576" s="2" t="s">
        <v>5014</v>
      </c>
      <c r="B14576" s="2" t="s">
        <v>4927</v>
      </c>
      <c r="C14576" s="2" t="s">
        <v>7299</v>
      </c>
      <c r="D14576" s="3" t="str">
        <f t="shared" si="3603"/>
        <v>12Go Link</v>
      </c>
      <c r="E14576" s="2" t="s">
        <v>3409</v>
      </c>
    </row>
    <row r="14577">
      <c r="A14577" s="2" t="s">
        <v>5014</v>
      </c>
      <c r="B14577" s="2" t="s">
        <v>4929</v>
      </c>
      <c r="C14577" s="2" t="s">
        <v>7300</v>
      </c>
      <c r="D14577" s="3" t="str">
        <f t="shared" ref="D14577:D14579" si="3604">HYPERLINK("https://12go.asia/en/travel/Kiriella/Anuradhapura", "12Go Link")</f>
        <v>12Go Link</v>
      </c>
      <c r="E14577" s="2" t="s">
        <v>286</v>
      </c>
    </row>
    <row r="14578">
      <c r="A14578" s="2" t="s">
        <v>5014</v>
      </c>
      <c r="B14578" s="2" t="s">
        <v>4929</v>
      </c>
      <c r="C14578" s="2" t="s">
        <v>7300</v>
      </c>
      <c r="D14578" s="3" t="str">
        <f t="shared" si="3604"/>
        <v>12Go Link</v>
      </c>
      <c r="E14578" s="2" t="s">
        <v>4139</v>
      </c>
    </row>
    <row r="14579">
      <c r="A14579" s="2" t="s">
        <v>5014</v>
      </c>
      <c r="B14579" s="2" t="s">
        <v>4929</v>
      </c>
      <c r="C14579" s="2" t="s">
        <v>7300</v>
      </c>
      <c r="D14579" s="3" t="str">
        <f t="shared" si="3604"/>
        <v>12Go Link</v>
      </c>
      <c r="E14579" s="2" t="s">
        <v>3409</v>
      </c>
    </row>
    <row r="14580">
      <c r="A14580" s="2" t="s">
        <v>5014</v>
      </c>
      <c r="B14580" s="2" t="s">
        <v>4931</v>
      </c>
      <c r="C14580" s="2" t="s">
        <v>7301</v>
      </c>
      <c r="D14580" s="3" t="str">
        <f t="shared" ref="D14580:D14582" si="3605">HYPERLINK("https://12go.asia/en/travel/Kiriella/Arugam-bay", "12Go Link")</f>
        <v>12Go Link</v>
      </c>
      <c r="E14580" s="2" t="s">
        <v>286</v>
      </c>
    </row>
    <row r="14581">
      <c r="A14581" s="2" t="s">
        <v>5014</v>
      </c>
      <c r="B14581" s="2" t="s">
        <v>4931</v>
      </c>
      <c r="C14581" s="2" t="s">
        <v>7301</v>
      </c>
      <c r="D14581" s="3" t="str">
        <f t="shared" si="3605"/>
        <v>12Go Link</v>
      </c>
      <c r="E14581" s="2" t="s">
        <v>4139</v>
      </c>
    </row>
    <row r="14582">
      <c r="A14582" s="2" t="s">
        <v>5014</v>
      </c>
      <c r="B14582" s="2" t="s">
        <v>4931</v>
      </c>
      <c r="C14582" s="2" t="s">
        <v>7301</v>
      </c>
      <c r="D14582" s="3" t="str">
        <f t="shared" si="3605"/>
        <v>12Go Link</v>
      </c>
      <c r="E14582" s="2" t="s">
        <v>3409</v>
      </c>
    </row>
    <row r="14583">
      <c r="A14583" s="2" t="s">
        <v>5014</v>
      </c>
      <c r="B14583" s="2" t="s">
        <v>4933</v>
      </c>
      <c r="C14583" s="2" t="s">
        <v>7302</v>
      </c>
      <c r="D14583" s="3" t="str">
        <f t="shared" ref="D14583:D14585" si="3606">HYPERLINK("https://12go.asia/en/travel/Kiriella/balapitiya", "12Go Link")</f>
        <v>12Go Link</v>
      </c>
      <c r="E14583" s="2" t="s">
        <v>286</v>
      </c>
    </row>
    <row r="14584">
      <c r="A14584" s="2" t="s">
        <v>5014</v>
      </c>
      <c r="B14584" s="2" t="s">
        <v>4933</v>
      </c>
      <c r="C14584" s="2" t="s">
        <v>7302</v>
      </c>
      <c r="D14584" s="3" t="str">
        <f t="shared" si="3606"/>
        <v>12Go Link</v>
      </c>
      <c r="E14584" s="2" t="s">
        <v>4139</v>
      </c>
    </row>
    <row r="14585">
      <c r="A14585" s="2" t="s">
        <v>5014</v>
      </c>
      <c r="B14585" s="2" t="s">
        <v>4933</v>
      </c>
      <c r="C14585" s="2" t="s">
        <v>7302</v>
      </c>
      <c r="D14585" s="3" t="str">
        <f t="shared" si="3606"/>
        <v>12Go Link</v>
      </c>
      <c r="E14585" s="2" t="s">
        <v>3409</v>
      </c>
    </row>
    <row r="14586">
      <c r="A14586" s="2" t="s">
        <v>5014</v>
      </c>
      <c r="B14586" s="2" t="s">
        <v>4935</v>
      </c>
      <c r="C14586" s="2" t="s">
        <v>7303</v>
      </c>
      <c r="D14586" s="3" t="str">
        <f t="shared" ref="D14586:D14588" si="3607">HYPERLINK("https://12go.asia/en/travel/Kiriella/Batticaloa", "12Go Link")</f>
        <v>12Go Link</v>
      </c>
      <c r="E14586" s="2" t="s">
        <v>286</v>
      </c>
    </row>
    <row r="14587">
      <c r="A14587" s="2" t="s">
        <v>5014</v>
      </c>
      <c r="B14587" s="2" t="s">
        <v>4935</v>
      </c>
      <c r="C14587" s="2" t="s">
        <v>7303</v>
      </c>
      <c r="D14587" s="3" t="str">
        <f t="shared" si="3607"/>
        <v>12Go Link</v>
      </c>
      <c r="E14587" s="2" t="s">
        <v>4139</v>
      </c>
    </row>
    <row r="14588">
      <c r="A14588" s="2" t="s">
        <v>5014</v>
      </c>
      <c r="B14588" s="2" t="s">
        <v>4935</v>
      </c>
      <c r="C14588" s="2" t="s">
        <v>7303</v>
      </c>
      <c r="D14588" s="3" t="str">
        <f t="shared" si="3607"/>
        <v>12Go Link</v>
      </c>
      <c r="E14588" s="2" t="s">
        <v>3409</v>
      </c>
    </row>
    <row r="14589">
      <c r="A14589" s="2" t="s">
        <v>5014</v>
      </c>
      <c r="B14589" s="2" t="s">
        <v>4937</v>
      </c>
      <c r="C14589" s="2" t="s">
        <v>7304</v>
      </c>
      <c r="D14589" s="3" t="str">
        <f t="shared" ref="D14589:D14591" si="3608">HYPERLINK("https://12go.asia/en/travel/Kiriella/Bentota", "12Go Link")</f>
        <v>12Go Link</v>
      </c>
      <c r="E14589" s="2" t="s">
        <v>286</v>
      </c>
    </row>
    <row r="14590">
      <c r="A14590" s="2" t="s">
        <v>5014</v>
      </c>
      <c r="B14590" s="2" t="s">
        <v>4937</v>
      </c>
      <c r="C14590" s="2" t="s">
        <v>7304</v>
      </c>
      <c r="D14590" s="3" t="str">
        <f t="shared" si="3608"/>
        <v>12Go Link</v>
      </c>
      <c r="E14590" s="2" t="s">
        <v>4139</v>
      </c>
    </row>
    <row r="14591">
      <c r="A14591" s="2" t="s">
        <v>5014</v>
      </c>
      <c r="B14591" s="2" t="s">
        <v>4937</v>
      </c>
      <c r="C14591" s="2" t="s">
        <v>7304</v>
      </c>
      <c r="D14591" s="3" t="str">
        <f t="shared" si="3608"/>
        <v>12Go Link</v>
      </c>
      <c r="E14591" s="2" t="s">
        <v>3409</v>
      </c>
    </row>
    <row r="14592">
      <c r="A14592" s="2" t="s">
        <v>5014</v>
      </c>
      <c r="B14592" s="2" t="s">
        <v>4939</v>
      </c>
      <c r="C14592" s="2" t="s">
        <v>7305</v>
      </c>
      <c r="D14592" s="3" t="str">
        <f t="shared" ref="D14592:D14594" si="3609">HYPERLINK("https://12go.asia/en/travel/Kiriella/Beruwala", "12Go Link")</f>
        <v>12Go Link</v>
      </c>
      <c r="E14592" s="2" t="s">
        <v>286</v>
      </c>
    </row>
    <row r="14593">
      <c r="A14593" s="2" t="s">
        <v>5014</v>
      </c>
      <c r="B14593" s="2" t="s">
        <v>4939</v>
      </c>
      <c r="C14593" s="2" t="s">
        <v>7305</v>
      </c>
      <c r="D14593" s="3" t="str">
        <f t="shared" si="3609"/>
        <v>12Go Link</v>
      </c>
      <c r="E14593" s="2" t="s">
        <v>4139</v>
      </c>
    </row>
    <row r="14594">
      <c r="A14594" s="2" t="s">
        <v>5014</v>
      </c>
      <c r="B14594" s="2" t="s">
        <v>4939</v>
      </c>
      <c r="C14594" s="2" t="s">
        <v>7305</v>
      </c>
      <c r="D14594" s="3" t="str">
        <f t="shared" si="3609"/>
        <v>12Go Link</v>
      </c>
      <c r="E14594" s="2" t="s">
        <v>3409</v>
      </c>
    </row>
    <row r="14595">
      <c r="A14595" s="2" t="s">
        <v>5014</v>
      </c>
      <c r="B14595" s="2" t="s">
        <v>4941</v>
      </c>
      <c r="C14595" s="2" t="s">
        <v>7306</v>
      </c>
      <c r="D14595" s="3" t="str">
        <f t="shared" ref="D14595:D14597" si="3610">HYPERLINK("https://12go.asia/en/travel/Kiriella/Bundala", "12Go Link")</f>
        <v>12Go Link</v>
      </c>
      <c r="E14595" s="2" t="s">
        <v>286</v>
      </c>
    </row>
    <row r="14596">
      <c r="A14596" s="2" t="s">
        <v>5014</v>
      </c>
      <c r="B14596" s="2" t="s">
        <v>4941</v>
      </c>
      <c r="C14596" s="2" t="s">
        <v>7306</v>
      </c>
      <c r="D14596" s="3" t="str">
        <f t="shared" si="3610"/>
        <v>12Go Link</v>
      </c>
      <c r="E14596" s="2" t="s">
        <v>4139</v>
      </c>
    </row>
    <row r="14597">
      <c r="A14597" s="2" t="s">
        <v>5014</v>
      </c>
      <c r="B14597" s="2" t="s">
        <v>4941</v>
      </c>
      <c r="C14597" s="2" t="s">
        <v>7306</v>
      </c>
      <c r="D14597" s="3" t="str">
        <f t="shared" si="3610"/>
        <v>12Go Link</v>
      </c>
      <c r="E14597" s="2" t="s">
        <v>3409</v>
      </c>
    </row>
    <row r="14598">
      <c r="A14598" s="2" t="s">
        <v>5014</v>
      </c>
      <c r="B14598" s="2" t="s">
        <v>4943</v>
      </c>
      <c r="C14598" s="2" t="s">
        <v>7307</v>
      </c>
      <c r="D14598" s="3" t="str">
        <f t="shared" ref="D14598:D14600" si="3611">HYPERLINK("https://12go.asia/en/travel/Kiriella/Bambalapitiya", "12Go Link")</f>
        <v>12Go Link</v>
      </c>
      <c r="E14598" s="2" t="s">
        <v>286</v>
      </c>
    </row>
    <row r="14599">
      <c r="A14599" s="2" t="s">
        <v>5014</v>
      </c>
      <c r="B14599" s="2" t="s">
        <v>4943</v>
      </c>
      <c r="C14599" s="2" t="s">
        <v>7307</v>
      </c>
      <c r="D14599" s="3" t="str">
        <f t="shared" si="3611"/>
        <v>12Go Link</v>
      </c>
      <c r="E14599" s="2" t="s">
        <v>4139</v>
      </c>
    </row>
    <row r="14600">
      <c r="A14600" s="2" t="s">
        <v>5014</v>
      </c>
      <c r="B14600" s="2" t="s">
        <v>4943</v>
      </c>
      <c r="C14600" s="2" t="s">
        <v>7307</v>
      </c>
      <c r="D14600" s="3" t="str">
        <f t="shared" si="3611"/>
        <v>12Go Link</v>
      </c>
      <c r="E14600" s="2" t="s">
        <v>3409</v>
      </c>
    </row>
    <row r="14601">
      <c r="A14601" s="2" t="s">
        <v>5014</v>
      </c>
      <c r="B14601" s="2" t="s">
        <v>4945</v>
      </c>
      <c r="C14601" s="2" t="s">
        <v>7308</v>
      </c>
      <c r="D14601" s="3" t="str">
        <f t="shared" ref="D14601:D14603" si="3612">HYPERLINK("https://12go.asia/en/travel/Kiriella/Bandaranaike-Airport", "12Go Link")</f>
        <v>12Go Link</v>
      </c>
      <c r="E14601" s="2" t="s">
        <v>286</v>
      </c>
    </row>
    <row r="14602">
      <c r="A14602" s="2" t="s">
        <v>5014</v>
      </c>
      <c r="B14602" s="2" t="s">
        <v>4945</v>
      </c>
      <c r="C14602" s="2" t="s">
        <v>7308</v>
      </c>
      <c r="D14602" s="3" t="str">
        <f t="shared" si="3612"/>
        <v>12Go Link</v>
      </c>
      <c r="E14602" s="2" t="s">
        <v>4139</v>
      </c>
    </row>
    <row r="14603">
      <c r="A14603" s="2" t="s">
        <v>5014</v>
      </c>
      <c r="B14603" s="2" t="s">
        <v>4945</v>
      </c>
      <c r="C14603" s="2" t="s">
        <v>7308</v>
      </c>
      <c r="D14603" s="3" t="str">
        <f t="shared" si="3612"/>
        <v>12Go Link</v>
      </c>
      <c r="E14603" s="2" t="s">
        <v>3409</v>
      </c>
    </row>
    <row r="14604">
      <c r="A14604" s="2" t="s">
        <v>5014</v>
      </c>
      <c r="B14604" s="2" t="s">
        <v>4947</v>
      </c>
      <c r="C14604" s="2" t="s">
        <v>7309</v>
      </c>
      <c r="D14604" s="3" t="str">
        <f t="shared" ref="D14604:D14606" si="3613">HYPERLINK("https://12go.asia/en/travel/Kiriella/Dambulla", "12Go Link")</f>
        <v>12Go Link</v>
      </c>
      <c r="E14604" s="2" t="s">
        <v>286</v>
      </c>
    </row>
    <row r="14605">
      <c r="A14605" s="2" t="s">
        <v>5014</v>
      </c>
      <c r="B14605" s="2" t="s">
        <v>4947</v>
      </c>
      <c r="C14605" s="2" t="s">
        <v>7309</v>
      </c>
      <c r="D14605" s="3" t="str">
        <f t="shared" si="3613"/>
        <v>12Go Link</v>
      </c>
      <c r="E14605" s="2" t="s">
        <v>4139</v>
      </c>
    </row>
    <row r="14606">
      <c r="A14606" s="2" t="s">
        <v>5014</v>
      </c>
      <c r="B14606" s="2" t="s">
        <v>4947</v>
      </c>
      <c r="C14606" s="2" t="s">
        <v>7309</v>
      </c>
      <c r="D14606" s="3" t="str">
        <f t="shared" si="3613"/>
        <v>12Go Link</v>
      </c>
      <c r="E14606" s="2" t="s">
        <v>3409</v>
      </c>
    </row>
    <row r="14607">
      <c r="A14607" s="2" t="s">
        <v>5014</v>
      </c>
      <c r="B14607" s="2" t="s">
        <v>4949</v>
      </c>
      <c r="C14607" s="2" t="s">
        <v>7310</v>
      </c>
      <c r="D14607" s="3" t="str">
        <f t="shared" ref="D14607:D14609" si="3614">HYPERLINK("https://12go.asia/en/travel/Kiriella/Deniyaya", "12Go Link")</f>
        <v>12Go Link</v>
      </c>
      <c r="E14607" s="2" t="s">
        <v>286</v>
      </c>
    </row>
    <row r="14608">
      <c r="A14608" s="2" t="s">
        <v>5014</v>
      </c>
      <c r="B14608" s="2" t="s">
        <v>4949</v>
      </c>
      <c r="C14608" s="2" t="s">
        <v>7310</v>
      </c>
      <c r="D14608" s="3" t="str">
        <f t="shared" si="3614"/>
        <v>12Go Link</v>
      </c>
      <c r="E14608" s="2" t="s">
        <v>4139</v>
      </c>
    </row>
    <row r="14609">
      <c r="A14609" s="2" t="s">
        <v>5014</v>
      </c>
      <c r="B14609" s="2" t="s">
        <v>4949</v>
      </c>
      <c r="C14609" s="2" t="s">
        <v>7310</v>
      </c>
      <c r="D14609" s="3" t="str">
        <f t="shared" si="3614"/>
        <v>12Go Link</v>
      </c>
      <c r="E14609" s="2" t="s">
        <v>3409</v>
      </c>
    </row>
    <row r="14610">
      <c r="A14610" s="2" t="s">
        <v>5014</v>
      </c>
      <c r="B14610" s="2" t="s">
        <v>4951</v>
      </c>
      <c r="C14610" s="2" t="s">
        <v>7311</v>
      </c>
      <c r="D14610" s="3" t="str">
        <f t="shared" ref="D14610:D14612" si="3615">HYPERLINK("https://12go.asia/en/travel/Kiriella/Dickwella", "12Go Link")</f>
        <v>12Go Link</v>
      </c>
      <c r="E14610" s="2" t="s">
        <v>286</v>
      </c>
    </row>
    <row r="14611">
      <c r="A14611" s="2" t="s">
        <v>5014</v>
      </c>
      <c r="B14611" s="2" t="s">
        <v>4951</v>
      </c>
      <c r="C14611" s="2" t="s">
        <v>7311</v>
      </c>
      <c r="D14611" s="3" t="str">
        <f t="shared" si="3615"/>
        <v>12Go Link</v>
      </c>
      <c r="E14611" s="2" t="s">
        <v>4139</v>
      </c>
    </row>
    <row r="14612">
      <c r="A14612" s="2" t="s">
        <v>5014</v>
      </c>
      <c r="B14612" s="2" t="s">
        <v>4951</v>
      </c>
      <c r="C14612" s="2" t="s">
        <v>7311</v>
      </c>
      <c r="D14612" s="3" t="str">
        <f t="shared" si="3615"/>
        <v>12Go Link</v>
      </c>
      <c r="E14612" s="2" t="s">
        <v>3409</v>
      </c>
    </row>
    <row r="14613">
      <c r="A14613" s="2" t="s">
        <v>5014</v>
      </c>
      <c r="B14613" s="2" t="s">
        <v>4951</v>
      </c>
      <c r="C14613" s="2" t="s">
        <v>7312</v>
      </c>
      <c r="D14613" s="3" t="str">
        <f t="shared" ref="D14613:D14615" si="3616">HYPERLINK("https://12go.asia/en/travel/Kiriella/Hiriketiya-beach", "12Go Link")</f>
        <v>12Go Link</v>
      </c>
      <c r="E14613" s="2" t="s">
        <v>286</v>
      </c>
    </row>
    <row r="14614">
      <c r="A14614" s="2" t="s">
        <v>5014</v>
      </c>
      <c r="B14614" s="2" t="s">
        <v>4951</v>
      </c>
      <c r="C14614" s="2" t="s">
        <v>7312</v>
      </c>
      <c r="D14614" s="3" t="str">
        <f t="shared" si="3616"/>
        <v>12Go Link</v>
      </c>
      <c r="E14614" s="2" t="s">
        <v>4139</v>
      </c>
    </row>
    <row r="14615">
      <c r="A14615" s="2" t="s">
        <v>5014</v>
      </c>
      <c r="B14615" s="2" t="s">
        <v>4951</v>
      </c>
      <c r="C14615" s="2" t="s">
        <v>7312</v>
      </c>
      <c r="D14615" s="3" t="str">
        <f t="shared" si="3616"/>
        <v>12Go Link</v>
      </c>
      <c r="E14615" s="2" t="s">
        <v>3409</v>
      </c>
    </row>
    <row r="14616">
      <c r="A14616" s="2" t="s">
        <v>5014</v>
      </c>
      <c r="B14616" s="2" t="s">
        <v>4954</v>
      </c>
      <c r="C14616" s="2" t="s">
        <v>7313</v>
      </c>
      <c r="D14616" s="3" t="str">
        <f t="shared" ref="D14616:D14618" si="3617">HYPERLINK("https://12go.asia/en/travel/Kiriella/Galle", "12Go Link")</f>
        <v>12Go Link</v>
      </c>
      <c r="E14616" s="2" t="s">
        <v>286</v>
      </c>
    </row>
    <row r="14617">
      <c r="A14617" s="2" t="s">
        <v>5014</v>
      </c>
      <c r="B14617" s="2" t="s">
        <v>4954</v>
      </c>
      <c r="C14617" s="2" t="s">
        <v>7313</v>
      </c>
      <c r="D14617" s="3" t="str">
        <f t="shared" si="3617"/>
        <v>12Go Link</v>
      </c>
      <c r="E14617" s="2" t="s">
        <v>4139</v>
      </c>
    </row>
    <row r="14618">
      <c r="A14618" s="2" t="s">
        <v>5014</v>
      </c>
      <c r="B14618" s="2" t="s">
        <v>4954</v>
      </c>
      <c r="C14618" s="2" t="s">
        <v>7313</v>
      </c>
      <c r="D14618" s="3" t="str">
        <f t="shared" si="3617"/>
        <v>12Go Link</v>
      </c>
      <c r="E14618" s="2" t="s">
        <v>3409</v>
      </c>
    </row>
    <row r="14619">
      <c r="A14619" s="2" t="s">
        <v>5014</v>
      </c>
      <c r="B14619" s="2" t="s">
        <v>4954</v>
      </c>
      <c r="C14619" s="2" t="s">
        <v>7314</v>
      </c>
      <c r="D14619" s="3" t="str">
        <f t="shared" ref="D14619:D14621" si="3618">HYPERLINK("https://12go.asia/en/travel/Kiriella/Talpe", "12Go Link")</f>
        <v>12Go Link</v>
      </c>
      <c r="E14619" s="2" t="s">
        <v>286</v>
      </c>
    </row>
    <row r="14620">
      <c r="A14620" s="2" t="s">
        <v>5014</v>
      </c>
      <c r="B14620" s="2" t="s">
        <v>4954</v>
      </c>
      <c r="C14620" s="2" t="s">
        <v>7314</v>
      </c>
      <c r="D14620" s="3" t="str">
        <f t="shared" si="3618"/>
        <v>12Go Link</v>
      </c>
      <c r="E14620" s="2" t="s">
        <v>4139</v>
      </c>
    </row>
    <row r="14621">
      <c r="A14621" s="2" t="s">
        <v>5014</v>
      </c>
      <c r="B14621" s="2" t="s">
        <v>4954</v>
      </c>
      <c r="C14621" s="2" t="s">
        <v>7314</v>
      </c>
      <c r="D14621" s="3" t="str">
        <f t="shared" si="3618"/>
        <v>12Go Link</v>
      </c>
      <c r="E14621" s="2" t="s">
        <v>3409</v>
      </c>
    </row>
    <row r="14622">
      <c r="A14622" s="2" t="s">
        <v>5014</v>
      </c>
      <c r="B14622" s="2" t="s">
        <v>4957</v>
      </c>
      <c r="C14622" s="2" t="s">
        <v>7315</v>
      </c>
      <c r="D14622" s="3" t="str">
        <f t="shared" ref="D14622:D14624" si="3619">HYPERLINK("https://12go.asia/en/travel/Kiriella/Habarana", "12Go Link")</f>
        <v>12Go Link</v>
      </c>
      <c r="E14622" s="2" t="s">
        <v>286</v>
      </c>
    </row>
    <row r="14623">
      <c r="A14623" s="2" t="s">
        <v>5014</v>
      </c>
      <c r="B14623" s="2" t="s">
        <v>4957</v>
      </c>
      <c r="C14623" s="2" t="s">
        <v>7315</v>
      </c>
      <c r="D14623" s="3" t="str">
        <f t="shared" si="3619"/>
        <v>12Go Link</v>
      </c>
      <c r="E14623" s="2" t="s">
        <v>4139</v>
      </c>
    </row>
    <row r="14624">
      <c r="A14624" s="2" t="s">
        <v>5014</v>
      </c>
      <c r="B14624" s="2" t="s">
        <v>4957</v>
      </c>
      <c r="C14624" s="2" t="s">
        <v>7315</v>
      </c>
      <c r="D14624" s="3" t="str">
        <f t="shared" si="3619"/>
        <v>12Go Link</v>
      </c>
      <c r="E14624" s="2" t="s">
        <v>3409</v>
      </c>
    </row>
    <row r="14625">
      <c r="A14625" s="2" t="s">
        <v>5014</v>
      </c>
      <c r="B14625" s="2" t="s">
        <v>4959</v>
      </c>
      <c r="C14625" s="2" t="s">
        <v>7316</v>
      </c>
      <c r="D14625" s="3" t="str">
        <f t="shared" ref="D14625:D14627" si="3620">HYPERLINK("https://12go.asia/en/travel/Kiriella/Ella", "12Go Link")</f>
        <v>12Go Link</v>
      </c>
      <c r="E14625" s="2" t="s">
        <v>286</v>
      </c>
    </row>
    <row r="14626">
      <c r="A14626" s="2" t="s">
        <v>5014</v>
      </c>
      <c r="B14626" s="2" t="s">
        <v>4959</v>
      </c>
      <c r="C14626" s="2" t="s">
        <v>7316</v>
      </c>
      <c r="D14626" s="3" t="str">
        <f t="shared" si="3620"/>
        <v>12Go Link</v>
      </c>
      <c r="E14626" s="2" t="s">
        <v>4139</v>
      </c>
    </row>
    <row r="14627">
      <c r="A14627" s="2" t="s">
        <v>5014</v>
      </c>
      <c r="B14627" s="2" t="s">
        <v>4959</v>
      </c>
      <c r="C14627" s="2" t="s">
        <v>7316</v>
      </c>
      <c r="D14627" s="3" t="str">
        <f t="shared" si="3620"/>
        <v>12Go Link</v>
      </c>
      <c r="E14627" s="2" t="s">
        <v>3409</v>
      </c>
    </row>
    <row r="14628">
      <c r="A14628" s="2" t="s">
        <v>5014</v>
      </c>
      <c r="B14628" s="2" t="s">
        <v>4961</v>
      </c>
      <c r="C14628" s="2" t="s">
        <v>7317</v>
      </c>
      <c r="D14628" s="3" t="str">
        <f t="shared" ref="D14628:D14630" si="3621">HYPERLINK("https://12go.asia/en/travel/Kiriella/Beragala", "12Go Link")</f>
        <v>12Go Link</v>
      </c>
      <c r="E14628" s="2" t="s">
        <v>286</v>
      </c>
    </row>
    <row r="14629">
      <c r="A14629" s="2" t="s">
        <v>5014</v>
      </c>
      <c r="B14629" s="2" t="s">
        <v>4961</v>
      </c>
      <c r="C14629" s="2" t="s">
        <v>7317</v>
      </c>
      <c r="D14629" s="3" t="str">
        <f t="shared" si="3621"/>
        <v>12Go Link</v>
      </c>
      <c r="E14629" s="2" t="s">
        <v>4139</v>
      </c>
    </row>
    <row r="14630">
      <c r="A14630" s="2" t="s">
        <v>5014</v>
      </c>
      <c r="B14630" s="2" t="s">
        <v>4961</v>
      </c>
      <c r="C14630" s="2" t="s">
        <v>7317</v>
      </c>
      <c r="D14630" s="3" t="str">
        <f t="shared" si="3621"/>
        <v>12Go Link</v>
      </c>
      <c r="E14630" s="2" t="s">
        <v>3409</v>
      </c>
    </row>
    <row r="14631">
      <c r="A14631" s="2" t="s">
        <v>5014</v>
      </c>
      <c r="B14631" s="2" t="s">
        <v>4963</v>
      </c>
      <c r="C14631" s="2" t="s">
        <v>7318</v>
      </c>
      <c r="D14631" s="3" t="str">
        <f t="shared" ref="D14631:D14633" si="3622">HYPERLINK("https://12go.asia/en/travel/Kiriella/Dick-oya", "12Go Link")</f>
        <v>12Go Link</v>
      </c>
      <c r="E14631" s="2" t="s">
        <v>286</v>
      </c>
    </row>
    <row r="14632">
      <c r="A14632" s="2" t="s">
        <v>5014</v>
      </c>
      <c r="B14632" s="2" t="s">
        <v>4963</v>
      </c>
      <c r="C14632" s="2" t="s">
        <v>7318</v>
      </c>
      <c r="D14632" s="3" t="str">
        <f t="shared" si="3622"/>
        <v>12Go Link</v>
      </c>
      <c r="E14632" s="2" t="s">
        <v>4139</v>
      </c>
    </row>
    <row r="14633">
      <c r="A14633" s="2" t="s">
        <v>5014</v>
      </c>
      <c r="B14633" s="2" t="s">
        <v>4963</v>
      </c>
      <c r="C14633" s="2" t="s">
        <v>7318</v>
      </c>
      <c r="D14633" s="3" t="str">
        <f t="shared" si="3622"/>
        <v>12Go Link</v>
      </c>
      <c r="E14633" s="2" t="s">
        <v>3409</v>
      </c>
    </row>
    <row r="14634">
      <c r="A14634" s="2" t="s">
        <v>5014</v>
      </c>
      <c r="B14634" s="2" t="s">
        <v>4965</v>
      </c>
      <c r="C14634" s="2" t="s">
        <v>7319</v>
      </c>
      <c r="D14634" s="3" t="str">
        <f t="shared" ref="D14634:D14636" si="3623">HYPERLINK("https://12go.asia/en/travel/Kiriella/Dodanduwa", "12Go Link")</f>
        <v>12Go Link</v>
      </c>
      <c r="E14634" s="2" t="s">
        <v>286</v>
      </c>
    </row>
    <row r="14635">
      <c r="A14635" s="2" t="s">
        <v>5014</v>
      </c>
      <c r="B14635" s="2" t="s">
        <v>4965</v>
      </c>
      <c r="C14635" s="2" t="s">
        <v>7319</v>
      </c>
      <c r="D14635" s="3" t="str">
        <f t="shared" si="3623"/>
        <v>12Go Link</v>
      </c>
      <c r="E14635" s="2" t="s">
        <v>4139</v>
      </c>
    </row>
    <row r="14636">
      <c r="A14636" s="2" t="s">
        <v>5014</v>
      </c>
      <c r="B14636" s="2" t="s">
        <v>4965</v>
      </c>
      <c r="C14636" s="2" t="s">
        <v>7319</v>
      </c>
      <c r="D14636" s="3" t="str">
        <f t="shared" si="3623"/>
        <v>12Go Link</v>
      </c>
      <c r="E14636" s="2" t="s">
        <v>3409</v>
      </c>
    </row>
    <row r="14637">
      <c r="A14637" s="2" t="s">
        <v>5014</v>
      </c>
      <c r="B14637" s="2" t="s">
        <v>4967</v>
      </c>
      <c r="C14637" s="2" t="s">
        <v>7320</v>
      </c>
      <c r="D14637" s="3" t="str">
        <f t="shared" ref="D14637:D14639" si="3624">HYPERLINK("https://12go.asia/en/travel/Kiriella/Induruwa", "12Go Link")</f>
        <v>12Go Link</v>
      </c>
      <c r="E14637" s="2" t="s">
        <v>286</v>
      </c>
    </row>
    <row r="14638">
      <c r="A14638" s="2" t="s">
        <v>5014</v>
      </c>
      <c r="B14638" s="2" t="s">
        <v>4967</v>
      </c>
      <c r="C14638" s="2" t="s">
        <v>7320</v>
      </c>
      <c r="D14638" s="3" t="str">
        <f t="shared" si="3624"/>
        <v>12Go Link</v>
      </c>
      <c r="E14638" s="2" t="s">
        <v>4139</v>
      </c>
    </row>
    <row r="14639">
      <c r="A14639" s="2" t="s">
        <v>5014</v>
      </c>
      <c r="B14639" s="2" t="s">
        <v>4967</v>
      </c>
      <c r="C14639" s="2" t="s">
        <v>7320</v>
      </c>
      <c r="D14639" s="3" t="str">
        <f t="shared" si="3624"/>
        <v>12Go Link</v>
      </c>
      <c r="E14639" s="2" t="s">
        <v>3409</v>
      </c>
    </row>
    <row r="14640">
      <c r="A14640" s="2" t="s">
        <v>5014</v>
      </c>
      <c r="B14640" s="2" t="s">
        <v>4969</v>
      </c>
      <c r="C14640" s="2" t="s">
        <v>7321</v>
      </c>
      <c r="D14640" s="3" t="str">
        <f t="shared" ref="D14640:D14642" si="3625">HYPERLINK("https://12go.asia/en/travel/Kiriella/Jaffna", "12Go Link")</f>
        <v>12Go Link</v>
      </c>
      <c r="E14640" s="2" t="s">
        <v>286</v>
      </c>
    </row>
    <row r="14641">
      <c r="A14641" s="2" t="s">
        <v>5014</v>
      </c>
      <c r="B14641" s="2" t="s">
        <v>4969</v>
      </c>
      <c r="C14641" s="2" t="s">
        <v>7321</v>
      </c>
      <c r="D14641" s="3" t="str">
        <f t="shared" si="3625"/>
        <v>12Go Link</v>
      </c>
      <c r="E14641" s="2" t="s">
        <v>4139</v>
      </c>
    </row>
    <row r="14642">
      <c r="A14642" s="2" t="s">
        <v>5014</v>
      </c>
      <c r="B14642" s="2" t="s">
        <v>4969</v>
      </c>
      <c r="C14642" s="2" t="s">
        <v>7321</v>
      </c>
      <c r="D14642" s="3" t="str">
        <f t="shared" si="3625"/>
        <v>12Go Link</v>
      </c>
      <c r="E14642" s="2" t="s">
        <v>3409</v>
      </c>
    </row>
    <row r="14643">
      <c r="A14643" s="2" t="s">
        <v>5014</v>
      </c>
      <c r="B14643" s="2" t="s">
        <v>4971</v>
      </c>
      <c r="C14643" s="2" t="s">
        <v>7322</v>
      </c>
      <c r="D14643" s="3" t="str">
        <f t="shared" ref="D14643:D14645" si="3626">HYPERLINK("https://12go.asia/en/travel/Kiriella/Kalapuwa", "12Go Link")</f>
        <v>12Go Link</v>
      </c>
      <c r="E14643" s="2" t="s">
        <v>286</v>
      </c>
    </row>
    <row r="14644">
      <c r="A14644" s="2" t="s">
        <v>5014</v>
      </c>
      <c r="B14644" s="2" t="s">
        <v>4971</v>
      </c>
      <c r="C14644" s="2" t="s">
        <v>7322</v>
      </c>
      <c r="D14644" s="3" t="str">
        <f t="shared" si="3626"/>
        <v>12Go Link</v>
      </c>
      <c r="E14644" s="2" t="s">
        <v>4139</v>
      </c>
    </row>
    <row r="14645">
      <c r="A14645" s="2" t="s">
        <v>5014</v>
      </c>
      <c r="B14645" s="2" t="s">
        <v>4971</v>
      </c>
      <c r="C14645" s="2" t="s">
        <v>7322</v>
      </c>
      <c r="D14645" s="3" t="str">
        <f t="shared" si="3626"/>
        <v>12Go Link</v>
      </c>
      <c r="E14645" s="2" t="s">
        <v>3409</v>
      </c>
    </row>
    <row r="14646">
      <c r="A14646" s="2" t="s">
        <v>5014</v>
      </c>
      <c r="B14646" s="2" t="s">
        <v>4973</v>
      </c>
      <c r="C14646" s="2" t="s">
        <v>7323</v>
      </c>
      <c r="D14646" s="3" t="str">
        <f t="shared" ref="D14646:D14648" si="3627">HYPERLINK("https://12go.asia/en/travel/Kiriella/Ampitiya", "12Go Link")</f>
        <v>12Go Link</v>
      </c>
      <c r="E14646" s="2" t="s">
        <v>286</v>
      </c>
    </row>
    <row r="14647">
      <c r="A14647" s="2" t="s">
        <v>5014</v>
      </c>
      <c r="B14647" s="2" t="s">
        <v>4973</v>
      </c>
      <c r="C14647" s="2" t="s">
        <v>7323</v>
      </c>
      <c r="D14647" s="3" t="str">
        <f t="shared" si="3627"/>
        <v>12Go Link</v>
      </c>
      <c r="E14647" s="2" t="s">
        <v>4139</v>
      </c>
    </row>
    <row r="14648">
      <c r="A14648" s="2" t="s">
        <v>5014</v>
      </c>
      <c r="B14648" s="2" t="s">
        <v>4973</v>
      </c>
      <c r="C14648" s="2" t="s">
        <v>7323</v>
      </c>
      <c r="D14648" s="3" t="str">
        <f t="shared" si="3627"/>
        <v>12Go Link</v>
      </c>
      <c r="E14648" s="2" t="s">
        <v>3409</v>
      </c>
    </row>
    <row r="14649">
      <c r="A14649" s="2" t="s">
        <v>5014</v>
      </c>
      <c r="B14649" s="2" t="s">
        <v>4973</v>
      </c>
      <c r="C14649" s="2" t="s">
        <v>7324</v>
      </c>
      <c r="D14649" s="3" t="str">
        <f t="shared" ref="D14649:D14651" si="3628">HYPERLINK("https://12go.asia/en/travel/Kiriella/Digana", "12Go Link")</f>
        <v>12Go Link</v>
      </c>
      <c r="E14649" s="2" t="s">
        <v>286</v>
      </c>
    </row>
    <row r="14650">
      <c r="A14650" s="2" t="s">
        <v>5014</v>
      </c>
      <c r="B14650" s="2" t="s">
        <v>4973</v>
      </c>
      <c r="C14650" s="2" t="s">
        <v>7324</v>
      </c>
      <c r="D14650" s="3" t="str">
        <f t="shared" si="3628"/>
        <v>12Go Link</v>
      </c>
      <c r="E14650" s="2" t="s">
        <v>4139</v>
      </c>
    </row>
    <row r="14651">
      <c r="A14651" s="2" t="s">
        <v>5014</v>
      </c>
      <c r="B14651" s="2" t="s">
        <v>4973</v>
      </c>
      <c r="C14651" s="2" t="s">
        <v>7324</v>
      </c>
      <c r="D14651" s="3" t="str">
        <f t="shared" si="3628"/>
        <v>12Go Link</v>
      </c>
      <c r="E14651" s="2" t="s">
        <v>3409</v>
      </c>
    </row>
    <row r="14652">
      <c r="A14652" s="2" t="s">
        <v>5014</v>
      </c>
      <c r="B14652" s="2" t="s">
        <v>4976</v>
      </c>
      <c r="C14652" s="2" t="s">
        <v>7325</v>
      </c>
      <c r="D14652" s="3" t="str">
        <f t="shared" ref="D14652:D14654" si="3629">HYPERLINK("https://12go.asia/en/travel/Kiriella/Kataragama", "12Go Link")</f>
        <v>12Go Link</v>
      </c>
      <c r="E14652" s="2" t="s">
        <v>286</v>
      </c>
    </row>
    <row r="14653">
      <c r="A14653" s="2" t="s">
        <v>5014</v>
      </c>
      <c r="B14653" s="2" t="s">
        <v>4976</v>
      </c>
      <c r="C14653" s="2" t="s">
        <v>7325</v>
      </c>
      <c r="D14653" s="3" t="str">
        <f t="shared" si="3629"/>
        <v>12Go Link</v>
      </c>
      <c r="E14653" s="2" t="s">
        <v>4139</v>
      </c>
    </row>
    <row r="14654">
      <c r="A14654" s="2" t="s">
        <v>5014</v>
      </c>
      <c r="B14654" s="2" t="s">
        <v>4976</v>
      </c>
      <c r="C14654" s="2" t="s">
        <v>7325</v>
      </c>
      <c r="D14654" s="3" t="str">
        <f t="shared" si="3629"/>
        <v>12Go Link</v>
      </c>
      <c r="E14654" s="2" t="s">
        <v>3409</v>
      </c>
    </row>
    <row r="14655">
      <c r="A14655" s="2" t="s">
        <v>5014</v>
      </c>
      <c r="B14655" s="2" t="s">
        <v>4978</v>
      </c>
      <c r="C14655" s="2" t="s">
        <v>7326</v>
      </c>
      <c r="D14655" s="3" t="str">
        <f t="shared" ref="D14655:D14657" si="3630">HYPERLINK("https://12go.asia/en/travel/Kiriella/Alawathupitiya", "12Go Link")</f>
        <v>12Go Link</v>
      </c>
      <c r="E14655" s="2" t="s">
        <v>286</v>
      </c>
    </row>
    <row r="14656">
      <c r="A14656" s="2" t="s">
        <v>5014</v>
      </c>
      <c r="B14656" s="2" t="s">
        <v>4978</v>
      </c>
      <c r="C14656" s="2" t="s">
        <v>7326</v>
      </c>
      <c r="D14656" s="3" t="str">
        <f t="shared" si="3630"/>
        <v>12Go Link</v>
      </c>
      <c r="E14656" s="2" t="s">
        <v>4139</v>
      </c>
    </row>
    <row r="14657">
      <c r="A14657" s="2" t="s">
        <v>5014</v>
      </c>
      <c r="B14657" s="2" t="s">
        <v>4978</v>
      </c>
      <c r="C14657" s="2" t="s">
        <v>7326</v>
      </c>
      <c r="D14657" s="3" t="str">
        <f t="shared" si="3630"/>
        <v>12Go Link</v>
      </c>
      <c r="E14657" s="2" t="s">
        <v>3409</v>
      </c>
    </row>
    <row r="14658">
      <c r="A14658" s="2" t="s">
        <v>5014</v>
      </c>
      <c r="B14658" s="2" t="s">
        <v>4980</v>
      </c>
      <c r="C14658" s="2" t="s">
        <v>7327</v>
      </c>
      <c r="D14658" s="3" t="str">
        <f t="shared" ref="D14658:D14660" si="3631">HYPERLINK("https://12go.asia/en/travel/Kiriella/Pinnawala", "12Go Link")</f>
        <v>12Go Link</v>
      </c>
      <c r="E14658" s="2" t="s">
        <v>286</v>
      </c>
    </row>
    <row r="14659">
      <c r="A14659" s="2" t="s">
        <v>5014</v>
      </c>
      <c r="B14659" s="2" t="s">
        <v>4980</v>
      </c>
      <c r="C14659" s="2" t="s">
        <v>7327</v>
      </c>
      <c r="D14659" s="3" t="str">
        <f t="shared" si="3631"/>
        <v>12Go Link</v>
      </c>
      <c r="E14659" s="2" t="s">
        <v>4139</v>
      </c>
    </row>
    <row r="14660">
      <c r="A14660" s="2" t="s">
        <v>5014</v>
      </c>
      <c r="B14660" s="2" t="s">
        <v>4980</v>
      </c>
      <c r="C14660" s="2" t="s">
        <v>7327</v>
      </c>
      <c r="D14660" s="3" t="str">
        <f t="shared" si="3631"/>
        <v>12Go Link</v>
      </c>
      <c r="E14660" s="2" t="s">
        <v>3409</v>
      </c>
    </row>
    <row r="14661">
      <c r="A14661" s="2" t="s">
        <v>5014</v>
      </c>
      <c r="B14661" s="2" t="s">
        <v>4982</v>
      </c>
      <c r="C14661" s="2" t="s">
        <v>7328</v>
      </c>
      <c r="D14661" s="3" t="str">
        <f t="shared" ref="D14661:D14663" si="3632">HYPERLINK("https://12go.asia/en/travel/Kiriella/Kitulgala", "12Go Link")</f>
        <v>12Go Link</v>
      </c>
      <c r="E14661" s="2" t="s">
        <v>286</v>
      </c>
    </row>
    <row r="14662">
      <c r="A14662" s="2" t="s">
        <v>5014</v>
      </c>
      <c r="B14662" s="2" t="s">
        <v>4982</v>
      </c>
      <c r="C14662" s="2" t="s">
        <v>7328</v>
      </c>
      <c r="D14662" s="3" t="str">
        <f t="shared" si="3632"/>
        <v>12Go Link</v>
      </c>
      <c r="E14662" s="2" t="s">
        <v>4139</v>
      </c>
    </row>
    <row r="14663">
      <c r="A14663" s="2" t="s">
        <v>5014</v>
      </c>
      <c r="B14663" s="2" t="s">
        <v>4982</v>
      </c>
      <c r="C14663" s="2" t="s">
        <v>7328</v>
      </c>
      <c r="D14663" s="3" t="str">
        <f t="shared" si="3632"/>
        <v>12Go Link</v>
      </c>
      <c r="E14663" s="2" t="s">
        <v>3409</v>
      </c>
    </row>
    <row r="14664">
      <c r="A14664" s="2" t="s">
        <v>5014</v>
      </c>
      <c r="B14664" s="2" t="s">
        <v>4984</v>
      </c>
      <c r="C14664" s="2" t="s">
        <v>7329</v>
      </c>
      <c r="D14664" s="3" t="str">
        <f t="shared" ref="D14664:D14666" si="3633">HYPERLINK("https://12go.asia/en/travel/Kiriella/Habaraduwa", "12Go Link")</f>
        <v>12Go Link</v>
      </c>
      <c r="E14664" s="2" t="s">
        <v>286</v>
      </c>
    </row>
    <row r="14665">
      <c r="A14665" s="2" t="s">
        <v>5014</v>
      </c>
      <c r="B14665" s="2" t="s">
        <v>4984</v>
      </c>
      <c r="C14665" s="2" t="s">
        <v>7329</v>
      </c>
      <c r="D14665" s="3" t="str">
        <f t="shared" si="3633"/>
        <v>12Go Link</v>
      </c>
      <c r="E14665" s="2" t="s">
        <v>4139</v>
      </c>
    </row>
    <row r="14666">
      <c r="A14666" s="2" t="s">
        <v>5014</v>
      </c>
      <c r="B14666" s="2" t="s">
        <v>4984</v>
      </c>
      <c r="C14666" s="2" t="s">
        <v>7329</v>
      </c>
      <c r="D14666" s="3" t="str">
        <f t="shared" si="3633"/>
        <v>12Go Link</v>
      </c>
      <c r="E14666" s="2" t="s">
        <v>3409</v>
      </c>
    </row>
    <row r="14667">
      <c r="A14667" s="2" t="s">
        <v>5014</v>
      </c>
      <c r="B14667" s="2" t="s">
        <v>4986</v>
      </c>
      <c r="C14667" s="2" t="s">
        <v>7330</v>
      </c>
      <c r="D14667" s="3" t="str">
        <f t="shared" ref="D14667:D14669" si="3634">HYPERLINK("https://12go.asia/en/travel/Kiriella/Kosgoda", "12Go Link")</f>
        <v>12Go Link</v>
      </c>
      <c r="E14667" s="2" t="s">
        <v>286</v>
      </c>
    </row>
    <row r="14668">
      <c r="A14668" s="2" t="s">
        <v>5014</v>
      </c>
      <c r="B14668" s="2" t="s">
        <v>4986</v>
      </c>
      <c r="C14668" s="2" t="s">
        <v>7330</v>
      </c>
      <c r="D14668" s="3" t="str">
        <f t="shared" si="3634"/>
        <v>12Go Link</v>
      </c>
      <c r="E14668" s="2" t="s">
        <v>4139</v>
      </c>
    </row>
    <row r="14669">
      <c r="A14669" s="2" t="s">
        <v>5014</v>
      </c>
      <c r="B14669" s="2" t="s">
        <v>4986</v>
      </c>
      <c r="C14669" s="2" t="s">
        <v>7330</v>
      </c>
      <c r="D14669" s="3" t="str">
        <f t="shared" si="3634"/>
        <v>12Go Link</v>
      </c>
      <c r="E14669" s="2" t="s">
        <v>3409</v>
      </c>
    </row>
    <row r="14670">
      <c r="A14670" s="2" t="s">
        <v>5014</v>
      </c>
      <c r="B14670" s="2" t="s">
        <v>4988</v>
      </c>
      <c r="C14670" s="2" t="s">
        <v>7331</v>
      </c>
      <c r="D14670" s="3" t="str">
        <f t="shared" ref="D14670:D14672" si="3635">HYPERLINK("https://12go.asia/en/travel/Kiriella/Kuchchaveli", "12Go Link")</f>
        <v>12Go Link</v>
      </c>
      <c r="E14670" s="2" t="s">
        <v>286</v>
      </c>
    </row>
    <row r="14671">
      <c r="A14671" s="2" t="s">
        <v>5014</v>
      </c>
      <c r="B14671" s="2" t="s">
        <v>4988</v>
      </c>
      <c r="C14671" s="2" t="s">
        <v>7331</v>
      </c>
      <c r="D14671" s="3" t="str">
        <f t="shared" si="3635"/>
        <v>12Go Link</v>
      </c>
      <c r="E14671" s="2" t="s">
        <v>4139</v>
      </c>
    </row>
    <row r="14672">
      <c r="A14672" s="2" t="s">
        <v>5014</v>
      </c>
      <c r="B14672" s="2" t="s">
        <v>4988</v>
      </c>
      <c r="C14672" s="2" t="s">
        <v>7331</v>
      </c>
      <c r="D14672" s="3" t="str">
        <f t="shared" si="3635"/>
        <v>12Go Link</v>
      </c>
      <c r="E14672" s="2" t="s">
        <v>3409</v>
      </c>
    </row>
    <row r="14673">
      <c r="A14673" s="2" t="s">
        <v>5014</v>
      </c>
      <c r="B14673" s="2" t="s">
        <v>4990</v>
      </c>
      <c r="C14673" s="2" t="s">
        <v>7332</v>
      </c>
      <c r="D14673" s="3" t="str">
        <f t="shared" ref="D14673:D14675" si="3636">HYPERLINK("https://12go.asia/en/travel/Kiriella/Mannar", "12Go Link")</f>
        <v>12Go Link</v>
      </c>
      <c r="E14673" s="2" t="s">
        <v>286</v>
      </c>
    </row>
    <row r="14674">
      <c r="A14674" s="2" t="s">
        <v>5014</v>
      </c>
      <c r="B14674" s="2" t="s">
        <v>4990</v>
      </c>
      <c r="C14674" s="2" t="s">
        <v>7332</v>
      </c>
      <c r="D14674" s="3" t="str">
        <f t="shared" si="3636"/>
        <v>12Go Link</v>
      </c>
      <c r="E14674" s="2" t="s">
        <v>4139</v>
      </c>
    </row>
    <row r="14675">
      <c r="A14675" s="2" t="s">
        <v>5014</v>
      </c>
      <c r="B14675" s="2" t="s">
        <v>4990</v>
      </c>
      <c r="C14675" s="2" t="s">
        <v>7332</v>
      </c>
      <c r="D14675" s="3" t="str">
        <f t="shared" si="3636"/>
        <v>12Go Link</v>
      </c>
      <c r="E14675" s="2" t="s">
        <v>3409</v>
      </c>
    </row>
    <row r="14676">
      <c r="A14676" s="2" t="s">
        <v>5014</v>
      </c>
      <c r="B14676" s="2" t="s">
        <v>4992</v>
      </c>
      <c r="C14676" s="2" t="s">
        <v>7333</v>
      </c>
      <c r="D14676" s="3" t="str">
        <f t="shared" ref="D14676:D14678" si="3637">HYPERLINK("https://12go.asia/en/travel/Kiriella/Kinigama", "12Go Link")</f>
        <v>12Go Link</v>
      </c>
      <c r="E14676" s="2" t="s">
        <v>286</v>
      </c>
    </row>
    <row r="14677">
      <c r="A14677" s="2" t="s">
        <v>5014</v>
      </c>
      <c r="B14677" s="2" t="s">
        <v>4992</v>
      </c>
      <c r="C14677" s="2" t="s">
        <v>7333</v>
      </c>
      <c r="D14677" s="3" t="str">
        <f t="shared" si="3637"/>
        <v>12Go Link</v>
      </c>
      <c r="E14677" s="2" t="s">
        <v>4139</v>
      </c>
    </row>
    <row r="14678">
      <c r="A14678" s="2" t="s">
        <v>5014</v>
      </c>
      <c r="B14678" s="2" t="s">
        <v>4992</v>
      </c>
      <c r="C14678" s="2" t="s">
        <v>7333</v>
      </c>
      <c r="D14678" s="3" t="str">
        <f t="shared" si="3637"/>
        <v>12Go Link</v>
      </c>
      <c r="E14678" s="2" t="s">
        <v>3409</v>
      </c>
    </row>
    <row r="14679">
      <c r="A14679" s="2" t="s">
        <v>5014</v>
      </c>
      <c r="B14679" s="2" t="s">
        <v>4994</v>
      </c>
      <c r="C14679" s="2" t="s">
        <v>7334</v>
      </c>
      <c r="D14679" s="3" t="str">
        <f t="shared" ref="D14679:D14681" si="3638">HYPERLINK("https://12go.asia/en/travel/Kiriella/Kalamatiya", "12Go Link")</f>
        <v>12Go Link</v>
      </c>
      <c r="E14679" s="2" t="s">
        <v>286</v>
      </c>
    </row>
    <row r="14680">
      <c r="A14680" s="2" t="s">
        <v>5014</v>
      </c>
      <c r="B14680" s="2" t="s">
        <v>4994</v>
      </c>
      <c r="C14680" s="2" t="s">
        <v>7334</v>
      </c>
      <c r="D14680" s="3" t="str">
        <f t="shared" si="3638"/>
        <v>12Go Link</v>
      </c>
      <c r="E14680" s="2" t="s">
        <v>4139</v>
      </c>
    </row>
    <row r="14681">
      <c r="A14681" s="2" t="s">
        <v>5014</v>
      </c>
      <c r="B14681" s="2" t="s">
        <v>4994</v>
      </c>
      <c r="C14681" s="2" t="s">
        <v>7334</v>
      </c>
      <c r="D14681" s="3" t="str">
        <f t="shared" si="3638"/>
        <v>12Go Link</v>
      </c>
      <c r="E14681" s="2" t="s">
        <v>3409</v>
      </c>
    </row>
    <row r="14682">
      <c r="A14682" s="2" t="s">
        <v>5014</v>
      </c>
      <c r="B14682" s="2" t="s">
        <v>4996</v>
      </c>
      <c r="C14682" s="2" t="s">
        <v>7335</v>
      </c>
      <c r="D14682" s="3" t="str">
        <f t="shared" ref="D14682:D14684" si="3639">HYPERLINK("https://12go.asia/en/travel/Kiriella/mirissa", "12Go Link")</f>
        <v>12Go Link</v>
      </c>
      <c r="E14682" s="2" t="s">
        <v>286</v>
      </c>
    </row>
    <row r="14683">
      <c r="A14683" s="2" t="s">
        <v>5014</v>
      </c>
      <c r="B14683" s="2" t="s">
        <v>4996</v>
      </c>
      <c r="C14683" s="2" t="s">
        <v>7335</v>
      </c>
      <c r="D14683" s="3" t="str">
        <f t="shared" si="3639"/>
        <v>12Go Link</v>
      </c>
      <c r="E14683" s="2" t="s">
        <v>4139</v>
      </c>
    </row>
    <row r="14684">
      <c r="A14684" s="2" t="s">
        <v>5014</v>
      </c>
      <c r="B14684" s="2" t="s">
        <v>4996</v>
      </c>
      <c r="C14684" s="2" t="s">
        <v>7335</v>
      </c>
      <c r="D14684" s="3" t="str">
        <f t="shared" si="3639"/>
        <v>12Go Link</v>
      </c>
      <c r="E14684" s="2" t="s">
        <v>3409</v>
      </c>
    </row>
    <row r="14685">
      <c r="A14685" s="2" t="s">
        <v>5014</v>
      </c>
      <c r="B14685" s="2" t="s">
        <v>4998</v>
      </c>
      <c r="C14685" s="2" t="s">
        <v>7336</v>
      </c>
      <c r="D14685" s="3" t="str">
        <f t="shared" ref="D14685:D14687" si="3640">HYPERLINK("https://12go.asia/en/travel/Kiriella/Nanu-Oya", "12Go Link")</f>
        <v>12Go Link</v>
      </c>
      <c r="E14685" s="2" t="s">
        <v>286</v>
      </c>
    </row>
    <row r="14686">
      <c r="A14686" s="2" t="s">
        <v>5014</v>
      </c>
      <c r="B14686" s="2" t="s">
        <v>4998</v>
      </c>
      <c r="C14686" s="2" t="s">
        <v>7336</v>
      </c>
      <c r="D14686" s="3" t="str">
        <f t="shared" si="3640"/>
        <v>12Go Link</v>
      </c>
      <c r="E14686" s="2" t="s">
        <v>4139</v>
      </c>
    </row>
    <row r="14687">
      <c r="A14687" s="2" t="s">
        <v>5014</v>
      </c>
      <c r="B14687" s="2" t="s">
        <v>4998</v>
      </c>
      <c r="C14687" s="2" t="s">
        <v>7336</v>
      </c>
      <c r="D14687" s="3" t="str">
        <f t="shared" si="3640"/>
        <v>12Go Link</v>
      </c>
      <c r="E14687" s="2" t="s">
        <v>3409</v>
      </c>
    </row>
    <row r="14688">
      <c r="A14688" s="2" t="s">
        <v>5014</v>
      </c>
      <c r="B14688" s="2" t="s">
        <v>5000</v>
      </c>
      <c r="C14688" s="2" t="s">
        <v>7337</v>
      </c>
      <c r="D14688" s="3" t="str">
        <f t="shared" ref="D14688:D14690" si="3641">HYPERLINK("https://12go.asia/en/travel/Kiriella/Dalupotha", "12Go Link")</f>
        <v>12Go Link</v>
      </c>
      <c r="E14688" s="2" t="s">
        <v>286</v>
      </c>
    </row>
    <row r="14689">
      <c r="A14689" s="2" t="s">
        <v>5014</v>
      </c>
      <c r="B14689" s="2" t="s">
        <v>5000</v>
      </c>
      <c r="C14689" s="2" t="s">
        <v>7337</v>
      </c>
      <c r="D14689" s="3" t="str">
        <f t="shared" si="3641"/>
        <v>12Go Link</v>
      </c>
      <c r="E14689" s="2" t="s">
        <v>4139</v>
      </c>
    </row>
    <row r="14690">
      <c r="A14690" s="2" t="s">
        <v>5014</v>
      </c>
      <c r="B14690" s="2" t="s">
        <v>5000</v>
      </c>
      <c r="C14690" s="2" t="s">
        <v>7337</v>
      </c>
      <c r="D14690" s="3" t="str">
        <f t="shared" si="3641"/>
        <v>12Go Link</v>
      </c>
      <c r="E14690" s="2" t="s">
        <v>3409</v>
      </c>
    </row>
    <row r="14691">
      <c r="A14691" s="2" t="s">
        <v>5014</v>
      </c>
      <c r="B14691" s="2" t="s">
        <v>5000</v>
      </c>
      <c r="C14691" s="2" t="s">
        <v>7338</v>
      </c>
      <c r="D14691" s="3" t="str">
        <f t="shared" ref="D14691:D14693" si="3642">HYPERLINK("https://12go.asia/en/travel/Kiriella/Waikkal", "12Go Link")</f>
        <v>12Go Link</v>
      </c>
      <c r="E14691" s="2" t="s">
        <v>286</v>
      </c>
    </row>
    <row r="14692">
      <c r="A14692" s="2" t="s">
        <v>5014</v>
      </c>
      <c r="B14692" s="2" t="s">
        <v>5000</v>
      </c>
      <c r="C14692" s="2" t="s">
        <v>7338</v>
      </c>
      <c r="D14692" s="3" t="str">
        <f t="shared" si="3642"/>
        <v>12Go Link</v>
      </c>
      <c r="E14692" s="2" t="s">
        <v>4139</v>
      </c>
    </row>
    <row r="14693">
      <c r="A14693" s="2" t="s">
        <v>5014</v>
      </c>
      <c r="B14693" s="2" t="s">
        <v>5000</v>
      </c>
      <c r="C14693" s="2" t="s">
        <v>7338</v>
      </c>
      <c r="D14693" s="3" t="str">
        <f t="shared" si="3642"/>
        <v>12Go Link</v>
      </c>
      <c r="E14693" s="2" t="s">
        <v>3409</v>
      </c>
    </row>
    <row r="14694">
      <c r="A14694" s="2" t="s">
        <v>5014</v>
      </c>
      <c r="B14694" s="2" t="s">
        <v>5003</v>
      </c>
      <c r="C14694" s="2" t="s">
        <v>7339</v>
      </c>
      <c r="D14694" s="3" t="str">
        <f t="shared" ref="D14694:D14696" si="3643">HYPERLINK("https://12go.asia/en/travel/Kiriella/Nilaveli", "12Go Link")</f>
        <v>12Go Link</v>
      </c>
      <c r="E14694" s="2" t="s">
        <v>286</v>
      </c>
    </row>
    <row r="14695">
      <c r="A14695" s="2" t="s">
        <v>5014</v>
      </c>
      <c r="B14695" s="2" t="s">
        <v>5003</v>
      </c>
      <c r="C14695" s="2" t="s">
        <v>7339</v>
      </c>
      <c r="D14695" s="3" t="str">
        <f t="shared" si="3643"/>
        <v>12Go Link</v>
      </c>
      <c r="E14695" s="2" t="s">
        <v>4139</v>
      </c>
    </row>
    <row r="14696">
      <c r="A14696" s="2" t="s">
        <v>5014</v>
      </c>
      <c r="B14696" s="2" t="s">
        <v>5003</v>
      </c>
      <c r="C14696" s="2" t="s">
        <v>7339</v>
      </c>
      <c r="D14696" s="3" t="str">
        <f t="shared" si="3643"/>
        <v>12Go Link</v>
      </c>
      <c r="E14696" s="2" t="s">
        <v>3409</v>
      </c>
    </row>
    <row r="14697">
      <c r="A14697" s="2" t="s">
        <v>5014</v>
      </c>
      <c r="B14697" s="2" t="s">
        <v>5005</v>
      </c>
      <c r="C14697" s="2" t="s">
        <v>7340</v>
      </c>
      <c r="D14697" s="3" t="str">
        <f t="shared" ref="D14697:D14699" si="3644">HYPERLINK("https://12go.asia/en/travel/Kiriella/Kotmale", "12Go Link")</f>
        <v>12Go Link</v>
      </c>
      <c r="E14697" s="2" t="s">
        <v>286</v>
      </c>
    </row>
    <row r="14698">
      <c r="A14698" s="2" t="s">
        <v>5014</v>
      </c>
      <c r="B14698" s="2" t="s">
        <v>5005</v>
      </c>
      <c r="C14698" s="2" t="s">
        <v>7340</v>
      </c>
      <c r="D14698" s="3" t="str">
        <f t="shared" si="3644"/>
        <v>12Go Link</v>
      </c>
      <c r="E14698" s="2" t="s">
        <v>4139</v>
      </c>
    </row>
    <row r="14699">
      <c r="A14699" s="2" t="s">
        <v>5014</v>
      </c>
      <c r="B14699" s="2" t="s">
        <v>5005</v>
      </c>
      <c r="C14699" s="2" t="s">
        <v>7340</v>
      </c>
      <c r="D14699" s="3" t="str">
        <f t="shared" si="3644"/>
        <v>12Go Link</v>
      </c>
      <c r="E14699" s="2" t="s">
        <v>3409</v>
      </c>
    </row>
    <row r="14700">
      <c r="A14700" s="2" t="s">
        <v>5014</v>
      </c>
      <c r="B14700" s="2" t="s">
        <v>5007</v>
      </c>
      <c r="C14700" s="2" t="s">
        <v>7341</v>
      </c>
      <c r="D14700" s="3" t="str">
        <f t="shared" ref="D14700:D14702" si="3645">HYPERLINK("https://12go.asia/en/travel/Kiriella/Pasikuda", "12Go Link")</f>
        <v>12Go Link</v>
      </c>
      <c r="E14700" s="2" t="s">
        <v>286</v>
      </c>
    </row>
    <row r="14701">
      <c r="A14701" s="2" t="s">
        <v>5014</v>
      </c>
      <c r="B14701" s="2" t="s">
        <v>5007</v>
      </c>
      <c r="C14701" s="2" t="s">
        <v>7341</v>
      </c>
      <c r="D14701" s="3" t="str">
        <f t="shared" si="3645"/>
        <v>12Go Link</v>
      </c>
      <c r="E14701" s="2" t="s">
        <v>4139</v>
      </c>
    </row>
    <row r="14702">
      <c r="A14702" s="2" t="s">
        <v>5014</v>
      </c>
      <c r="B14702" s="2" t="s">
        <v>5007</v>
      </c>
      <c r="C14702" s="2" t="s">
        <v>7341</v>
      </c>
      <c r="D14702" s="3" t="str">
        <f t="shared" si="3645"/>
        <v>12Go Link</v>
      </c>
      <c r="E14702" s="2" t="s">
        <v>3409</v>
      </c>
    </row>
    <row r="14703">
      <c r="A14703" s="2" t="s">
        <v>5014</v>
      </c>
      <c r="B14703" s="2" t="s">
        <v>5009</v>
      </c>
      <c r="C14703" s="2" t="s">
        <v>7342</v>
      </c>
      <c r="D14703" s="3" t="str">
        <f t="shared" ref="D14703:D14705" si="3646">HYPERLINK("https://12go.asia/en/travel/Kiriella/Galoya", "12Go Link")</f>
        <v>12Go Link</v>
      </c>
      <c r="E14703" s="2" t="s">
        <v>286</v>
      </c>
    </row>
    <row r="14704">
      <c r="A14704" s="2" t="s">
        <v>5014</v>
      </c>
      <c r="B14704" s="2" t="s">
        <v>5009</v>
      </c>
      <c r="C14704" s="2" t="s">
        <v>7342</v>
      </c>
      <c r="D14704" s="3" t="str">
        <f t="shared" si="3646"/>
        <v>12Go Link</v>
      </c>
      <c r="E14704" s="2" t="s">
        <v>4139</v>
      </c>
    </row>
    <row r="14705">
      <c r="A14705" s="2" t="s">
        <v>5014</v>
      </c>
      <c r="B14705" s="2" t="s">
        <v>5009</v>
      </c>
      <c r="C14705" s="2" t="s">
        <v>7342</v>
      </c>
      <c r="D14705" s="3" t="str">
        <f t="shared" si="3646"/>
        <v>12Go Link</v>
      </c>
      <c r="E14705" s="2" t="s">
        <v>3409</v>
      </c>
    </row>
    <row r="14706">
      <c r="A14706" s="2" t="s">
        <v>5014</v>
      </c>
      <c r="B14706" s="2" t="s">
        <v>5011</v>
      </c>
      <c r="C14706" s="2" t="s">
        <v>7343</v>
      </c>
      <c r="D14706" s="3" t="str">
        <f t="shared" ref="D14706:D14708" si="3647">HYPERLINK("https://12go.asia/en/travel/Kiriella/Kalpitiya", "12Go Link")</f>
        <v>12Go Link</v>
      </c>
      <c r="E14706" s="2" t="s">
        <v>286</v>
      </c>
    </row>
    <row r="14707">
      <c r="A14707" s="2" t="s">
        <v>5014</v>
      </c>
      <c r="B14707" s="2" t="s">
        <v>5011</v>
      </c>
      <c r="C14707" s="2" t="s">
        <v>7343</v>
      </c>
      <c r="D14707" s="3" t="str">
        <f t="shared" si="3647"/>
        <v>12Go Link</v>
      </c>
      <c r="E14707" s="2" t="s">
        <v>4139</v>
      </c>
    </row>
    <row r="14708">
      <c r="A14708" s="2" t="s">
        <v>5014</v>
      </c>
      <c r="B14708" s="2" t="s">
        <v>5011</v>
      </c>
      <c r="C14708" s="2" t="s">
        <v>7343</v>
      </c>
      <c r="D14708" s="3" t="str">
        <f t="shared" si="3647"/>
        <v>12Go Link</v>
      </c>
      <c r="E14708" s="2" t="s">
        <v>3409</v>
      </c>
    </row>
    <row r="14709">
      <c r="A14709" s="2" t="s">
        <v>5014</v>
      </c>
      <c r="B14709" s="2" t="s">
        <v>5011</v>
      </c>
      <c r="C14709" s="2" t="s">
        <v>7344</v>
      </c>
      <c r="D14709" s="3" t="str">
        <f t="shared" ref="D14709:D14711" si="3648">HYPERLINK("https://12go.asia/en/travel/Kiriella/Marawila", "12Go Link")</f>
        <v>12Go Link</v>
      </c>
      <c r="E14709" s="2" t="s">
        <v>286</v>
      </c>
    </row>
    <row r="14710">
      <c r="A14710" s="2" t="s">
        <v>5014</v>
      </c>
      <c r="B14710" s="2" t="s">
        <v>5011</v>
      </c>
      <c r="C14710" s="2" t="s">
        <v>7344</v>
      </c>
      <c r="D14710" s="3" t="str">
        <f t="shared" si="3648"/>
        <v>12Go Link</v>
      </c>
      <c r="E14710" s="2" t="s">
        <v>4139</v>
      </c>
    </row>
    <row r="14711">
      <c r="A14711" s="2" t="s">
        <v>5014</v>
      </c>
      <c r="B14711" s="2" t="s">
        <v>5011</v>
      </c>
      <c r="C14711" s="2" t="s">
        <v>7344</v>
      </c>
      <c r="D14711" s="3" t="str">
        <f t="shared" si="3648"/>
        <v>12Go Link</v>
      </c>
      <c r="E14711" s="2" t="s">
        <v>3409</v>
      </c>
    </row>
    <row r="14712">
      <c r="A14712" s="2" t="s">
        <v>5014</v>
      </c>
      <c r="B14712" s="2" t="s">
        <v>5016</v>
      </c>
      <c r="C14712" s="2" t="s">
        <v>7345</v>
      </c>
      <c r="D14712" s="3" t="str">
        <f t="shared" ref="D14712:D14714" si="3649">HYPERLINK("https://12go.asia/en/travel/Kiriella/Pidurangala", "12Go Link")</f>
        <v>12Go Link</v>
      </c>
      <c r="E14712" s="2" t="s">
        <v>286</v>
      </c>
    </row>
    <row r="14713">
      <c r="A14713" s="2" t="s">
        <v>5014</v>
      </c>
      <c r="B14713" s="2" t="s">
        <v>5016</v>
      </c>
      <c r="C14713" s="2" t="s">
        <v>7345</v>
      </c>
      <c r="D14713" s="3" t="str">
        <f t="shared" si="3649"/>
        <v>12Go Link</v>
      </c>
      <c r="E14713" s="2" t="s">
        <v>4139</v>
      </c>
    </row>
    <row r="14714">
      <c r="A14714" s="2" t="s">
        <v>5014</v>
      </c>
      <c r="B14714" s="2" t="s">
        <v>5016</v>
      </c>
      <c r="C14714" s="2" t="s">
        <v>7345</v>
      </c>
      <c r="D14714" s="3" t="str">
        <f t="shared" si="3649"/>
        <v>12Go Link</v>
      </c>
      <c r="E14714" s="2" t="s">
        <v>3409</v>
      </c>
    </row>
    <row r="14715">
      <c r="A14715" s="2" t="s">
        <v>5014</v>
      </c>
      <c r="B14715" s="2" t="s">
        <v>5018</v>
      </c>
      <c r="C14715" s="2" t="s">
        <v>7346</v>
      </c>
      <c r="D14715" s="3" t="str">
        <f t="shared" ref="D14715:D14717" si="3650">HYPERLINK("https://12go.asia/en/travel/Kiriella/Rekawa", "12Go Link")</f>
        <v>12Go Link</v>
      </c>
      <c r="E14715" s="2" t="s">
        <v>286</v>
      </c>
    </row>
    <row r="14716">
      <c r="A14716" s="2" t="s">
        <v>5014</v>
      </c>
      <c r="B14716" s="2" t="s">
        <v>5018</v>
      </c>
      <c r="C14716" s="2" t="s">
        <v>7346</v>
      </c>
      <c r="D14716" s="3" t="str">
        <f t="shared" si="3650"/>
        <v>12Go Link</v>
      </c>
      <c r="E14716" s="2" t="s">
        <v>4139</v>
      </c>
    </row>
    <row r="14717">
      <c r="A14717" s="2" t="s">
        <v>5014</v>
      </c>
      <c r="B14717" s="2" t="s">
        <v>5018</v>
      </c>
      <c r="C14717" s="2" t="s">
        <v>7346</v>
      </c>
      <c r="D14717" s="3" t="str">
        <f t="shared" si="3650"/>
        <v>12Go Link</v>
      </c>
      <c r="E14717" s="2" t="s">
        <v>3409</v>
      </c>
    </row>
    <row r="14718">
      <c r="A14718" s="2" t="s">
        <v>5014</v>
      </c>
      <c r="B14718" s="2" t="s">
        <v>5020</v>
      </c>
      <c r="C14718" s="2" t="s">
        <v>7347</v>
      </c>
      <c r="D14718" s="3" t="str">
        <f t="shared" ref="D14718:D14720" si="3651">HYPERLINK("https://12go.asia/en/travel/Kiriella/Tissamaharama", "12Go Link")</f>
        <v>12Go Link</v>
      </c>
      <c r="E14718" s="2" t="s">
        <v>286</v>
      </c>
    </row>
    <row r="14719">
      <c r="A14719" s="2" t="s">
        <v>5014</v>
      </c>
      <c r="B14719" s="2" t="s">
        <v>5020</v>
      </c>
      <c r="C14719" s="2" t="s">
        <v>7347</v>
      </c>
      <c r="D14719" s="3" t="str">
        <f t="shared" si="3651"/>
        <v>12Go Link</v>
      </c>
      <c r="E14719" s="2" t="s">
        <v>4139</v>
      </c>
    </row>
    <row r="14720">
      <c r="A14720" s="2" t="s">
        <v>5014</v>
      </c>
      <c r="B14720" s="2" t="s">
        <v>5020</v>
      </c>
      <c r="C14720" s="2" t="s">
        <v>7347</v>
      </c>
      <c r="D14720" s="3" t="str">
        <f t="shared" si="3651"/>
        <v>12Go Link</v>
      </c>
      <c r="E14720" s="2" t="s">
        <v>3409</v>
      </c>
    </row>
    <row r="14721">
      <c r="A14721" s="2" t="s">
        <v>5014</v>
      </c>
      <c r="B14721" s="2" t="s">
        <v>5020</v>
      </c>
      <c r="C14721" s="2" t="s">
        <v>7348</v>
      </c>
      <c r="D14721" s="3" t="str">
        <f t="shared" ref="D14721:D14723" si="3652">HYPERLINK("https://12go.asia/en/travel/Kiriella/Yala-Park", "12Go Link")</f>
        <v>12Go Link</v>
      </c>
      <c r="E14721" s="2" t="s">
        <v>286</v>
      </c>
    </row>
    <row r="14722">
      <c r="A14722" s="2" t="s">
        <v>5014</v>
      </c>
      <c r="B14722" s="2" t="s">
        <v>5020</v>
      </c>
      <c r="C14722" s="2" t="s">
        <v>7348</v>
      </c>
      <c r="D14722" s="3" t="str">
        <f t="shared" si="3652"/>
        <v>12Go Link</v>
      </c>
      <c r="E14722" s="2" t="s">
        <v>4139</v>
      </c>
    </row>
    <row r="14723">
      <c r="A14723" s="2" t="s">
        <v>5014</v>
      </c>
      <c r="B14723" s="2" t="s">
        <v>5020</v>
      </c>
      <c r="C14723" s="2" t="s">
        <v>7348</v>
      </c>
      <c r="D14723" s="3" t="str">
        <f t="shared" si="3652"/>
        <v>12Go Link</v>
      </c>
      <c r="E14723" s="2" t="s">
        <v>3409</v>
      </c>
    </row>
    <row r="14724">
      <c r="A14724" s="2" t="s">
        <v>5014</v>
      </c>
      <c r="B14724" s="2" t="s">
        <v>5023</v>
      </c>
      <c r="C14724" s="2" t="s">
        <v>7349</v>
      </c>
      <c r="D14724" s="3" t="str">
        <f t="shared" ref="D14724:D14726" si="3653">HYPERLINK("https://12go.asia/en/travel/Kiriella/Nilaweli", "12Go Link")</f>
        <v>12Go Link</v>
      </c>
      <c r="E14724" s="2" t="s">
        <v>286</v>
      </c>
    </row>
    <row r="14725">
      <c r="A14725" s="2" t="s">
        <v>5014</v>
      </c>
      <c r="B14725" s="2" t="s">
        <v>5023</v>
      </c>
      <c r="C14725" s="2" t="s">
        <v>7349</v>
      </c>
      <c r="D14725" s="3" t="str">
        <f t="shared" si="3653"/>
        <v>12Go Link</v>
      </c>
      <c r="E14725" s="2" t="s">
        <v>4139</v>
      </c>
    </row>
    <row r="14726">
      <c r="A14726" s="2" t="s">
        <v>5014</v>
      </c>
      <c r="B14726" s="2" t="s">
        <v>5023</v>
      </c>
      <c r="C14726" s="2" t="s">
        <v>7349</v>
      </c>
      <c r="D14726" s="3" t="str">
        <f t="shared" si="3653"/>
        <v>12Go Link</v>
      </c>
      <c r="E14726" s="2" t="s">
        <v>3409</v>
      </c>
    </row>
    <row r="14727">
      <c r="A14727" s="2" t="s">
        <v>5014</v>
      </c>
      <c r="B14727" s="2" t="s">
        <v>5025</v>
      </c>
      <c r="C14727" s="2" t="s">
        <v>7350</v>
      </c>
      <c r="D14727" s="3" t="str">
        <f t="shared" ref="D14727:D14729" si="3654">HYPERLINK("https://12go.asia/en/travel/Kiriella/Udawalawa", "12Go Link")</f>
        <v>12Go Link</v>
      </c>
      <c r="E14727" s="2" t="s">
        <v>286</v>
      </c>
    </row>
    <row r="14728">
      <c r="A14728" s="2" t="s">
        <v>5014</v>
      </c>
      <c r="B14728" s="2" t="s">
        <v>5025</v>
      </c>
      <c r="C14728" s="2" t="s">
        <v>7350</v>
      </c>
      <c r="D14728" s="3" t="str">
        <f t="shared" si="3654"/>
        <v>12Go Link</v>
      </c>
      <c r="E14728" s="2" t="s">
        <v>4139</v>
      </c>
    </row>
    <row r="14729">
      <c r="A14729" s="2" t="s">
        <v>5014</v>
      </c>
      <c r="B14729" s="2" t="s">
        <v>5025</v>
      </c>
      <c r="C14729" s="2" t="s">
        <v>7350</v>
      </c>
      <c r="D14729" s="3" t="str">
        <f t="shared" si="3654"/>
        <v>12Go Link</v>
      </c>
      <c r="E14729" s="2" t="s">
        <v>3409</v>
      </c>
    </row>
    <row r="14730">
      <c r="A14730" s="2" t="s">
        <v>5014</v>
      </c>
      <c r="B14730" s="2" t="s">
        <v>5027</v>
      </c>
      <c r="C14730" s="2" t="s">
        <v>7351</v>
      </c>
      <c r="D14730" s="3" t="str">
        <f t="shared" ref="D14730:D14732" si="3655">HYPERLINK("https://12go.asia/en/travel/Kiriella/Unawatuna", "12Go Link")</f>
        <v>12Go Link</v>
      </c>
      <c r="E14730" s="2" t="s">
        <v>286</v>
      </c>
    </row>
    <row r="14731">
      <c r="A14731" s="2" t="s">
        <v>5014</v>
      </c>
      <c r="B14731" s="2" t="s">
        <v>5027</v>
      </c>
      <c r="C14731" s="2" t="s">
        <v>7351</v>
      </c>
      <c r="D14731" s="3" t="str">
        <f t="shared" si="3655"/>
        <v>12Go Link</v>
      </c>
      <c r="E14731" s="2" t="s">
        <v>4139</v>
      </c>
    </row>
    <row r="14732">
      <c r="A14732" s="2" t="s">
        <v>5014</v>
      </c>
      <c r="B14732" s="2" t="s">
        <v>5027</v>
      </c>
      <c r="C14732" s="2" t="s">
        <v>7351</v>
      </c>
      <c r="D14732" s="3" t="str">
        <f t="shared" si="3655"/>
        <v>12Go Link</v>
      </c>
      <c r="E14732" s="2" t="s">
        <v>3409</v>
      </c>
    </row>
    <row r="14733">
      <c r="A14733" s="2" t="s">
        <v>5014</v>
      </c>
      <c r="B14733" s="2" t="s">
        <v>5029</v>
      </c>
      <c r="C14733" s="2" t="s">
        <v>7352</v>
      </c>
      <c r="D14733" s="3" t="str">
        <f t="shared" ref="D14733:D14735" si="3656">HYPERLINK("https://12go.asia/en/travel/Kiriella/Attanagalla", "12Go Link")</f>
        <v>12Go Link</v>
      </c>
      <c r="E14733" s="2" t="s">
        <v>286</v>
      </c>
    </row>
    <row r="14734">
      <c r="A14734" s="2" t="s">
        <v>5014</v>
      </c>
      <c r="B14734" s="2" t="s">
        <v>5029</v>
      </c>
      <c r="C14734" s="2" t="s">
        <v>7352</v>
      </c>
      <c r="D14734" s="3" t="str">
        <f t="shared" si="3656"/>
        <v>12Go Link</v>
      </c>
      <c r="E14734" s="2" t="s">
        <v>4139</v>
      </c>
    </row>
    <row r="14735">
      <c r="A14735" s="2" t="s">
        <v>5014</v>
      </c>
      <c r="B14735" s="2" t="s">
        <v>5029</v>
      </c>
      <c r="C14735" s="2" t="s">
        <v>7352</v>
      </c>
      <c r="D14735" s="3" t="str">
        <f t="shared" si="3656"/>
        <v>12Go Link</v>
      </c>
      <c r="E14735" s="2" t="s">
        <v>3409</v>
      </c>
    </row>
    <row r="14736">
      <c r="A14736" s="2" t="s">
        <v>5014</v>
      </c>
      <c r="B14736" s="2" t="s">
        <v>5031</v>
      </c>
      <c r="C14736" s="2" t="s">
        <v>7353</v>
      </c>
      <c r="D14736" s="3" t="str">
        <f t="shared" ref="D14736:D14738" si="3657">HYPERLINK("https://12go.asia/en/travel/Kiriella/Moronthuduwa", "12Go Link")</f>
        <v>12Go Link</v>
      </c>
      <c r="E14736" s="2" t="s">
        <v>286</v>
      </c>
    </row>
    <row r="14737">
      <c r="A14737" s="2" t="s">
        <v>5014</v>
      </c>
      <c r="B14737" s="2" t="s">
        <v>5031</v>
      </c>
      <c r="C14737" s="2" t="s">
        <v>7353</v>
      </c>
      <c r="D14737" s="3" t="str">
        <f t="shared" si="3657"/>
        <v>12Go Link</v>
      </c>
      <c r="E14737" s="2" t="s">
        <v>4139</v>
      </c>
    </row>
    <row r="14738">
      <c r="A14738" s="2" t="s">
        <v>5014</v>
      </c>
      <c r="B14738" s="2" t="s">
        <v>5031</v>
      </c>
      <c r="C14738" s="2" t="s">
        <v>7353</v>
      </c>
      <c r="D14738" s="3" t="str">
        <f t="shared" si="3657"/>
        <v>12Go Link</v>
      </c>
      <c r="E14738" s="2" t="s">
        <v>3409</v>
      </c>
    </row>
    <row r="14739">
      <c r="A14739" s="2" t="s">
        <v>5014</v>
      </c>
      <c r="B14739" s="2" t="s">
        <v>5031</v>
      </c>
      <c r="C14739" s="2" t="s">
        <v>7354</v>
      </c>
      <c r="D14739" s="3" t="str">
        <f t="shared" ref="D14739:D14741" si="3658">HYPERLINK("https://12go.asia/en/travel/Kiriella/Waskaduwa", "12Go Link")</f>
        <v>12Go Link</v>
      </c>
      <c r="E14739" s="2" t="s">
        <v>286</v>
      </c>
    </row>
    <row r="14740">
      <c r="A14740" s="2" t="s">
        <v>5014</v>
      </c>
      <c r="B14740" s="2" t="s">
        <v>5031</v>
      </c>
      <c r="C14740" s="2" t="s">
        <v>7354</v>
      </c>
      <c r="D14740" s="3" t="str">
        <f t="shared" si="3658"/>
        <v>12Go Link</v>
      </c>
      <c r="E14740" s="2" t="s">
        <v>4139</v>
      </c>
    </row>
    <row r="14741">
      <c r="A14741" s="2" t="s">
        <v>5014</v>
      </c>
      <c r="B14741" s="2" t="s">
        <v>5031</v>
      </c>
      <c r="C14741" s="2" t="s">
        <v>7354</v>
      </c>
      <c r="D14741" s="3" t="str">
        <f t="shared" si="3658"/>
        <v>12Go Link</v>
      </c>
      <c r="E14741" s="2" t="s">
        <v>3409</v>
      </c>
    </row>
    <row r="14742">
      <c r="A14742" s="2" t="s">
        <v>5014</v>
      </c>
      <c r="B14742" s="2" t="s">
        <v>5034</v>
      </c>
      <c r="C14742" s="2" t="s">
        <v>7355</v>
      </c>
      <c r="D14742" s="3" t="str">
        <f t="shared" ref="D14742:D14744" si="3659">HYPERLINK("https://12go.asia/en/travel/Kiriella/Weddagala", "12Go Link")</f>
        <v>12Go Link</v>
      </c>
      <c r="E14742" s="2" t="s">
        <v>286</v>
      </c>
    </row>
    <row r="14743">
      <c r="A14743" s="2" t="s">
        <v>5014</v>
      </c>
      <c r="B14743" s="2" t="s">
        <v>5034</v>
      </c>
      <c r="C14743" s="2" t="s">
        <v>7355</v>
      </c>
      <c r="D14743" s="3" t="str">
        <f t="shared" si="3659"/>
        <v>12Go Link</v>
      </c>
      <c r="E14743" s="2" t="s">
        <v>4139</v>
      </c>
    </row>
    <row r="14744">
      <c r="A14744" s="2" t="s">
        <v>5014</v>
      </c>
      <c r="B14744" s="2" t="s">
        <v>5034</v>
      </c>
      <c r="C14744" s="2" t="s">
        <v>7355</v>
      </c>
      <c r="D14744" s="3" t="str">
        <f t="shared" si="3659"/>
        <v>12Go Link</v>
      </c>
      <c r="E14744" s="2" t="s">
        <v>3409</v>
      </c>
    </row>
    <row r="14745">
      <c r="A14745" s="2" t="s">
        <v>5014</v>
      </c>
      <c r="B14745" s="2" t="s">
        <v>5036</v>
      </c>
      <c r="C14745" s="2" t="s">
        <v>7356</v>
      </c>
      <c r="D14745" s="3" t="str">
        <f t="shared" ref="D14745:D14747" si="3660">HYPERLINK("https://12go.asia/en/travel/Kiriella/Weligatta", "12Go Link")</f>
        <v>12Go Link</v>
      </c>
      <c r="E14745" s="2" t="s">
        <v>286</v>
      </c>
    </row>
    <row r="14746">
      <c r="A14746" s="2" t="s">
        <v>5014</v>
      </c>
      <c r="B14746" s="2" t="s">
        <v>5036</v>
      </c>
      <c r="C14746" s="2" t="s">
        <v>7356</v>
      </c>
      <c r="D14746" s="3" t="str">
        <f t="shared" si="3660"/>
        <v>12Go Link</v>
      </c>
      <c r="E14746" s="2" t="s">
        <v>4139</v>
      </c>
    </row>
    <row r="14747">
      <c r="A14747" s="2" t="s">
        <v>5014</v>
      </c>
      <c r="B14747" s="2" t="s">
        <v>5036</v>
      </c>
      <c r="C14747" s="2" t="s">
        <v>7356</v>
      </c>
      <c r="D14747" s="3" t="str">
        <f t="shared" si="3660"/>
        <v>12Go Link</v>
      </c>
      <c r="E14747" s="2" t="s">
        <v>3409</v>
      </c>
    </row>
    <row r="14748">
      <c r="A14748" s="2" t="s">
        <v>5014</v>
      </c>
      <c r="B14748" s="2" t="s">
        <v>5038</v>
      </c>
      <c r="C14748" s="2" t="s">
        <v>7357</v>
      </c>
      <c r="D14748" s="3" t="str">
        <f t="shared" ref="D14748:D14750" si="3661">HYPERLINK("https://12go.asia/en/travel/Kiriella/Akuressa", "12Go Link")</f>
        <v>12Go Link</v>
      </c>
      <c r="E14748" s="2" t="s">
        <v>286</v>
      </c>
    </row>
    <row r="14749">
      <c r="A14749" s="2" t="s">
        <v>5014</v>
      </c>
      <c r="B14749" s="2" t="s">
        <v>5038</v>
      </c>
      <c r="C14749" s="2" t="s">
        <v>7357</v>
      </c>
      <c r="D14749" s="3" t="str">
        <f t="shared" si="3661"/>
        <v>12Go Link</v>
      </c>
      <c r="E14749" s="2" t="s">
        <v>4139</v>
      </c>
    </row>
    <row r="14750">
      <c r="A14750" s="2" t="s">
        <v>5014</v>
      </c>
      <c r="B14750" s="2" t="s">
        <v>5038</v>
      </c>
      <c r="C14750" s="2" t="s">
        <v>7357</v>
      </c>
      <c r="D14750" s="3" t="str">
        <f t="shared" si="3661"/>
        <v>12Go Link</v>
      </c>
      <c r="E14750" s="2" t="s">
        <v>3409</v>
      </c>
    </row>
    <row r="14751">
      <c r="A14751" s="2" t="s">
        <v>5014</v>
      </c>
      <c r="B14751" s="2" t="s">
        <v>5040</v>
      </c>
      <c r="C14751" s="2" t="s">
        <v>7358</v>
      </c>
      <c r="D14751" s="3" t="str">
        <f t="shared" ref="D14751:D14753" si="3662">HYPERLINK("https://12go.asia/en/travel/Kiriella/Wilpattu", "12Go Link")</f>
        <v>12Go Link</v>
      </c>
      <c r="E14751" s="2" t="s">
        <v>286</v>
      </c>
    </row>
    <row r="14752">
      <c r="A14752" s="2" t="s">
        <v>5014</v>
      </c>
      <c r="B14752" s="2" t="s">
        <v>5040</v>
      </c>
      <c r="C14752" s="2" t="s">
        <v>7358</v>
      </c>
      <c r="D14752" s="3" t="str">
        <f t="shared" si="3662"/>
        <v>12Go Link</v>
      </c>
      <c r="E14752" s="2" t="s">
        <v>4139</v>
      </c>
    </row>
    <row r="14753">
      <c r="A14753" s="2" t="s">
        <v>5014</v>
      </c>
      <c r="B14753" s="2" t="s">
        <v>5040</v>
      </c>
      <c r="C14753" s="2" t="s">
        <v>7358</v>
      </c>
      <c r="D14753" s="3" t="str">
        <f t="shared" si="3662"/>
        <v>12Go Link</v>
      </c>
      <c r="E14753" s="2" t="s">
        <v>3409</v>
      </c>
    </row>
    <row r="14754">
      <c r="A14754" s="2" t="s">
        <v>5016</v>
      </c>
      <c r="B14754" s="2" t="s">
        <v>4918</v>
      </c>
      <c r="C14754" s="2" t="s">
        <v>7359</v>
      </c>
      <c r="D14754" s="3" t="str">
        <f t="shared" ref="D14754:D14756" si="3663">HYPERLINK("https://12go.asia/en/travel/Pidurangala/Adams-Peak", "12Go Link")</f>
        <v>12Go Link</v>
      </c>
      <c r="E14754" s="2" t="s">
        <v>286</v>
      </c>
    </row>
    <row r="14755">
      <c r="A14755" s="2" t="s">
        <v>5016</v>
      </c>
      <c r="B14755" s="2" t="s">
        <v>4918</v>
      </c>
      <c r="C14755" s="2" t="s">
        <v>7359</v>
      </c>
      <c r="D14755" s="3" t="str">
        <f t="shared" si="3663"/>
        <v>12Go Link</v>
      </c>
      <c r="E14755" s="2" t="s">
        <v>4139</v>
      </c>
    </row>
    <row r="14756">
      <c r="A14756" s="2" t="s">
        <v>5016</v>
      </c>
      <c r="B14756" s="2" t="s">
        <v>4918</v>
      </c>
      <c r="C14756" s="2" t="s">
        <v>7359</v>
      </c>
      <c r="D14756" s="3" t="str">
        <f t="shared" si="3663"/>
        <v>12Go Link</v>
      </c>
      <c r="E14756" s="2" t="s">
        <v>3409</v>
      </c>
    </row>
    <row r="14757">
      <c r="A14757" s="2" t="s">
        <v>5016</v>
      </c>
      <c r="B14757" s="2" t="s">
        <v>4929</v>
      </c>
      <c r="C14757" s="2" t="s">
        <v>7360</v>
      </c>
      <c r="D14757" s="3" t="str">
        <f t="shared" ref="D14757:D14759" si="3664">HYPERLINK("https://12go.asia/en/travel/Pidurangala/Anuradhapura", "12Go Link")</f>
        <v>12Go Link</v>
      </c>
      <c r="E14757" s="2" t="s">
        <v>286</v>
      </c>
    </row>
    <row r="14758">
      <c r="A14758" s="2" t="s">
        <v>5016</v>
      </c>
      <c r="B14758" s="2" t="s">
        <v>4929</v>
      </c>
      <c r="C14758" s="2" t="s">
        <v>7360</v>
      </c>
      <c r="D14758" s="3" t="str">
        <f t="shared" si="3664"/>
        <v>12Go Link</v>
      </c>
      <c r="E14758" s="2" t="s">
        <v>4139</v>
      </c>
    </row>
    <row r="14759">
      <c r="A14759" s="2" t="s">
        <v>5016</v>
      </c>
      <c r="B14759" s="2" t="s">
        <v>4929</v>
      </c>
      <c r="C14759" s="2" t="s">
        <v>7360</v>
      </c>
      <c r="D14759" s="3" t="str">
        <f t="shared" si="3664"/>
        <v>12Go Link</v>
      </c>
      <c r="E14759" s="2" t="s">
        <v>3409</v>
      </c>
    </row>
    <row r="14760">
      <c r="A14760" s="2" t="s">
        <v>5016</v>
      </c>
      <c r="B14760" s="2" t="s">
        <v>4931</v>
      </c>
      <c r="C14760" s="2" t="s">
        <v>7361</v>
      </c>
      <c r="D14760" s="3" t="str">
        <f t="shared" ref="D14760:D14762" si="3665">HYPERLINK("https://12go.asia/en/travel/Pidurangala/Arugam-bay", "12Go Link")</f>
        <v>12Go Link</v>
      </c>
      <c r="E14760" s="2" t="s">
        <v>286</v>
      </c>
    </row>
    <row r="14761">
      <c r="A14761" s="2" t="s">
        <v>5016</v>
      </c>
      <c r="B14761" s="2" t="s">
        <v>4931</v>
      </c>
      <c r="C14761" s="2" t="s">
        <v>7361</v>
      </c>
      <c r="D14761" s="3" t="str">
        <f t="shared" si="3665"/>
        <v>12Go Link</v>
      </c>
      <c r="E14761" s="2" t="s">
        <v>4139</v>
      </c>
    </row>
    <row r="14762">
      <c r="A14762" s="2" t="s">
        <v>5016</v>
      </c>
      <c r="B14762" s="2" t="s">
        <v>4931</v>
      </c>
      <c r="C14762" s="2" t="s">
        <v>7361</v>
      </c>
      <c r="D14762" s="3" t="str">
        <f t="shared" si="3665"/>
        <v>12Go Link</v>
      </c>
      <c r="E14762" s="2" t="s">
        <v>3409</v>
      </c>
    </row>
    <row r="14763">
      <c r="A14763" s="2" t="s">
        <v>5016</v>
      </c>
      <c r="B14763" s="2" t="s">
        <v>4935</v>
      </c>
      <c r="C14763" s="2" t="s">
        <v>7362</v>
      </c>
      <c r="D14763" s="3" t="str">
        <f t="shared" ref="D14763:D14765" si="3666">HYPERLINK("https://12go.asia/en/travel/Pidurangala/Batticaloa", "12Go Link")</f>
        <v>12Go Link</v>
      </c>
      <c r="E14763" s="2" t="s">
        <v>286</v>
      </c>
    </row>
    <row r="14764">
      <c r="A14764" s="2" t="s">
        <v>5016</v>
      </c>
      <c r="B14764" s="2" t="s">
        <v>4935</v>
      </c>
      <c r="C14764" s="2" t="s">
        <v>7362</v>
      </c>
      <c r="D14764" s="3" t="str">
        <f t="shared" si="3666"/>
        <v>12Go Link</v>
      </c>
      <c r="E14764" s="2" t="s">
        <v>4139</v>
      </c>
    </row>
    <row r="14765">
      <c r="A14765" s="2" t="s">
        <v>5016</v>
      </c>
      <c r="B14765" s="2" t="s">
        <v>4935</v>
      </c>
      <c r="C14765" s="2" t="s">
        <v>7362</v>
      </c>
      <c r="D14765" s="3" t="str">
        <f t="shared" si="3666"/>
        <v>12Go Link</v>
      </c>
      <c r="E14765" s="2" t="s">
        <v>3409</v>
      </c>
    </row>
    <row r="14766">
      <c r="A14766" s="2" t="s">
        <v>5016</v>
      </c>
      <c r="B14766" s="2" t="s">
        <v>4939</v>
      </c>
      <c r="C14766" s="2" t="s">
        <v>7363</v>
      </c>
      <c r="D14766" s="3" t="str">
        <f t="shared" ref="D14766:D14768" si="3667">HYPERLINK("https://12go.asia/en/travel/Pidurangala/Beruwala", "12Go Link")</f>
        <v>12Go Link</v>
      </c>
      <c r="E14766" s="2" t="s">
        <v>286</v>
      </c>
    </row>
    <row r="14767">
      <c r="A14767" s="2" t="s">
        <v>5016</v>
      </c>
      <c r="B14767" s="2" t="s">
        <v>4939</v>
      </c>
      <c r="C14767" s="2" t="s">
        <v>7363</v>
      </c>
      <c r="D14767" s="3" t="str">
        <f t="shared" si="3667"/>
        <v>12Go Link</v>
      </c>
      <c r="E14767" s="2" t="s">
        <v>4139</v>
      </c>
    </row>
    <row r="14768">
      <c r="A14768" s="2" t="s">
        <v>5016</v>
      </c>
      <c r="B14768" s="2" t="s">
        <v>4939</v>
      </c>
      <c r="C14768" s="2" t="s">
        <v>7363</v>
      </c>
      <c r="D14768" s="3" t="str">
        <f t="shared" si="3667"/>
        <v>12Go Link</v>
      </c>
      <c r="E14768" s="2" t="s">
        <v>3409</v>
      </c>
    </row>
    <row r="14769">
      <c r="A14769" s="2" t="s">
        <v>5016</v>
      </c>
      <c r="B14769" s="2" t="s">
        <v>4941</v>
      </c>
      <c r="C14769" s="2" t="s">
        <v>7364</v>
      </c>
      <c r="D14769" s="3" t="str">
        <f t="shared" ref="D14769:D14771" si="3668">HYPERLINK("https://12go.asia/en/travel/Pidurangala/Bundala", "12Go Link")</f>
        <v>12Go Link</v>
      </c>
      <c r="E14769" s="2" t="s">
        <v>286</v>
      </c>
    </row>
    <row r="14770">
      <c r="A14770" s="2" t="s">
        <v>5016</v>
      </c>
      <c r="B14770" s="2" t="s">
        <v>4941</v>
      </c>
      <c r="C14770" s="2" t="s">
        <v>7364</v>
      </c>
      <c r="D14770" s="3" t="str">
        <f t="shared" si="3668"/>
        <v>12Go Link</v>
      </c>
      <c r="E14770" s="2" t="s">
        <v>4139</v>
      </c>
    </row>
    <row r="14771">
      <c r="A14771" s="2" t="s">
        <v>5016</v>
      </c>
      <c r="B14771" s="2" t="s">
        <v>4941</v>
      </c>
      <c r="C14771" s="2" t="s">
        <v>7364</v>
      </c>
      <c r="D14771" s="3" t="str">
        <f t="shared" si="3668"/>
        <v>12Go Link</v>
      </c>
      <c r="E14771" s="2" t="s">
        <v>3409</v>
      </c>
    </row>
    <row r="14772">
      <c r="A14772" s="2" t="s">
        <v>5016</v>
      </c>
      <c r="B14772" s="2" t="s">
        <v>4945</v>
      </c>
      <c r="C14772" s="2" t="s">
        <v>7365</v>
      </c>
      <c r="D14772" s="3" t="str">
        <f t="shared" ref="D14772:D14774" si="3669">HYPERLINK("https://12go.asia/en/travel/Pidurangala/Bandaranaike-Airport", "12Go Link")</f>
        <v>12Go Link</v>
      </c>
      <c r="E14772" s="2" t="s">
        <v>286</v>
      </c>
    </row>
    <row r="14773">
      <c r="A14773" s="2" t="s">
        <v>5016</v>
      </c>
      <c r="B14773" s="2" t="s">
        <v>4945</v>
      </c>
      <c r="C14773" s="2" t="s">
        <v>7365</v>
      </c>
      <c r="D14773" s="3" t="str">
        <f t="shared" si="3669"/>
        <v>12Go Link</v>
      </c>
      <c r="E14773" s="2" t="s">
        <v>4139</v>
      </c>
    </row>
    <row r="14774">
      <c r="A14774" s="2" t="s">
        <v>5016</v>
      </c>
      <c r="B14774" s="2" t="s">
        <v>4945</v>
      </c>
      <c r="C14774" s="2" t="s">
        <v>7365</v>
      </c>
      <c r="D14774" s="3" t="str">
        <f t="shared" si="3669"/>
        <v>12Go Link</v>
      </c>
      <c r="E14774" s="2" t="s">
        <v>3409</v>
      </c>
    </row>
    <row r="14775">
      <c r="A14775" s="2" t="s">
        <v>5016</v>
      </c>
      <c r="B14775" s="2" t="s">
        <v>4947</v>
      </c>
      <c r="C14775" s="2" t="s">
        <v>7366</v>
      </c>
      <c r="D14775" s="3" t="str">
        <f t="shared" ref="D14775:D14777" si="3670">HYPERLINK("https://12go.asia/en/travel/Pidurangala/Dambulla", "12Go Link")</f>
        <v>12Go Link</v>
      </c>
      <c r="E14775" s="2" t="s">
        <v>286</v>
      </c>
    </row>
    <row r="14776">
      <c r="A14776" s="2" t="s">
        <v>5016</v>
      </c>
      <c r="B14776" s="2" t="s">
        <v>4947</v>
      </c>
      <c r="C14776" s="2" t="s">
        <v>7366</v>
      </c>
      <c r="D14776" s="3" t="str">
        <f t="shared" si="3670"/>
        <v>12Go Link</v>
      </c>
      <c r="E14776" s="2" t="s">
        <v>4139</v>
      </c>
    </row>
    <row r="14777">
      <c r="A14777" s="2" t="s">
        <v>5016</v>
      </c>
      <c r="B14777" s="2" t="s">
        <v>4947</v>
      </c>
      <c r="C14777" s="2" t="s">
        <v>7366</v>
      </c>
      <c r="D14777" s="3" t="str">
        <f t="shared" si="3670"/>
        <v>12Go Link</v>
      </c>
      <c r="E14777" s="2" t="s">
        <v>3409</v>
      </c>
    </row>
    <row r="14778">
      <c r="A14778" s="2" t="s">
        <v>5016</v>
      </c>
      <c r="B14778" s="2" t="s">
        <v>4949</v>
      </c>
      <c r="C14778" s="2" t="s">
        <v>7367</v>
      </c>
      <c r="D14778" s="3" t="str">
        <f t="shared" ref="D14778:D14780" si="3671">HYPERLINK("https://12go.asia/en/travel/Pidurangala/Deniyaya", "12Go Link")</f>
        <v>12Go Link</v>
      </c>
      <c r="E14778" s="2" t="s">
        <v>286</v>
      </c>
    </row>
    <row r="14779">
      <c r="A14779" s="2" t="s">
        <v>5016</v>
      </c>
      <c r="B14779" s="2" t="s">
        <v>4949</v>
      </c>
      <c r="C14779" s="2" t="s">
        <v>7367</v>
      </c>
      <c r="D14779" s="3" t="str">
        <f t="shared" si="3671"/>
        <v>12Go Link</v>
      </c>
      <c r="E14779" s="2" t="s">
        <v>4139</v>
      </c>
    </row>
    <row r="14780">
      <c r="A14780" s="2" t="s">
        <v>5016</v>
      </c>
      <c r="B14780" s="2" t="s">
        <v>4949</v>
      </c>
      <c r="C14780" s="2" t="s">
        <v>7367</v>
      </c>
      <c r="D14780" s="3" t="str">
        <f t="shared" si="3671"/>
        <v>12Go Link</v>
      </c>
      <c r="E14780" s="2" t="s">
        <v>3409</v>
      </c>
    </row>
    <row r="14781">
      <c r="A14781" s="2" t="s">
        <v>5016</v>
      </c>
      <c r="B14781" s="2" t="s">
        <v>4951</v>
      </c>
      <c r="C14781" s="2" t="s">
        <v>7368</v>
      </c>
      <c r="D14781" s="3" t="str">
        <f t="shared" ref="D14781:D14783" si="3672">HYPERLINK("https://12go.asia/en/travel/Pidurangala/Dickwella", "12Go Link")</f>
        <v>12Go Link</v>
      </c>
      <c r="E14781" s="2" t="s">
        <v>286</v>
      </c>
    </row>
    <row r="14782">
      <c r="A14782" s="2" t="s">
        <v>5016</v>
      </c>
      <c r="B14782" s="2" t="s">
        <v>4951</v>
      </c>
      <c r="C14782" s="2" t="s">
        <v>7368</v>
      </c>
      <c r="D14782" s="3" t="str">
        <f t="shared" si="3672"/>
        <v>12Go Link</v>
      </c>
      <c r="E14782" s="2" t="s">
        <v>4139</v>
      </c>
    </row>
    <row r="14783">
      <c r="A14783" s="2" t="s">
        <v>5016</v>
      </c>
      <c r="B14783" s="2" t="s">
        <v>4951</v>
      </c>
      <c r="C14783" s="2" t="s">
        <v>7368</v>
      </c>
      <c r="D14783" s="3" t="str">
        <f t="shared" si="3672"/>
        <v>12Go Link</v>
      </c>
      <c r="E14783" s="2" t="s">
        <v>3409</v>
      </c>
    </row>
    <row r="14784">
      <c r="A14784" s="2" t="s">
        <v>5016</v>
      </c>
      <c r="B14784" s="2" t="s">
        <v>4951</v>
      </c>
      <c r="C14784" s="2" t="s">
        <v>7369</v>
      </c>
      <c r="D14784" s="3" t="str">
        <f t="shared" ref="D14784:D14786" si="3673">HYPERLINK("https://12go.asia/en/travel/Pidurangala/Hiriketiya-beach", "12Go Link")</f>
        <v>12Go Link</v>
      </c>
      <c r="E14784" s="2" t="s">
        <v>286</v>
      </c>
    </row>
    <row r="14785">
      <c r="A14785" s="2" t="s">
        <v>5016</v>
      </c>
      <c r="B14785" s="2" t="s">
        <v>4951</v>
      </c>
      <c r="C14785" s="2" t="s">
        <v>7369</v>
      </c>
      <c r="D14785" s="3" t="str">
        <f t="shared" si="3673"/>
        <v>12Go Link</v>
      </c>
      <c r="E14785" s="2" t="s">
        <v>4139</v>
      </c>
    </row>
    <row r="14786">
      <c r="A14786" s="2" t="s">
        <v>5016</v>
      </c>
      <c r="B14786" s="2" t="s">
        <v>4951</v>
      </c>
      <c r="C14786" s="2" t="s">
        <v>7369</v>
      </c>
      <c r="D14786" s="3" t="str">
        <f t="shared" si="3673"/>
        <v>12Go Link</v>
      </c>
      <c r="E14786" s="2" t="s">
        <v>3409</v>
      </c>
    </row>
    <row r="14787">
      <c r="A14787" s="2" t="s">
        <v>5016</v>
      </c>
      <c r="B14787" s="2" t="s">
        <v>5779</v>
      </c>
      <c r="C14787" s="2" t="s">
        <v>7370</v>
      </c>
      <c r="D14787" s="3" t="str">
        <f t="shared" ref="D14787:D14789" si="3674">HYPERLINK("https://12go.asia/en/travel/Pidurangala/Ella", "12Go Link")</f>
        <v>12Go Link</v>
      </c>
      <c r="E14787" s="2" t="s">
        <v>286</v>
      </c>
    </row>
    <row r="14788">
      <c r="A14788" s="2" t="s">
        <v>5016</v>
      </c>
      <c r="B14788" s="2" t="s">
        <v>5779</v>
      </c>
      <c r="C14788" s="2" t="s">
        <v>7370</v>
      </c>
      <c r="D14788" s="3" t="str">
        <f t="shared" si="3674"/>
        <v>12Go Link</v>
      </c>
      <c r="E14788" s="2" t="s">
        <v>4139</v>
      </c>
    </row>
    <row r="14789">
      <c r="A14789" s="2" t="s">
        <v>5016</v>
      </c>
      <c r="B14789" s="2" t="s">
        <v>5779</v>
      </c>
      <c r="C14789" s="2" t="s">
        <v>7370</v>
      </c>
      <c r="D14789" s="3" t="str">
        <f t="shared" si="3674"/>
        <v>12Go Link</v>
      </c>
      <c r="E14789" s="2" t="s">
        <v>3409</v>
      </c>
    </row>
    <row r="14790">
      <c r="A14790" s="2" t="s">
        <v>5016</v>
      </c>
      <c r="B14790" s="2" t="s">
        <v>4954</v>
      </c>
      <c r="C14790" s="2" t="s">
        <v>7371</v>
      </c>
      <c r="D14790" s="3" t="str">
        <f t="shared" ref="D14790:D14792" si="3675">HYPERLINK("https://12go.asia/en/travel/Pidurangala/Talpe", "12Go Link")</f>
        <v>12Go Link</v>
      </c>
      <c r="E14790" s="2" t="s">
        <v>286</v>
      </c>
    </row>
    <row r="14791">
      <c r="A14791" s="2" t="s">
        <v>5016</v>
      </c>
      <c r="B14791" s="2" t="s">
        <v>4954</v>
      </c>
      <c r="C14791" s="2" t="s">
        <v>7371</v>
      </c>
      <c r="D14791" s="3" t="str">
        <f t="shared" si="3675"/>
        <v>12Go Link</v>
      </c>
      <c r="E14791" s="2" t="s">
        <v>4139</v>
      </c>
    </row>
    <row r="14792">
      <c r="A14792" s="2" t="s">
        <v>5016</v>
      </c>
      <c r="B14792" s="2" t="s">
        <v>4954</v>
      </c>
      <c r="C14792" s="2" t="s">
        <v>7371</v>
      </c>
      <c r="D14792" s="3" t="str">
        <f t="shared" si="3675"/>
        <v>12Go Link</v>
      </c>
      <c r="E14792" s="2" t="s">
        <v>3409</v>
      </c>
    </row>
    <row r="14793">
      <c r="A14793" s="2" t="s">
        <v>5016</v>
      </c>
      <c r="B14793" s="2" t="s">
        <v>4957</v>
      </c>
      <c r="C14793" s="2" t="s">
        <v>7372</v>
      </c>
      <c r="D14793" s="3" t="str">
        <f t="shared" ref="D14793:D14795" si="3676">HYPERLINK("https://12go.asia/en/travel/Pidurangala/Habarana", "12Go Link")</f>
        <v>12Go Link</v>
      </c>
      <c r="E14793" s="2" t="s">
        <v>286</v>
      </c>
    </row>
    <row r="14794">
      <c r="A14794" s="2" t="s">
        <v>5016</v>
      </c>
      <c r="B14794" s="2" t="s">
        <v>4957</v>
      </c>
      <c r="C14794" s="2" t="s">
        <v>7372</v>
      </c>
      <c r="D14794" s="3" t="str">
        <f t="shared" si="3676"/>
        <v>12Go Link</v>
      </c>
      <c r="E14794" s="2" t="s">
        <v>4139</v>
      </c>
    </row>
    <row r="14795">
      <c r="A14795" s="2" t="s">
        <v>5016</v>
      </c>
      <c r="B14795" s="2" t="s">
        <v>4957</v>
      </c>
      <c r="C14795" s="2" t="s">
        <v>7372</v>
      </c>
      <c r="D14795" s="3" t="str">
        <f t="shared" si="3676"/>
        <v>12Go Link</v>
      </c>
      <c r="E14795" s="2" t="s">
        <v>3409</v>
      </c>
    </row>
    <row r="14796">
      <c r="A14796" s="2" t="s">
        <v>5016</v>
      </c>
      <c r="B14796" s="2" t="s">
        <v>4961</v>
      </c>
      <c r="C14796" s="2" t="s">
        <v>7373</v>
      </c>
      <c r="D14796" s="3" t="str">
        <f t="shared" ref="D14796:D14798" si="3677">HYPERLINK("https://12go.asia/en/travel/Pidurangala/Beragala", "12Go Link")</f>
        <v>12Go Link</v>
      </c>
      <c r="E14796" s="2" t="s">
        <v>286</v>
      </c>
    </row>
    <row r="14797">
      <c r="A14797" s="2" t="s">
        <v>5016</v>
      </c>
      <c r="B14797" s="2" t="s">
        <v>4961</v>
      </c>
      <c r="C14797" s="2" t="s">
        <v>7373</v>
      </c>
      <c r="D14797" s="3" t="str">
        <f t="shared" si="3677"/>
        <v>12Go Link</v>
      </c>
      <c r="E14797" s="2" t="s">
        <v>4139</v>
      </c>
    </row>
    <row r="14798">
      <c r="A14798" s="2" t="s">
        <v>5016</v>
      </c>
      <c r="B14798" s="2" t="s">
        <v>4961</v>
      </c>
      <c r="C14798" s="2" t="s">
        <v>7373</v>
      </c>
      <c r="D14798" s="3" t="str">
        <f t="shared" si="3677"/>
        <v>12Go Link</v>
      </c>
      <c r="E14798" s="2" t="s">
        <v>3409</v>
      </c>
    </row>
    <row r="14799">
      <c r="A14799" s="2" t="s">
        <v>5016</v>
      </c>
      <c r="B14799" s="2" t="s">
        <v>4963</v>
      </c>
      <c r="C14799" s="2" t="s">
        <v>7374</v>
      </c>
      <c r="D14799" s="3" t="str">
        <f t="shared" ref="D14799:D14801" si="3678">HYPERLINK("https://12go.asia/en/travel/Pidurangala/Dick-oya", "12Go Link")</f>
        <v>12Go Link</v>
      </c>
      <c r="E14799" s="2" t="s">
        <v>286</v>
      </c>
    </row>
    <row r="14800">
      <c r="A14800" s="2" t="s">
        <v>5016</v>
      </c>
      <c r="B14800" s="2" t="s">
        <v>4963</v>
      </c>
      <c r="C14800" s="2" t="s">
        <v>7374</v>
      </c>
      <c r="D14800" s="3" t="str">
        <f t="shared" si="3678"/>
        <v>12Go Link</v>
      </c>
      <c r="E14800" s="2" t="s">
        <v>4139</v>
      </c>
    </row>
    <row r="14801">
      <c r="A14801" s="2" t="s">
        <v>5016</v>
      </c>
      <c r="B14801" s="2" t="s">
        <v>4963</v>
      </c>
      <c r="C14801" s="2" t="s">
        <v>7374</v>
      </c>
      <c r="D14801" s="3" t="str">
        <f t="shared" si="3678"/>
        <v>12Go Link</v>
      </c>
      <c r="E14801" s="2" t="s">
        <v>3409</v>
      </c>
    </row>
    <row r="14802">
      <c r="A14802" s="2" t="s">
        <v>5016</v>
      </c>
      <c r="B14802" s="2" t="s">
        <v>4967</v>
      </c>
      <c r="C14802" s="2" t="s">
        <v>7375</v>
      </c>
      <c r="D14802" s="3" t="str">
        <f t="shared" ref="D14802:D14804" si="3679">HYPERLINK("https://12go.asia/en/travel/Pidurangala/Induruwa", "12Go Link")</f>
        <v>12Go Link</v>
      </c>
      <c r="E14802" s="2" t="s">
        <v>286</v>
      </c>
    </row>
    <row r="14803">
      <c r="A14803" s="2" t="s">
        <v>5016</v>
      </c>
      <c r="B14803" s="2" t="s">
        <v>4967</v>
      </c>
      <c r="C14803" s="2" t="s">
        <v>7375</v>
      </c>
      <c r="D14803" s="3" t="str">
        <f t="shared" si="3679"/>
        <v>12Go Link</v>
      </c>
      <c r="E14803" s="2" t="s">
        <v>4139</v>
      </c>
    </row>
    <row r="14804">
      <c r="A14804" s="2" t="s">
        <v>5016</v>
      </c>
      <c r="B14804" s="2" t="s">
        <v>4967</v>
      </c>
      <c r="C14804" s="2" t="s">
        <v>7375</v>
      </c>
      <c r="D14804" s="3" t="str">
        <f t="shared" si="3679"/>
        <v>12Go Link</v>
      </c>
      <c r="E14804" s="2" t="s">
        <v>3409</v>
      </c>
    </row>
    <row r="14805">
      <c r="A14805" s="2" t="s">
        <v>5016</v>
      </c>
      <c r="B14805" s="2" t="s">
        <v>4969</v>
      </c>
      <c r="C14805" s="2" t="s">
        <v>7376</v>
      </c>
      <c r="D14805" s="3" t="str">
        <f t="shared" ref="D14805:D14807" si="3680">HYPERLINK("https://12go.asia/en/travel/Pidurangala/Jaffna", "12Go Link")</f>
        <v>12Go Link</v>
      </c>
      <c r="E14805" s="2" t="s">
        <v>286</v>
      </c>
    </row>
    <row r="14806">
      <c r="A14806" s="2" t="s">
        <v>5016</v>
      </c>
      <c r="B14806" s="2" t="s">
        <v>4969</v>
      </c>
      <c r="C14806" s="2" t="s">
        <v>7376</v>
      </c>
      <c r="D14806" s="3" t="str">
        <f t="shared" si="3680"/>
        <v>12Go Link</v>
      </c>
      <c r="E14806" s="2" t="s">
        <v>4139</v>
      </c>
    </row>
    <row r="14807">
      <c r="A14807" s="2" t="s">
        <v>5016</v>
      </c>
      <c r="B14807" s="2" t="s">
        <v>4969</v>
      </c>
      <c r="C14807" s="2" t="s">
        <v>7376</v>
      </c>
      <c r="D14807" s="3" t="str">
        <f t="shared" si="3680"/>
        <v>12Go Link</v>
      </c>
      <c r="E14807" s="2" t="s">
        <v>3409</v>
      </c>
    </row>
    <row r="14808">
      <c r="A14808" s="2" t="s">
        <v>5016</v>
      </c>
      <c r="B14808" s="2" t="s">
        <v>4971</v>
      </c>
      <c r="C14808" s="2" t="s">
        <v>7377</v>
      </c>
      <c r="D14808" s="3" t="str">
        <f t="shared" ref="D14808:D14810" si="3681">HYPERLINK("https://12go.asia/en/travel/Pidurangala/Kalapuwa", "12Go Link")</f>
        <v>12Go Link</v>
      </c>
      <c r="E14808" s="2" t="s">
        <v>286</v>
      </c>
    </row>
    <row r="14809">
      <c r="A14809" s="2" t="s">
        <v>5016</v>
      </c>
      <c r="B14809" s="2" t="s">
        <v>4971</v>
      </c>
      <c r="C14809" s="2" t="s">
        <v>7377</v>
      </c>
      <c r="D14809" s="3" t="str">
        <f t="shared" si="3681"/>
        <v>12Go Link</v>
      </c>
      <c r="E14809" s="2" t="s">
        <v>4139</v>
      </c>
    </row>
    <row r="14810">
      <c r="A14810" s="2" t="s">
        <v>5016</v>
      </c>
      <c r="B14810" s="2" t="s">
        <v>4971</v>
      </c>
      <c r="C14810" s="2" t="s">
        <v>7377</v>
      </c>
      <c r="D14810" s="3" t="str">
        <f t="shared" si="3681"/>
        <v>12Go Link</v>
      </c>
      <c r="E14810" s="2" t="s">
        <v>3409</v>
      </c>
    </row>
    <row r="14811">
      <c r="A14811" s="2" t="s">
        <v>5016</v>
      </c>
      <c r="B14811" s="2" t="s">
        <v>4973</v>
      </c>
      <c r="C14811" s="2" t="s">
        <v>7378</v>
      </c>
      <c r="D14811" s="3" t="str">
        <f t="shared" ref="D14811:D14813" si="3682">HYPERLINK("https://12go.asia/en/travel/Pidurangala/Digana", "12Go Link")</f>
        <v>12Go Link</v>
      </c>
      <c r="E14811" s="2" t="s">
        <v>286</v>
      </c>
    </row>
    <row r="14812">
      <c r="A14812" s="2" t="s">
        <v>5016</v>
      </c>
      <c r="B14812" s="2" t="s">
        <v>4973</v>
      </c>
      <c r="C14812" s="2" t="s">
        <v>7378</v>
      </c>
      <c r="D14812" s="3" t="str">
        <f t="shared" si="3682"/>
        <v>12Go Link</v>
      </c>
      <c r="E14812" s="2" t="s">
        <v>4139</v>
      </c>
    </row>
    <row r="14813">
      <c r="A14813" s="2" t="s">
        <v>5016</v>
      </c>
      <c r="B14813" s="2" t="s">
        <v>4973</v>
      </c>
      <c r="C14813" s="2" t="s">
        <v>7378</v>
      </c>
      <c r="D14813" s="3" t="str">
        <f t="shared" si="3682"/>
        <v>12Go Link</v>
      </c>
      <c r="E14813" s="2" t="s">
        <v>3409</v>
      </c>
    </row>
    <row r="14814">
      <c r="A14814" s="2" t="s">
        <v>5016</v>
      </c>
      <c r="B14814" s="2" t="s">
        <v>4976</v>
      </c>
      <c r="C14814" s="2" t="s">
        <v>7379</v>
      </c>
      <c r="D14814" s="3" t="str">
        <f t="shared" ref="D14814:D14816" si="3683">HYPERLINK("https://12go.asia/en/travel/Pidurangala/Kataragama", "12Go Link")</f>
        <v>12Go Link</v>
      </c>
      <c r="E14814" s="2" t="s">
        <v>286</v>
      </c>
    </row>
    <row r="14815">
      <c r="A14815" s="2" t="s">
        <v>5016</v>
      </c>
      <c r="B14815" s="2" t="s">
        <v>4976</v>
      </c>
      <c r="C14815" s="2" t="s">
        <v>7379</v>
      </c>
      <c r="D14815" s="3" t="str">
        <f t="shared" si="3683"/>
        <v>12Go Link</v>
      </c>
      <c r="E14815" s="2" t="s">
        <v>4139</v>
      </c>
    </row>
    <row r="14816">
      <c r="A14816" s="2" t="s">
        <v>5016</v>
      </c>
      <c r="B14816" s="2" t="s">
        <v>4976</v>
      </c>
      <c r="C14816" s="2" t="s">
        <v>7379</v>
      </c>
      <c r="D14816" s="3" t="str">
        <f t="shared" si="3683"/>
        <v>12Go Link</v>
      </c>
      <c r="E14816" s="2" t="s">
        <v>3409</v>
      </c>
    </row>
    <row r="14817">
      <c r="A14817" s="2" t="s">
        <v>5016</v>
      </c>
      <c r="B14817" s="2" t="s">
        <v>4978</v>
      </c>
      <c r="C14817" s="2" t="s">
        <v>7380</v>
      </c>
      <c r="D14817" s="3" t="str">
        <f t="shared" ref="D14817:D14819" si="3684">HYPERLINK("https://12go.asia/en/travel/Pidurangala/Alawathupitiya", "12Go Link")</f>
        <v>12Go Link</v>
      </c>
      <c r="E14817" s="2" t="s">
        <v>286</v>
      </c>
    </row>
    <row r="14818">
      <c r="A14818" s="2" t="s">
        <v>5016</v>
      </c>
      <c r="B14818" s="2" t="s">
        <v>4978</v>
      </c>
      <c r="C14818" s="2" t="s">
        <v>7380</v>
      </c>
      <c r="D14818" s="3" t="str">
        <f t="shared" si="3684"/>
        <v>12Go Link</v>
      </c>
      <c r="E14818" s="2" t="s">
        <v>4139</v>
      </c>
    </row>
    <row r="14819">
      <c r="A14819" s="2" t="s">
        <v>5016</v>
      </c>
      <c r="B14819" s="2" t="s">
        <v>4978</v>
      </c>
      <c r="C14819" s="2" t="s">
        <v>7380</v>
      </c>
      <c r="D14819" s="3" t="str">
        <f t="shared" si="3684"/>
        <v>12Go Link</v>
      </c>
      <c r="E14819" s="2" t="s">
        <v>3409</v>
      </c>
    </row>
    <row r="14820">
      <c r="A14820" s="2" t="s">
        <v>5016</v>
      </c>
      <c r="B14820" s="2" t="s">
        <v>4980</v>
      </c>
      <c r="C14820" s="2" t="s">
        <v>7381</v>
      </c>
      <c r="D14820" s="3" t="str">
        <f t="shared" ref="D14820:D14822" si="3685">HYPERLINK("https://12go.asia/en/travel/Pidurangala/Pinnawala", "12Go Link")</f>
        <v>12Go Link</v>
      </c>
      <c r="E14820" s="2" t="s">
        <v>286</v>
      </c>
    </row>
    <row r="14821">
      <c r="A14821" s="2" t="s">
        <v>5016</v>
      </c>
      <c r="B14821" s="2" t="s">
        <v>4980</v>
      </c>
      <c r="C14821" s="2" t="s">
        <v>7381</v>
      </c>
      <c r="D14821" s="3" t="str">
        <f t="shared" si="3685"/>
        <v>12Go Link</v>
      </c>
      <c r="E14821" s="2" t="s">
        <v>4139</v>
      </c>
    </row>
    <row r="14822">
      <c r="A14822" s="2" t="s">
        <v>5016</v>
      </c>
      <c r="B14822" s="2" t="s">
        <v>4980</v>
      </c>
      <c r="C14822" s="2" t="s">
        <v>7381</v>
      </c>
      <c r="D14822" s="3" t="str">
        <f t="shared" si="3685"/>
        <v>12Go Link</v>
      </c>
      <c r="E14822" s="2" t="s">
        <v>3409</v>
      </c>
    </row>
    <row r="14823">
      <c r="A14823" s="2" t="s">
        <v>5016</v>
      </c>
      <c r="B14823" s="2" t="s">
        <v>4982</v>
      </c>
      <c r="C14823" s="2" t="s">
        <v>7382</v>
      </c>
      <c r="D14823" s="3" t="str">
        <f t="shared" ref="D14823:D14825" si="3686">HYPERLINK("https://12go.asia/en/travel/Pidurangala/Kitulgala", "12Go Link")</f>
        <v>12Go Link</v>
      </c>
      <c r="E14823" s="2" t="s">
        <v>286</v>
      </c>
    </row>
    <row r="14824">
      <c r="A14824" s="2" t="s">
        <v>5016</v>
      </c>
      <c r="B14824" s="2" t="s">
        <v>4982</v>
      </c>
      <c r="C14824" s="2" t="s">
        <v>7382</v>
      </c>
      <c r="D14824" s="3" t="str">
        <f t="shared" si="3686"/>
        <v>12Go Link</v>
      </c>
      <c r="E14824" s="2" t="s">
        <v>4139</v>
      </c>
    </row>
    <row r="14825">
      <c r="A14825" s="2" t="s">
        <v>5016</v>
      </c>
      <c r="B14825" s="2" t="s">
        <v>4982</v>
      </c>
      <c r="C14825" s="2" t="s">
        <v>7382</v>
      </c>
      <c r="D14825" s="3" t="str">
        <f t="shared" si="3686"/>
        <v>12Go Link</v>
      </c>
      <c r="E14825" s="2" t="s">
        <v>3409</v>
      </c>
    </row>
    <row r="14826">
      <c r="A14826" s="2" t="s">
        <v>5016</v>
      </c>
      <c r="B14826" s="2" t="s">
        <v>4984</v>
      </c>
      <c r="C14826" s="2" t="s">
        <v>7383</v>
      </c>
      <c r="D14826" s="3" t="str">
        <f t="shared" ref="D14826:D14828" si="3687">HYPERLINK("https://12go.asia/en/travel/Pidurangala/Habaraduwa", "12Go Link")</f>
        <v>12Go Link</v>
      </c>
      <c r="E14826" s="2" t="s">
        <v>286</v>
      </c>
    </row>
    <row r="14827">
      <c r="A14827" s="2" t="s">
        <v>5016</v>
      </c>
      <c r="B14827" s="2" t="s">
        <v>4984</v>
      </c>
      <c r="C14827" s="2" t="s">
        <v>7383</v>
      </c>
      <c r="D14827" s="3" t="str">
        <f t="shared" si="3687"/>
        <v>12Go Link</v>
      </c>
      <c r="E14827" s="2" t="s">
        <v>4139</v>
      </c>
    </row>
    <row r="14828">
      <c r="A14828" s="2" t="s">
        <v>5016</v>
      </c>
      <c r="B14828" s="2" t="s">
        <v>4984</v>
      </c>
      <c r="C14828" s="2" t="s">
        <v>7383</v>
      </c>
      <c r="D14828" s="3" t="str">
        <f t="shared" si="3687"/>
        <v>12Go Link</v>
      </c>
      <c r="E14828" s="2" t="s">
        <v>3409</v>
      </c>
    </row>
    <row r="14829">
      <c r="A14829" s="2" t="s">
        <v>5016</v>
      </c>
      <c r="B14829" s="2" t="s">
        <v>4988</v>
      </c>
      <c r="C14829" s="2" t="s">
        <v>7384</v>
      </c>
      <c r="D14829" s="3" t="str">
        <f t="shared" ref="D14829:D14831" si="3688">HYPERLINK("https://12go.asia/en/travel/Pidurangala/Kuchchaveli", "12Go Link")</f>
        <v>12Go Link</v>
      </c>
      <c r="E14829" s="2" t="s">
        <v>286</v>
      </c>
    </row>
    <row r="14830">
      <c r="A14830" s="2" t="s">
        <v>5016</v>
      </c>
      <c r="B14830" s="2" t="s">
        <v>4988</v>
      </c>
      <c r="C14830" s="2" t="s">
        <v>7384</v>
      </c>
      <c r="D14830" s="3" t="str">
        <f t="shared" si="3688"/>
        <v>12Go Link</v>
      </c>
      <c r="E14830" s="2" t="s">
        <v>4139</v>
      </c>
    </row>
    <row r="14831">
      <c r="A14831" s="2" t="s">
        <v>5016</v>
      </c>
      <c r="B14831" s="2" t="s">
        <v>4988</v>
      </c>
      <c r="C14831" s="2" t="s">
        <v>7384</v>
      </c>
      <c r="D14831" s="3" t="str">
        <f t="shared" si="3688"/>
        <v>12Go Link</v>
      </c>
      <c r="E14831" s="2" t="s">
        <v>3409</v>
      </c>
    </row>
    <row r="14832">
      <c r="A14832" s="2" t="s">
        <v>5016</v>
      </c>
      <c r="B14832" s="2" t="s">
        <v>4990</v>
      </c>
      <c r="C14832" s="2" t="s">
        <v>7385</v>
      </c>
      <c r="D14832" s="3" t="str">
        <f t="shared" ref="D14832:D14834" si="3689">HYPERLINK("https://12go.asia/en/travel/Pidurangala/Mannar", "12Go Link")</f>
        <v>12Go Link</v>
      </c>
      <c r="E14832" s="2" t="s">
        <v>286</v>
      </c>
    </row>
    <row r="14833">
      <c r="A14833" s="2" t="s">
        <v>5016</v>
      </c>
      <c r="B14833" s="2" t="s">
        <v>4990</v>
      </c>
      <c r="C14833" s="2" t="s">
        <v>7385</v>
      </c>
      <c r="D14833" s="3" t="str">
        <f t="shared" si="3689"/>
        <v>12Go Link</v>
      </c>
      <c r="E14833" s="2" t="s">
        <v>4139</v>
      </c>
    </row>
    <row r="14834">
      <c r="A14834" s="2" t="s">
        <v>5016</v>
      </c>
      <c r="B14834" s="2" t="s">
        <v>4990</v>
      </c>
      <c r="C14834" s="2" t="s">
        <v>7385</v>
      </c>
      <c r="D14834" s="3" t="str">
        <f t="shared" si="3689"/>
        <v>12Go Link</v>
      </c>
      <c r="E14834" s="2" t="s">
        <v>3409</v>
      </c>
    </row>
    <row r="14835">
      <c r="A14835" s="2" t="s">
        <v>5016</v>
      </c>
      <c r="B14835" s="2" t="s">
        <v>4992</v>
      </c>
      <c r="C14835" s="2" t="s">
        <v>7386</v>
      </c>
      <c r="D14835" s="3" t="str">
        <f t="shared" ref="D14835:D14837" si="3690">HYPERLINK("https://12go.asia/en/travel/Pidurangala/Kinigama", "12Go Link")</f>
        <v>12Go Link</v>
      </c>
      <c r="E14835" s="2" t="s">
        <v>286</v>
      </c>
    </row>
    <row r="14836">
      <c r="A14836" s="2" t="s">
        <v>5016</v>
      </c>
      <c r="B14836" s="2" t="s">
        <v>4992</v>
      </c>
      <c r="C14836" s="2" t="s">
        <v>7386</v>
      </c>
      <c r="D14836" s="3" t="str">
        <f t="shared" si="3690"/>
        <v>12Go Link</v>
      </c>
      <c r="E14836" s="2" t="s">
        <v>4139</v>
      </c>
    </row>
    <row r="14837">
      <c r="A14837" s="2" t="s">
        <v>5016</v>
      </c>
      <c r="B14837" s="2" t="s">
        <v>4992</v>
      </c>
      <c r="C14837" s="2" t="s">
        <v>7386</v>
      </c>
      <c r="D14837" s="3" t="str">
        <f t="shared" si="3690"/>
        <v>12Go Link</v>
      </c>
      <c r="E14837" s="2" t="s">
        <v>3409</v>
      </c>
    </row>
    <row r="14838">
      <c r="A14838" s="2" t="s">
        <v>5016</v>
      </c>
      <c r="B14838" s="2" t="s">
        <v>4998</v>
      </c>
      <c r="C14838" s="2" t="s">
        <v>7387</v>
      </c>
      <c r="D14838" s="3" t="str">
        <f t="shared" ref="D14838:D14840" si="3691">HYPERLINK("https://12go.asia/en/travel/Pidurangala/Nanu-Oya", "12Go Link")</f>
        <v>12Go Link</v>
      </c>
      <c r="E14838" s="2" t="s">
        <v>286</v>
      </c>
    </row>
    <row r="14839">
      <c r="A14839" s="2" t="s">
        <v>5016</v>
      </c>
      <c r="B14839" s="2" t="s">
        <v>4998</v>
      </c>
      <c r="C14839" s="2" t="s">
        <v>7387</v>
      </c>
      <c r="D14839" s="3" t="str">
        <f t="shared" si="3691"/>
        <v>12Go Link</v>
      </c>
      <c r="E14839" s="2" t="s">
        <v>4139</v>
      </c>
    </row>
    <row r="14840">
      <c r="A14840" s="2" t="s">
        <v>5016</v>
      </c>
      <c r="B14840" s="2" t="s">
        <v>4998</v>
      </c>
      <c r="C14840" s="2" t="s">
        <v>7387</v>
      </c>
      <c r="D14840" s="3" t="str">
        <f t="shared" si="3691"/>
        <v>12Go Link</v>
      </c>
      <c r="E14840" s="2" t="s">
        <v>3409</v>
      </c>
    </row>
    <row r="14841">
      <c r="A14841" s="2" t="s">
        <v>5016</v>
      </c>
      <c r="B14841" s="2" t="s">
        <v>5000</v>
      </c>
      <c r="C14841" s="2" t="s">
        <v>7388</v>
      </c>
      <c r="D14841" s="3" t="str">
        <f t="shared" ref="D14841:D14843" si="3692">HYPERLINK("https://12go.asia/en/travel/Pidurangala/Dalupotha", "12Go Link")</f>
        <v>12Go Link</v>
      </c>
      <c r="E14841" s="2" t="s">
        <v>286</v>
      </c>
    </row>
    <row r="14842">
      <c r="A14842" s="2" t="s">
        <v>5016</v>
      </c>
      <c r="B14842" s="2" t="s">
        <v>5000</v>
      </c>
      <c r="C14842" s="2" t="s">
        <v>7388</v>
      </c>
      <c r="D14842" s="3" t="str">
        <f t="shared" si="3692"/>
        <v>12Go Link</v>
      </c>
      <c r="E14842" s="2" t="s">
        <v>4139</v>
      </c>
    </row>
    <row r="14843">
      <c r="A14843" s="2" t="s">
        <v>5016</v>
      </c>
      <c r="B14843" s="2" t="s">
        <v>5000</v>
      </c>
      <c r="C14843" s="2" t="s">
        <v>7388</v>
      </c>
      <c r="D14843" s="3" t="str">
        <f t="shared" si="3692"/>
        <v>12Go Link</v>
      </c>
      <c r="E14843" s="2" t="s">
        <v>3409</v>
      </c>
    </row>
    <row r="14844">
      <c r="A14844" s="2" t="s">
        <v>5016</v>
      </c>
      <c r="B14844" s="2" t="s">
        <v>5000</v>
      </c>
      <c r="C14844" s="2" t="s">
        <v>7389</v>
      </c>
      <c r="D14844" s="3" t="str">
        <f t="shared" ref="D14844:D14846" si="3693">HYPERLINK("https://12go.asia/en/travel/Pidurangala/Waikkal", "12Go Link")</f>
        <v>12Go Link</v>
      </c>
      <c r="E14844" s="2" t="s">
        <v>286</v>
      </c>
    </row>
    <row r="14845">
      <c r="A14845" s="2" t="s">
        <v>5016</v>
      </c>
      <c r="B14845" s="2" t="s">
        <v>5000</v>
      </c>
      <c r="C14845" s="2" t="s">
        <v>7389</v>
      </c>
      <c r="D14845" s="3" t="str">
        <f t="shared" si="3693"/>
        <v>12Go Link</v>
      </c>
      <c r="E14845" s="2" t="s">
        <v>4139</v>
      </c>
    </row>
    <row r="14846">
      <c r="A14846" s="2" t="s">
        <v>5016</v>
      </c>
      <c r="B14846" s="2" t="s">
        <v>5000</v>
      </c>
      <c r="C14846" s="2" t="s">
        <v>7389</v>
      </c>
      <c r="D14846" s="3" t="str">
        <f t="shared" si="3693"/>
        <v>12Go Link</v>
      </c>
      <c r="E14846" s="2" t="s">
        <v>3409</v>
      </c>
    </row>
    <row r="14847">
      <c r="A14847" s="2" t="s">
        <v>5016</v>
      </c>
      <c r="B14847" s="2" t="s">
        <v>5003</v>
      </c>
      <c r="C14847" s="2" t="s">
        <v>7390</v>
      </c>
      <c r="D14847" s="3" t="str">
        <f t="shared" ref="D14847:D14849" si="3694">HYPERLINK("https://12go.asia/en/travel/Pidurangala/Nilaveli", "12Go Link")</f>
        <v>12Go Link</v>
      </c>
      <c r="E14847" s="2" t="s">
        <v>286</v>
      </c>
    </row>
    <row r="14848">
      <c r="A14848" s="2" t="s">
        <v>5016</v>
      </c>
      <c r="B14848" s="2" t="s">
        <v>5003</v>
      </c>
      <c r="C14848" s="2" t="s">
        <v>7390</v>
      </c>
      <c r="D14848" s="3" t="str">
        <f t="shared" si="3694"/>
        <v>12Go Link</v>
      </c>
      <c r="E14848" s="2" t="s">
        <v>4139</v>
      </c>
    </row>
    <row r="14849">
      <c r="A14849" s="2" t="s">
        <v>5016</v>
      </c>
      <c r="B14849" s="2" t="s">
        <v>5003</v>
      </c>
      <c r="C14849" s="2" t="s">
        <v>7390</v>
      </c>
      <c r="D14849" s="3" t="str">
        <f t="shared" si="3694"/>
        <v>12Go Link</v>
      </c>
      <c r="E14849" s="2" t="s">
        <v>3409</v>
      </c>
    </row>
    <row r="14850">
      <c r="A14850" s="2" t="s">
        <v>5016</v>
      </c>
      <c r="B14850" s="2" t="s">
        <v>5009</v>
      </c>
      <c r="C14850" s="2" t="s">
        <v>7391</v>
      </c>
      <c r="D14850" s="3" t="str">
        <f t="shared" ref="D14850:D14852" si="3695">HYPERLINK("https://12go.asia/en/travel/Pidurangala/Galoya", "12Go Link")</f>
        <v>12Go Link</v>
      </c>
      <c r="E14850" s="2" t="s">
        <v>286</v>
      </c>
    </row>
    <row r="14851">
      <c r="A14851" s="2" t="s">
        <v>5016</v>
      </c>
      <c r="B14851" s="2" t="s">
        <v>5009</v>
      </c>
      <c r="C14851" s="2" t="s">
        <v>7391</v>
      </c>
      <c r="D14851" s="3" t="str">
        <f t="shared" si="3695"/>
        <v>12Go Link</v>
      </c>
      <c r="E14851" s="2" t="s">
        <v>4139</v>
      </c>
    </row>
    <row r="14852">
      <c r="A14852" s="2" t="s">
        <v>5016</v>
      </c>
      <c r="B14852" s="2" t="s">
        <v>5009</v>
      </c>
      <c r="C14852" s="2" t="s">
        <v>7391</v>
      </c>
      <c r="D14852" s="3" t="str">
        <f t="shared" si="3695"/>
        <v>12Go Link</v>
      </c>
      <c r="E14852" s="2" t="s">
        <v>3409</v>
      </c>
    </row>
    <row r="14853">
      <c r="A14853" s="2" t="s">
        <v>5016</v>
      </c>
      <c r="B14853" s="2" t="s">
        <v>5011</v>
      </c>
      <c r="C14853" s="2" t="s">
        <v>7392</v>
      </c>
      <c r="D14853" s="3" t="str">
        <f t="shared" ref="D14853:D14855" si="3696">HYPERLINK("https://12go.asia/en/travel/Pidurangala/Kalpitiya", "12Go Link")</f>
        <v>12Go Link</v>
      </c>
      <c r="E14853" s="2" t="s">
        <v>286</v>
      </c>
    </row>
    <row r="14854">
      <c r="A14854" s="2" t="s">
        <v>5016</v>
      </c>
      <c r="B14854" s="2" t="s">
        <v>5011</v>
      </c>
      <c r="C14854" s="2" t="s">
        <v>7392</v>
      </c>
      <c r="D14854" s="3" t="str">
        <f t="shared" si="3696"/>
        <v>12Go Link</v>
      </c>
      <c r="E14854" s="2" t="s">
        <v>4139</v>
      </c>
    </row>
    <row r="14855">
      <c r="A14855" s="2" t="s">
        <v>5016</v>
      </c>
      <c r="B14855" s="2" t="s">
        <v>5011</v>
      </c>
      <c r="C14855" s="2" t="s">
        <v>7392</v>
      </c>
      <c r="D14855" s="3" t="str">
        <f t="shared" si="3696"/>
        <v>12Go Link</v>
      </c>
      <c r="E14855" s="2" t="s">
        <v>3409</v>
      </c>
    </row>
    <row r="14856">
      <c r="A14856" s="2" t="s">
        <v>5016</v>
      </c>
      <c r="B14856" s="2" t="s">
        <v>5011</v>
      </c>
      <c r="C14856" s="2" t="s">
        <v>7393</v>
      </c>
      <c r="D14856" s="3" t="str">
        <f t="shared" ref="D14856:D14858" si="3697">HYPERLINK("https://12go.asia/en/travel/Pidurangala/Marawila", "12Go Link")</f>
        <v>12Go Link</v>
      </c>
      <c r="E14856" s="2" t="s">
        <v>286</v>
      </c>
    </row>
    <row r="14857">
      <c r="A14857" s="2" t="s">
        <v>5016</v>
      </c>
      <c r="B14857" s="2" t="s">
        <v>5011</v>
      </c>
      <c r="C14857" s="2" t="s">
        <v>7393</v>
      </c>
      <c r="D14857" s="3" t="str">
        <f t="shared" si="3697"/>
        <v>12Go Link</v>
      </c>
      <c r="E14857" s="2" t="s">
        <v>4139</v>
      </c>
    </row>
    <row r="14858">
      <c r="A14858" s="2" t="s">
        <v>5016</v>
      </c>
      <c r="B14858" s="2" t="s">
        <v>5011</v>
      </c>
      <c r="C14858" s="2" t="s">
        <v>7393</v>
      </c>
      <c r="D14858" s="3" t="str">
        <f t="shared" si="3697"/>
        <v>12Go Link</v>
      </c>
      <c r="E14858" s="2" t="s">
        <v>3409</v>
      </c>
    </row>
    <row r="14859">
      <c r="A14859" s="2" t="s">
        <v>5016</v>
      </c>
      <c r="B14859" s="2" t="s">
        <v>5014</v>
      </c>
      <c r="C14859" s="2" t="s">
        <v>7394</v>
      </c>
      <c r="D14859" s="3" t="str">
        <f t="shared" ref="D14859:D14861" si="3698">HYPERLINK("https://12go.asia/en/travel/Pidurangala/Kiriella", "12Go Link")</f>
        <v>12Go Link</v>
      </c>
      <c r="E14859" s="2" t="s">
        <v>286</v>
      </c>
    </row>
    <row r="14860">
      <c r="A14860" s="2" t="s">
        <v>5016</v>
      </c>
      <c r="B14860" s="2" t="s">
        <v>5014</v>
      </c>
      <c r="C14860" s="2" t="s">
        <v>7394</v>
      </c>
      <c r="D14860" s="3" t="str">
        <f t="shared" si="3698"/>
        <v>12Go Link</v>
      </c>
      <c r="E14860" s="2" t="s">
        <v>4139</v>
      </c>
    </row>
    <row r="14861">
      <c r="A14861" s="2" t="s">
        <v>5016</v>
      </c>
      <c r="B14861" s="2" t="s">
        <v>5014</v>
      </c>
      <c r="C14861" s="2" t="s">
        <v>7394</v>
      </c>
      <c r="D14861" s="3" t="str">
        <f t="shared" si="3698"/>
        <v>12Go Link</v>
      </c>
      <c r="E14861" s="2" t="s">
        <v>3409</v>
      </c>
    </row>
    <row r="14862">
      <c r="A14862" s="2" t="s">
        <v>5016</v>
      </c>
      <c r="B14862" s="2" t="s">
        <v>5018</v>
      </c>
      <c r="C14862" s="2" t="s">
        <v>7395</v>
      </c>
      <c r="D14862" s="3" t="str">
        <f t="shared" ref="D14862:D14864" si="3699">HYPERLINK("https://12go.asia/en/travel/Pidurangala/Rekawa", "12Go Link")</f>
        <v>12Go Link</v>
      </c>
      <c r="E14862" s="2" t="s">
        <v>286</v>
      </c>
    </row>
    <row r="14863">
      <c r="A14863" s="2" t="s">
        <v>5016</v>
      </c>
      <c r="B14863" s="2" t="s">
        <v>5018</v>
      </c>
      <c r="C14863" s="2" t="s">
        <v>7395</v>
      </c>
      <c r="D14863" s="3" t="str">
        <f t="shared" si="3699"/>
        <v>12Go Link</v>
      </c>
      <c r="E14863" s="2" t="s">
        <v>4139</v>
      </c>
    </row>
    <row r="14864">
      <c r="A14864" s="2" t="s">
        <v>5016</v>
      </c>
      <c r="B14864" s="2" t="s">
        <v>5018</v>
      </c>
      <c r="C14864" s="2" t="s">
        <v>7395</v>
      </c>
      <c r="D14864" s="3" t="str">
        <f t="shared" si="3699"/>
        <v>12Go Link</v>
      </c>
      <c r="E14864" s="2" t="s">
        <v>3409</v>
      </c>
    </row>
    <row r="14865">
      <c r="A14865" s="2" t="s">
        <v>5016</v>
      </c>
      <c r="B14865" s="2" t="s">
        <v>5020</v>
      </c>
      <c r="C14865" s="2" t="s">
        <v>7396</v>
      </c>
      <c r="D14865" s="3" t="str">
        <f t="shared" ref="D14865:D14867" si="3700">HYPERLINK("https://12go.asia/en/travel/Pidurangala/Tissamaharama", "12Go Link")</f>
        <v>12Go Link</v>
      </c>
      <c r="E14865" s="2" t="s">
        <v>286</v>
      </c>
    </row>
    <row r="14866">
      <c r="A14866" s="2" t="s">
        <v>5016</v>
      </c>
      <c r="B14866" s="2" t="s">
        <v>5020</v>
      </c>
      <c r="C14866" s="2" t="s">
        <v>7396</v>
      </c>
      <c r="D14866" s="3" t="str">
        <f t="shared" si="3700"/>
        <v>12Go Link</v>
      </c>
      <c r="E14866" s="2" t="s">
        <v>4139</v>
      </c>
    </row>
    <row r="14867">
      <c r="A14867" s="2" t="s">
        <v>5016</v>
      </c>
      <c r="B14867" s="2" t="s">
        <v>5020</v>
      </c>
      <c r="C14867" s="2" t="s">
        <v>7396</v>
      </c>
      <c r="D14867" s="3" t="str">
        <f t="shared" si="3700"/>
        <v>12Go Link</v>
      </c>
      <c r="E14867" s="2" t="s">
        <v>3409</v>
      </c>
    </row>
    <row r="14868">
      <c r="A14868" s="2" t="s">
        <v>5016</v>
      </c>
      <c r="B14868" s="2" t="s">
        <v>5020</v>
      </c>
      <c r="C14868" s="2" t="s">
        <v>7397</v>
      </c>
      <c r="D14868" s="3" t="str">
        <f t="shared" ref="D14868:D14870" si="3701">HYPERLINK("https://12go.asia/en/travel/Pidurangala/Yala-Park", "12Go Link")</f>
        <v>12Go Link</v>
      </c>
      <c r="E14868" s="2" t="s">
        <v>286</v>
      </c>
    </row>
    <row r="14869">
      <c r="A14869" s="2" t="s">
        <v>5016</v>
      </c>
      <c r="B14869" s="2" t="s">
        <v>5020</v>
      </c>
      <c r="C14869" s="2" t="s">
        <v>7397</v>
      </c>
      <c r="D14869" s="3" t="str">
        <f t="shared" si="3701"/>
        <v>12Go Link</v>
      </c>
      <c r="E14869" s="2" t="s">
        <v>4139</v>
      </c>
    </row>
    <row r="14870">
      <c r="A14870" s="2" t="s">
        <v>5016</v>
      </c>
      <c r="B14870" s="2" t="s">
        <v>5020</v>
      </c>
      <c r="C14870" s="2" t="s">
        <v>7397</v>
      </c>
      <c r="D14870" s="3" t="str">
        <f t="shared" si="3701"/>
        <v>12Go Link</v>
      </c>
      <c r="E14870" s="2" t="s">
        <v>3409</v>
      </c>
    </row>
    <row r="14871">
      <c r="A14871" s="2" t="s">
        <v>5016</v>
      </c>
      <c r="B14871" s="2" t="s">
        <v>5023</v>
      </c>
      <c r="C14871" s="2" t="s">
        <v>7398</v>
      </c>
      <c r="D14871" s="3" t="str">
        <f t="shared" ref="D14871:D14873" si="3702">HYPERLINK("https://12go.asia/en/travel/Pidurangala/Nilaweli", "12Go Link")</f>
        <v>12Go Link</v>
      </c>
      <c r="E14871" s="2" t="s">
        <v>286</v>
      </c>
    </row>
    <row r="14872">
      <c r="A14872" s="2" t="s">
        <v>5016</v>
      </c>
      <c r="B14872" s="2" t="s">
        <v>5023</v>
      </c>
      <c r="C14872" s="2" t="s">
        <v>7398</v>
      </c>
      <c r="D14872" s="3" t="str">
        <f t="shared" si="3702"/>
        <v>12Go Link</v>
      </c>
      <c r="E14872" s="2" t="s">
        <v>4139</v>
      </c>
    </row>
    <row r="14873">
      <c r="A14873" s="2" t="s">
        <v>5016</v>
      </c>
      <c r="B14873" s="2" t="s">
        <v>5023</v>
      </c>
      <c r="C14873" s="2" t="s">
        <v>7398</v>
      </c>
      <c r="D14873" s="3" t="str">
        <f t="shared" si="3702"/>
        <v>12Go Link</v>
      </c>
      <c r="E14873" s="2" t="s">
        <v>3409</v>
      </c>
    </row>
    <row r="14874">
      <c r="A14874" s="2" t="s">
        <v>5016</v>
      </c>
      <c r="B14874" s="2" t="s">
        <v>5025</v>
      </c>
      <c r="C14874" s="2" t="s">
        <v>7399</v>
      </c>
      <c r="D14874" s="3" t="str">
        <f t="shared" ref="D14874:D14876" si="3703">HYPERLINK("https://12go.asia/en/travel/Pidurangala/Udawalawa", "12Go Link")</f>
        <v>12Go Link</v>
      </c>
      <c r="E14874" s="2" t="s">
        <v>286</v>
      </c>
    </row>
    <row r="14875">
      <c r="A14875" s="2" t="s">
        <v>5016</v>
      </c>
      <c r="B14875" s="2" t="s">
        <v>5025</v>
      </c>
      <c r="C14875" s="2" t="s">
        <v>7399</v>
      </c>
      <c r="D14875" s="3" t="str">
        <f t="shared" si="3703"/>
        <v>12Go Link</v>
      </c>
      <c r="E14875" s="2" t="s">
        <v>4139</v>
      </c>
    </row>
    <row r="14876">
      <c r="A14876" s="2" t="s">
        <v>5016</v>
      </c>
      <c r="B14876" s="2" t="s">
        <v>5025</v>
      </c>
      <c r="C14876" s="2" t="s">
        <v>7399</v>
      </c>
      <c r="D14876" s="3" t="str">
        <f t="shared" si="3703"/>
        <v>12Go Link</v>
      </c>
      <c r="E14876" s="2" t="s">
        <v>3409</v>
      </c>
    </row>
    <row r="14877">
      <c r="A14877" s="2" t="s">
        <v>5016</v>
      </c>
      <c r="B14877" s="2" t="s">
        <v>5029</v>
      </c>
      <c r="C14877" s="2" t="s">
        <v>7400</v>
      </c>
      <c r="D14877" s="3" t="str">
        <f t="shared" ref="D14877:D14879" si="3704">HYPERLINK("https://12go.asia/en/travel/Pidurangala/Attanagalla", "12Go Link")</f>
        <v>12Go Link</v>
      </c>
      <c r="E14877" s="2" t="s">
        <v>286</v>
      </c>
    </row>
    <row r="14878">
      <c r="A14878" s="2" t="s">
        <v>5016</v>
      </c>
      <c r="B14878" s="2" t="s">
        <v>5029</v>
      </c>
      <c r="C14878" s="2" t="s">
        <v>7400</v>
      </c>
      <c r="D14878" s="3" t="str">
        <f t="shared" si="3704"/>
        <v>12Go Link</v>
      </c>
      <c r="E14878" s="2" t="s">
        <v>4139</v>
      </c>
    </row>
    <row r="14879">
      <c r="A14879" s="2" t="s">
        <v>5016</v>
      </c>
      <c r="B14879" s="2" t="s">
        <v>5029</v>
      </c>
      <c r="C14879" s="2" t="s">
        <v>7400</v>
      </c>
      <c r="D14879" s="3" t="str">
        <f t="shared" si="3704"/>
        <v>12Go Link</v>
      </c>
      <c r="E14879" s="2" t="s">
        <v>3409</v>
      </c>
    </row>
    <row r="14880">
      <c r="A14880" s="2" t="s">
        <v>5016</v>
      </c>
      <c r="B14880" s="2" t="s">
        <v>5031</v>
      </c>
      <c r="C14880" s="2" t="s">
        <v>7401</v>
      </c>
      <c r="D14880" s="3" t="str">
        <f t="shared" ref="D14880:D14882" si="3705">HYPERLINK("https://12go.asia/en/travel/Pidurangala/Waskaduwa", "12Go Link")</f>
        <v>12Go Link</v>
      </c>
      <c r="E14880" s="2" t="s">
        <v>286</v>
      </c>
    </row>
    <row r="14881">
      <c r="A14881" s="2" t="s">
        <v>5016</v>
      </c>
      <c r="B14881" s="2" t="s">
        <v>5031</v>
      </c>
      <c r="C14881" s="2" t="s">
        <v>7401</v>
      </c>
      <c r="D14881" s="3" t="str">
        <f t="shared" si="3705"/>
        <v>12Go Link</v>
      </c>
      <c r="E14881" s="2" t="s">
        <v>4139</v>
      </c>
    </row>
    <row r="14882">
      <c r="A14882" s="2" t="s">
        <v>5016</v>
      </c>
      <c r="B14882" s="2" t="s">
        <v>5031</v>
      </c>
      <c r="C14882" s="2" t="s">
        <v>7401</v>
      </c>
      <c r="D14882" s="3" t="str">
        <f t="shared" si="3705"/>
        <v>12Go Link</v>
      </c>
      <c r="E14882" s="2" t="s">
        <v>3409</v>
      </c>
    </row>
    <row r="14883">
      <c r="A14883" s="2" t="s">
        <v>5016</v>
      </c>
      <c r="B14883" s="2" t="s">
        <v>5034</v>
      </c>
      <c r="C14883" s="2" t="s">
        <v>7402</v>
      </c>
      <c r="D14883" s="3" t="str">
        <f t="shared" ref="D14883:D14885" si="3706">HYPERLINK("https://12go.asia/en/travel/Pidurangala/Weddagala", "12Go Link")</f>
        <v>12Go Link</v>
      </c>
      <c r="E14883" s="2" t="s">
        <v>286</v>
      </c>
    </row>
    <row r="14884">
      <c r="A14884" s="2" t="s">
        <v>5016</v>
      </c>
      <c r="B14884" s="2" t="s">
        <v>5034</v>
      </c>
      <c r="C14884" s="2" t="s">
        <v>7402</v>
      </c>
      <c r="D14884" s="3" t="str">
        <f t="shared" si="3706"/>
        <v>12Go Link</v>
      </c>
      <c r="E14884" s="2" t="s">
        <v>4139</v>
      </c>
    </row>
    <row r="14885">
      <c r="A14885" s="2" t="s">
        <v>5016</v>
      </c>
      <c r="B14885" s="2" t="s">
        <v>5034</v>
      </c>
      <c r="C14885" s="2" t="s">
        <v>7402</v>
      </c>
      <c r="D14885" s="3" t="str">
        <f t="shared" si="3706"/>
        <v>12Go Link</v>
      </c>
      <c r="E14885" s="2" t="s">
        <v>3409</v>
      </c>
    </row>
    <row r="14886">
      <c r="A14886" s="2" t="s">
        <v>5016</v>
      </c>
      <c r="B14886" s="2" t="s">
        <v>5036</v>
      </c>
      <c r="C14886" s="2" t="s">
        <v>7403</v>
      </c>
      <c r="D14886" s="3" t="str">
        <f t="shared" ref="D14886:D14888" si="3707">HYPERLINK("https://12go.asia/en/travel/Pidurangala/Weligatta", "12Go Link")</f>
        <v>12Go Link</v>
      </c>
      <c r="E14886" s="2" t="s">
        <v>286</v>
      </c>
    </row>
    <row r="14887">
      <c r="A14887" s="2" t="s">
        <v>5016</v>
      </c>
      <c r="B14887" s="2" t="s">
        <v>5036</v>
      </c>
      <c r="C14887" s="2" t="s">
        <v>7403</v>
      </c>
      <c r="D14887" s="3" t="str">
        <f t="shared" si="3707"/>
        <v>12Go Link</v>
      </c>
      <c r="E14887" s="2" t="s">
        <v>4139</v>
      </c>
    </row>
    <row r="14888">
      <c r="A14888" s="2" t="s">
        <v>5016</v>
      </c>
      <c r="B14888" s="2" t="s">
        <v>5036</v>
      </c>
      <c r="C14888" s="2" t="s">
        <v>7403</v>
      </c>
      <c r="D14888" s="3" t="str">
        <f t="shared" si="3707"/>
        <v>12Go Link</v>
      </c>
      <c r="E14888" s="2" t="s">
        <v>3409</v>
      </c>
    </row>
    <row r="14889">
      <c r="A14889" s="2" t="s">
        <v>5016</v>
      </c>
      <c r="B14889" s="2" t="s">
        <v>5038</v>
      </c>
      <c r="C14889" s="2" t="s">
        <v>7404</v>
      </c>
      <c r="D14889" s="3" t="str">
        <f t="shared" ref="D14889:D14891" si="3708">HYPERLINK("https://12go.asia/en/travel/Pidurangala/Akuressa", "12Go Link")</f>
        <v>12Go Link</v>
      </c>
      <c r="E14889" s="2" t="s">
        <v>286</v>
      </c>
    </row>
    <row r="14890">
      <c r="A14890" s="2" t="s">
        <v>5016</v>
      </c>
      <c r="B14890" s="2" t="s">
        <v>5038</v>
      </c>
      <c r="C14890" s="2" t="s">
        <v>7404</v>
      </c>
      <c r="D14890" s="3" t="str">
        <f t="shared" si="3708"/>
        <v>12Go Link</v>
      </c>
      <c r="E14890" s="2" t="s">
        <v>4139</v>
      </c>
    </row>
    <row r="14891">
      <c r="A14891" s="2" t="s">
        <v>5016</v>
      </c>
      <c r="B14891" s="2" t="s">
        <v>5038</v>
      </c>
      <c r="C14891" s="2" t="s">
        <v>7404</v>
      </c>
      <c r="D14891" s="3" t="str">
        <f t="shared" si="3708"/>
        <v>12Go Link</v>
      </c>
      <c r="E14891" s="2" t="s">
        <v>3409</v>
      </c>
    </row>
    <row r="14892">
      <c r="A14892" s="2" t="s">
        <v>5016</v>
      </c>
      <c r="B14892" s="2" t="s">
        <v>5040</v>
      </c>
      <c r="C14892" s="2" t="s">
        <v>7405</v>
      </c>
      <c r="D14892" s="3" t="str">
        <f t="shared" ref="D14892:D14894" si="3709">HYPERLINK("https://12go.asia/en/travel/Pidurangala/Wilpattu", "12Go Link")</f>
        <v>12Go Link</v>
      </c>
      <c r="E14892" s="2" t="s">
        <v>286</v>
      </c>
    </row>
    <row r="14893">
      <c r="A14893" s="2" t="s">
        <v>5016</v>
      </c>
      <c r="B14893" s="2" t="s">
        <v>5040</v>
      </c>
      <c r="C14893" s="2" t="s">
        <v>7405</v>
      </c>
      <c r="D14893" s="3" t="str">
        <f t="shared" si="3709"/>
        <v>12Go Link</v>
      </c>
      <c r="E14893" s="2" t="s">
        <v>4139</v>
      </c>
    </row>
    <row r="14894">
      <c r="A14894" s="2" t="s">
        <v>5016</v>
      </c>
      <c r="B14894" s="2" t="s">
        <v>5040</v>
      </c>
      <c r="C14894" s="2" t="s">
        <v>7405</v>
      </c>
      <c r="D14894" s="3" t="str">
        <f t="shared" si="3709"/>
        <v>12Go Link</v>
      </c>
      <c r="E14894" s="2" t="s">
        <v>3409</v>
      </c>
    </row>
    <row r="14895">
      <c r="A14895" s="2" t="s">
        <v>5018</v>
      </c>
      <c r="B14895" s="2" t="s">
        <v>4918</v>
      </c>
      <c r="C14895" s="2" t="s">
        <v>7406</v>
      </c>
      <c r="D14895" s="3" t="str">
        <f t="shared" ref="D14895:D14897" si="3710">HYPERLINK("https://12go.asia/en/travel/Rekawa/Adams-Peak", "12Go Link")</f>
        <v>12Go Link</v>
      </c>
      <c r="E14895" s="2" t="s">
        <v>286</v>
      </c>
    </row>
    <row r="14896">
      <c r="A14896" s="2" t="s">
        <v>5018</v>
      </c>
      <c r="B14896" s="2" t="s">
        <v>4918</v>
      </c>
      <c r="C14896" s="2" t="s">
        <v>7406</v>
      </c>
      <c r="D14896" s="3" t="str">
        <f t="shared" si="3710"/>
        <v>12Go Link</v>
      </c>
      <c r="E14896" s="2" t="s">
        <v>4139</v>
      </c>
    </row>
    <row r="14897">
      <c r="A14897" s="2" t="s">
        <v>5018</v>
      </c>
      <c r="B14897" s="2" t="s">
        <v>4918</v>
      </c>
      <c r="C14897" s="2" t="s">
        <v>7406</v>
      </c>
      <c r="D14897" s="3" t="str">
        <f t="shared" si="3710"/>
        <v>12Go Link</v>
      </c>
      <c r="E14897" s="2" t="s">
        <v>3409</v>
      </c>
    </row>
    <row r="14898">
      <c r="A14898" s="2" t="s">
        <v>5018</v>
      </c>
      <c r="B14898" s="2" t="s">
        <v>4919</v>
      </c>
      <c r="C14898" s="2" t="s">
        <v>7407</v>
      </c>
      <c r="D14898" s="3" t="str">
        <f t="shared" ref="D14898:D14900" si="3711">HYPERLINK("https://12go.asia/en/travel/Rekawa/Ahangama", "12Go Link")</f>
        <v>12Go Link</v>
      </c>
      <c r="E14898" s="2" t="s">
        <v>286</v>
      </c>
    </row>
    <row r="14899">
      <c r="A14899" s="2" t="s">
        <v>5018</v>
      </c>
      <c r="B14899" s="2" t="s">
        <v>4919</v>
      </c>
      <c r="C14899" s="2" t="s">
        <v>7407</v>
      </c>
      <c r="D14899" s="3" t="str">
        <f t="shared" si="3711"/>
        <v>12Go Link</v>
      </c>
      <c r="E14899" s="2" t="s">
        <v>4139</v>
      </c>
    </row>
    <row r="14900">
      <c r="A14900" s="2" t="s">
        <v>5018</v>
      </c>
      <c r="B14900" s="2" t="s">
        <v>4919</v>
      </c>
      <c r="C14900" s="2" t="s">
        <v>7407</v>
      </c>
      <c r="D14900" s="3" t="str">
        <f t="shared" si="3711"/>
        <v>12Go Link</v>
      </c>
      <c r="E14900" s="2" t="s">
        <v>3409</v>
      </c>
    </row>
    <row r="14901">
      <c r="A14901" s="2" t="s">
        <v>5018</v>
      </c>
      <c r="B14901" s="2" t="s">
        <v>4921</v>
      </c>
      <c r="C14901" s="2" t="s">
        <v>7408</v>
      </c>
      <c r="D14901" s="3" t="str">
        <f t="shared" ref="D14901:D14903" si="3712">HYPERLINK("https://12go.asia/en/travel/Rekawa/Ahungalla", "12Go Link")</f>
        <v>12Go Link</v>
      </c>
      <c r="E14901" s="2" t="s">
        <v>286</v>
      </c>
    </row>
    <row r="14902">
      <c r="A14902" s="2" t="s">
        <v>5018</v>
      </c>
      <c r="B14902" s="2" t="s">
        <v>4921</v>
      </c>
      <c r="C14902" s="2" t="s">
        <v>7408</v>
      </c>
      <c r="D14902" s="3" t="str">
        <f t="shared" si="3712"/>
        <v>12Go Link</v>
      </c>
      <c r="E14902" s="2" t="s">
        <v>4139</v>
      </c>
    </row>
    <row r="14903">
      <c r="A14903" s="2" t="s">
        <v>5018</v>
      </c>
      <c r="B14903" s="2" t="s">
        <v>4921</v>
      </c>
      <c r="C14903" s="2" t="s">
        <v>7408</v>
      </c>
      <c r="D14903" s="3" t="str">
        <f t="shared" si="3712"/>
        <v>12Go Link</v>
      </c>
      <c r="E14903" s="2" t="s">
        <v>3409</v>
      </c>
    </row>
    <row r="14904">
      <c r="A14904" s="2" t="s">
        <v>5018</v>
      </c>
      <c r="B14904" s="2" t="s">
        <v>4923</v>
      </c>
      <c r="C14904" s="2" t="s">
        <v>7409</v>
      </c>
      <c r="D14904" s="3" t="str">
        <f t="shared" ref="D14904:D14906" si="3713">HYPERLINK("https://12go.asia/en/travel/Rekawa/Aluthgama", "12Go Link")</f>
        <v>12Go Link</v>
      </c>
      <c r="E14904" s="2" t="s">
        <v>286</v>
      </c>
    </row>
    <row r="14905">
      <c r="A14905" s="2" t="s">
        <v>5018</v>
      </c>
      <c r="B14905" s="2" t="s">
        <v>4923</v>
      </c>
      <c r="C14905" s="2" t="s">
        <v>7409</v>
      </c>
      <c r="D14905" s="3" t="str">
        <f t="shared" si="3713"/>
        <v>12Go Link</v>
      </c>
      <c r="E14905" s="2" t="s">
        <v>4139</v>
      </c>
    </row>
    <row r="14906">
      <c r="A14906" s="2" t="s">
        <v>5018</v>
      </c>
      <c r="B14906" s="2" t="s">
        <v>4923</v>
      </c>
      <c r="C14906" s="2" t="s">
        <v>7409</v>
      </c>
      <c r="D14906" s="3" t="str">
        <f t="shared" si="3713"/>
        <v>12Go Link</v>
      </c>
      <c r="E14906" s="2" t="s">
        <v>3409</v>
      </c>
    </row>
    <row r="14907">
      <c r="A14907" s="2" t="s">
        <v>5018</v>
      </c>
      <c r="B14907" s="2" t="s">
        <v>4925</v>
      </c>
      <c r="C14907" s="2" t="s">
        <v>7410</v>
      </c>
      <c r="D14907" s="3" t="str">
        <f t="shared" ref="D14907:D14909" si="3714">HYPERLINK("https://12go.asia/en/travel/Rekawa/Ambalangoda", "12Go Link")</f>
        <v>12Go Link</v>
      </c>
      <c r="E14907" s="2" t="s">
        <v>286</v>
      </c>
    </row>
    <row r="14908">
      <c r="A14908" s="2" t="s">
        <v>5018</v>
      </c>
      <c r="B14908" s="2" t="s">
        <v>4925</v>
      </c>
      <c r="C14908" s="2" t="s">
        <v>7410</v>
      </c>
      <c r="D14908" s="3" t="str">
        <f t="shared" si="3714"/>
        <v>12Go Link</v>
      </c>
      <c r="E14908" s="2" t="s">
        <v>4139</v>
      </c>
    </row>
    <row r="14909">
      <c r="A14909" s="2" t="s">
        <v>5018</v>
      </c>
      <c r="B14909" s="2" t="s">
        <v>4925</v>
      </c>
      <c r="C14909" s="2" t="s">
        <v>7410</v>
      </c>
      <c r="D14909" s="3" t="str">
        <f t="shared" si="3714"/>
        <v>12Go Link</v>
      </c>
      <c r="E14909" s="2" t="s">
        <v>3409</v>
      </c>
    </row>
    <row r="14910">
      <c r="A14910" s="2" t="s">
        <v>5018</v>
      </c>
      <c r="B14910" s="2" t="s">
        <v>4927</v>
      </c>
      <c r="C14910" s="2" t="s">
        <v>7411</v>
      </c>
      <c r="D14910" s="3" t="str">
        <f t="shared" ref="D14910:D14912" si="3715">HYPERLINK("https://12go.asia/en/travel/Rekawa/Ambalantota", "12Go Link")</f>
        <v>12Go Link</v>
      </c>
      <c r="E14910" s="2" t="s">
        <v>286</v>
      </c>
    </row>
    <row r="14911">
      <c r="A14911" s="2" t="s">
        <v>5018</v>
      </c>
      <c r="B14911" s="2" t="s">
        <v>4927</v>
      </c>
      <c r="C14911" s="2" t="s">
        <v>7411</v>
      </c>
      <c r="D14911" s="3" t="str">
        <f t="shared" si="3715"/>
        <v>12Go Link</v>
      </c>
      <c r="E14911" s="2" t="s">
        <v>4139</v>
      </c>
    </row>
    <row r="14912">
      <c r="A14912" s="2" t="s">
        <v>5018</v>
      </c>
      <c r="B14912" s="2" t="s">
        <v>4927</v>
      </c>
      <c r="C14912" s="2" t="s">
        <v>7411</v>
      </c>
      <c r="D14912" s="3" t="str">
        <f t="shared" si="3715"/>
        <v>12Go Link</v>
      </c>
      <c r="E14912" s="2" t="s">
        <v>3409</v>
      </c>
    </row>
    <row r="14913">
      <c r="A14913" s="2" t="s">
        <v>5018</v>
      </c>
      <c r="B14913" s="2" t="s">
        <v>4929</v>
      </c>
      <c r="C14913" s="2" t="s">
        <v>7412</v>
      </c>
      <c r="D14913" s="3" t="str">
        <f t="shared" ref="D14913:D14915" si="3716">HYPERLINK("https://12go.asia/en/travel/Rekawa/Anuradhapura", "12Go Link")</f>
        <v>12Go Link</v>
      </c>
      <c r="E14913" s="2" t="s">
        <v>286</v>
      </c>
    </row>
    <row r="14914">
      <c r="A14914" s="2" t="s">
        <v>5018</v>
      </c>
      <c r="B14914" s="2" t="s">
        <v>4929</v>
      </c>
      <c r="C14914" s="2" t="s">
        <v>7412</v>
      </c>
      <c r="D14914" s="3" t="str">
        <f t="shared" si="3716"/>
        <v>12Go Link</v>
      </c>
      <c r="E14914" s="2" t="s">
        <v>4139</v>
      </c>
    </row>
    <row r="14915">
      <c r="A14915" s="2" t="s">
        <v>5018</v>
      </c>
      <c r="B14915" s="2" t="s">
        <v>4929</v>
      </c>
      <c r="C14915" s="2" t="s">
        <v>7412</v>
      </c>
      <c r="D14915" s="3" t="str">
        <f t="shared" si="3716"/>
        <v>12Go Link</v>
      </c>
      <c r="E14915" s="2" t="s">
        <v>3409</v>
      </c>
    </row>
    <row r="14916">
      <c r="A14916" s="2" t="s">
        <v>5018</v>
      </c>
      <c r="B14916" s="2" t="s">
        <v>4931</v>
      </c>
      <c r="C14916" s="2" t="s">
        <v>7413</v>
      </c>
      <c r="D14916" s="3" t="str">
        <f t="shared" ref="D14916:D14918" si="3717">HYPERLINK("https://12go.asia/en/travel/Rekawa/Arugam-bay", "12Go Link")</f>
        <v>12Go Link</v>
      </c>
      <c r="E14916" s="2" t="s">
        <v>286</v>
      </c>
    </row>
    <row r="14917">
      <c r="A14917" s="2" t="s">
        <v>5018</v>
      </c>
      <c r="B14917" s="2" t="s">
        <v>4931</v>
      </c>
      <c r="C14917" s="2" t="s">
        <v>7413</v>
      </c>
      <c r="D14917" s="3" t="str">
        <f t="shared" si="3717"/>
        <v>12Go Link</v>
      </c>
      <c r="E14917" s="2" t="s">
        <v>4139</v>
      </c>
    </row>
    <row r="14918">
      <c r="A14918" s="2" t="s">
        <v>5018</v>
      </c>
      <c r="B14918" s="2" t="s">
        <v>4931</v>
      </c>
      <c r="C14918" s="2" t="s">
        <v>7413</v>
      </c>
      <c r="D14918" s="3" t="str">
        <f t="shared" si="3717"/>
        <v>12Go Link</v>
      </c>
      <c r="E14918" s="2" t="s">
        <v>3409</v>
      </c>
    </row>
    <row r="14919">
      <c r="A14919" s="2" t="s">
        <v>5018</v>
      </c>
      <c r="B14919" s="2" t="s">
        <v>4933</v>
      </c>
      <c r="C14919" s="2" t="s">
        <v>7414</v>
      </c>
      <c r="D14919" s="3" t="str">
        <f t="shared" ref="D14919:D14921" si="3718">HYPERLINK("https://12go.asia/en/travel/Rekawa/balapitiya", "12Go Link")</f>
        <v>12Go Link</v>
      </c>
      <c r="E14919" s="2" t="s">
        <v>286</v>
      </c>
    </row>
    <row r="14920">
      <c r="A14920" s="2" t="s">
        <v>5018</v>
      </c>
      <c r="B14920" s="2" t="s">
        <v>4933</v>
      </c>
      <c r="C14920" s="2" t="s">
        <v>7414</v>
      </c>
      <c r="D14920" s="3" t="str">
        <f t="shared" si="3718"/>
        <v>12Go Link</v>
      </c>
      <c r="E14920" s="2" t="s">
        <v>4139</v>
      </c>
    </row>
    <row r="14921">
      <c r="A14921" s="2" t="s">
        <v>5018</v>
      </c>
      <c r="B14921" s="2" t="s">
        <v>4933</v>
      </c>
      <c r="C14921" s="2" t="s">
        <v>7414</v>
      </c>
      <c r="D14921" s="3" t="str">
        <f t="shared" si="3718"/>
        <v>12Go Link</v>
      </c>
      <c r="E14921" s="2" t="s">
        <v>3409</v>
      </c>
    </row>
    <row r="14922">
      <c r="A14922" s="2" t="s">
        <v>5018</v>
      </c>
      <c r="B14922" s="2" t="s">
        <v>4935</v>
      </c>
      <c r="C14922" s="2" t="s">
        <v>7415</v>
      </c>
      <c r="D14922" s="3" t="str">
        <f t="shared" ref="D14922:D14924" si="3719">HYPERLINK("https://12go.asia/en/travel/Rekawa/Batticaloa", "12Go Link")</f>
        <v>12Go Link</v>
      </c>
      <c r="E14922" s="2" t="s">
        <v>286</v>
      </c>
    </row>
    <row r="14923">
      <c r="A14923" s="2" t="s">
        <v>5018</v>
      </c>
      <c r="B14923" s="2" t="s">
        <v>4935</v>
      </c>
      <c r="C14923" s="2" t="s">
        <v>7415</v>
      </c>
      <c r="D14923" s="3" t="str">
        <f t="shared" si="3719"/>
        <v>12Go Link</v>
      </c>
      <c r="E14923" s="2" t="s">
        <v>4139</v>
      </c>
    </row>
    <row r="14924">
      <c r="A14924" s="2" t="s">
        <v>5018</v>
      </c>
      <c r="B14924" s="2" t="s">
        <v>4935</v>
      </c>
      <c r="C14924" s="2" t="s">
        <v>7415</v>
      </c>
      <c r="D14924" s="3" t="str">
        <f t="shared" si="3719"/>
        <v>12Go Link</v>
      </c>
      <c r="E14924" s="2" t="s">
        <v>3409</v>
      </c>
    </row>
    <row r="14925">
      <c r="A14925" s="2" t="s">
        <v>5018</v>
      </c>
      <c r="B14925" s="2" t="s">
        <v>4937</v>
      </c>
      <c r="C14925" s="2" t="s">
        <v>7416</v>
      </c>
      <c r="D14925" s="3" t="str">
        <f t="shared" ref="D14925:D14927" si="3720">HYPERLINK("https://12go.asia/en/travel/Rekawa/Bentota", "12Go Link")</f>
        <v>12Go Link</v>
      </c>
      <c r="E14925" s="2" t="s">
        <v>286</v>
      </c>
    </row>
    <row r="14926">
      <c r="A14926" s="2" t="s">
        <v>5018</v>
      </c>
      <c r="B14926" s="2" t="s">
        <v>4937</v>
      </c>
      <c r="C14926" s="2" t="s">
        <v>7416</v>
      </c>
      <c r="D14926" s="3" t="str">
        <f t="shared" si="3720"/>
        <v>12Go Link</v>
      </c>
      <c r="E14926" s="2" t="s">
        <v>4139</v>
      </c>
    </row>
    <row r="14927">
      <c r="A14927" s="2" t="s">
        <v>5018</v>
      </c>
      <c r="B14927" s="2" t="s">
        <v>4937</v>
      </c>
      <c r="C14927" s="2" t="s">
        <v>7416</v>
      </c>
      <c r="D14927" s="3" t="str">
        <f t="shared" si="3720"/>
        <v>12Go Link</v>
      </c>
      <c r="E14927" s="2" t="s">
        <v>3409</v>
      </c>
    </row>
    <row r="14928">
      <c r="A14928" s="2" t="s">
        <v>5018</v>
      </c>
      <c r="B14928" s="2" t="s">
        <v>4939</v>
      </c>
      <c r="C14928" s="2" t="s">
        <v>7417</v>
      </c>
      <c r="D14928" s="3" t="str">
        <f t="shared" ref="D14928:D14930" si="3721">HYPERLINK("https://12go.asia/en/travel/Rekawa/Beruwala", "12Go Link")</f>
        <v>12Go Link</v>
      </c>
      <c r="E14928" s="2" t="s">
        <v>286</v>
      </c>
    </row>
    <row r="14929">
      <c r="A14929" s="2" t="s">
        <v>5018</v>
      </c>
      <c r="B14929" s="2" t="s">
        <v>4939</v>
      </c>
      <c r="C14929" s="2" t="s">
        <v>7417</v>
      </c>
      <c r="D14929" s="3" t="str">
        <f t="shared" si="3721"/>
        <v>12Go Link</v>
      </c>
      <c r="E14929" s="2" t="s">
        <v>4139</v>
      </c>
    </row>
    <row r="14930">
      <c r="A14930" s="2" t="s">
        <v>5018</v>
      </c>
      <c r="B14930" s="2" t="s">
        <v>4939</v>
      </c>
      <c r="C14930" s="2" t="s">
        <v>7417</v>
      </c>
      <c r="D14930" s="3" t="str">
        <f t="shared" si="3721"/>
        <v>12Go Link</v>
      </c>
      <c r="E14930" s="2" t="s">
        <v>3409</v>
      </c>
    </row>
    <row r="14931">
      <c r="A14931" s="2" t="s">
        <v>5018</v>
      </c>
      <c r="B14931" s="2" t="s">
        <v>4941</v>
      </c>
      <c r="C14931" s="2" t="s">
        <v>7418</v>
      </c>
      <c r="D14931" s="3" t="str">
        <f t="shared" ref="D14931:D14933" si="3722">HYPERLINK("https://12go.asia/en/travel/Rekawa/Bundala", "12Go Link")</f>
        <v>12Go Link</v>
      </c>
      <c r="E14931" s="2" t="s">
        <v>286</v>
      </c>
    </row>
    <row r="14932">
      <c r="A14932" s="2" t="s">
        <v>5018</v>
      </c>
      <c r="B14932" s="2" t="s">
        <v>4941</v>
      </c>
      <c r="C14932" s="2" t="s">
        <v>7418</v>
      </c>
      <c r="D14932" s="3" t="str">
        <f t="shared" si="3722"/>
        <v>12Go Link</v>
      </c>
      <c r="E14932" s="2" t="s">
        <v>4139</v>
      </c>
    </row>
    <row r="14933">
      <c r="A14933" s="2" t="s">
        <v>5018</v>
      </c>
      <c r="B14933" s="2" t="s">
        <v>4941</v>
      </c>
      <c r="C14933" s="2" t="s">
        <v>7418</v>
      </c>
      <c r="D14933" s="3" t="str">
        <f t="shared" si="3722"/>
        <v>12Go Link</v>
      </c>
      <c r="E14933" s="2" t="s">
        <v>3409</v>
      </c>
    </row>
    <row r="14934">
      <c r="A14934" s="2" t="s">
        <v>5018</v>
      </c>
      <c r="B14934" s="2" t="s">
        <v>4943</v>
      </c>
      <c r="C14934" s="2" t="s">
        <v>7419</v>
      </c>
      <c r="D14934" s="3" t="str">
        <f t="shared" ref="D14934:D14936" si="3723">HYPERLINK("https://12go.asia/en/travel/Rekawa/Bambalapitiya", "12Go Link")</f>
        <v>12Go Link</v>
      </c>
      <c r="E14934" s="2" t="s">
        <v>286</v>
      </c>
    </row>
    <row r="14935">
      <c r="A14935" s="2" t="s">
        <v>5018</v>
      </c>
      <c r="B14935" s="2" t="s">
        <v>4943</v>
      </c>
      <c r="C14935" s="2" t="s">
        <v>7419</v>
      </c>
      <c r="D14935" s="3" t="str">
        <f t="shared" si="3723"/>
        <v>12Go Link</v>
      </c>
      <c r="E14935" s="2" t="s">
        <v>4139</v>
      </c>
    </row>
    <row r="14936">
      <c r="A14936" s="2" t="s">
        <v>5018</v>
      </c>
      <c r="B14936" s="2" t="s">
        <v>4943</v>
      </c>
      <c r="C14936" s="2" t="s">
        <v>7419</v>
      </c>
      <c r="D14936" s="3" t="str">
        <f t="shared" si="3723"/>
        <v>12Go Link</v>
      </c>
      <c r="E14936" s="2" t="s">
        <v>3409</v>
      </c>
    </row>
    <row r="14937">
      <c r="A14937" s="2" t="s">
        <v>5018</v>
      </c>
      <c r="B14937" s="2" t="s">
        <v>4945</v>
      </c>
      <c r="C14937" s="2" t="s">
        <v>7420</v>
      </c>
      <c r="D14937" s="3" t="str">
        <f t="shared" ref="D14937:D14939" si="3724">HYPERLINK("https://12go.asia/en/travel/Rekawa/Bandaranaike-Airport", "12Go Link")</f>
        <v>12Go Link</v>
      </c>
      <c r="E14937" s="2" t="s">
        <v>286</v>
      </c>
    </row>
    <row r="14938">
      <c r="A14938" s="2" t="s">
        <v>5018</v>
      </c>
      <c r="B14938" s="2" t="s">
        <v>4945</v>
      </c>
      <c r="C14938" s="2" t="s">
        <v>7420</v>
      </c>
      <c r="D14938" s="3" t="str">
        <f t="shared" si="3724"/>
        <v>12Go Link</v>
      </c>
      <c r="E14938" s="2" t="s">
        <v>4139</v>
      </c>
    </row>
    <row r="14939">
      <c r="A14939" s="2" t="s">
        <v>5018</v>
      </c>
      <c r="B14939" s="2" t="s">
        <v>4945</v>
      </c>
      <c r="C14939" s="2" t="s">
        <v>7420</v>
      </c>
      <c r="D14939" s="3" t="str">
        <f t="shared" si="3724"/>
        <v>12Go Link</v>
      </c>
      <c r="E14939" s="2" t="s">
        <v>3409</v>
      </c>
    </row>
    <row r="14940">
      <c r="A14940" s="2" t="s">
        <v>5018</v>
      </c>
      <c r="B14940" s="2" t="s">
        <v>4947</v>
      </c>
      <c r="C14940" s="2" t="s">
        <v>7421</v>
      </c>
      <c r="D14940" s="3" t="str">
        <f t="shared" ref="D14940:D14942" si="3725">HYPERLINK("https://12go.asia/en/travel/Rekawa/Dambulla", "12Go Link")</f>
        <v>12Go Link</v>
      </c>
      <c r="E14940" s="2" t="s">
        <v>286</v>
      </c>
    </row>
    <row r="14941">
      <c r="A14941" s="2" t="s">
        <v>5018</v>
      </c>
      <c r="B14941" s="2" t="s">
        <v>4947</v>
      </c>
      <c r="C14941" s="2" t="s">
        <v>7421</v>
      </c>
      <c r="D14941" s="3" t="str">
        <f t="shared" si="3725"/>
        <v>12Go Link</v>
      </c>
      <c r="E14941" s="2" t="s">
        <v>4139</v>
      </c>
    </row>
    <row r="14942">
      <c r="A14942" s="2" t="s">
        <v>5018</v>
      </c>
      <c r="B14942" s="2" t="s">
        <v>4947</v>
      </c>
      <c r="C14942" s="2" t="s">
        <v>7421</v>
      </c>
      <c r="D14942" s="3" t="str">
        <f t="shared" si="3725"/>
        <v>12Go Link</v>
      </c>
      <c r="E14942" s="2" t="s">
        <v>3409</v>
      </c>
    </row>
    <row r="14943">
      <c r="A14943" s="2" t="s">
        <v>5018</v>
      </c>
      <c r="B14943" s="2" t="s">
        <v>4949</v>
      </c>
      <c r="C14943" s="2" t="s">
        <v>7422</v>
      </c>
      <c r="D14943" s="3" t="str">
        <f t="shared" ref="D14943:D14945" si="3726">HYPERLINK("https://12go.asia/en/travel/Rekawa/Deniyaya", "12Go Link")</f>
        <v>12Go Link</v>
      </c>
      <c r="E14943" s="2" t="s">
        <v>286</v>
      </c>
    </row>
    <row r="14944">
      <c r="A14944" s="2" t="s">
        <v>5018</v>
      </c>
      <c r="B14944" s="2" t="s">
        <v>4949</v>
      </c>
      <c r="C14944" s="2" t="s">
        <v>7422</v>
      </c>
      <c r="D14944" s="3" t="str">
        <f t="shared" si="3726"/>
        <v>12Go Link</v>
      </c>
      <c r="E14944" s="2" t="s">
        <v>4139</v>
      </c>
    </row>
    <row r="14945">
      <c r="A14945" s="2" t="s">
        <v>5018</v>
      </c>
      <c r="B14945" s="2" t="s">
        <v>4949</v>
      </c>
      <c r="C14945" s="2" t="s">
        <v>7422</v>
      </c>
      <c r="D14945" s="3" t="str">
        <f t="shared" si="3726"/>
        <v>12Go Link</v>
      </c>
      <c r="E14945" s="2" t="s">
        <v>3409</v>
      </c>
    </row>
    <row r="14946">
      <c r="A14946" s="2" t="s">
        <v>5018</v>
      </c>
      <c r="B14946" s="2" t="s">
        <v>4951</v>
      </c>
      <c r="C14946" s="2" t="s">
        <v>7423</v>
      </c>
      <c r="D14946" s="3" t="str">
        <f t="shared" ref="D14946:D14948" si="3727">HYPERLINK("https://12go.asia/en/travel/Rekawa/Dickwella", "12Go Link")</f>
        <v>12Go Link</v>
      </c>
      <c r="E14946" s="2" t="s">
        <v>286</v>
      </c>
    </row>
    <row r="14947">
      <c r="A14947" s="2" t="s">
        <v>5018</v>
      </c>
      <c r="B14947" s="2" t="s">
        <v>4951</v>
      </c>
      <c r="C14947" s="2" t="s">
        <v>7423</v>
      </c>
      <c r="D14947" s="3" t="str">
        <f t="shared" si="3727"/>
        <v>12Go Link</v>
      </c>
      <c r="E14947" s="2" t="s">
        <v>4139</v>
      </c>
    </row>
    <row r="14948">
      <c r="A14948" s="2" t="s">
        <v>5018</v>
      </c>
      <c r="B14948" s="2" t="s">
        <v>4951</v>
      </c>
      <c r="C14948" s="2" t="s">
        <v>7423</v>
      </c>
      <c r="D14948" s="3" t="str">
        <f t="shared" si="3727"/>
        <v>12Go Link</v>
      </c>
      <c r="E14948" s="2" t="s">
        <v>3409</v>
      </c>
    </row>
    <row r="14949">
      <c r="A14949" s="2" t="s">
        <v>5018</v>
      </c>
      <c r="B14949" s="2" t="s">
        <v>4951</v>
      </c>
      <c r="C14949" s="2" t="s">
        <v>7424</v>
      </c>
      <c r="D14949" s="3" t="str">
        <f t="shared" ref="D14949:D14951" si="3728">HYPERLINK("https://12go.asia/en/travel/Rekawa/Hiriketiya-beach", "12Go Link")</f>
        <v>12Go Link</v>
      </c>
      <c r="E14949" s="2" t="s">
        <v>286</v>
      </c>
    </row>
    <row r="14950">
      <c r="A14950" s="2" t="s">
        <v>5018</v>
      </c>
      <c r="B14950" s="2" t="s">
        <v>4951</v>
      </c>
      <c r="C14950" s="2" t="s">
        <v>7424</v>
      </c>
      <c r="D14950" s="3" t="str">
        <f t="shared" si="3728"/>
        <v>12Go Link</v>
      </c>
      <c r="E14950" s="2" t="s">
        <v>4139</v>
      </c>
    </row>
    <row r="14951">
      <c r="A14951" s="2" t="s">
        <v>5018</v>
      </c>
      <c r="B14951" s="2" t="s">
        <v>4951</v>
      </c>
      <c r="C14951" s="2" t="s">
        <v>7424</v>
      </c>
      <c r="D14951" s="3" t="str">
        <f t="shared" si="3728"/>
        <v>12Go Link</v>
      </c>
      <c r="E14951" s="2" t="s">
        <v>3409</v>
      </c>
    </row>
    <row r="14952">
      <c r="A14952" s="2" t="s">
        <v>5018</v>
      </c>
      <c r="B14952" s="2" t="s">
        <v>4954</v>
      </c>
      <c r="C14952" s="2" t="s">
        <v>7425</v>
      </c>
      <c r="D14952" s="3" t="str">
        <f t="shared" ref="D14952:D14954" si="3729">HYPERLINK("https://12go.asia/en/travel/Rekawa/Galle", "12Go Link")</f>
        <v>12Go Link</v>
      </c>
      <c r="E14952" s="2" t="s">
        <v>286</v>
      </c>
    </row>
    <row r="14953">
      <c r="A14953" s="2" t="s">
        <v>5018</v>
      </c>
      <c r="B14953" s="2" t="s">
        <v>4954</v>
      </c>
      <c r="C14953" s="2" t="s">
        <v>7425</v>
      </c>
      <c r="D14953" s="3" t="str">
        <f t="shared" si="3729"/>
        <v>12Go Link</v>
      </c>
      <c r="E14953" s="2" t="s">
        <v>4139</v>
      </c>
    </row>
    <row r="14954">
      <c r="A14954" s="2" t="s">
        <v>5018</v>
      </c>
      <c r="B14954" s="2" t="s">
        <v>4954</v>
      </c>
      <c r="C14954" s="2" t="s">
        <v>7425</v>
      </c>
      <c r="D14954" s="3" t="str">
        <f t="shared" si="3729"/>
        <v>12Go Link</v>
      </c>
      <c r="E14954" s="2" t="s">
        <v>3409</v>
      </c>
    </row>
    <row r="14955">
      <c r="A14955" s="2" t="s">
        <v>5018</v>
      </c>
      <c r="B14955" s="2" t="s">
        <v>4954</v>
      </c>
      <c r="C14955" s="2" t="s">
        <v>7426</v>
      </c>
      <c r="D14955" s="3" t="str">
        <f t="shared" ref="D14955:D14957" si="3730">HYPERLINK("https://12go.asia/en/travel/Rekawa/Talpe", "12Go Link")</f>
        <v>12Go Link</v>
      </c>
      <c r="E14955" s="2" t="s">
        <v>286</v>
      </c>
    </row>
    <row r="14956">
      <c r="A14956" s="2" t="s">
        <v>5018</v>
      </c>
      <c r="B14956" s="2" t="s">
        <v>4954</v>
      </c>
      <c r="C14956" s="2" t="s">
        <v>7426</v>
      </c>
      <c r="D14956" s="3" t="str">
        <f t="shared" si="3730"/>
        <v>12Go Link</v>
      </c>
      <c r="E14956" s="2" t="s">
        <v>4139</v>
      </c>
    </row>
    <row r="14957">
      <c r="A14957" s="2" t="s">
        <v>5018</v>
      </c>
      <c r="B14957" s="2" t="s">
        <v>4954</v>
      </c>
      <c r="C14957" s="2" t="s">
        <v>7426</v>
      </c>
      <c r="D14957" s="3" t="str">
        <f t="shared" si="3730"/>
        <v>12Go Link</v>
      </c>
      <c r="E14957" s="2" t="s">
        <v>3409</v>
      </c>
    </row>
    <row r="14958">
      <c r="A14958" s="2" t="s">
        <v>5018</v>
      </c>
      <c r="B14958" s="2" t="s">
        <v>4957</v>
      </c>
      <c r="C14958" s="2" t="s">
        <v>7427</v>
      </c>
      <c r="D14958" s="3" t="str">
        <f t="shared" ref="D14958:D14960" si="3731">HYPERLINK("https://12go.asia/en/travel/Rekawa/Habarana", "12Go Link")</f>
        <v>12Go Link</v>
      </c>
      <c r="E14958" s="2" t="s">
        <v>286</v>
      </c>
    </row>
    <row r="14959">
      <c r="A14959" s="2" t="s">
        <v>5018</v>
      </c>
      <c r="B14959" s="2" t="s">
        <v>4957</v>
      </c>
      <c r="C14959" s="2" t="s">
        <v>7427</v>
      </c>
      <c r="D14959" s="3" t="str">
        <f t="shared" si="3731"/>
        <v>12Go Link</v>
      </c>
      <c r="E14959" s="2" t="s">
        <v>4139</v>
      </c>
    </row>
    <row r="14960">
      <c r="A14960" s="2" t="s">
        <v>5018</v>
      </c>
      <c r="B14960" s="2" t="s">
        <v>4957</v>
      </c>
      <c r="C14960" s="2" t="s">
        <v>7427</v>
      </c>
      <c r="D14960" s="3" t="str">
        <f t="shared" si="3731"/>
        <v>12Go Link</v>
      </c>
      <c r="E14960" s="2" t="s">
        <v>3409</v>
      </c>
    </row>
    <row r="14961">
      <c r="A14961" s="2" t="s">
        <v>5018</v>
      </c>
      <c r="B14961" s="2" t="s">
        <v>4959</v>
      </c>
      <c r="C14961" s="2" t="s">
        <v>7428</v>
      </c>
      <c r="D14961" s="3" t="str">
        <f t="shared" ref="D14961:D14963" si="3732">HYPERLINK("https://12go.asia/en/travel/Rekawa/Ella", "12Go Link")</f>
        <v>12Go Link</v>
      </c>
      <c r="E14961" s="2" t="s">
        <v>286</v>
      </c>
    </row>
    <row r="14962">
      <c r="A14962" s="2" t="s">
        <v>5018</v>
      </c>
      <c r="B14962" s="2" t="s">
        <v>4959</v>
      </c>
      <c r="C14962" s="2" t="s">
        <v>7428</v>
      </c>
      <c r="D14962" s="3" t="str">
        <f t="shared" si="3732"/>
        <v>12Go Link</v>
      </c>
      <c r="E14962" s="2" t="s">
        <v>4139</v>
      </c>
    </row>
    <row r="14963">
      <c r="A14963" s="2" t="s">
        <v>5018</v>
      </c>
      <c r="B14963" s="2" t="s">
        <v>4959</v>
      </c>
      <c r="C14963" s="2" t="s">
        <v>7428</v>
      </c>
      <c r="D14963" s="3" t="str">
        <f t="shared" si="3732"/>
        <v>12Go Link</v>
      </c>
      <c r="E14963" s="2" t="s">
        <v>3409</v>
      </c>
    </row>
    <row r="14964">
      <c r="A14964" s="2" t="s">
        <v>5018</v>
      </c>
      <c r="B14964" s="2" t="s">
        <v>4961</v>
      </c>
      <c r="C14964" s="2" t="s">
        <v>7429</v>
      </c>
      <c r="D14964" s="3" t="str">
        <f t="shared" ref="D14964:D14966" si="3733">HYPERLINK("https://12go.asia/en/travel/Rekawa/Beragala", "12Go Link")</f>
        <v>12Go Link</v>
      </c>
      <c r="E14964" s="2" t="s">
        <v>286</v>
      </c>
    </row>
    <row r="14965">
      <c r="A14965" s="2" t="s">
        <v>5018</v>
      </c>
      <c r="B14965" s="2" t="s">
        <v>4961</v>
      </c>
      <c r="C14965" s="2" t="s">
        <v>7429</v>
      </c>
      <c r="D14965" s="3" t="str">
        <f t="shared" si="3733"/>
        <v>12Go Link</v>
      </c>
      <c r="E14965" s="2" t="s">
        <v>4139</v>
      </c>
    </row>
    <row r="14966">
      <c r="A14966" s="2" t="s">
        <v>5018</v>
      </c>
      <c r="B14966" s="2" t="s">
        <v>4961</v>
      </c>
      <c r="C14966" s="2" t="s">
        <v>7429</v>
      </c>
      <c r="D14966" s="3" t="str">
        <f t="shared" si="3733"/>
        <v>12Go Link</v>
      </c>
      <c r="E14966" s="2" t="s">
        <v>3409</v>
      </c>
    </row>
    <row r="14967">
      <c r="A14967" s="2" t="s">
        <v>5018</v>
      </c>
      <c r="B14967" s="2" t="s">
        <v>4963</v>
      </c>
      <c r="C14967" s="2" t="s">
        <v>7430</v>
      </c>
      <c r="D14967" s="3" t="str">
        <f t="shared" ref="D14967:D14969" si="3734">HYPERLINK("https://12go.asia/en/travel/Rekawa/Dick-oya", "12Go Link")</f>
        <v>12Go Link</v>
      </c>
      <c r="E14967" s="2" t="s">
        <v>286</v>
      </c>
    </row>
    <row r="14968">
      <c r="A14968" s="2" t="s">
        <v>5018</v>
      </c>
      <c r="B14968" s="2" t="s">
        <v>4963</v>
      </c>
      <c r="C14968" s="2" t="s">
        <v>7430</v>
      </c>
      <c r="D14968" s="3" t="str">
        <f t="shared" si="3734"/>
        <v>12Go Link</v>
      </c>
      <c r="E14968" s="2" t="s">
        <v>4139</v>
      </c>
    </row>
    <row r="14969">
      <c r="A14969" s="2" t="s">
        <v>5018</v>
      </c>
      <c r="B14969" s="2" t="s">
        <v>4963</v>
      </c>
      <c r="C14969" s="2" t="s">
        <v>7430</v>
      </c>
      <c r="D14969" s="3" t="str">
        <f t="shared" si="3734"/>
        <v>12Go Link</v>
      </c>
      <c r="E14969" s="2" t="s">
        <v>3409</v>
      </c>
    </row>
    <row r="14970">
      <c r="A14970" s="2" t="s">
        <v>5018</v>
      </c>
      <c r="B14970" s="2" t="s">
        <v>4965</v>
      </c>
      <c r="C14970" s="2" t="s">
        <v>7431</v>
      </c>
      <c r="D14970" s="3" t="str">
        <f t="shared" ref="D14970:D14972" si="3735">HYPERLINK("https://12go.asia/en/travel/Rekawa/Dodanduwa", "12Go Link")</f>
        <v>12Go Link</v>
      </c>
      <c r="E14970" s="2" t="s">
        <v>286</v>
      </c>
    </row>
    <row r="14971">
      <c r="A14971" s="2" t="s">
        <v>5018</v>
      </c>
      <c r="B14971" s="2" t="s">
        <v>4965</v>
      </c>
      <c r="C14971" s="2" t="s">
        <v>7431</v>
      </c>
      <c r="D14971" s="3" t="str">
        <f t="shared" si="3735"/>
        <v>12Go Link</v>
      </c>
      <c r="E14971" s="2" t="s">
        <v>4139</v>
      </c>
    </row>
    <row r="14972">
      <c r="A14972" s="2" t="s">
        <v>5018</v>
      </c>
      <c r="B14972" s="2" t="s">
        <v>4965</v>
      </c>
      <c r="C14972" s="2" t="s">
        <v>7431</v>
      </c>
      <c r="D14972" s="3" t="str">
        <f t="shared" si="3735"/>
        <v>12Go Link</v>
      </c>
      <c r="E14972" s="2" t="s">
        <v>3409</v>
      </c>
    </row>
    <row r="14973">
      <c r="A14973" s="2" t="s">
        <v>5018</v>
      </c>
      <c r="B14973" s="2" t="s">
        <v>4967</v>
      </c>
      <c r="C14973" s="2" t="s">
        <v>7432</v>
      </c>
      <c r="D14973" s="3" t="str">
        <f t="shared" ref="D14973:D14975" si="3736">HYPERLINK("https://12go.asia/en/travel/Rekawa/Induruwa", "12Go Link")</f>
        <v>12Go Link</v>
      </c>
      <c r="E14973" s="2" t="s">
        <v>286</v>
      </c>
    </row>
    <row r="14974">
      <c r="A14974" s="2" t="s">
        <v>5018</v>
      </c>
      <c r="B14974" s="2" t="s">
        <v>4967</v>
      </c>
      <c r="C14974" s="2" t="s">
        <v>7432</v>
      </c>
      <c r="D14974" s="3" t="str">
        <f t="shared" si="3736"/>
        <v>12Go Link</v>
      </c>
      <c r="E14974" s="2" t="s">
        <v>4139</v>
      </c>
    </row>
    <row r="14975">
      <c r="A14975" s="2" t="s">
        <v>5018</v>
      </c>
      <c r="B14975" s="2" t="s">
        <v>4967</v>
      </c>
      <c r="C14975" s="2" t="s">
        <v>7432</v>
      </c>
      <c r="D14975" s="3" t="str">
        <f t="shared" si="3736"/>
        <v>12Go Link</v>
      </c>
      <c r="E14975" s="2" t="s">
        <v>3409</v>
      </c>
    </row>
    <row r="14976">
      <c r="A14976" s="2" t="s">
        <v>5018</v>
      </c>
      <c r="B14976" s="2" t="s">
        <v>4969</v>
      </c>
      <c r="C14976" s="2" t="s">
        <v>7433</v>
      </c>
      <c r="D14976" s="3" t="str">
        <f t="shared" ref="D14976:D14978" si="3737">HYPERLINK("https://12go.asia/en/travel/Rekawa/Jaffna", "12Go Link")</f>
        <v>12Go Link</v>
      </c>
      <c r="E14976" s="2" t="s">
        <v>286</v>
      </c>
    </row>
    <row r="14977">
      <c r="A14977" s="2" t="s">
        <v>5018</v>
      </c>
      <c r="B14977" s="2" t="s">
        <v>4969</v>
      </c>
      <c r="C14977" s="2" t="s">
        <v>7433</v>
      </c>
      <c r="D14977" s="3" t="str">
        <f t="shared" si="3737"/>
        <v>12Go Link</v>
      </c>
      <c r="E14977" s="2" t="s">
        <v>4139</v>
      </c>
    </row>
    <row r="14978">
      <c r="A14978" s="2" t="s">
        <v>5018</v>
      </c>
      <c r="B14978" s="2" t="s">
        <v>4969</v>
      </c>
      <c r="C14978" s="2" t="s">
        <v>7433</v>
      </c>
      <c r="D14978" s="3" t="str">
        <f t="shared" si="3737"/>
        <v>12Go Link</v>
      </c>
      <c r="E14978" s="2" t="s">
        <v>3409</v>
      </c>
    </row>
    <row r="14979">
      <c r="A14979" s="2" t="s">
        <v>5018</v>
      </c>
      <c r="B14979" s="2" t="s">
        <v>4971</v>
      </c>
      <c r="C14979" s="2" t="s">
        <v>7434</v>
      </c>
      <c r="D14979" s="3" t="str">
        <f t="shared" ref="D14979:D14981" si="3738">HYPERLINK("https://12go.asia/en/travel/Rekawa/Kalapuwa", "12Go Link")</f>
        <v>12Go Link</v>
      </c>
      <c r="E14979" s="2" t="s">
        <v>286</v>
      </c>
    </row>
    <row r="14980">
      <c r="A14980" s="2" t="s">
        <v>5018</v>
      </c>
      <c r="B14980" s="2" t="s">
        <v>4971</v>
      </c>
      <c r="C14980" s="2" t="s">
        <v>7434</v>
      </c>
      <c r="D14980" s="3" t="str">
        <f t="shared" si="3738"/>
        <v>12Go Link</v>
      </c>
      <c r="E14980" s="2" t="s">
        <v>4139</v>
      </c>
    </row>
    <row r="14981">
      <c r="A14981" s="2" t="s">
        <v>5018</v>
      </c>
      <c r="B14981" s="2" t="s">
        <v>4971</v>
      </c>
      <c r="C14981" s="2" t="s">
        <v>7434</v>
      </c>
      <c r="D14981" s="3" t="str">
        <f t="shared" si="3738"/>
        <v>12Go Link</v>
      </c>
      <c r="E14981" s="2" t="s">
        <v>3409</v>
      </c>
    </row>
    <row r="14982">
      <c r="A14982" s="2" t="s">
        <v>5018</v>
      </c>
      <c r="B14982" s="2" t="s">
        <v>4973</v>
      </c>
      <c r="C14982" s="2" t="s">
        <v>7435</v>
      </c>
      <c r="D14982" s="3" t="str">
        <f t="shared" ref="D14982:D14984" si="3739">HYPERLINK("https://12go.asia/en/travel/Rekawa/Ampitiya", "12Go Link")</f>
        <v>12Go Link</v>
      </c>
      <c r="E14982" s="2" t="s">
        <v>286</v>
      </c>
    </row>
    <row r="14983">
      <c r="A14983" s="2" t="s">
        <v>5018</v>
      </c>
      <c r="B14983" s="2" t="s">
        <v>4973</v>
      </c>
      <c r="C14983" s="2" t="s">
        <v>7435</v>
      </c>
      <c r="D14983" s="3" t="str">
        <f t="shared" si="3739"/>
        <v>12Go Link</v>
      </c>
      <c r="E14983" s="2" t="s">
        <v>4139</v>
      </c>
    </row>
    <row r="14984">
      <c r="A14984" s="2" t="s">
        <v>5018</v>
      </c>
      <c r="B14984" s="2" t="s">
        <v>4973</v>
      </c>
      <c r="C14984" s="2" t="s">
        <v>7435</v>
      </c>
      <c r="D14984" s="3" t="str">
        <f t="shared" si="3739"/>
        <v>12Go Link</v>
      </c>
      <c r="E14984" s="2" t="s">
        <v>3409</v>
      </c>
    </row>
    <row r="14985">
      <c r="A14985" s="2" t="s">
        <v>5018</v>
      </c>
      <c r="B14985" s="2" t="s">
        <v>4973</v>
      </c>
      <c r="C14985" s="2" t="s">
        <v>7436</v>
      </c>
      <c r="D14985" s="3" t="str">
        <f t="shared" ref="D14985:D14987" si="3740">HYPERLINK("https://12go.asia/en/travel/Rekawa/Digana", "12Go Link")</f>
        <v>12Go Link</v>
      </c>
      <c r="E14985" s="2" t="s">
        <v>286</v>
      </c>
    </row>
    <row r="14986">
      <c r="A14986" s="2" t="s">
        <v>5018</v>
      </c>
      <c r="B14986" s="2" t="s">
        <v>4973</v>
      </c>
      <c r="C14986" s="2" t="s">
        <v>7436</v>
      </c>
      <c r="D14986" s="3" t="str">
        <f t="shared" si="3740"/>
        <v>12Go Link</v>
      </c>
      <c r="E14986" s="2" t="s">
        <v>4139</v>
      </c>
    </row>
    <row r="14987">
      <c r="A14987" s="2" t="s">
        <v>5018</v>
      </c>
      <c r="B14987" s="2" t="s">
        <v>4973</v>
      </c>
      <c r="C14987" s="2" t="s">
        <v>7436</v>
      </c>
      <c r="D14987" s="3" t="str">
        <f t="shared" si="3740"/>
        <v>12Go Link</v>
      </c>
      <c r="E14987" s="2" t="s">
        <v>3409</v>
      </c>
    </row>
    <row r="14988">
      <c r="A14988" s="2" t="s">
        <v>5018</v>
      </c>
      <c r="B14988" s="2" t="s">
        <v>4976</v>
      </c>
      <c r="C14988" s="2" t="s">
        <v>7437</v>
      </c>
      <c r="D14988" s="3" t="str">
        <f t="shared" ref="D14988:D14990" si="3741">HYPERLINK("https://12go.asia/en/travel/Rekawa/Kataragama", "12Go Link")</f>
        <v>12Go Link</v>
      </c>
      <c r="E14988" s="2" t="s">
        <v>286</v>
      </c>
    </row>
    <row r="14989">
      <c r="A14989" s="2" t="s">
        <v>5018</v>
      </c>
      <c r="B14989" s="2" t="s">
        <v>4976</v>
      </c>
      <c r="C14989" s="2" t="s">
        <v>7437</v>
      </c>
      <c r="D14989" s="3" t="str">
        <f t="shared" si="3741"/>
        <v>12Go Link</v>
      </c>
      <c r="E14989" s="2" t="s">
        <v>4139</v>
      </c>
    </row>
    <row r="14990">
      <c r="A14990" s="2" t="s">
        <v>5018</v>
      </c>
      <c r="B14990" s="2" t="s">
        <v>4976</v>
      </c>
      <c r="C14990" s="2" t="s">
        <v>7437</v>
      </c>
      <c r="D14990" s="3" t="str">
        <f t="shared" si="3741"/>
        <v>12Go Link</v>
      </c>
      <c r="E14990" s="2" t="s">
        <v>3409</v>
      </c>
    </row>
    <row r="14991">
      <c r="A14991" s="2" t="s">
        <v>5018</v>
      </c>
      <c r="B14991" s="2" t="s">
        <v>4978</v>
      </c>
      <c r="C14991" s="2" t="s">
        <v>7438</v>
      </c>
      <c r="D14991" s="3" t="str">
        <f t="shared" ref="D14991:D14993" si="3742">HYPERLINK("https://12go.asia/en/travel/Rekawa/Alawathupitiya", "12Go Link")</f>
        <v>12Go Link</v>
      </c>
      <c r="E14991" s="2" t="s">
        <v>286</v>
      </c>
    </row>
    <row r="14992">
      <c r="A14992" s="2" t="s">
        <v>5018</v>
      </c>
      <c r="B14992" s="2" t="s">
        <v>4978</v>
      </c>
      <c r="C14992" s="2" t="s">
        <v>7438</v>
      </c>
      <c r="D14992" s="3" t="str">
        <f t="shared" si="3742"/>
        <v>12Go Link</v>
      </c>
      <c r="E14992" s="2" t="s">
        <v>4139</v>
      </c>
    </row>
    <row r="14993">
      <c r="A14993" s="2" t="s">
        <v>5018</v>
      </c>
      <c r="B14993" s="2" t="s">
        <v>4978</v>
      </c>
      <c r="C14993" s="2" t="s">
        <v>7438</v>
      </c>
      <c r="D14993" s="3" t="str">
        <f t="shared" si="3742"/>
        <v>12Go Link</v>
      </c>
      <c r="E14993" s="2" t="s">
        <v>3409</v>
      </c>
    </row>
    <row r="14994">
      <c r="A14994" s="2" t="s">
        <v>5018</v>
      </c>
      <c r="B14994" s="2" t="s">
        <v>4980</v>
      </c>
      <c r="C14994" s="2" t="s">
        <v>7439</v>
      </c>
      <c r="D14994" s="3" t="str">
        <f t="shared" ref="D14994:D14996" si="3743">HYPERLINK("https://12go.asia/en/travel/Rekawa/Pinnawala", "12Go Link")</f>
        <v>12Go Link</v>
      </c>
      <c r="E14994" s="2" t="s">
        <v>286</v>
      </c>
    </row>
    <row r="14995">
      <c r="A14995" s="2" t="s">
        <v>5018</v>
      </c>
      <c r="B14995" s="2" t="s">
        <v>4980</v>
      </c>
      <c r="C14995" s="2" t="s">
        <v>7439</v>
      </c>
      <c r="D14995" s="3" t="str">
        <f t="shared" si="3743"/>
        <v>12Go Link</v>
      </c>
      <c r="E14995" s="2" t="s">
        <v>4139</v>
      </c>
    </row>
    <row r="14996">
      <c r="A14996" s="2" t="s">
        <v>5018</v>
      </c>
      <c r="B14996" s="2" t="s">
        <v>4980</v>
      </c>
      <c r="C14996" s="2" t="s">
        <v>7439</v>
      </c>
      <c r="D14996" s="3" t="str">
        <f t="shared" si="3743"/>
        <v>12Go Link</v>
      </c>
      <c r="E14996" s="2" t="s">
        <v>3409</v>
      </c>
    </row>
    <row r="14997">
      <c r="A14997" s="2" t="s">
        <v>5018</v>
      </c>
      <c r="B14997" s="2" t="s">
        <v>4982</v>
      </c>
      <c r="C14997" s="2" t="s">
        <v>7440</v>
      </c>
      <c r="D14997" s="3" t="str">
        <f t="shared" ref="D14997:D14999" si="3744">HYPERLINK("https://12go.asia/en/travel/Rekawa/Kitulgala", "12Go Link")</f>
        <v>12Go Link</v>
      </c>
      <c r="E14997" s="2" t="s">
        <v>286</v>
      </c>
    </row>
    <row r="14998">
      <c r="A14998" s="2" t="s">
        <v>5018</v>
      </c>
      <c r="B14998" s="2" t="s">
        <v>4982</v>
      </c>
      <c r="C14998" s="2" t="s">
        <v>7440</v>
      </c>
      <c r="D14998" s="3" t="str">
        <f t="shared" si="3744"/>
        <v>12Go Link</v>
      </c>
      <c r="E14998" s="2" t="s">
        <v>4139</v>
      </c>
    </row>
    <row r="14999">
      <c r="A14999" s="2" t="s">
        <v>5018</v>
      </c>
      <c r="B14999" s="2" t="s">
        <v>4982</v>
      </c>
      <c r="C14999" s="2" t="s">
        <v>7440</v>
      </c>
      <c r="D14999" s="3" t="str">
        <f t="shared" si="3744"/>
        <v>12Go Link</v>
      </c>
      <c r="E14999" s="2" t="s">
        <v>3409</v>
      </c>
    </row>
    <row r="15000">
      <c r="A15000" s="2" t="s">
        <v>5018</v>
      </c>
      <c r="B15000" s="2" t="s">
        <v>4984</v>
      </c>
      <c r="C15000" s="2" t="s">
        <v>7441</v>
      </c>
      <c r="D15000" s="3" t="str">
        <f t="shared" ref="D15000:D15002" si="3745">HYPERLINK("https://12go.asia/en/travel/Rekawa/Habaraduwa", "12Go Link")</f>
        <v>12Go Link</v>
      </c>
      <c r="E15000" s="2" t="s">
        <v>286</v>
      </c>
    </row>
    <row r="15001">
      <c r="A15001" s="2" t="s">
        <v>5018</v>
      </c>
      <c r="B15001" s="2" t="s">
        <v>4984</v>
      </c>
      <c r="C15001" s="2" t="s">
        <v>7441</v>
      </c>
      <c r="D15001" s="3" t="str">
        <f t="shared" si="3745"/>
        <v>12Go Link</v>
      </c>
      <c r="E15001" s="2" t="s">
        <v>4139</v>
      </c>
    </row>
    <row r="15002">
      <c r="A15002" s="2" t="s">
        <v>5018</v>
      </c>
      <c r="B15002" s="2" t="s">
        <v>4984</v>
      </c>
      <c r="C15002" s="2" t="s">
        <v>7441</v>
      </c>
      <c r="D15002" s="3" t="str">
        <f t="shared" si="3745"/>
        <v>12Go Link</v>
      </c>
      <c r="E15002" s="2" t="s">
        <v>3409</v>
      </c>
    </row>
    <row r="15003">
      <c r="A15003" s="2" t="s">
        <v>5018</v>
      </c>
      <c r="B15003" s="2" t="s">
        <v>4986</v>
      </c>
      <c r="C15003" s="2" t="s">
        <v>7442</v>
      </c>
      <c r="D15003" s="3" t="str">
        <f t="shared" ref="D15003:D15005" si="3746">HYPERLINK("https://12go.asia/en/travel/Rekawa/Kosgoda", "12Go Link")</f>
        <v>12Go Link</v>
      </c>
      <c r="E15003" s="2" t="s">
        <v>286</v>
      </c>
    </row>
    <row r="15004">
      <c r="A15004" s="2" t="s">
        <v>5018</v>
      </c>
      <c r="B15004" s="2" t="s">
        <v>4986</v>
      </c>
      <c r="C15004" s="2" t="s">
        <v>7442</v>
      </c>
      <c r="D15004" s="3" t="str">
        <f t="shared" si="3746"/>
        <v>12Go Link</v>
      </c>
      <c r="E15004" s="2" t="s">
        <v>4139</v>
      </c>
    </row>
    <row r="15005">
      <c r="A15005" s="2" t="s">
        <v>5018</v>
      </c>
      <c r="B15005" s="2" t="s">
        <v>4986</v>
      </c>
      <c r="C15005" s="2" t="s">
        <v>7442</v>
      </c>
      <c r="D15005" s="3" t="str">
        <f t="shared" si="3746"/>
        <v>12Go Link</v>
      </c>
      <c r="E15005" s="2" t="s">
        <v>3409</v>
      </c>
    </row>
    <row r="15006">
      <c r="A15006" s="2" t="s">
        <v>5018</v>
      </c>
      <c r="B15006" s="2" t="s">
        <v>4988</v>
      </c>
      <c r="C15006" s="2" t="s">
        <v>7443</v>
      </c>
      <c r="D15006" s="3" t="str">
        <f t="shared" ref="D15006:D15008" si="3747">HYPERLINK("https://12go.asia/en/travel/Rekawa/Kuchchaveli", "12Go Link")</f>
        <v>12Go Link</v>
      </c>
      <c r="E15006" s="2" t="s">
        <v>286</v>
      </c>
    </row>
    <row r="15007">
      <c r="A15007" s="2" t="s">
        <v>5018</v>
      </c>
      <c r="B15007" s="2" t="s">
        <v>4988</v>
      </c>
      <c r="C15007" s="2" t="s">
        <v>7443</v>
      </c>
      <c r="D15007" s="3" t="str">
        <f t="shared" si="3747"/>
        <v>12Go Link</v>
      </c>
      <c r="E15007" s="2" t="s">
        <v>4139</v>
      </c>
    </row>
    <row r="15008">
      <c r="A15008" s="2" t="s">
        <v>5018</v>
      </c>
      <c r="B15008" s="2" t="s">
        <v>4988</v>
      </c>
      <c r="C15008" s="2" t="s">
        <v>7443</v>
      </c>
      <c r="D15008" s="3" t="str">
        <f t="shared" si="3747"/>
        <v>12Go Link</v>
      </c>
      <c r="E15008" s="2" t="s">
        <v>3409</v>
      </c>
    </row>
    <row r="15009">
      <c r="A15009" s="2" t="s">
        <v>5018</v>
      </c>
      <c r="B15009" s="2" t="s">
        <v>4990</v>
      </c>
      <c r="C15009" s="2" t="s">
        <v>7444</v>
      </c>
      <c r="D15009" s="3" t="str">
        <f t="shared" ref="D15009:D15011" si="3748">HYPERLINK("https://12go.asia/en/travel/Rekawa/Mannar", "12Go Link")</f>
        <v>12Go Link</v>
      </c>
      <c r="E15009" s="2" t="s">
        <v>286</v>
      </c>
    </row>
    <row r="15010">
      <c r="A15010" s="2" t="s">
        <v>5018</v>
      </c>
      <c r="B15010" s="2" t="s">
        <v>4990</v>
      </c>
      <c r="C15010" s="2" t="s">
        <v>7444</v>
      </c>
      <c r="D15010" s="3" t="str">
        <f t="shared" si="3748"/>
        <v>12Go Link</v>
      </c>
      <c r="E15010" s="2" t="s">
        <v>4139</v>
      </c>
    </row>
    <row r="15011">
      <c r="A15011" s="2" t="s">
        <v>5018</v>
      </c>
      <c r="B15011" s="2" t="s">
        <v>4990</v>
      </c>
      <c r="C15011" s="2" t="s">
        <v>7444</v>
      </c>
      <c r="D15011" s="3" t="str">
        <f t="shared" si="3748"/>
        <v>12Go Link</v>
      </c>
      <c r="E15011" s="2" t="s">
        <v>3409</v>
      </c>
    </row>
    <row r="15012">
      <c r="A15012" s="2" t="s">
        <v>5018</v>
      </c>
      <c r="B15012" s="2" t="s">
        <v>4992</v>
      </c>
      <c r="C15012" s="2" t="s">
        <v>7445</v>
      </c>
      <c r="D15012" s="3" t="str">
        <f t="shared" ref="D15012:D15014" si="3749">HYPERLINK("https://12go.asia/en/travel/Rekawa/Kinigama", "12Go Link")</f>
        <v>12Go Link</v>
      </c>
      <c r="E15012" s="2" t="s">
        <v>286</v>
      </c>
    </row>
    <row r="15013">
      <c r="A15013" s="2" t="s">
        <v>5018</v>
      </c>
      <c r="B15013" s="2" t="s">
        <v>4992</v>
      </c>
      <c r="C15013" s="2" t="s">
        <v>7445</v>
      </c>
      <c r="D15013" s="3" t="str">
        <f t="shared" si="3749"/>
        <v>12Go Link</v>
      </c>
      <c r="E15013" s="2" t="s">
        <v>4139</v>
      </c>
    </row>
    <row r="15014">
      <c r="A15014" s="2" t="s">
        <v>5018</v>
      </c>
      <c r="B15014" s="2" t="s">
        <v>4992</v>
      </c>
      <c r="C15014" s="2" t="s">
        <v>7445</v>
      </c>
      <c r="D15014" s="3" t="str">
        <f t="shared" si="3749"/>
        <v>12Go Link</v>
      </c>
      <c r="E15014" s="2" t="s">
        <v>3409</v>
      </c>
    </row>
    <row r="15015">
      <c r="A15015" s="2" t="s">
        <v>5018</v>
      </c>
      <c r="B15015" s="2" t="s">
        <v>4994</v>
      </c>
      <c r="C15015" s="2" t="s">
        <v>7446</v>
      </c>
      <c r="D15015" s="3" t="str">
        <f t="shared" ref="D15015:D15017" si="3750">HYPERLINK("https://12go.asia/en/travel/Rekawa/Kalamatiya", "12Go Link")</f>
        <v>12Go Link</v>
      </c>
      <c r="E15015" s="2" t="s">
        <v>286</v>
      </c>
    </row>
    <row r="15016">
      <c r="A15016" s="2" t="s">
        <v>5018</v>
      </c>
      <c r="B15016" s="2" t="s">
        <v>4994</v>
      </c>
      <c r="C15016" s="2" t="s">
        <v>7446</v>
      </c>
      <c r="D15016" s="3" t="str">
        <f t="shared" si="3750"/>
        <v>12Go Link</v>
      </c>
      <c r="E15016" s="2" t="s">
        <v>4139</v>
      </c>
    </row>
    <row r="15017">
      <c r="A15017" s="2" t="s">
        <v>5018</v>
      </c>
      <c r="B15017" s="2" t="s">
        <v>4994</v>
      </c>
      <c r="C15017" s="2" t="s">
        <v>7446</v>
      </c>
      <c r="D15017" s="3" t="str">
        <f t="shared" si="3750"/>
        <v>12Go Link</v>
      </c>
      <c r="E15017" s="2" t="s">
        <v>3409</v>
      </c>
    </row>
    <row r="15018">
      <c r="A15018" s="2" t="s">
        <v>5018</v>
      </c>
      <c r="B15018" s="2" t="s">
        <v>4996</v>
      </c>
      <c r="C15018" s="2" t="s">
        <v>7447</v>
      </c>
      <c r="D15018" s="3" t="str">
        <f t="shared" ref="D15018:D15020" si="3751">HYPERLINK("https://12go.asia/en/travel/Rekawa/mirissa", "12Go Link")</f>
        <v>12Go Link</v>
      </c>
      <c r="E15018" s="2" t="s">
        <v>286</v>
      </c>
    </row>
    <row r="15019">
      <c r="A15019" s="2" t="s">
        <v>5018</v>
      </c>
      <c r="B15019" s="2" t="s">
        <v>4996</v>
      </c>
      <c r="C15019" s="2" t="s">
        <v>7447</v>
      </c>
      <c r="D15019" s="3" t="str">
        <f t="shared" si="3751"/>
        <v>12Go Link</v>
      </c>
      <c r="E15019" s="2" t="s">
        <v>4139</v>
      </c>
    </row>
    <row r="15020">
      <c r="A15020" s="2" t="s">
        <v>5018</v>
      </c>
      <c r="B15020" s="2" t="s">
        <v>4996</v>
      </c>
      <c r="C15020" s="2" t="s">
        <v>7447</v>
      </c>
      <c r="D15020" s="3" t="str">
        <f t="shared" si="3751"/>
        <v>12Go Link</v>
      </c>
      <c r="E15020" s="2" t="s">
        <v>3409</v>
      </c>
    </row>
    <row r="15021">
      <c r="A15021" s="2" t="s">
        <v>5018</v>
      </c>
      <c r="B15021" s="2" t="s">
        <v>4998</v>
      </c>
      <c r="C15021" s="2" t="s">
        <v>7448</v>
      </c>
      <c r="D15021" s="3" t="str">
        <f t="shared" ref="D15021:D15023" si="3752">HYPERLINK("https://12go.asia/en/travel/Rekawa/Nanu-Oya", "12Go Link")</f>
        <v>12Go Link</v>
      </c>
      <c r="E15021" s="2" t="s">
        <v>286</v>
      </c>
    </row>
    <row r="15022">
      <c r="A15022" s="2" t="s">
        <v>5018</v>
      </c>
      <c r="B15022" s="2" t="s">
        <v>4998</v>
      </c>
      <c r="C15022" s="2" t="s">
        <v>7448</v>
      </c>
      <c r="D15022" s="3" t="str">
        <f t="shared" si="3752"/>
        <v>12Go Link</v>
      </c>
      <c r="E15022" s="2" t="s">
        <v>4139</v>
      </c>
    </row>
    <row r="15023">
      <c r="A15023" s="2" t="s">
        <v>5018</v>
      </c>
      <c r="B15023" s="2" t="s">
        <v>4998</v>
      </c>
      <c r="C15023" s="2" t="s">
        <v>7448</v>
      </c>
      <c r="D15023" s="3" t="str">
        <f t="shared" si="3752"/>
        <v>12Go Link</v>
      </c>
      <c r="E15023" s="2" t="s">
        <v>3409</v>
      </c>
    </row>
    <row r="15024">
      <c r="A15024" s="2" t="s">
        <v>5018</v>
      </c>
      <c r="B15024" s="2" t="s">
        <v>5000</v>
      </c>
      <c r="C15024" s="2" t="s">
        <v>7449</v>
      </c>
      <c r="D15024" s="3" t="str">
        <f t="shared" ref="D15024:D15026" si="3753">HYPERLINK("https://12go.asia/en/travel/Rekawa/Dalupotha", "12Go Link")</f>
        <v>12Go Link</v>
      </c>
      <c r="E15024" s="2" t="s">
        <v>286</v>
      </c>
    </row>
    <row r="15025">
      <c r="A15025" s="2" t="s">
        <v>5018</v>
      </c>
      <c r="B15025" s="2" t="s">
        <v>5000</v>
      </c>
      <c r="C15025" s="2" t="s">
        <v>7449</v>
      </c>
      <c r="D15025" s="3" t="str">
        <f t="shared" si="3753"/>
        <v>12Go Link</v>
      </c>
      <c r="E15025" s="2" t="s">
        <v>4139</v>
      </c>
    </row>
    <row r="15026">
      <c r="A15026" s="2" t="s">
        <v>5018</v>
      </c>
      <c r="B15026" s="2" t="s">
        <v>5000</v>
      </c>
      <c r="C15026" s="2" t="s">
        <v>7449</v>
      </c>
      <c r="D15026" s="3" t="str">
        <f t="shared" si="3753"/>
        <v>12Go Link</v>
      </c>
      <c r="E15026" s="2" t="s">
        <v>3409</v>
      </c>
    </row>
    <row r="15027">
      <c r="A15027" s="2" t="s">
        <v>5018</v>
      </c>
      <c r="B15027" s="2" t="s">
        <v>5000</v>
      </c>
      <c r="C15027" s="2" t="s">
        <v>7450</v>
      </c>
      <c r="D15027" s="3" t="str">
        <f t="shared" ref="D15027:D15029" si="3754">HYPERLINK("https://12go.asia/en/travel/Rekawa/Waikkal", "12Go Link")</f>
        <v>12Go Link</v>
      </c>
      <c r="E15027" s="2" t="s">
        <v>286</v>
      </c>
    </row>
    <row r="15028">
      <c r="A15028" s="2" t="s">
        <v>5018</v>
      </c>
      <c r="B15028" s="2" t="s">
        <v>5000</v>
      </c>
      <c r="C15028" s="2" t="s">
        <v>7450</v>
      </c>
      <c r="D15028" s="3" t="str">
        <f t="shared" si="3754"/>
        <v>12Go Link</v>
      </c>
      <c r="E15028" s="2" t="s">
        <v>4139</v>
      </c>
    </row>
    <row r="15029">
      <c r="A15029" s="2" t="s">
        <v>5018</v>
      </c>
      <c r="B15029" s="2" t="s">
        <v>5000</v>
      </c>
      <c r="C15029" s="2" t="s">
        <v>7450</v>
      </c>
      <c r="D15029" s="3" t="str">
        <f t="shared" si="3754"/>
        <v>12Go Link</v>
      </c>
      <c r="E15029" s="2" t="s">
        <v>3409</v>
      </c>
    </row>
    <row r="15030">
      <c r="A15030" s="2" t="s">
        <v>5018</v>
      </c>
      <c r="B15030" s="2" t="s">
        <v>5003</v>
      </c>
      <c r="C15030" s="2" t="s">
        <v>7451</v>
      </c>
      <c r="D15030" s="3" t="str">
        <f t="shared" ref="D15030:D15032" si="3755">HYPERLINK("https://12go.asia/en/travel/Rekawa/Nilaveli", "12Go Link")</f>
        <v>12Go Link</v>
      </c>
      <c r="E15030" s="2" t="s">
        <v>286</v>
      </c>
    </row>
    <row r="15031">
      <c r="A15031" s="2" t="s">
        <v>5018</v>
      </c>
      <c r="B15031" s="2" t="s">
        <v>5003</v>
      </c>
      <c r="C15031" s="2" t="s">
        <v>7451</v>
      </c>
      <c r="D15031" s="3" t="str">
        <f t="shared" si="3755"/>
        <v>12Go Link</v>
      </c>
      <c r="E15031" s="2" t="s">
        <v>4139</v>
      </c>
    </row>
    <row r="15032">
      <c r="A15032" s="2" t="s">
        <v>5018</v>
      </c>
      <c r="B15032" s="2" t="s">
        <v>5003</v>
      </c>
      <c r="C15032" s="2" t="s">
        <v>7451</v>
      </c>
      <c r="D15032" s="3" t="str">
        <f t="shared" si="3755"/>
        <v>12Go Link</v>
      </c>
      <c r="E15032" s="2" t="s">
        <v>3409</v>
      </c>
    </row>
    <row r="15033">
      <c r="A15033" s="2" t="s">
        <v>5018</v>
      </c>
      <c r="B15033" s="2" t="s">
        <v>5005</v>
      </c>
      <c r="C15033" s="2" t="s">
        <v>7452</v>
      </c>
      <c r="D15033" s="3" t="str">
        <f t="shared" ref="D15033:D15035" si="3756">HYPERLINK("https://12go.asia/en/travel/Rekawa/Kotmale", "12Go Link")</f>
        <v>12Go Link</v>
      </c>
      <c r="E15033" s="2" t="s">
        <v>286</v>
      </c>
    </row>
    <row r="15034">
      <c r="A15034" s="2" t="s">
        <v>5018</v>
      </c>
      <c r="B15034" s="2" t="s">
        <v>5005</v>
      </c>
      <c r="C15034" s="2" t="s">
        <v>7452</v>
      </c>
      <c r="D15034" s="3" t="str">
        <f t="shared" si="3756"/>
        <v>12Go Link</v>
      </c>
      <c r="E15034" s="2" t="s">
        <v>4139</v>
      </c>
    </row>
    <row r="15035">
      <c r="A15035" s="2" t="s">
        <v>5018</v>
      </c>
      <c r="B15035" s="2" t="s">
        <v>5005</v>
      </c>
      <c r="C15035" s="2" t="s">
        <v>7452</v>
      </c>
      <c r="D15035" s="3" t="str">
        <f t="shared" si="3756"/>
        <v>12Go Link</v>
      </c>
      <c r="E15035" s="2" t="s">
        <v>3409</v>
      </c>
    </row>
    <row r="15036">
      <c r="A15036" s="2" t="s">
        <v>5018</v>
      </c>
      <c r="B15036" s="2" t="s">
        <v>5007</v>
      </c>
      <c r="C15036" s="2" t="s">
        <v>7453</v>
      </c>
      <c r="D15036" s="3" t="str">
        <f t="shared" ref="D15036:D15038" si="3757">HYPERLINK("https://12go.asia/en/travel/Rekawa/Pasikuda", "12Go Link")</f>
        <v>12Go Link</v>
      </c>
      <c r="E15036" s="2" t="s">
        <v>286</v>
      </c>
    </row>
    <row r="15037">
      <c r="A15037" s="2" t="s">
        <v>5018</v>
      </c>
      <c r="B15037" s="2" t="s">
        <v>5007</v>
      </c>
      <c r="C15037" s="2" t="s">
        <v>7453</v>
      </c>
      <c r="D15037" s="3" t="str">
        <f t="shared" si="3757"/>
        <v>12Go Link</v>
      </c>
      <c r="E15037" s="2" t="s">
        <v>4139</v>
      </c>
    </row>
    <row r="15038">
      <c r="A15038" s="2" t="s">
        <v>5018</v>
      </c>
      <c r="B15038" s="2" t="s">
        <v>5007</v>
      </c>
      <c r="C15038" s="2" t="s">
        <v>7453</v>
      </c>
      <c r="D15038" s="3" t="str">
        <f t="shared" si="3757"/>
        <v>12Go Link</v>
      </c>
      <c r="E15038" s="2" t="s">
        <v>3409</v>
      </c>
    </row>
    <row r="15039">
      <c r="A15039" s="2" t="s">
        <v>5018</v>
      </c>
      <c r="B15039" s="2" t="s">
        <v>5009</v>
      </c>
      <c r="C15039" s="2" t="s">
        <v>7454</v>
      </c>
      <c r="D15039" s="3" t="str">
        <f t="shared" ref="D15039:D15041" si="3758">HYPERLINK("https://12go.asia/en/travel/Rekawa/Galoya", "12Go Link")</f>
        <v>12Go Link</v>
      </c>
      <c r="E15039" s="2" t="s">
        <v>286</v>
      </c>
    </row>
    <row r="15040">
      <c r="A15040" s="2" t="s">
        <v>5018</v>
      </c>
      <c r="B15040" s="2" t="s">
        <v>5009</v>
      </c>
      <c r="C15040" s="2" t="s">
        <v>7454</v>
      </c>
      <c r="D15040" s="3" t="str">
        <f t="shared" si="3758"/>
        <v>12Go Link</v>
      </c>
      <c r="E15040" s="2" t="s">
        <v>4139</v>
      </c>
    </row>
    <row r="15041">
      <c r="A15041" s="2" t="s">
        <v>5018</v>
      </c>
      <c r="B15041" s="2" t="s">
        <v>5009</v>
      </c>
      <c r="C15041" s="2" t="s">
        <v>7454</v>
      </c>
      <c r="D15041" s="3" t="str">
        <f t="shared" si="3758"/>
        <v>12Go Link</v>
      </c>
      <c r="E15041" s="2" t="s">
        <v>3409</v>
      </c>
    </row>
    <row r="15042">
      <c r="A15042" s="2" t="s">
        <v>5018</v>
      </c>
      <c r="B15042" s="2" t="s">
        <v>5011</v>
      </c>
      <c r="C15042" s="2" t="s">
        <v>7455</v>
      </c>
      <c r="D15042" s="3" t="str">
        <f t="shared" ref="D15042:D15044" si="3759">HYPERLINK("https://12go.asia/en/travel/Rekawa/Kalpitiya", "12Go Link")</f>
        <v>12Go Link</v>
      </c>
      <c r="E15042" s="2" t="s">
        <v>286</v>
      </c>
    </row>
    <row r="15043">
      <c r="A15043" s="2" t="s">
        <v>5018</v>
      </c>
      <c r="B15043" s="2" t="s">
        <v>5011</v>
      </c>
      <c r="C15043" s="2" t="s">
        <v>7455</v>
      </c>
      <c r="D15043" s="3" t="str">
        <f t="shared" si="3759"/>
        <v>12Go Link</v>
      </c>
      <c r="E15043" s="2" t="s">
        <v>4139</v>
      </c>
    </row>
    <row r="15044">
      <c r="A15044" s="2" t="s">
        <v>5018</v>
      </c>
      <c r="B15044" s="2" t="s">
        <v>5011</v>
      </c>
      <c r="C15044" s="2" t="s">
        <v>7455</v>
      </c>
      <c r="D15044" s="3" t="str">
        <f t="shared" si="3759"/>
        <v>12Go Link</v>
      </c>
      <c r="E15044" s="2" t="s">
        <v>3409</v>
      </c>
    </row>
    <row r="15045">
      <c r="A15045" s="2" t="s">
        <v>5018</v>
      </c>
      <c r="B15045" s="2" t="s">
        <v>5011</v>
      </c>
      <c r="C15045" s="2" t="s">
        <v>7456</v>
      </c>
      <c r="D15045" s="3" t="str">
        <f t="shared" ref="D15045:D15047" si="3760">HYPERLINK("https://12go.asia/en/travel/Rekawa/Marawila", "12Go Link")</f>
        <v>12Go Link</v>
      </c>
      <c r="E15045" s="2" t="s">
        <v>286</v>
      </c>
    </row>
    <row r="15046">
      <c r="A15046" s="2" t="s">
        <v>5018</v>
      </c>
      <c r="B15046" s="2" t="s">
        <v>5011</v>
      </c>
      <c r="C15046" s="2" t="s">
        <v>7456</v>
      </c>
      <c r="D15046" s="3" t="str">
        <f t="shared" si="3760"/>
        <v>12Go Link</v>
      </c>
      <c r="E15046" s="2" t="s">
        <v>4139</v>
      </c>
    </row>
    <row r="15047">
      <c r="A15047" s="2" t="s">
        <v>5018</v>
      </c>
      <c r="B15047" s="2" t="s">
        <v>5011</v>
      </c>
      <c r="C15047" s="2" t="s">
        <v>7456</v>
      </c>
      <c r="D15047" s="3" t="str">
        <f t="shared" si="3760"/>
        <v>12Go Link</v>
      </c>
      <c r="E15047" s="2" t="s">
        <v>3409</v>
      </c>
    </row>
    <row r="15048">
      <c r="A15048" s="2" t="s">
        <v>5018</v>
      </c>
      <c r="B15048" s="2" t="s">
        <v>5014</v>
      </c>
      <c r="C15048" s="2" t="s">
        <v>7457</v>
      </c>
      <c r="D15048" s="3" t="str">
        <f t="shared" ref="D15048:D15050" si="3761">HYPERLINK("https://12go.asia/en/travel/Rekawa/Kiriella", "12Go Link")</f>
        <v>12Go Link</v>
      </c>
      <c r="E15048" s="2" t="s">
        <v>286</v>
      </c>
    </row>
    <row r="15049">
      <c r="A15049" s="2" t="s">
        <v>5018</v>
      </c>
      <c r="B15049" s="2" t="s">
        <v>5014</v>
      </c>
      <c r="C15049" s="2" t="s">
        <v>7457</v>
      </c>
      <c r="D15049" s="3" t="str">
        <f t="shared" si="3761"/>
        <v>12Go Link</v>
      </c>
      <c r="E15049" s="2" t="s">
        <v>4139</v>
      </c>
    </row>
    <row r="15050">
      <c r="A15050" s="2" t="s">
        <v>5018</v>
      </c>
      <c r="B15050" s="2" t="s">
        <v>5014</v>
      </c>
      <c r="C15050" s="2" t="s">
        <v>7457</v>
      </c>
      <c r="D15050" s="3" t="str">
        <f t="shared" si="3761"/>
        <v>12Go Link</v>
      </c>
      <c r="E15050" s="2" t="s">
        <v>3409</v>
      </c>
    </row>
    <row r="15051">
      <c r="A15051" s="2" t="s">
        <v>5018</v>
      </c>
      <c r="B15051" s="2" t="s">
        <v>5016</v>
      </c>
      <c r="C15051" s="2" t="s">
        <v>7458</v>
      </c>
      <c r="D15051" s="3" t="str">
        <f t="shared" ref="D15051:D15053" si="3762">HYPERLINK("https://12go.asia/en/travel/Rekawa/Pidurangala", "12Go Link")</f>
        <v>12Go Link</v>
      </c>
      <c r="E15051" s="2" t="s">
        <v>286</v>
      </c>
    </row>
    <row r="15052">
      <c r="A15052" s="2" t="s">
        <v>5018</v>
      </c>
      <c r="B15052" s="2" t="s">
        <v>5016</v>
      </c>
      <c r="C15052" s="2" t="s">
        <v>7458</v>
      </c>
      <c r="D15052" s="3" t="str">
        <f t="shared" si="3762"/>
        <v>12Go Link</v>
      </c>
      <c r="E15052" s="2" t="s">
        <v>4139</v>
      </c>
    </row>
    <row r="15053">
      <c r="A15053" s="2" t="s">
        <v>5018</v>
      </c>
      <c r="B15053" s="2" t="s">
        <v>5016</v>
      </c>
      <c r="C15053" s="2" t="s">
        <v>7458</v>
      </c>
      <c r="D15053" s="3" t="str">
        <f t="shared" si="3762"/>
        <v>12Go Link</v>
      </c>
      <c r="E15053" s="2" t="s">
        <v>3409</v>
      </c>
    </row>
    <row r="15054">
      <c r="A15054" s="2" t="s">
        <v>5018</v>
      </c>
      <c r="B15054" s="2" t="s">
        <v>5018</v>
      </c>
      <c r="C15054" s="2" t="s">
        <v>7459</v>
      </c>
      <c r="D15054" s="3" t="str">
        <f t="shared" ref="D15054:D15056" si="3763">HYPERLINK("https://12go.asia/en/travel/Rekawa/Rekawa", "12Go Link")</f>
        <v>12Go Link</v>
      </c>
      <c r="E15054" s="2" t="s">
        <v>286</v>
      </c>
    </row>
    <row r="15055">
      <c r="A15055" s="2" t="s">
        <v>5018</v>
      </c>
      <c r="B15055" s="2" t="s">
        <v>5018</v>
      </c>
      <c r="C15055" s="2" t="s">
        <v>7459</v>
      </c>
      <c r="D15055" s="3" t="str">
        <f t="shared" si="3763"/>
        <v>12Go Link</v>
      </c>
      <c r="E15055" s="2" t="s">
        <v>4139</v>
      </c>
    </row>
    <row r="15056">
      <c r="A15056" s="2" t="s">
        <v>5018</v>
      </c>
      <c r="B15056" s="2" t="s">
        <v>5018</v>
      </c>
      <c r="C15056" s="2" t="s">
        <v>7459</v>
      </c>
      <c r="D15056" s="3" t="str">
        <f t="shared" si="3763"/>
        <v>12Go Link</v>
      </c>
      <c r="E15056" s="2" t="s">
        <v>3409</v>
      </c>
    </row>
    <row r="15057">
      <c r="A15057" s="2" t="s">
        <v>5018</v>
      </c>
      <c r="B15057" s="2" t="s">
        <v>5020</v>
      </c>
      <c r="C15057" s="2" t="s">
        <v>7460</v>
      </c>
      <c r="D15057" s="3" t="str">
        <f t="shared" ref="D15057:D15059" si="3764">HYPERLINK("https://12go.asia/en/travel/Rekawa/Tissamaharama", "12Go Link")</f>
        <v>12Go Link</v>
      </c>
      <c r="E15057" s="2" t="s">
        <v>286</v>
      </c>
    </row>
    <row r="15058">
      <c r="A15058" s="2" t="s">
        <v>5018</v>
      </c>
      <c r="B15058" s="2" t="s">
        <v>5020</v>
      </c>
      <c r="C15058" s="2" t="s">
        <v>7460</v>
      </c>
      <c r="D15058" s="3" t="str">
        <f t="shared" si="3764"/>
        <v>12Go Link</v>
      </c>
      <c r="E15058" s="2" t="s">
        <v>4139</v>
      </c>
    </row>
    <row r="15059">
      <c r="A15059" s="2" t="s">
        <v>5018</v>
      </c>
      <c r="B15059" s="2" t="s">
        <v>5020</v>
      </c>
      <c r="C15059" s="2" t="s">
        <v>7460</v>
      </c>
      <c r="D15059" s="3" t="str">
        <f t="shared" si="3764"/>
        <v>12Go Link</v>
      </c>
      <c r="E15059" s="2" t="s">
        <v>3409</v>
      </c>
    </row>
    <row r="15060">
      <c r="A15060" s="2" t="s">
        <v>5018</v>
      </c>
      <c r="B15060" s="2" t="s">
        <v>5020</v>
      </c>
      <c r="C15060" s="2" t="s">
        <v>7461</v>
      </c>
      <c r="D15060" s="3" t="str">
        <f t="shared" ref="D15060:D15062" si="3765">HYPERLINK("https://12go.asia/en/travel/Rekawa/Yala-Park", "12Go Link")</f>
        <v>12Go Link</v>
      </c>
      <c r="E15060" s="2" t="s">
        <v>286</v>
      </c>
    </row>
    <row r="15061">
      <c r="A15061" s="2" t="s">
        <v>5018</v>
      </c>
      <c r="B15061" s="2" t="s">
        <v>5020</v>
      </c>
      <c r="C15061" s="2" t="s">
        <v>7461</v>
      </c>
      <c r="D15061" s="3" t="str">
        <f t="shared" si="3765"/>
        <v>12Go Link</v>
      </c>
      <c r="E15061" s="2" t="s">
        <v>4139</v>
      </c>
    </row>
    <row r="15062">
      <c r="A15062" s="2" t="s">
        <v>5018</v>
      </c>
      <c r="B15062" s="2" t="s">
        <v>5020</v>
      </c>
      <c r="C15062" s="2" t="s">
        <v>7461</v>
      </c>
      <c r="D15062" s="3" t="str">
        <f t="shared" si="3765"/>
        <v>12Go Link</v>
      </c>
      <c r="E15062" s="2" t="s">
        <v>3409</v>
      </c>
    </row>
    <row r="15063">
      <c r="A15063" s="2" t="s">
        <v>5018</v>
      </c>
      <c r="B15063" s="2" t="s">
        <v>5023</v>
      </c>
      <c r="C15063" s="2" t="s">
        <v>7462</v>
      </c>
      <c r="D15063" s="3" t="str">
        <f t="shared" ref="D15063:D15065" si="3766">HYPERLINK("https://12go.asia/en/travel/Rekawa/Nilaweli", "12Go Link")</f>
        <v>12Go Link</v>
      </c>
      <c r="E15063" s="2" t="s">
        <v>286</v>
      </c>
    </row>
    <row r="15064">
      <c r="A15064" s="2" t="s">
        <v>5018</v>
      </c>
      <c r="B15064" s="2" t="s">
        <v>5023</v>
      </c>
      <c r="C15064" s="2" t="s">
        <v>7462</v>
      </c>
      <c r="D15064" s="3" t="str">
        <f t="shared" si="3766"/>
        <v>12Go Link</v>
      </c>
      <c r="E15064" s="2" t="s">
        <v>4139</v>
      </c>
    </row>
    <row r="15065">
      <c r="A15065" s="2" t="s">
        <v>5018</v>
      </c>
      <c r="B15065" s="2" t="s">
        <v>5023</v>
      </c>
      <c r="C15065" s="2" t="s">
        <v>7462</v>
      </c>
      <c r="D15065" s="3" t="str">
        <f t="shared" si="3766"/>
        <v>12Go Link</v>
      </c>
      <c r="E15065" s="2" t="s">
        <v>3409</v>
      </c>
    </row>
    <row r="15066">
      <c r="A15066" s="2" t="s">
        <v>5018</v>
      </c>
      <c r="B15066" s="2" t="s">
        <v>5025</v>
      </c>
      <c r="C15066" s="2" t="s">
        <v>7463</v>
      </c>
      <c r="D15066" s="3" t="str">
        <f t="shared" ref="D15066:D15068" si="3767">HYPERLINK("https://12go.asia/en/travel/Rekawa/Udawalawa", "12Go Link")</f>
        <v>12Go Link</v>
      </c>
      <c r="E15066" s="2" t="s">
        <v>286</v>
      </c>
    </row>
    <row r="15067">
      <c r="A15067" s="2" t="s">
        <v>5018</v>
      </c>
      <c r="B15067" s="2" t="s">
        <v>5025</v>
      </c>
      <c r="C15067" s="2" t="s">
        <v>7463</v>
      </c>
      <c r="D15067" s="3" t="str">
        <f t="shared" si="3767"/>
        <v>12Go Link</v>
      </c>
      <c r="E15067" s="2" t="s">
        <v>4139</v>
      </c>
    </row>
    <row r="15068">
      <c r="A15068" s="2" t="s">
        <v>5018</v>
      </c>
      <c r="B15068" s="2" t="s">
        <v>5025</v>
      </c>
      <c r="C15068" s="2" t="s">
        <v>7463</v>
      </c>
      <c r="D15068" s="3" t="str">
        <f t="shared" si="3767"/>
        <v>12Go Link</v>
      </c>
      <c r="E15068" s="2" t="s">
        <v>3409</v>
      </c>
    </row>
    <row r="15069">
      <c r="A15069" s="2" t="s">
        <v>5018</v>
      </c>
      <c r="B15069" s="2" t="s">
        <v>5027</v>
      </c>
      <c r="C15069" s="2" t="s">
        <v>7464</v>
      </c>
      <c r="D15069" s="3" t="str">
        <f t="shared" ref="D15069:D15071" si="3768">HYPERLINK("https://12go.asia/en/travel/Rekawa/Unawatuna", "12Go Link")</f>
        <v>12Go Link</v>
      </c>
      <c r="E15069" s="2" t="s">
        <v>286</v>
      </c>
    </row>
    <row r="15070">
      <c r="A15070" s="2" t="s">
        <v>5018</v>
      </c>
      <c r="B15070" s="2" t="s">
        <v>5027</v>
      </c>
      <c r="C15070" s="2" t="s">
        <v>7464</v>
      </c>
      <c r="D15070" s="3" t="str">
        <f t="shared" si="3768"/>
        <v>12Go Link</v>
      </c>
      <c r="E15070" s="2" t="s">
        <v>4139</v>
      </c>
    </row>
    <row r="15071">
      <c r="A15071" s="2" t="s">
        <v>5018</v>
      </c>
      <c r="B15071" s="2" t="s">
        <v>5027</v>
      </c>
      <c r="C15071" s="2" t="s">
        <v>7464</v>
      </c>
      <c r="D15071" s="3" t="str">
        <f t="shared" si="3768"/>
        <v>12Go Link</v>
      </c>
      <c r="E15071" s="2" t="s">
        <v>3409</v>
      </c>
    </row>
    <row r="15072">
      <c r="A15072" s="2" t="s">
        <v>5018</v>
      </c>
      <c r="B15072" s="2" t="s">
        <v>5029</v>
      </c>
      <c r="C15072" s="2" t="s">
        <v>7465</v>
      </c>
      <c r="D15072" s="3" t="str">
        <f t="shared" ref="D15072:D15074" si="3769">HYPERLINK("https://12go.asia/en/travel/Rekawa/Attanagalla", "12Go Link")</f>
        <v>12Go Link</v>
      </c>
      <c r="E15072" s="2" t="s">
        <v>286</v>
      </c>
    </row>
    <row r="15073">
      <c r="A15073" s="2" t="s">
        <v>5018</v>
      </c>
      <c r="B15073" s="2" t="s">
        <v>5029</v>
      </c>
      <c r="C15073" s="2" t="s">
        <v>7465</v>
      </c>
      <c r="D15073" s="3" t="str">
        <f t="shared" si="3769"/>
        <v>12Go Link</v>
      </c>
      <c r="E15073" s="2" t="s">
        <v>4139</v>
      </c>
    </row>
    <row r="15074">
      <c r="A15074" s="2" t="s">
        <v>5018</v>
      </c>
      <c r="B15074" s="2" t="s">
        <v>5029</v>
      </c>
      <c r="C15074" s="2" t="s">
        <v>7465</v>
      </c>
      <c r="D15074" s="3" t="str">
        <f t="shared" si="3769"/>
        <v>12Go Link</v>
      </c>
      <c r="E15074" s="2" t="s">
        <v>3409</v>
      </c>
    </row>
    <row r="15075">
      <c r="A15075" s="2" t="s">
        <v>5018</v>
      </c>
      <c r="B15075" s="2" t="s">
        <v>5031</v>
      </c>
      <c r="C15075" s="2" t="s">
        <v>7466</v>
      </c>
      <c r="D15075" s="3" t="str">
        <f t="shared" ref="D15075:D15077" si="3770">HYPERLINK("https://12go.asia/en/travel/Rekawa/Moronthuduwa", "12Go Link")</f>
        <v>12Go Link</v>
      </c>
      <c r="E15075" s="2" t="s">
        <v>286</v>
      </c>
    </row>
    <row r="15076">
      <c r="A15076" s="2" t="s">
        <v>5018</v>
      </c>
      <c r="B15076" s="2" t="s">
        <v>5031</v>
      </c>
      <c r="C15076" s="2" t="s">
        <v>7466</v>
      </c>
      <c r="D15076" s="3" t="str">
        <f t="shared" si="3770"/>
        <v>12Go Link</v>
      </c>
      <c r="E15076" s="2" t="s">
        <v>4139</v>
      </c>
    </row>
    <row r="15077">
      <c r="A15077" s="2" t="s">
        <v>5018</v>
      </c>
      <c r="B15077" s="2" t="s">
        <v>5031</v>
      </c>
      <c r="C15077" s="2" t="s">
        <v>7466</v>
      </c>
      <c r="D15077" s="3" t="str">
        <f t="shared" si="3770"/>
        <v>12Go Link</v>
      </c>
      <c r="E15077" s="2" t="s">
        <v>3409</v>
      </c>
    </row>
    <row r="15078">
      <c r="A15078" s="2" t="s">
        <v>5018</v>
      </c>
      <c r="B15078" s="2" t="s">
        <v>5031</v>
      </c>
      <c r="C15078" s="2" t="s">
        <v>7467</v>
      </c>
      <c r="D15078" s="3" t="str">
        <f t="shared" ref="D15078:D15080" si="3771">HYPERLINK("https://12go.asia/en/travel/Rekawa/Waskaduwa", "12Go Link")</f>
        <v>12Go Link</v>
      </c>
      <c r="E15078" s="2" t="s">
        <v>286</v>
      </c>
    </row>
    <row r="15079">
      <c r="A15079" s="2" t="s">
        <v>5018</v>
      </c>
      <c r="B15079" s="2" t="s">
        <v>5031</v>
      </c>
      <c r="C15079" s="2" t="s">
        <v>7467</v>
      </c>
      <c r="D15079" s="3" t="str">
        <f t="shared" si="3771"/>
        <v>12Go Link</v>
      </c>
      <c r="E15079" s="2" t="s">
        <v>4139</v>
      </c>
    </row>
    <row r="15080">
      <c r="A15080" s="2" t="s">
        <v>5018</v>
      </c>
      <c r="B15080" s="2" t="s">
        <v>5031</v>
      </c>
      <c r="C15080" s="2" t="s">
        <v>7467</v>
      </c>
      <c r="D15080" s="3" t="str">
        <f t="shared" si="3771"/>
        <v>12Go Link</v>
      </c>
      <c r="E15080" s="2" t="s">
        <v>3409</v>
      </c>
    </row>
    <row r="15081">
      <c r="A15081" s="2" t="s">
        <v>5018</v>
      </c>
      <c r="B15081" s="2" t="s">
        <v>5034</v>
      </c>
      <c r="C15081" s="2" t="s">
        <v>7468</v>
      </c>
      <c r="D15081" s="3" t="str">
        <f t="shared" ref="D15081:D15083" si="3772">HYPERLINK("https://12go.asia/en/travel/Rekawa/Weddagala", "12Go Link")</f>
        <v>12Go Link</v>
      </c>
      <c r="E15081" s="2" t="s">
        <v>286</v>
      </c>
    </row>
    <row r="15082">
      <c r="A15082" s="2" t="s">
        <v>5018</v>
      </c>
      <c r="B15082" s="2" t="s">
        <v>5034</v>
      </c>
      <c r="C15082" s="2" t="s">
        <v>7468</v>
      </c>
      <c r="D15082" s="3" t="str">
        <f t="shared" si="3772"/>
        <v>12Go Link</v>
      </c>
      <c r="E15082" s="2" t="s">
        <v>4139</v>
      </c>
    </row>
    <row r="15083">
      <c r="A15083" s="2" t="s">
        <v>5018</v>
      </c>
      <c r="B15083" s="2" t="s">
        <v>5034</v>
      </c>
      <c r="C15083" s="2" t="s">
        <v>7468</v>
      </c>
      <c r="D15083" s="3" t="str">
        <f t="shared" si="3772"/>
        <v>12Go Link</v>
      </c>
      <c r="E15083" s="2" t="s">
        <v>3409</v>
      </c>
    </row>
    <row r="15084">
      <c r="A15084" s="2" t="s">
        <v>5018</v>
      </c>
      <c r="B15084" s="2" t="s">
        <v>5036</v>
      </c>
      <c r="C15084" s="2" t="s">
        <v>7469</v>
      </c>
      <c r="D15084" s="3" t="str">
        <f t="shared" ref="D15084:D15086" si="3773">HYPERLINK("https://12go.asia/en/travel/Rekawa/Weligatta", "12Go Link")</f>
        <v>12Go Link</v>
      </c>
      <c r="E15084" s="2" t="s">
        <v>286</v>
      </c>
    </row>
    <row r="15085">
      <c r="A15085" s="2" t="s">
        <v>5018</v>
      </c>
      <c r="B15085" s="2" t="s">
        <v>5036</v>
      </c>
      <c r="C15085" s="2" t="s">
        <v>7469</v>
      </c>
      <c r="D15085" s="3" t="str">
        <f t="shared" si="3773"/>
        <v>12Go Link</v>
      </c>
      <c r="E15085" s="2" t="s">
        <v>4139</v>
      </c>
    </row>
    <row r="15086">
      <c r="A15086" s="2" t="s">
        <v>5018</v>
      </c>
      <c r="B15086" s="2" t="s">
        <v>5036</v>
      </c>
      <c r="C15086" s="2" t="s">
        <v>7469</v>
      </c>
      <c r="D15086" s="3" t="str">
        <f t="shared" si="3773"/>
        <v>12Go Link</v>
      </c>
      <c r="E15086" s="2" t="s">
        <v>3409</v>
      </c>
    </row>
    <row r="15087">
      <c r="A15087" s="2" t="s">
        <v>5018</v>
      </c>
      <c r="B15087" s="2" t="s">
        <v>5038</v>
      </c>
      <c r="C15087" s="2" t="s">
        <v>7470</v>
      </c>
      <c r="D15087" s="3" t="str">
        <f t="shared" ref="D15087:D15089" si="3774">HYPERLINK("https://12go.asia/en/travel/Rekawa/Akuressa", "12Go Link")</f>
        <v>12Go Link</v>
      </c>
      <c r="E15087" s="2" t="s">
        <v>286</v>
      </c>
    </row>
    <row r="15088">
      <c r="A15088" s="2" t="s">
        <v>5018</v>
      </c>
      <c r="B15088" s="2" t="s">
        <v>5038</v>
      </c>
      <c r="C15088" s="2" t="s">
        <v>7470</v>
      </c>
      <c r="D15088" s="3" t="str">
        <f t="shared" si="3774"/>
        <v>12Go Link</v>
      </c>
      <c r="E15088" s="2" t="s">
        <v>4139</v>
      </c>
    </row>
    <row r="15089">
      <c r="A15089" s="2" t="s">
        <v>5018</v>
      </c>
      <c r="B15089" s="2" t="s">
        <v>5038</v>
      </c>
      <c r="C15089" s="2" t="s">
        <v>7470</v>
      </c>
      <c r="D15089" s="3" t="str">
        <f t="shared" si="3774"/>
        <v>12Go Link</v>
      </c>
      <c r="E15089" s="2" t="s">
        <v>3409</v>
      </c>
    </row>
    <row r="15090">
      <c r="A15090" s="2" t="s">
        <v>5018</v>
      </c>
      <c r="B15090" s="2" t="s">
        <v>5040</v>
      </c>
      <c r="C15090" s="2" t="s">
        <v>7471</v>
      </c>
      <c r="D15090" s="3" t="str">
        <f t="shared" ref="D15090:D15092" si="3775">HYPERLINK("https://12go.asia/en/travel/Rekawa/Wilpattu", "12Go Link")</f>
        <v>12Go Link</v>
      </c>
      <c r="E15090" s="2" t="s">
        <v>286</v>
      </c>
    </row>
    <row r="15091">
      <c r="A15091" s="2" t="s">
        <v>5018</v>
      </c>
      <c r="B15091" s="2" t="s">
        <v>5040</v>
      </c>
      <c r="C15091" s="2" t="s">
        <v>7471</v>
      </c>
      <c r="D15091" s="3" t="str">
        <f t="shared" si="3775"/>
        <v>12Go Link</v>
      </c>
      <c r="E15091" s="2" t="s">
        <v>4139</v>
      </c>
    </row>
    <row r="15092">
      <c r="A15092" s="2" t="s">
        <v>5018</v>
      </c>
      <c r="B15092" s="2" t="s">
        <v>5040</v>
      </c>
      <c r="C15092" s="2" t="s">
        <v>7471</v>
      </c>
      <c r="D15092" s="3" t="str">
        <f t="shared" si="3775"/>
        <v>12Go Link</v>
      </c>
      <c r="E15092" s="2" t="s">
        <v>3409</v>
      </c>
    </row>
    <row r="15093">
      <c r="A15093" s="2" t="s">
        <v>5020</v>
      </c>
      <c r="B15093" s="2" t="s">
        <v>4918</v>
      </c>
      <c r="C15093" s="2" t="s">
        <v>7472</v>
      </c>
      <c r="D15093" s="3" t="str">
        <f t="shared" ref="D15093:D15095" si="3776">HYPERLINK("https://12go.asia/en/travel/Tissamaharama/Adams-Peak", "12Go Link")</f>
        <v>12Go Link</v>
      </c>
      <c r="E15093" s="2" t="s">
        <v>286</v>
      </c>
    </row>
    <row r="15094">
      <c r="A15094" s="2" t="s">
        <v>5020</v>
      </c>
      <c r="B15094" s="2" t="s">
        <v>4918</v>
      </c>
      <c r="C15094" s="2" t="s">
        <v>7472</v>
      </c>
      <c r="D15094" s="3" t="str">
        <f t="shared" si="3776"/>
        <v>12Go Link</v>
      </c>
      <c r="E15094" s="2" t="s">
        <v>4139</v>
      </c>
    </row>
    <row r="15095">
      <c r="A15095" s="2" t="s">
        <v>5020</v>
      </c>
      <c r="B15095" s="2" t="s">
        <v>4918</v>
      </c>
      <c r="C15095" s="2" t="s">
        <v>7472</v>
      </c>
      <c r="D15095" s="3" t="str">
        <f t="shared" si="3776"/>
        <v>12Go Link</v>
      </c>
      <c r="E15095" s="2" t="s">
        <v>3409</v>
      </c>
    </row>
    <row r="15096">
      <c r="A15096" s="2" t="s">
        <v>5020</v>
      </c>
      <c r="B15096" s="2" t="s">
        <v>4919</v>
      </c>
      <c r="C15096" s="2" t="s">
        <v>7473</v>
      </c>
      <c r="D15096" s="3" t="str">
        <f t="shared" ref="D15096:D15098" si="3777">HYPERLINK("https://12go.asia/en/travel/Tissamaharama/Ahangama", "12Go Link")</f>
        <v>12Go Link</v>
      </c>
      <c r="E15096" s="2" t="s">
        <v>286</v>
      </c>
    </row>
    <row r="15097">
      <c r="A15097" s="2" t="s">
        <v>5020</v>
      </c>
      <c r="B15097" s="2" t="s">
        <v>4919</v>
      </c>
      <c r="C15097" s="2" t="s">
        <v>7473</v>
      </c>
      <c r="D15097" s="3" t="str">
        <f t="shared" si="3777"/>
        <v>12Go Link</v>
      </c>
      <c r="E15097" s="2" t="s">
        <v>4139</v>
      </c>
    </row>
    <row r="15098">
      <c r="A15098" s="2" t="s">
        <v>5020</v>
      </c>
      <c r="B15098" s="2" t="s">
        <v>4919</v>
      </c>
      <c r="C15098" s="2" t="s">
        <v>7473</v>
      </c>
      <c r="D15098" s="3" t="str">
        <f t="shared" si="3777"/>
        <v>12Go Link</v>
      </c>
      <c r="E15098" s="2" t="s">
        <v>3409</v>
      </c>
    </row>
    <row r="15099">
      <c r="A15099" s="2" t="s">
        <v>5020</v>
      </c>
      <c r="B15099" s="2" t="s">
        <v>4921</v>
      </c>
      <c r="C15099" s="2" t="s">
        <v>7474</v>
      </c>
      <c r="D15099" s="3" t="str">
        <f t="shared" ref="D15099:D15101" si="3778">HYPERLINK("https://12go.asia/en/travel/Tissamaharama/Ahungalla", "12Go Link")</f>
        <v>12Go Link</v>
      </c>
      <c r="E15099" s="2" t="s">
        <v>286</v>
      </c>
    </row>
    <row r="15100">
      <c r="A15100" s="2" t="s">
        <v>5020</v>
      </c>
      <c r="B15100" s="2" t="s">
        <v>4921</v>
      </c>
      <c r="C15100" s="2" t="s">
        <v>7474</v>
      </c>
      <c r="D15100" s="3" t="str">
        <f t="shared" si="3778"/>
        <v>12Go Link</v>
      </c>
      <c r="E15100" s="2" t="s">
        <v>4139</v>
      </c>
    </row>
    <row r="15101">
      <c r="A15101" s="2" t="s">
        <v>5020</v>
      </c>
      <c r="B15101" s="2" t="s">
        <v>4921</v>
      </c>
      <c r="C15101" s="2" t="s">
        <v>7474</v>
      </c>
      <c r="D15101" s="3" t="str">
        <f t="shared" si="3778"/>
        <v>12Go Link</v>
      </c>
      <c r="E15101" s="2" t="s">
        <v>3409</v>
      </c>
    </row>
    <row r="15102">
      <c r="A15102" s="2" t="s">
        <v>5020</v>
      </c>
      <c r="B15102" s="2" t="s">
        <v>4923</v>
      </c>
      <c r="C15102" s="2" t="s">
        <v>7475</v>
      </c>
      <c r="D15102" s="3" t="str">
        <f t="shared" ref="D15102:D15104" si="3779">HYPERLINK("https://12go.asia/en/travel/Tissamaharama/Aluthgama", "12Go Link")</f>
        <v>12Go Link</v>
      </c>
      <c r="E15102" s="2" t="s">
        <v>286</v>
      </c>
    </row>
    <row r="15103">
      <c r="A15103" s="2" t="s">
        <v>5020</v>
      </c>
      <c r="B15103" s="2" t="s">
        <v>4923</v>
      </c>
      <c r="C15103" s="2" t="s">
        <v>7475</v>
      </c>
      <c r="D15103" s="3" t="str">
        <f t="shared" si="3779"/>
        <v>12Go Link</v>
      </c>
      <c r="E15103" s="2" t="s">
        <v>4139</v>
      </c>
    </row>
    <row r="15104">
      <c r="A15104" s="2" t="s">
        <v>5020</v>
      </c>
      <c r="B15104" s="2" t="s">
        <v>4923</v>
      </c>
      <c r="C15104" s="2" t="s">
        <v>7475</v>
      </c>
      <c r="D15104" s="3" t="str">
        <f t="shared" si="3779"/>
        <v>12Go Link</v>
      </c>
      <c r="E15104" s="2" t="s">
        <v>3409</v>
      </c>
    </row>
    <row r="15105">
      <c r="A15105" s="2" t="s">
        <v>5020</v>
      </c>
      <c r="B15105" s="2" t="s">
        <v>4925</v>
      </c>
      <c r="C15105" s="2" t="s">
        <v>7476</v>
      </c>
      <c r="D15105" s="3" t="str">
        <f t="shared" ref="D15105:D15107" si="3780">HYPERLINK("https://12go.asia/en/travel/Tissamaharama/Ambalangoda", "12Go Link")</f>
        <v>12Go Link</v>
      </c>
      <c r="E15105" s="2" t="s">
        <v>286</v>
      </c>
    </row>
    <row r="15106">
      <c r="A15106" s="2" t="s">
        <v>5020</v>
      </c>
      <c r="B15106" s="2" t="s">
        <v>4925</v>
      </c>
      <c r="C15106" s="2" t="s">
        <v>7476</v>
      </c>
      <c r="D15106" s="3" t="str">
        <f t="shared" si="3780"/>
        <v>12Go Link</v>
      </c>
      <c r="E15106" s="2" t="s">
        <v>4139</v>
      </c>
    </row>
    <row r="15107">
      <c r="A15107" s="2" t="s">
        <v>5020</v>
      </c>
      <c r="B15107" s="2" t="s">
        <v>4925</v>
      </c>
      <c r="C15107" s="2" t="s">
        <v>7476</v>
      </c>
      <c r="D15107" s="3" t="str">
        <f t="shared" si="3780"/>
        <v>12Go Link</v>
      </c>
      <c r="E15107" s="2" t="s">
        <v>3409</v>
      </c>
    </row>
    <row r="15108">
      <c r="A15108" s="2" t="s">
        <v>5020</v>
      </c>
      <c r="B15108" s="2" t="s">
        <v>4927</v>
      </c>
      <c r="C15108" s="2" t="s">
        <v>7477</v>
      </c>
      <c r="D15108" s="3" t="str">
        <f t="shared" ref="D15108:D15110" si="3781">HYPERLINK("https://12go.asia/en/travel/Tissamaharama/Ambalantota", "12Go Link")</f>
        <v>12Go Link</v>
      </c>
      <c r="E15108" s="2" t="s">
        <v>286</v>
      </c>
    </row>
    <row r="15109">
      <c r="A15109" s="2" t="s">
        <v>5020</v>
      </c>
      <c r="B15109" s="2" t="s">
        <v>4927</v>
      </c>
      <c r="C15109" s="2" t="s">
        <v>7477</v>
      </c>
      <c r="D15109" s="3" t="str">
        <f t="shared" si="3781"/>
        <v>12Go Link</v>
      </c>
      <c r="E15109" s="2" t="s">
        <v>4139</v>
      </c>
    </row>
    <row r="15110">
      <c r="A15110" s="2" t="s">
        <v>5020</v>
      </c>
      <c r="B15110" s="2" t="s">
        <v>4927</v>
      </c>
      <c r="C15110" s="2" t="s">
        <v>7477</v>
      </c>
      <c r="D15110" s="3" t="str">
        <f t="shared" si="3781"/>
        <v>12Go Link</v>
      </c>
      <c r="E15110" s="2" t="s">
        <v>3409</v>
      </c>
    </row>
    <row r="15111">
      <c r="A15111" s="2" t="s">
        <v>5020</v>
      </c>
      <c r="B15111" s="2" t="s">
        <v>4929</v>
      </c>
      <c r="C15111" s="2" t="s">
        <v>7478</v>
      </c>
      <c r="D15111" s="3" t="str">
        <f t="shared" ref="D15111:D15113" si="3782">HYPERLINK("https://12go.asia/en/travel/Tissamaharama/Anuradhapura", "12Go Link")</f>
        <v>12Go Link</v>
      </c>
      <c r="E15111" s="2" t="s">
        <v>286</v>
      </c>
    </row>
    <row r="15112">
      <c r="A15112" s="2" t="s">
        <v>5020</v>
      </c>
      <c r="B15112" s="2" t="s">
        <v>4929</v>
      </c>
      <c r="C15112" s="2" t="s">
        <v>7478</v>
      </c>
      <c r="D15112" s="3" t="str">
        <f t="shared" si="3782"/>
        <v>12Go Link</v>
      </c>
      <c r="E15112" s="2" t="s">
        <v>4139</v>
      </c>
    </row>
    <row r="15113">
      <c r="A15113" s="2" t="s">
        <v>5020</v>
      </c>
      <c r="B15113" s="2" t="s">
        <v>4929</v>
      </c>
      <c r="C15113" s="2" t="s">
        <v>7478</v>
      </c>
      <c r="D15113" s="3" t="str">
        <f t="shared" si="3782"/>
        <v>12Go Link</v>
      </c>
      <c r="E15113" s="2" t="s">
        <v>3409</v>
      </c>
    </row>
    <row r="15114">
      <c r="A15114" s="2" t="s">
        <v>5020</v>
      </c>
      <c r="B15114" s="2" t="s">
        <v>4931</v>
      </c>
      <c r="C15114" s="2" t="s">
        <v>7479</v>
      </c>
      <c r="D15114" s="3" t="str">
        <f t="shared" ref="D15114:D15116" si="3783">HYPERLINK("https://12go.asia/en/travel/Tissamaharama/Arugam-bay", "12Go Link")</f>
        <v>12Go Link</v>
      </c>
      <c r="E15114" s="2" t="s">
        <v>286</v>
      </c>
    </row>
    <row r="15115">
      <c r="A15115" s="2" t="s">
        <v>5020</v>
      </c>
      <c r="B15115" s="2" t="s">
        <v>4931</v>
      </c>
      <c r="C15115" s="2" t="s">
        <v>7479</v>
      </c>
      <c r="D15115" s="3" t="str">
        <f t="shared" si="3783"/>
        <v>12Go Link</v>
      </c>
      <c r="E15115" s="2" t="s">
        <v>4139</v>
      </c>
    </row>
    <row r="15116">
      <c r="A15116" s="2" t="s">
        <v>5020</v>
      </c>
      <c r="B15116" s="2" t="s">
        <v>4931</v>
      </c>
      <c r="C15116" s="2" t="s">
        <v>7479</v>
      </c>
      <c r="D15116" s="3" t="str">
        <f t="shared" si="3783"/>
        <v>12Go Link</v>
      </c>
      <c r="E15116" s="2" t="s">
        <v>3409</v>
      </c>
    </row>
    <row r="15117">
      <c r="A15117" s="2" t="s">
        <v>5020</v>
      </c>
      <c r="B15117" s="2" t="s">
        <v>4933</v>
      </c>
      <c r="C15117" s="2" t="s">
        <v>7480</v>
      </c>
      <c r="D15117" s="3" t="str">
        <f t="shared" ref="D15117:D15119" si="3784">HYPERLINK("https://12go.asia/en/travel/Tissamaharama/balapitiya", "12Go Link")</f>
        <v>12Go Link</v>
      </c>
      <c r="E15117" s="2" t="s">
        <v>286</v>
      </c>
    </row>
    <row r="15118">
      <c r="A15118" s="2" t="s">
        <v>5020</v>
      </c>
      <c r="B15118" s="2" t="s">
        <v>4933</v>
      </c>
      <c r="C15118" s="2" t="s">
        <v>7480</v>
      </c>
      <c r="D15118" s="3" t="str">
        <f t="shared" si="3784"/>
        <v>12Go Link</v>
      </c>
      <c r="E15118" s="2" t="s">
        <v>4139</v>
      </c>
    </row>
    <row r="15119">
      <c r="A15119" s="2" t="s">
        <v>5020</v>
      </c>
      <c r="B15119" s="2" t="s">
        <v>4933</v>
      </c>
      <c r="C15119" s="2" t="s">
        <v>7480</v>
      </c>
      <c r="D15119" s="3" t="str">
        <f t="shared" si="3784"/>
        <v>12Go Link</v>
      </c>
      <c r="E15119" s="2" t="s">
        <v>3409</v>
      </c>
    </row>
    <row r="15120">
      <c r="A15120" s="2" t="s">
        <v>5020</v>
      </c>
      <c r="B15120" s="2" t="s">
        <v>4935</v>
      </c>
      <c r="C15120" s="2" t="s">
        <v>7481</v>
      </c>
      <c r="D15120" s="3" t="str">
        <f t="shared" ref="D15120:D15122" si="3785">HYPERLINK("https://12go.asia/en/travel/Tissamaharama/Batticaloa", "12Go Link")</f>
        <v>12Go Link</v>
      </c>
      <c r="E15120" s="2" t="s">
        <v>286</v>
      </c>
    </row>
    <row r="15121">
      <c r="A15121" s="2" t="s">
        <v>5020</v>
      </c>
      <c r="B15121" s="2" t="s">
        <v>4935</v>
      </c>
      <c r="C15121" s="2" t="s">
        <v>7481</v>
      </c>
      <c r="D15121" s="3" t="str">
        <f t="shared" si="3785"/>
        <v>12Go Link</v>
      </c>
      <c r="E15121" s="2" t="s">
        <v>4139</v>
      </c>
    </row>
    <row r="15122">
      <c r="A15122" s="2" t="s">
        <v>5020</v>
      </c>
      <c r="B15122" s="2" t="s">
        <v>4935</v>
      </c>
      <c r="C15122" s="2" t="s">
        <v>7481</v>
      </c>
      <c r="D15122" s="3" t="str">
        <f t="shared" si="3785"/>
        <v>12Go Link</v>
      </c>
      <c r="E15122" s="2" t="s">
        <v>3409</v>
      </c>
    </row>
    <row r="15123">
      <c r="A15123" s="2" t="s">
        <v>5020</v>
      </c>
      <c r="B15123" s="2" t="s">
        <v>4937</v>
      </c>
      <c r="C15123" s="2" t="s">
        <v>7482</v>
      </c>
      <c r="D15123" s="3" t="str">
        <f t="shared" ref="D15123:D15125" si="3786">HYPERLINK("https://12go.asia/en/travel/Tissamaharama/Bentota", "12Go Link")</f>
        <v>12Go Link</v>
      </c>
      <c r="E15123" s="2" t="s">
        <v>286</v>
      </c>
    </row>
    <row r="15124">
      <c r="A15124" s="2" t="s">
        <v>5020</v>
      </c>
      <c r="B15124" s="2" t="s">
        <v>4937</v>
      </c>
      <c r="C15124" s="2" t="s">
        <v>7482</v>
      </c>
      <c r="D15124" s="3" t="str">
        <f t="shared" si="3786"/>
        <v>12Go Link</v>
      </c>
      <c r="E15124" s="2" t="s">
        <v>4139</v>
      </c>
    </row>
    <row r="15125">
      <c r="A15125" s="2" t="s">
        <v>5020</v>
      </c>
      <c r="B15125" s="2" t="s">
        <v>4937</v>
      </c>
      <c r="C15125" s="2" t="s">
        <v>7482</v>
      </c>
      <c r="D15125" s="3" t="str">
        <f t="shared" si="3786"/>
        <v>12Go Link</v>
      </c>
      <c r="E15125" s="2" t="s">
        <v>3409</v>
      </c>
    </row>
    <row r="15126">
      <c r="A15126" s="2" t="s">
        <v>5020</v>
      </c>
      <c r="B15126" s="2" t="s">
        <v>4939</v>
      </c>
      <c r="C15126" s="2" t="s">
        <v>7483</v>
      </c>
      <c r="D15126" s="3" t="str">
        <f t="shared" ref="D15126:D15128" si="3787">HYPERLINK("https://12go.asia/en/travel/Tissamaharama/Beruwala", "12Go Link")</f>
        <v>12Go Link</v>
      </c>
      <c r="E15126" s="2" t="s">
        <v>286</v>
      </c>
    </row>
    <row r="15127">
      <c r="A15127" s="2" t="s">
        <v>5020</v>
      </c>
      <c r="B15127" s="2" t="s">
        <v>4939</v>
      </c>
      <c r="C15127" s="2" t="s">
        <v>7483</v>
      </c>
      <c r="D15127" s="3" t="str">
        <f t="shared" si="3787"/>
        <v>12Go Link</v>
      </c>
      <c r="E15127" s="2" t="s">
        <v>4139</v>
      </c>
    </row>
    <row r="15128">
      <c r="A15128" s="2" t="s">
        <v>5020</v>
      </c>
      <c r="B15128" s="2" t="s">
        <v>4939</v>
      </c>
      <c r="C15128" s="2" t="s">
        <v>7483</v>
      </c>
      <c r="D15128" s="3" t="str">
        <f t="shared" si="3787"/>
        <v>12Go Link</v>
      </c>
      <c r="E15128" s="2" t="s">
        <v>3409</v>
      </c>
    </row>
    <row r="15129">
      <c r="A15129" s="2" t="s">
        <v>5020</v>
      </c>
      <c r="B15129" s="2" t="s">
        <v>4941</v>
      </c>
      <c r="C15129" s="2" t="s">
        <v>7484</v>
      </c>
      <c r="D15129" s="3" t="str">
        <f t="shared" ref="D15129:D15131" si="3788">HYPERLINK("https://12go.asia/en/travel/Tissamaharama/Bundala", "12Go Link")</f>
        <v>12Go Link</v>
      </c>
      <c r="E15129" s="2" t="s">
        <v>286</v>
      </c>
    </row>
    <row r="15130">
      <c r="A15130" s="2" t="s">
        <v>5020</v>
      </c>
      <c r="B15130" s="2" t="s">
        <v>4941</v>
      </c>
      <c r="C15130" s="2" t="s">
        <v>7484</v>
      </c>
      <c r="D15130" s="3" t="str">
        <f t="shared" si="3788"/>
        <v>12Go Link</v>
      </c>
      <c r="E15130" s="2" t="s">
        <v>4139</v>
      </c>
    </row>
    <row r="15131">
      <c r="A15131" s="2" t="s">
        <v>5020</v>
      </c>
      <c r="B15131" s="2" t="s">
        <v>4941</v>
      </c>
      <c r="C15131" s="2" t="s">
        <v>7484</v>
      </c>
      <c r="D15131" s="3" t="str">
        <f t="shared" si="3788"/>
        <v>12Go Link</v>
      </c>
      <c r="E15131" s="2" t="s">
        <v>3409</v>
      </c>
    </row>
    <row r="15132">
      <c r="A15132" s="2" t="s">
        <v>5020</v>
      </c>
      <c r="B15132" s="2" t="s">
        <v>4943</v>
      </c>
      <c r="C15132" s="2" t="s">
        <v>7485</v>
      </c>
      <c r="D15132" s="3" t="str">
        <f t="shared" ref="D15132:D15134" si="3789">HYPERLINK("https://12go.asia/en/travel/Tissamaharama/Bambalapitiya", "12Go Link")</f>
        <v>12Go Link</v>
      </c>
      <c r="E15132" s="2" t="s">
        <v>286</v>
      </c>
    </row>
    <row r="15133">
      <c r="A15133" s="2" t="s">
        <v>5020</v>
      </c>
      <c r="B15133" s="2" t="s">
        <v>4943</v>
      </c>
      <c r="C15133" s="2" t="s">
        <v>7485</v>
      </c>
      <c r="D15133" s="3" t="str">
        <f t="shared" si="3789"/>
        <v>12Go Link</v>
      </c>
      <c r="E15133" s="2" t="s">
        <v>4139</v>
      </c>
    </row>
    <row r="15134">
      <c r="A15134" s="2" t="s">
        <v>5020</v>
      </c>
      <c r="B15134" s="2" t="s">
        <v>4943</v>
      </c>
      <c r="C15134" s="2" t="s">
        <v>7485</v>
      </c>
      <c r="D15134" s="3" t="str">
        <f t="shared" si="3789"/>
        <v>12Go Link</v>
      </c>
      <c r="E15134" s="2" t="s">
        <v>3409</v>
      </c>
    </row>
    <row r="15135">
      <c r="A15135" s="2" t="s">
        <v>5020</v>
      </c>
      <c r="B15135" s="2" t="s">
        <v>4943</v>
      </c>
      <c r="C15135" s="2" t="s">
        <v>7486</v>
      </c>
      <c r="D15135" s="3" t="str">
        <f t="shared" ref="D15135:D15137" si="3790">HYPERLINK("https://12go.asia/en/travel/Yala-Park/Bambalapitiya", "12Go Link")</f>
        <v>12Go Link</v>
      </c>
      <c r="E15135" s="2" t="s">
        <v>286</v>
      </c>
    </row>
    <row r="15136">
      <c r="A15136" s="2" t="s">
        <v>5020</v>
      </c>
      <c r="B15136" s="2" t="s">
        <v>4943</v>
      </c>
      <c r="C15136" s="2" t="s">
        <v>7486</v>
      </c>
      <c r="D15136" s="3" t="str">
        <f t="shared" si="3790"/>
        <v>12Go Link</v>
      </c>
      <c r="E15136" s="2" t="s">
        <v>4139</v>
      </c>
    </row>
    <row r="15137">
      <c r="A15137" s="2" t="s">
        <v>5020</v>
      </c>
      <c r="B15137" s="2" t="s">
        <v>4943</v>
      </c>
      <c r="C15137" s="2" t="s">
        <v>7486</v>
      </c>
      <c r="D15137" s="3" t="str">
        <f t="shared" si="3790"/>
        <v>12Go Link</v>
      </c>
      <c r="E15137" s="2" t="s">
        <v>3409</v>
      </c>
    </row>
    <row r="15138">
      <c r="A15138" s="2" t="s">
        <v>5020</v>
      </c>
      <c r="B15138" s="2" t="s">
        <v>4945</v>
      </c>
      <c r="C15138" s="2" t="s">
        <v>7487</v>
      </c>
      <c r="D15138" s="3" t="str">
        <f t="shared" ref="D15138:D15140" si="3791">HYPERLINK("https://12go.asia/en/travel/Tissamaharama/Bandaranaike-Airport", "12Go Link")</f>
        <v>12Go Link</v>
      </c>
      <c r="E15138" s="2" t="s">
        <v>286</v>
      </c>
    </row>
    <row r="15139">
      <c r="A15139" s="2" t="s">
        <v>5020</v>
      </c>
      <c r="B15139" s="2" t="s">
        <v>4945</v>
      </c>
      <c r="C15139" s="2" t="s">
        <v>7487</v>
      </c>
      <c r="D15139" s="3" t="str">
        <f t="shared" si="3791"/>
        <v>12Go Link</v>
      </c>
      <c r="E15139" s="2" t="s">
        <v>4139</v>
      </c>
    </row>
    <row r="15140">
      <c r="A15140" s="2" t="s">
        <v>5020</v>
      </c>
      <c r="B15140" s="2" t="s">
        <v>4945</v>
      </c>
      <c r="C15140" s="2" t="s">
        <v>7487</v>
      </c>
      <c r="D15140" s="3" t="str">
        <f t="shared" si="3791"/>
        <v>12Go Link</v>
      </c>
      <c r="E15140" s="2" t="s">
        <v>3409</v>
      </c>
    </row>
    <row r="15141">
      <c r="A15141" s="2" t="s">
        <v>5020</v>
      </c>
      <c r="B15141" s="2" t="s">
        <v>4945</v>
      </c>
      <c r="C15141" s="2" t="s">
        <v>7488</v>
      </c>
      <c r="D15141" s="3" t="str">
        <f t="shared" ref="D15141:D15143" si="3792">HYPERLINK("https://12go.asia/en/travel/Yala-Park/Bandaranaike-Airport", "12Go Link")</f>
        <v>12Go Link</v>
      </c>
      <c r="E15141" s="2" t="s">
        <v>286</v>
      </c>
    </row>
    <row r="15142">
      <c r="A15142" s="2" t="s">
        <v>5020</v>
      </c>
      <c r="B15142" s="2" t="s">
        <v>4945</v>
      </c>
      <c r="C15142" s="2" t="s">
        <v>7488</v>
      </c>
      <c r="D15142" s="3" t="str">
        <f t="shared" si="3792"/>
        <v>12Go Link</v>
      </c>
      <c r="E15142" s="2" t="s">
        <v>4139</v>
      </c>
    </row>
    <row r="15143">
      <c r="A15143" s="2" t="s">
        <v>5020</v>
      </c>
      <c r="B15143" s="2" t="s">
        <v>4945</v>
      </c>
      <c r="C15143" s="2" t="s">
        <v>7488</v>
      </c>
      <c r="D15143" s="3" t="str">
        <f t="shared" si="3792"/>
        <v>12Go Link</v>
      </c>
      <c r="E15143" s="2" t="s">
        <v>3409</v>
      </c>
    </row>
    <row r="15144">
      <c r="A15144" s="2" t="s">
        <v>5020</v>
      </c>
      <c r="B15144" s="2" t="s">
        <v>4947</v>
      </c>
      <c r="C15144" s="2" t="s">
        <v>7489</v>
      </c>
      <c r="D15144" s="3" t="str">
        <f t="shared" ref="D15144:D15146" si="3793">HYPERLINK("https://12go.asia/en/travel/Tissamaharama/Dambulla", "12Go Link")</f>
        <v>12Go Link</v>
      </c>
      <c r="E15144" s="2" t="s">
        <v>286</v>
      </c>
    </row>
    <row r="15145">
      <c r="A15145" s="2" t="s">
        <v>5020</v>
      </c>
      <c r="B15145" s="2" t="s">
        <v>4947</v>
      </c>
      <c r="C15145" s="2" t="s">
        <v>7489</v>
      </c>
      <c r="D15145" s="3" t="str">
        <f t="shared" si="3793"/>
        <v>12Go Link</v>
      </c>
      <c r="E15145" s="2" t="s">
        <v>4139</v>
      </c>
    </row>
    <row r="15146">
      <c r="A15146" s="2" t="s">
        <v>5020</v>
      </c>
      <c r="B15146" s="2" t="s">
        <v>4947</v>
      </c>
      <c r="C15146" s="2" t="s">
        <v>7489</v>
      </c>
      <c r="D15146" s="3" t="str">
        <f t="shared" si="3793"/>
        <v>12Go Link</v>
      </c>
      <c r="E15146" s="2" t="s">
        <v>3409</v>
      </c>
    </row>
    <row r="15147">
      <c r="A15147" s="2" t="s">
        <v>5020</v>
      </c>
      <c r="B15147" s="2" t="s">
        <v>4947</v>
      </c>
      <c r="C15147" s="2" t="s">
        <v>7490</v>
      </c>
      <c r="D15147" s="3" t="str">
        <f t="shared" ref="D15147:D15149" si="3794">HYPERLINK("https://12go.asia/en/travel/Yala-Park/Dambulla", "12Go Link")</f>
        <v>12Go Link</v>
      </c>
      <c r="E15147" s="2" t="s">
        <v>286</v>
      </c>
    </row>
    <row r="15148">
      <c r="A15148" s="2" t="s">
        <v>5020</v>
      </c>
      <c r="B15148" s="2" t="s">
        <v>4947</v>
      </c>
      <c r="C15148" s="2" t="s">
        <v>7490</v>
      </c>
      <c r="D15148" s="3" t="str">
        <f t="shared" si="3794"/>
        <v>12Go Link</v>
      </c>
      <c r="E15148" s="2" t="s">
        <v>4139</v>
      </c>
    </row>
    <row r="15149">
      <c r="A15149" s="2" t="s">
        <v>5020</v>
      </c>
      <c r="B15149" s="2" t="s">
        <v>4947</v>
      </c>
      <c r="C15149" s="2" t="s">
        <v>7490</v>
      </c>
      <c r="D15149" s="3" t="str">
        <f t="shared" si="3794"/>
        <v>12Go Link</v>
      </c>
      <c r="E15149" s="2" t="s">
        <v>3409</v>
      </c>
    </row>
    <row r="15150">
      <c r="A15150" s="2" t="s">
        <v>5020</v>
      </c>
      <c r="B15150" s="2" t="s">
        <v>4949</v>
      </c>
      <c r="C15150" s="2" t="s">
        <v>7491</v>
      </c>
      <c r="D15150" s="3" t="str">
        <f t="shared" ref="D15150:D15152" si="3795">HYPERLINK("https://12go.asia/en/travel/Tissamaharama/Deniyaya", "12Go Link")</f>
        <v>12Go Link</v>
      </c>
      <c r="E15150" s="2" t="s">
        <v>286</v>
      </c>
    </row>
    <row r="15151">
      <c r="A15151" s="2" t="s">
        <v>5020</v>
      </c>
      <c r="B15151" s="2" t="s">
        <v>4949</v>
      </c>
      <c r="C15151" s="2" t="s">
        <v>7491</v>
      </c>
      <c r="D15151" s="3" t="str">
        <f t="shared" si="3795"/>
        <v>12Go Link</v>
      </c>
      <c r="E15151" s="2" t="s">
        <v>4139</v>
      </c>
    </row>
    <row r="15152">
      <c r="A15152" s="2" t="s">
        <v>5020</v>
      </c>
      <c r="B15152" s="2" t="s">
        <v>4949</v>
      </c>
      <c r="C15152" s="2" t="s">
        <v>7491</v>
      </c>
      <c r="D15152" s="3" t="str">
        <f t="shared" si="3795"/>
        <v>12Go Link</v>
      </c>
      <c r="E15152" s="2" t="s">
        <v>3409</v>
      </c>
    </row>
    <row r="15153">
      <c r="A15153" s="2" t="s">
        <v>5020</v>
      </c>
      <c r="B15153" s="2" t="s">
        <v>4951</v>
      </c>
      <c r="C15153" s="2" t="s">
        <v>7492</v>
      </c>
      <c r="D15153" s="3" t="str">
        <f t="shared" ref="D15153:D15155" si="3796">HYPERLINK("https://12go.asia/en/travel/Tissamaharama/Dickwella", "12Go Link")</f>
        <v>12Go Link</v>
      </c>
      <c r="E15153" s="2" t="s">
        <v>286</v>
      </c>
    </row>
    <row r="15154">
      <c r="A15154" s="2" t="s">
        <v>5020</v>
      </c>
      <c r="B15154" s="2" t="s">
        <v>4951</v>
      </c>
      <c r="C15154" s="2" t="s">
        <v>7492</v>
      </c>
      <c r="D15154" s="3" t="str">
        <f t="shared" si="3796"/>
        <v>12Go Link</v>
      </c>
      <c r="E15154" s="2" t="s">
        <v>4139</v>
      </c>
    </row>
    <row r="15155">
      <c r="A15155" s="2" t="s">
        <v>5020</v>
      </c>
      <c r="B15155" s="2" t="s">
        <v>4951</v>
      </c>
      <c r="C15155" s="2" t="s">
        <v>7492</v>
      </c>
      <c r="D15155" s="3" t="str">
        <f t="shared" si="3796"/>
        <v>12Go Link</v>
      </c>
      <c r="E15155" s="2" t="s">
        <v>3409</v>
      </c>
    </row>
    <row r="15156">
      <c r="A15156" s="2" t="s">
        <v>5020</v>
      </c>
      <c r="B15156" s="2" t="s">
        <v>4951</v>
      </c>
      <c r="C15156" s="2" t="s">
        <v>7493</v>
      </c>
      <c r="D15156" s="3" t="str">
        <f t="shared" ref="D15156:D15158" si="3797">HYPERLINK("https://12go.asia/en/travel/Tissamaharama/Hiriketiya-beach", "12Go Link")</f>
        <v>12Go Link</v>
      </c>
      <c r="E15156" s="2" t="s">
        <v>286</v>
      </c>
    </row>
    <row r="15157">
      <c r="A15157" s="2" t="s">
        <v>5020</v>
      </c>
      <c r="B15157" s="2" t="s">
        <v>4951</v>
      </c>
      <c r="C15157" s="2" t="s">
        <v>7493</v>
      </c>
      <c r="D15157" s="3" t="str">
        <f t="shared" si="3797"/>
        <v>12Go Link</v>
      </c>
      <c r="E15157" s="2" t="s">
        <v>4139</v>
      </c>
    </row>
    <row r="15158">
      <c r="A15158" s="2" t="s">
        <v>5020</v>
      </c>
      <c r="B15158" s="2" t="s">
        <v>4951</v>
      </c>
      <c r="C15158" s="2" t="s">
        <v>7493</v>
      </c>
      <c r="D15158" s="3" t="str">
        <f t="shared" si="3797"/>
        <v>12Go Link</v>
      </c>
      <c r="E15158" s="2" t="s">
        <v>3409</v>
      </c>
    </row>
    <row r="15159">
      <c r="A15159" s="2" t="s">
        <v>5020</v>
      </c>
      <c r="B15159" s="2" t="s">
        <v>5779</v>
      </c>
      <c r="C15159" s="2" t="s">
        <v>7494</v>
      </c>
      <c r="D15159" s="3" t="str">
        <f t="shared" ref="D15159:D15161" si="3798">HYPERLINK("https://12go.asia/en/travel/Yala-Park/Ella", "12Go Link")</f>
        <v>12Go Link</v>
      </c>
      <c r="E15159" s="2" t="s">
        <v>286</v>
      </c>
    </row>
    <row r="15160">
      <c r="A15160" s="2" t="s">
        <v>5020</v>
      </c>
      <c r="B15160" s="2" t="s">
        <v>5779</v>
      </c>
      <c r="C15160" s="2" t="s">
        <v>7494</v>
      </c>
      <c r="D15160" s="3" t="str">
        <f t="shared" si="3798"/>
        <v>12Go Link</v>
      </c>
      <c r="E15160" s="2" t="s">
        <v>4139</v>
      </c>
    </row>
    <row r="15161">
      <c r="A15161" s="2" t="s">
        <v>5020</v>
      </c>
      <c r="B15161" s="2" t="s">
        <v>5779</v>
      </c>
      <c r="C15161" s="2" t="s">
        <v>7494</v>
      </c>
      <c r="D15161" s="3" t="str">
        <f t="shared" si="3798"/>
        <v>12Go Link</v>
      </c>
      <c r="E15161" s="2" t="s">
        <v>3409</v>
      </c>
    </row>
    <row r="15162">
      <c r="A15162" s="2" t="s">
        <v>5020</v>
      </c>
      <c r="B15162" s="2" t="s">
        <v>4954</v>
      </c>
      <c r="C15162" s="2" t="s">
        <v>7495</v>
      </c>
      <c r="D15162" s="3" t="str">
        <f t="shared" ref="D15162:D15164" si="3799">HYPERLINK("https://12go.asia/en/travel/Tissamaharama/Galle", "12Go Link")</f>
        <v>12Go Link</v>
      </c>
      <c r="E15162" s="2" t="s">
        <v>286</v>
      </c>
    </row>
    <row r="15163">
      <c r="A15163" s="2" t="s">
        <v>5020</v>
      </c>
      <c r="B15163" s="2" t="s">
        <v>4954</v>
      </c>
      <c r="C15163" s="2" t="s">
        <v>7495</v>
      </c>
      <c r="D15163" s="3" t="str">
        <f t="shared" si="3799"/>
        <v>12Go Link</v>
      </c>
      <c r="E15163" s="2" t="s">
        <v>4139</v>
      </c>
    </row>
    <row r="15164">
      <c r="A15164" s="2" t="s">
        <v>5020</v>
      </c>
      <c r="B15164" s="2" t="s">
        <v>4954</v>
      </c>
      <c r="C15164" s="2" t="s">
        <v>7495</v>
      </c>
      <c r="D15164" s="3" t="str">
        <f t="shared" si="3799"/>
        <v>12Go Link</v>
      </c>
      <c r="E15164" s="2" t="s">
        <v>3409</v>
      </c>
    </row>
    <row r="15165">
      <c r="A15165" s="2" t="s">
        <v>5020</v>
      </c>
      <c r="B15165" s="2" t="s">
        <v>4954</v>
      </c>
      <c r="C15165" s="2" t="s">
        <v>7496</v>
      </c>
      <c r="D15165" s="3" t="str">
        <f t="shared" ref="D15165:D15167" si="3800">HYPERLINK("https://12go.asia/en/travel/Tissamaharama/Talpe", "12Go Link")</f>
        <v>12Go Link</v>
      </c>
      <c r="E15165" s="2" t="s">
        <v>286</v>
      </c>
    </row>
    <row r="15166">
      <c r="A15166" s="2" t="s">
        <v>5020</v>
      </c>
      <c r="B15166" s="2" t="s">
        <v>4954</v>
      </c>
      <c r="C15166" s="2" t="s">
        <v>7496</v>
      </c>
      <c r="D15166" s="3" t="str">
        <f t="shared" si="3800"/>
        <v>12Go Link</v>
      </c>
      <c r="E15166" s="2" t="s">
        <v>4139</v>
      </c>
    </row>
    <row r="15167">
      <c r="A15167" s="2" t="s">
        <v>5020</v>
      </c>
      <c r="B15167" s="2" t="s">
        <v>4954</v>
      </c>
      <c r="C15167" s="2" t="s">
        <v>7496</v>
      </c>
      <c r="D15167" s="3" t="str">
        <f t="shared" si="3800"/>
        <v>12Go Link</v>
      </c>
      <c r="E15167" s="2" t="s">
        <v>3409</v>
      </c>
    </row>
    <row r="15168">
      <c r="A15168" s="2" t="s">
        <v>5020</v>
      </c>
      <c r="B15168" s="2" t="s">
        <v>4957</v>
      </c>
      <c r="C15168" s="2" t="s">
        <v>7497</v>
      </c>
      <c r="D15168" s="3" t="str">
        <f t="shared" ref="D15168:D15170" si="3801">HYPERLINK("https://12go.asia/en/travel/Tissamaharama/Habarana", "12Go Link")</f>
        <v>12Go Link</v>
      </c>
      <c r="E15168" s="2" t="s">
        <v>286</v>
      </c>
    </row>
    <row r="15169">
      <c r="A15169" s="2" t="s">
        <v>5020</v>
      </c>
      <c r="B15169" s="2" t="s">
        <v>4957</v>
      </c>
      <c r="C15169" s="2" t="s">
        <v>7497</v>
      </c>
      <c r="D15169" s="3" t="str">
        <f t="shared" si="3801"/>
        <v>12Go Link</v>
      </c>
      <c r="E15169" s="2" t="s">
        <v>4139</v>
      </c>
    </row>
    <row r="15170">
      <c r="A15170" s="2" t="s">
        <v>5020</v>
      </c>
      <c r="B15170" s="2" t="s">
        <v>4957</v>
      </c>
      <c r="C15170" s="2" t="s">
        <v>7497</v>
      </c>
      <c r="D15170" s="3" t="str">
        <f t="shared" si="3801"/>
        <v>12Go Link</v>
      </c>
      <c r="E15170" s="2" t="s">
        <v>3409</v>
      </c>
    </row>
    <row r="15171">
      <c r="A15171" s="2" t="s">
        <v>5020</v>
      </c>
      <c r="B15171" s="2" t="s">
        <v>4959</v>
      </c>
      <c r="C15171" s="2" t="s">
        <v>7498</v>
      </c>
      <c r="D15171" s="3" t="str">
        <f t="shared" ref="D15171:D15173" si="3802">HYPERLINK("https://12go.asia/en/travel/Tissamaharama/Ella", "12Go Link")</f>
        <v>12Go Link</v>
      </c>
      <c r="E15171" s="2" t="s">
        <v>286</v>
      </c>
    </row>
    <row r="15172">
      <c r="A15172" s="2" t="s">
        <v>5020</v>
      </c>
      <c r="B15172" s="2" t="s">
        <v>4959</v>
      </c>
      <c r="C15172" s="2" t="s">
        <v>7498</v>
      </c>
      <c r="D15172" s="3" t="str">
        <f t="shared" si="3802"/>
        <v>12Go Link</v>
      </c>
      <c r="E15172" s="2" t="s">
        <v>4139</v>
      </c>
    </row>
    <row r="15173">
      <c r="A15173" s="2" t="s">
        <v>5020</v>
      </c>
      <c r="B15173" s="2" t="s">
        <v>4959</v>
      </c>
      <c r="C15173" s="2" t="s">
        <v>7498</v>
      </c>
      <c r="D15173" s="3" t="str">
        <f t="shared" si="3802"/>
        <v>12Go Link</v>
      </c>
      <c r="E15173" s="2" t="s">
        <v>3409</v>
      </c>
    </row>
    <row r="15174">
      <c r="A15174" s="2" t="s">
        <v>5020</v>
      </c>
      <c r="B15174" s="2" t="s">
        <v>4961</v>
      </c>
      <c r="C15174" s="2" t="s">
        <v>7499</v>
      </c>
      <c r="D15174" s="3" t="str">
        <f t="shared" ref="D15174:D15176" si="3803">HYPERLINK("https://12go.asia/en/travel/Tissamaharama/Beragala", "12Go Link")</f>
        <v>12Go Link</v>
      </c>
      <c r="E15174" s="2" t="s">
        <v>286</v>
      </c>
    </row>
    <row r="15175">
      <c r="A15175" s="2" t="s">
        <v>5020</v>
      </c>
      <c r="B15175" s="2" t="s">
        <v>4961</v>
      </c>
      <c r="C15175" s="2" t="s">
        <v>7499</v>
      </c>
      <c r="D15175" s="3" t="str">
        <f t="shared" si="3803"/>
        <v>12Go Link</v>
      </c>
      <c r="E15175" s="2" t="s">
        <v>4139</v>
      </c>
    </row>
    <row r="15176">
      <c r="A15176" s="2" t="s">
        <v>5020</v>
      </c>
      <c r="B15176" s="2" t="s">
        <v>4961</v>
      </c>
      <c r="C15176" s="2" t="s">
        <v>7499</v>
      </c>
      <c r="D15176" s="3" t="str">
        <f t="shared" si="3803"/>
        <v>12Go Link</v>
      </c>
      <c r="E15176" s="2" t="s">
        <v>3409</v>
      </c>
    </row>
    <row r="15177">
      <c r="A15177" s="2" t="s">
        <v>5020</v>
      </c>
      <c r="B15177" s="2" t="s">
        <v>4963</v>
      </c>
      <c r="C15177" s="2" t="s">
        <v>7500</v>
      </c>
      <c r="D15177" s="3" t="str">
        <f t="shared" ref="D15177:D15179" si="3804">HYPERLINK("https://12go.asia/en/travel/Tissamaharama/Dick-oya", "12Go Link")</f>
        <v>12Go Link</v>
      </c>
      <c r="E15177" s="2" t="s">
        <v>286</v>
      </c>
    </row>
    <row r="15178">
      <c r="A15178" s="2" t="s">
        <v>5020</v>
      </c>
      <c r="B15178" s="2" t="s">
        <v>4963</v>
      </c>
      <c r="C15178" s="2" t="s">
        <v>7500</v>
      </c>
      <c r="D15178" s="3" t="str">
        <f t="shared" si="3804"/>
        <v>12Go Link</v>
      </c>
      <c r="E15178" s="2" t="s">
        <v>4139</v>
      </c>
    </row>
    <row r="15179">
      <c r="A15179" s="2" t="s">
        <v>5020</v>
      </c>
      <c r="B15179" s="2" t="s">
        <v>4963</v>
      </c>
      <c r="C15179" s="2" t="s">
        <v>7500</v>
      </c>
      <c r="D15179" s="3" t="str">
        <f t="shared" si="3804"/>
        <v>12Go Link</v>
      </c>
      <c r="E15179" s="2" t="s">
        <v>3409</v>
      </c>
    </row>
    <row r="15180">
      <c r="A15180" s="2" t="s">
        <v>5020</v>
      </c>
      <c r="B15180" s="2" t="s">
        <v>4965</v>
      </c>
      <c r="C15180" s="2" t="s">
        <v>7501</v>
      </c>
      <c r="D15180" s="3" t="str">
        <f t="shared" ref="D15180:D15182" si="3805">HYPERLINK("https://12go.asia/en/travel/Tissamaharama/Dodanduwa", "12Go Link")</f>
        <v>12Go Link</v>
      </c>
      <c r="E15180" s="2" t="s">
        <v>286</v>
      </c>
    </row>
    <row r="15181">
      <c r="A15181" s="2" t="s">
        <v>5020</v>
      </c>
      <c r="B15181" s="2" t="s">
        <v>4965</v>
      </c>
      <c r="C15181" s="2" t="s">
        <v>7501</v>
      </c>
      <c r="D15181" s="3" t="str">
        <f t="shared" si="3805"/>
        <v>12Go Link</v>
      </c>
      <c r="E15181" s="2" t="s">
        <v>4139</v>
      </c>
    </row>
    <row r="15182">
      <c r="A15182" s="2" t="s">
        <v>5020</v>
      </c>
      <c r="B15182" s="2" t="s">
        <v>4965</v>
      </c>
      <c r="C15182" s="2" t="s">
        <v>7501</v>
      </c>
      <c r="D15182" s="3" t="str">
        <f t="shared" si="3805"/>
        <v>12Go Link</v>
      </c>
      <c r="E15182" s="2" t="s">
        <v>3409</v>
      </c>
    </row>
    <row r="15183">
      <c r="A15183" s="2" t="s">
        <v>5020</v>
      </c>
      <c r="B15183" s="2" t="s">
        <v>4967</v>
      </c>
      <c r="C15183" s="2" t="s">
        <v>7502</v>
      </c>
      <c r="D15183" s="3" t="str">
        <f t="shared" ref="D15183:D15185" si="3806">HYPERLINK("https://12go.asia/en/travel/Tissamaharama/Induruwa", "12Go Link")</f>
        <v>12Go Link</v>
      </c>
      <c r="E15183" s="2" t="s">
        <v>286</v>
      </c>
    </row>
    <row r="15184">
      <c r="A15184" s="2" t="s">
        <v>5020</v>
      </c>
      <c r="B15184" s="2" t="s">
        <v>4967</v>
      </c>
      <c r="C15184" s="2" t="s">
        <v>7502</v>
      </c>
      <c r="D15184" s="3" t="str">
        <f t="shared" si="3806"/>
        <v>12Go Link</v>
      </c>
      <c r="E15184" s="2" t="s">
        <v>4139</v>
      </c>
    </row>
    <row r="15185">
      <c r="A15185" s="2" t="s">
        <v>5020</v>
      </c>
      <c r="B15185" s="2" t="s">
        <v>4967</v>
      </c>
      <c r="C15185" s="2" t="s">
        <v>7502</v>
      </c>
      <c r="D15185" s="3" t="str">
        <f t="shared" si="3806"/>
        <v>12Go Link</v>
      </c>
      <c r="E15185" s="2" t="s">
        <v>3409</v>
      </c>
    </row>
    <row r="15186">
      <c r="A15186" s="2" t="s">
        <v>5020</v>
      </c>
      <c r="B15186" s="2" t="s">
        <v>4969</v>
      </c>
      <c r="C15186" s="2" t="s">
        <v>7503</v>
      </c>
      <c r="D15186" s="3" t="str">
        <f t="shared" ref="D15186:D15188" si="3807">HYPERLINK("https://12go.asia/en/travel/Tissamaharama/Jaffna", "12Go Link")</f>
        <v>12Go Link</v>
      </c>
      <c r="E15186" s="2" t="s">
        <v>286</v>
      </c>
    </row>
    <row r="15187">
      <c r="A15187" s="2" t="s">
        <v>5020</v>
      </c>
      <c r="B15187" s="2" t="s">
        <v>4969</v>
      </c>
      <c r="C15187" s="2" t="s">
        <v>7503</v>
      </c>
      <c r="D15187" s="3" t="str">
        <f t="shared" si="3807"/>
        <v>12Go Link</v>
      </c>
      <c r="E15187" s="2" t="s">
        <v>4139</v>
      </c>
    </row>
    <row r="15188">
      <c r="A15188" s="2" t="s">
        <v>5020</v>
      </c>
      <c r="B15188" s="2" t="s">
        <v>4969</v>
      </c>
      <c r="C15188" s="2" t="s">
        <v>7503</v>
      </c>
      <c r="D15188" s="3" t="str">
        <f t="shared" si="3807"/>
        <v>12Go Link</v>
      </c>
      <c r="E15188" s="2" t="s">
        <v>3409</v>
      </c>
    </row>
    <row r="15189">
      <c r="A15189" s="2" t="s">
        <v>5020</v>
      </c>
      <c r="B15189" s="2" t="s">
        <v>4971</v>
      </c>
      <c r="C15189" s="2" t="s">
        <v>7504</v>
      </c>
      <c r="D15189" s="3" t="str">
        <f t="shared" ref="D15189:D15191" si="3808">HYPERLINK("https://12go.asia/en/travel/Tissamaharama/Kalapuwa", "12Go Link")</f>
        <v>12Go Link</v>
      </c>
      <c r="E15189" s="2" t="s">
        <v>286</v>
      </c>
    </row>
    <row r="15190">
      <c r="A15190" s="2" t="s">
        <v>5020</v>
      </c>
      <c r="B15190" s="2" t="s">
        <v>4971</v>
      </c>
      <c r="C15190" s="2" t="s">
        <v>7504</v>
      </c>
      <c r="D15190" s="3" t="str">
        <f t="shared" si="3808"/>
        <v>12Go Link</v>
      </c>
      <c r="E15190" s="2" t="s">
        <v>4139</v>
      </c>
    </row>
    <row r="15191">
      <c r="A15191" s="2" t="s">
        <v>5020</v>
      </c>
      <c r="B15191" s="2" t="s">
        <v>4971</v>
      </c>
      <c r="C15191" s="2" t="s">
        <v>7504</v>
      </c>
      <c r="D15191" s="3" t="str">
        <f t="shared" si="3808"/>
        <v>12Go Link</v>
      </c>
      <c r="E15191" s="2" t="s">
        <v>3409</v>
      </c>
    </row>
    <row r="15192">
      <c r="A15192" s="2" t="s">
        <v>5020</v>
      </c>
      <c r="B15192" s="2" t="s">
        <v>4973</v>
      </c>
      <c r="C15192" s="2" t="s">
        <v>7505</v>
      </c>
      <c r="D15192" s="3" t="str">
        <f t="shared" ref="D15192:D15194" si="3809">HYPERLINK("https://12go.asia/en/travel/Tissamaharama/Ampitiya", "12Go Link")</f>
        <v>12Go Link</v>
      </c>
      <c r="E15192" s="2" t="s">
        <v>286</v>
      </c>
    </row>
    <row r="15193">
      <c r="A15193" s="2" t="s">
        <v>5020</v>
      </c>
      <c r="B15193" s="2" t="s">
        <v>4973</v>
      </c>
      <c r="C15193" s="2" t="s">
        <v>7505</v>
      </c>
      <c r="D15193" s="3" t="str">
        <f t="shared" si="3809"/>
        <v>12Go Link</v>
      </c>
      <c r="E15193" s="2" t="s">
        <v>4139</v>
      </c>
    </row>
    <row r="15194">
      <c r="A15194" s="2" t="s">
        <v>5020</v>
      </c>
      <c r="B15194" s="2" t="s">
        <v>4973</v>
      </c>
      <c r="C15194" s="2" t="s">
        <v>7505</v>
      </c>
      <c r="D15194" s="3" t="str">
        <f t="shared" si="3809"/>
        <v>12Go Link</v>
      </c>
      <c r="E15194" s="2" t="s">
        <v>3409</v>
      </c>
    </row>
    <row r="15195">
      <c r="A15195" s="2" t="s">
        <v>5020</v>
      </c>
      <c r="B15195" s="2" t="s">
        <v>4973</v>
      </c>
      <c r="C15195" s="2" t="s">
        <v>7506</v>
      </c>
      <c r="D15195" s="3" t="str">
        <f t="shared" ref="D15195:D15197" si="3810">HYPERLINK("https://12go.asia/en/travel/Tissamaharama/Digana", "12Go Link")</f>
        <v>12Go Link</v>
      </c>
      <c r="E15195" s="2" t="s">
        <v>286</v>
      </c>
    </row>
    <row r="15196">
      <c r="A15196" s="2" t="s">
        <v>5020</v>
      </c>
      <c r="B15196" s="2" t="s">
        <v>4973</v>
      </c>
      <c r="C15196" s="2" t="s">
        <v>7506</v>
      </c>
      <c r="D15196" s="3" t="str">
        <f t="shared" si="3810"/>
        <v>12Go Link</v>
      </c>
      <c r="E15196" s="2" t="s">
        <v>4139</v>
      </c>
    </row>
    <row r="15197">
      <c r="A15197" s="2" t="s">
        <v>5020</v>
      </c>
      <c r="B15197" s="2" t="s">
        <v>4973</v>
      </c>
      <c r="C15197" s="2" t="s">
        <v>7506</v>
      </c>
      <c r="D15197" s="3" t="str">
        <f t="shared" si="3810"/>
        <v>12Go Link</v>
      </c>
      <c r="E15197" s="2" t="s">
        <v>3409</v>
      </c>
    </row>
    <row r="15198">
      <c r="A15198" s="2" t="s">
        <v>5020</v>
      </c>
      <c r="B15198" s="2" t="s">
        <v>4973</v>
      </c>
      <c r="C15198" s="2" t="s">
        <v>7507</v>
      </c>
      <c r="D15198" s="3" t="str">
        <f t="shared" ref="D15198:D15200" si="3811">HYPERLINK("https://12go.asia/en/travel/Yala-Park/Ampitiya", "12Go Link")</f>
        <v>12Go Link</v>
      </c>
      <c r="E15198" s="2" t="s">
        <v>286</v>
      </c>
    </row>
    <row r="15199">
      <c r="A15199" s="2" t="s">
        <v>5020</v>
      </c>
      <c r="B15199" s="2" t="s">
        <v>4973</v>
      </c>
      <c r="C15199" s="2" t="s">
        <v>7507</v>
      </c>
      <c r="D15199" s="3" t="str">
        <f t="shared" si="3811"/>
        <v>12Go Link</v>
      </c>
      <c r="E15199" s="2" t="s">
        <v>4139</v>
      </c>
    </row>
    <row r="15200">
      <c r="A15200" s="2" t="s">
        <v>5020</v>
      </c>
      <c r="B15200" s="2" t="s">
        <v>4973</v>
      </c>
      <c r="C15200" s="2" t="s">
        <v>7507</v>
      </c>
      <c r="D15200" s="3" t="str">
        <f t="shared" si="3811"/>
        <v>12Go Link</v>
      </c>
      <c r="E15200" s="2" t="s">
        <v>3409</v>
      </c>
    </row>
    <row r="15201">
      <c r="A15201" s="2" t="s">
        <v>5020</v>
      </c>
      <c r="B15201" s="2" t="s">
        <v>4976</v>
      </c>
      <c r="C15201" s="2" t="s">
        <v>7508</v>
      </c>
      <c r="D15201" s="3" t="str">
        <f t="shared" ref="D15201:D15203" si="3812">HYPERLINK("https://12go.asia/en/travel/Tissamaharama/Kataragama", "12Go Link")</f>
        <v>12Go Link</v>
      </c>
      <c r="E15201" s="2" t="s">
        <v>286</v>
      </c>
    </row>
    <row r="15202">
      <c r="A15202" s="2" t="s">
        <v>5020</v>
      </c>
      <c r="B15202" s="2" t="s">
        <v>4976</v>
      </c>
      <c r="C15202" s="2" t="s">
        <v>7508</v>
      </c>
      <c r="D15202" s="3" t="str">
        <f t="shared" si="3812"/>
        <v>12Go Link</v>
      </c>
      <c r="E15202" s="2" t="s">
        <v>4139</v>
      </c>
    </row>
    <row r="15203">
      <c r="A15203" s="2" t="s">
        <v>5020</v>
      </c>
      <c r="B15203" s="2" t="s">
        <v>4976</v>
      </c>
      <c r="C15203" s="2" t="s">
        <v>7508</v>
      </c>
      <c r="D15203" s="3" t="str">
        <f t="shared" si="3812"/>
        <v>12Go Link</v>
      </c>
      <c r="E15203" s="2" t="s">
        <v>3409</v>
      </c>
    </row>
    <row r="15204">
      <c r="A15204" s="2" t="s">
        <v>5020</v>
      </c>
      <c r="B15204" s="2" t="s">
        <v>4976</v>
      </c>
      <c r="C15204" s="2" t="s">
        <v>7509</v>
      </c>
      <c r="D15204" s="3" t="str">
        <f t="shared" ref="D15204:D15206" si="3813">HYPERLINK("https://12go.asia/en/travel/Yala-Park/Kataragama", "12Go Link")</f>
        <v>12Go Link</v>
      </c>
      <c r="E15204" s="2" t="s">
        <v>286</v>
      </c>
    </row>
    <row r="15205">
      <c r="A15205" s="2" t="s">
        <v>5020</v>
      </c>
      <c r="B15205" s="2" t="s">
        <v>4976</v>
      </c>
      <c r="C15205" s="2" t="s">
        <v>7509</v>
      </c>
      <c r="D15205" s="3" t="str">
        <f t="shared" si="3813"/>
        <v>12Go Link</v>
      </c>
      <c r="E15205" s="2" t="s">
        <v>4139</v>
      </c>
    </row>
    <row r="15206">
      <c r="A15206" s="2" t="s">
        <v>5020</v>
      </c>
      <c r="B15206" s="2" t="s">
        <v>4976</v>
      </c>
      <c r="C15206" s="2" t="s">
        <v>7509</v>
      </c>
      <c r="D15206" s="3" t="str">
        <f t="shared" si="3813"/>
        <v>12Go Link</v>
      </c>
      <c r="E15206" s="2" t="s">
        <v>3409</v>
      </c>
    </row>
    <row r="15207">
      <c r="A15207" s="2" t="s">
        <v>5020</v>
      </c>
      <c r="B15207" s="2" t="s">
        <v>4978</v>
      </c>
      <c r="C15207" s="2" t="s">
        <v>7510</v>
      </c>
      <c r="D15207" s="3" t="str">
        <f t="shared" ref="D15207:D15209" si="3814">HYPERLINK("https://12go.asia/en/travel/Tissamaharama/Alawathupitiya", "12Go Link")</f>
        <v>12Go Link</v>
      </c>
      <c r="E15207" s="2" t="s">
        <v>286</v>
      </c>
    </row>
    <row r="15208">
      <c r="A15208" s="2" t="s">
        <v>5020</v>
      </c>
      <c r="B15208" s="2" t="s">
        <v>4978</v>
      </c>
      <c r="C15208" s="2" t="s">
        <v>7510</v>
      </c>
      <c r="D15208" s="3" t="str">
        <f t="shared" si="3814"/>
        <v>12Go Link</v>
      </c>
      <c r="E15208" s="2" t="s">
        <v>4139</v>
      </c>
    </row>
    <row r="15209">
      <c r="A15209" s="2" t="s">
        <v>5020</v>
      </c>
      <c r="B15209" s="2" t="s">
        <v>4978</v>
      </c>
      <c r="C15209" s="2" t="s">
        <v>7510</v>
      </c>
      <c r="D15209" s="3" t="str">
        <f t="shared" si="3814"/>
        <v>12Go Link</v>
      </c>
      <c r="E15209" s="2" t="s">
        <v>3409</v>
      </c>
    </row>
    <row r="15210">
      <c r="A15210" s="2" t="s">
        <v>5020</v>
      </c>
      <c r="B15210" s="2" t="s">
        <v>4978</v>
      </c>
      <c r="C15210" s="2" t="s">
        <v>7511</v>
      </c>
      <c r="D15210" s="3" t="str">
        <f t="shared" ref="D15210:D15212" si="3815">HYPERLINK("https://12go.asia/en/travel/Yala-Park/Alawathupitiya", "12Go Link")</f>
        <v>12Go Link</v>
      </c>
      <c r="E15210" s="2" t="s">
        <v>286</v>
      </c>
    </row>
    <row r="15211">
      <c r="A15211" s="2" t="s">
        <v>5020</v>
      </c>
      <c r="B15211" s="2" t="s">
        <v>4978</v>
      </c>
      <c r="C15211" s="2" t="s">
        <v>7511</v>
      </c>
      <c r="D15211" s="3" t="str">
        <f t="shared" si="3815"/>
        <v>12Go Link</v>
      </c>
      <c r="E15211" s="2" t="s">
        <v>4139</v>
      </c>
    </row>
    <row r="15212">
      <c r="A15212" s="2" t="s">
        <v>5020</v>
      </c>
      <c r="B15212" s="2" t="s">
        <v>4978</v>
      </c>
      <c r="C15212" s="2" t="s">
        <v>7511</v>
      </c>
      <c r="D15212" s="3" t="str">
        <f t="shared" si="3815"/>
        <v>12Go Link</v>
      </c>
      <c r="E15212" s="2" t="s">
        <v>3409</v>
      </c>
    </row>
    <row r="15213">
      <c r="A15213" s="2" t="s">
        <v>5020</v>
      </c>
      <c r="B15213" s="2" t="s">
        <v>4980</v>
      </c>
      <c r="C15213" s="2" t="s">
        <v>7512</v>
      </c>
      <c r="D15213" s="3" t="str">
        <f t="shared" ref="D15213:D15215" si="3816">HYPERLINK("https://12go.asia/en/travel/Tissamaharama/Pinnawala", "12Go Link")</f>
        <v>12Go Link</v>
      </c>
      <c r="E15213" s="2" t="s">
        <v>286</v>
      </c>
    </row>
    <row r="15214">
      <c r="A15214" s="2" t="s">
        <v>5020</v>
      </c>
      <c r="B15214" s="2" t="s">
        <v>4980</v>
      </c>
      <c r="C15214" s="2" t="s">
        <v>7512</v>
      </c>
      <c r="D15214" s="3" t="str">
        <f t="shared" si="3816"/>
        <v>12Go Link</v>
      </c>
      <c r="E15214" s="2" t="s">
        <v>4139</v>
      </c>
    </row>
    <row r="15215">
      <c r="A15215" s="2" t="s">
        <v>5020</v>
      </c>
      <c r="B15215" s="2" t="s">
        <v>4980</v>
      </c>
      <c r="C15215" s="2" t="s">
        <v>7512</v>
      </c>
      <c r="D15215" s="3" t="str">
        <f t="shared" si="3816"/>
        <v>12Go Link</v>
      </c>
      <c r="E15215" s="2" t="s">
        <v>3409</v>
      </c>
    </row>
    <row r="15216">
      <c r="A15216" s="2" t="s">
        <v>5020</v>
      </c>
      <c r="B15216" s="2" t="s">
        <v>4982</v>
      </c>
      <c r="C15216" s="2" t="s">
        <v>7513</v>
      </c>
      <c r="D15216" s="3" t="str">
        <f t="shared" ref="D15216:D15218" si="3817">HYPERLINK("https://12go.asia/en/travel/Tissamaharama/Kitulgala", "12Go Link")</f>
        <v>12Go Link</v>
      </c>
      <c r="E15216" s="2" t="s">
        <v>286</v>
      </c>
    </row>
    <row r="15217">
      <c r="A15217" s="2" t="s">
        <v>5020</v>
      </c>
      <c r="B15217" s="2" t="s">
        <v>4982</v>
      </c>
      <c r="C15217" s="2" t="s">
        <v>7513</v>
      </c>
      <c r="D15217" s="3" t="str">
        <f t="shared" si="3817"/>
        <v>12Go Link</v>
      </c>
      <c r="E15217" s="2" t="s">
        <v>4139</v>
      </c>
    </row>
    <row r="15218">
      <c r="A15218" s="2" t="s">
        <v>5020</v>
      </c>
      <c r="B15218" s="2" t="s">
        <v>4982</v>
      </c>
      <c r="C15218" s="2" t="s">
        <v>7513</v>
      </c>
      <c r="D15218" s="3" t="str">
        <f t="shared" si="3817"/>
        <v>12Go Link</v>
      </c>
      <c r="E15218" s="2" t="s">
        <v>3409</v>
      </c>
    </row>
    <row r="15219">
      <c r="A15219" s="2" t="s">
        <v>5020</v>
      </c>
      <c r="B15219" s="2" t="s">
        <v>4984</v>
      </c>
      <c r="C15219" s="2" t="s">
        <v>7514</v>
      </c>
      <c r="D15219" s="3" t="str">
        <f t="shared" ref="D15219:D15221" si="3818">HYPERLINK("https://12go.asia/en/travel/Tissamaharama/Habaraduwa", "12Go Link")</f>
        <v>12Go Link</v>
      </c>
      <c r="E15219" s="2" t="s">
        <v>286</v>
      </c>
    </row>
    <row r="15220">
      <c r="A15220" s="2" t="s">
        <v>5020</v>
      </c>
      <c r="B15220" s="2" t="s">
        <v>4984</v>
      </c>
      <c r="C15220" s="2" t="s">
        <v>7514</v>
      </c>
      <c r="D15220" s="3" t="str">
        <f t="shared" si="3818"/>
        <v>12Go Link</v>
      </c>
      <c r="E15220" s="2" t="s">
        <v>4139</v>
      </c>
    </row>
    <row r="15221">
      <c r="A15221" s="2" t="s">
        <v>5020</v>
      </c>
      <c r="B15221" s="2" t="s">
        <v>4984</v>
      </c>
      <c r="C15221" s="2" t="s">
        <v>7514</v>
      </c>
      <c r="D15221" s="3" t="str">
        <f t="shared" si="3818"/>
        <v>12Go Link</v>
      </c>
      <c r="E15221" s="2" t="s">
        <v>3409</v>
      </c>
    </row>
    <row r="15222">
      <c r="A15222" s="2" t="s">
        <v>5020</v>
      </c>
      <c r="B15222" s="2" t="s">
        <v>4986</v>
      </c>
      <c r="C15222" s="2" t="s">
        <v>7515</v>
      </c>
      <c r="D15222" s="3" t="str">
        <f t="shared" ref="D15222:D15224" si="3819">HYPERLINK("https://12go.asia/en/travel/Tissamaharama/Kosgoda", "12Go Link")</f>
        <v>12Go Link</v>
      </c>
      <c r="E15222" s="2" t="s">
        <v>286</v>
      </c>
    </row>
    <row r="15223">
      <c r="A15223" s="2" t="s">
        <v>5020</v>
      </c>
      <c r="B15223" s="2" t="s">
        <v>4986</v>
      </c>
      <c r="C15223" s="2" t="s">
        <v>7515</v>
      </c>
      <c r="D15223" s="3" t="str">
        <f t="shared" si="3819"/>
        <v>12Go Link</v>
      </c>
      <c r="E15223" s="2" t="s">
        <v>4139</v>
      </c>
    </row>
    <row r="15224">
      <c r="A15224" s="2" t="s">
        <v>5020</v>
      </c>
      <c r="B15224" s="2" t="s">
        <v>4986</v>
      </c>
      <c r="C15224" s="2" t="s">
        <v>7515</v>
      </c>
      <c r="D15224" s="3" t="str">
        <f t="shared" si="3819"/>
        <v>12Go Link</v>
      </c>
      <c r="E15224" s="2" t="s">
        <v>3409</v>
      </c>
    </row>
    <row r="15225">
      <c r="A15225" s="2" t="s">
        <v>5020</v>
      </c>
      <c r="B15225" s="2" t="s">
        <v>4988</v>
      </c>
      <c r="C15225" s="2" t="s">
        <v>7516</v>
      </c>
      <c r="D15225" s="3" t="str">
        <f t="shared" ref="D15225:D15227" si="3820">HYPERLINK("https://12go.asia/en/travel/Tissamaharama/Kuchchaveli", "12Go Link")</f>
        <v>12Go Link</v>
      </c>
      <c r="E15225" s="2" t="s">
        <v>286</v>
      </c>
    </row>
    <row r="15226">
      <c r="A15226" s="2" t="s">
        <v>5020</v>
      </c>
      <c r="B15226" s="2" t="s">
        <v>4988</v>
      </c>
      <c r="C15226" s="2" t="s">
        <v>7516</v>
      </c>
      <c r="D15226" s="3" t="str">
        <f t="shared" si="3820"/>
        <v>12Go Link</v>
      </c>
      <c r="E15226" s="2" t="s">
        <v>4139</v>
      </c>
    </row>
    <row r="15227">
      <c r="A15227" s="2" t="s">
        <v>5020</v>
      </c>
      <c r="B15227" s="2" t="s">
        <v>4988</v>
      </c>
      <c r="C15227" s="2" t="s">
        <v>7516</v>
      </c>
      <c r="D15227" s="3" t="str">
        <f t="shared" si="3820"/>
        <v>12Go Link</v>
      </c>
      <c r="E15227" s="2" t="s">
        <v>3409</v>
      </c>
    </row>
    <row r="15228">
      <c r="A15228" s="2" t="s">
        <v>5020</v>
      </c>
      <c r="B15228" s="2" t="s">
        <v>4990</v>
      </c>
      <c r="C15228" s="2" t="s">
        <v>7517</v>
      </c>
      <c r="D15228" s="3" t="str">
        <f t="shared" ref="D15228:D15230" si="3821">HYPERLINK("https://12go.asia/en/travel/Tissamaharama/Mannar", "12Go Link")</f>
        <v>12Go Link</v>
      </c>
      <c r="E15228" s="2" t="s">
        <v>286</v>
      </c>
    </row>
    <row r="15229">
      <c r="A15229" s="2" t="s">
        <v>5020</v>
      </c>
      <c r="B15229" s="2" t="s">
        <v>4990</v>
      </c>
      <c r="C15229" s="2" t="s">
        <v>7517</v>
      </c>
      <c r="D15229" s="3" t="str">
        <f t="shared" si="3821"/>
        <v>12Go Link</v>
      </c>
      <c r="E15229" s="2" t="s">
        <v>4139</v>
      </c>
    </row>
    <row r="15230">
      <c r="A15230" s="2" t="s">
        <v>5020</v>
      </c>
      <c r="B15230" s="2" t="s">
        <v>4990</v>
      </c>
      <c r="C15230" s="2" t="s">
        <v>7517</v>
      </c>
      <c r="D15230" s="3" t="str">
        <f t="shared" si="3821"/>
        <v>12Go Link</v>
      </c>
      <c r="E15230" s="2" t="s">
        <v>3409</v>
      </c>
    </row>
    <row r="15231">
      <c r="A15231" s="2" t="s">
        <v>5020</v>
      </c>
      <c r="B15231" s="2" t="s">
        <v>4992</v>
      </c>
      <c r="C15231" s="2" t="s">
        <v>7518</v>
      </c>
      <c r="D15231" s="3" t="str">
        <f t="shared" ref="D15231:D15233" si="3822">HYPERLINK("https://12go.asia/en/travel/Tissamaharama/Kinigama", "12Go Link")</f>
        <v>12Go Link</v>
      </c>
      <c r="E15231" s="2" t="s">
        <v>286</v>
      </c>
    </row>
    <row r="15232">
      <c r="A15232" s="2" t="s">
        <v>5020</v>
      </c>
      <c r="B15232" s="2" t="s">
        <v>4992</v>
      </c>
      <c r="C15232" s="2" t="s">
        <v>7518</v>
      </c>
      <c r="D15232" s="3" t="str">
        <f t="shared" si="3822"/>
        <v>12Go Link</v>
      </c>
      <c r="E15232" s="2" t="s">
        <v>4139</v>
      </c>
    </row>
    <row r="15233">
      <c r="A15233" s="2" t="s">
        <v>5020</v>
      </c>
      <c r="B15233" s="2" t="s">
        <v>4992</v>
      </c>
      <c r="C15233" s="2" t="s">
        <v>7518</v>
      </c>
      <c r="D15233" s="3" t="str">
        <f t="shared" si="3822"/>
        <v>12Go Link</v>
      </c>
      <c r="E15233" s="2" t="s">
        <v>3409</v>
      </c>
    </row>
    <row r="15234">
      <c r="A15234" s="2" t="s">
        <v>5020</v>
      </c>
      <c r="B15234" s="2" t="s">
        <v>4994</v>
      </c>
      <c r="C15234" s="2" t="s">
        <v>7519</v>
      </c>
      <c r="D15234" s="3" t="str">
        <f t="shared" ref="D15234:D15236" si="3823">HYPERLINK("https://12go.asia/en/travel/Tissamaharama/Kalamatiya", "12Go Link")</f>
        <v>12Go Link</v>
      </c>
      <c r="E15234" s="2" t="s">
        <v>286</v>
      </c>
    </row>
    <row r="15235">
      <c r="A15235" s="2" t="s">
        <v>5020</v>
      </c>
      <c r="B15235" s="2" t="s">
        <v>4994</v>
      </c>
      <c r="C15235" s="2" t="s">
        <v>7519</v>
      </c>
      <c r="D15235" s="3" t="str">
        <f t="shared" si="3823"/>
        <v>12Go Link</v>
      </c>
      <c r="E15235" s="2" t="s">
        <v>4139</v>
      </c>
    </row>
    <row r="15236">
      <c r="A15236" s="2" t="s">
        <v>5020</v>
      </c>
      <c r="B15236" s="2" t="s">
        <v>4994</v>
      </c>
      <c r="C15236" s="2" t="s">
        <v>7519</v>
      </c>
      <c r="D15236" s="3" t="str">
        <f t="shared" si="3823"/>
        <v>12Go Link</v>
      </c>
      <c r="E15236" s="2" t="s">
        <v>3409</v>
      </c>
    </row>
    <row r="15237">
      <c r="A15237" s="2" t="s">
        <v>5020</v>
      </c>
      <c r="B15237" s="2" t="s">
        <v>4996</v>
      </c>
      <c r="C15237" s="2" t="s">
        <v>7520</v>
      </c>
      <c r="D15237" s="3" t="str">
        <f t="shared" ref="D15237:D15239" si="3824">HYPERLINK("https://12go.asia/en/travel/Tissamaharama/mirissa", "12Go Link")</f>
        <v>12Go Link</v>
      </c>
      <c r="E15237" s="2" t="s">
        <v>286</v>
      </c>
    </row>
    <row r="15238">
      <c r="A15238" s="2" t="s">
        <v>5020</v>
      </c>
      <c r="B15238" s="2" t="s">
        <v>4996</v>
      </c>
      <c r="C15238" s="2" t="s">
        <v>7520</v>
      </c>
      <c r="D15238" s="3" t="str">
        <f t="shared" si="3824"/>
        <v>12Go Link</v>
      </c>
      <c r="E15238" s="2" t="s">
        <v>4139</v>
      </c>
    </row>
    <row r="15239">
      <c r="A15239" s="2" t="s">
        <v>5020</v>
      </c>
      <c r="B15239" s="2" t="s">
        <v>4996</v>
      </c>
      <c r="C15239" s="2" t="s">
        <v>7520</v>
      </c>
      <c r="D15239" s="3" t="str">
        <f t="shared" si="3824"/>
        <v>12Go Link</v>
      </c>
      <c r="E15239" s="2" t="s">
        <v>3409</v>
      </c>
    </row>
    <row r="15240">
      <c r="A15240" s="2" t="s">
        <v>5020</v>
      </c>
      <c r="B15240" s="2" t="s">
        <v>4998</v>
      </c>
      <c r="C15240" s="2" t="s">
        <v>7521</v>
      </c>
      <c r="D15240" s="3" t="str">
        <f t="shared" ref="D15240:D15242" si="3825">HYPERLINK("https://12go.asia/en/travel/Tissamaharama/Nanu-Oya", "12Go Link")</f>
        <v>12Go Link</v>
      </c>
      <c r="E15240" s="2" t="s">
        <v>286</v>
      </c>
    </row>
    <row r="15241">
      <c r="A15241" s="2" t="s">
        <v>5020</v>
      </c>
      <c r="B15241" s="2" t="s">
        <v>4998</v>
      </c>
      <c r="C15241" s="2" t="s">
        <v>7521</v>
      </c>
      <c r="D15241" s="3" t="str">
        <f t="shared" si="3825"/>
        <v>12Go Link</v>
      </c>
      <c r="E15241" s="2" t="s">
        <v>4139</v>
      </c>
    </row>
    <row r="15242">
      <c r="A15242" s="2" t="s">
        <v>5020</v>
      </c>
      <c r="B15242" s="2" t="s">
        <v>4998</v>
      </c>
      <c r="C15242" s="2" t="s">
        <v>7521</v>
      </c>
      <c r="D15242" s="3" t="str">
        <f t="shared" si="3825"/>
        <v>12Go Link</v>
      </c>
      <c r="E15242" s="2" t="s">
        <v>3409</v>
      </c>
    </row>
    <row r="15243">
      <c r="A15243" s="2" t="s">
        <v>5020</v>
      </c>
      <c r="B15243" s="2" t="s">
        <v>5000</v>
      </c>
      <c r="C15243" s="2" t="s">
        <v>7522</v>
      </c>
      <c r="D15243" s="3" t="str">
        <f t="shared" ref="D15243:D15245" si="3826">HYPERLINK("https://12go.asia/en/travel/Tissamaharama/Dalupotha", "12Go Link")</f>
        <v>12Go Link</v>
      </c>
      <c r="E15243" s="2" t="s">
        <v>286</v>
      </c>
    </row>
    <row r="15244">
      <c r="A15244" s="2" t="s">
        <v>5020</v>
      </c>
      <c r="B15244" s="2" t="s">
        <v>5000</v>
      </c>
      <c r="C15244" s="2" t="s">
        <v>7522</v>
      </c>
      <c r="D15244" s="3" t="str">
        <f t="shared" si="3826"/>
        <v>12Go Link</v>
      </c>
      <c r="E15244" s="2" t="s">
        <v>4139</v>
      </c>
    </row>
    <row r="15245">
      <c r="A15245" s="2" t="s">
        <v>5020</v>
      </c>
      <c r="B15245" s="2" t="s">
        <v>5000</v>
      </c>
      <c r="C15245" s="2" t="s">
        <v>7522</v>
      </c>
      <c r="D15245" s="3" t="str">
        <f t="shared" si="3826"/>
        <v>12Go Link</v>
      </c>
      <c r="E15245" s="2" t="s">
        <v>3409</v>
      </c>
    </row>
    <row r="15246">
      <c r="A15246" s="2" t="s">
        <v>5020</v>
      </c>
      <c r="B15246" s="2" t="s">
        <v>5000</v>
      </c>
      <c r="C15246" s="2" t="s">
        <v>7523</v>
      </c>
      <c r="D15246" s="3" t="str">
        <f t="shared" ref="D15246:D15248" si="3827">HYPERLINK("https://12go.asia/en/travel/Tissamaharama/Waikkal", "12Go Link")</f>
        <v>12Go Link</v>
      </c>
      <c r="E15246" s="2" t="s">
        <v>286</v>
      </c>
    </row>
    <row r="15247">
      <c r="A15247" s="2" t="s">
        <v>5020</v>
      </c>
      <c r="B15247" s="2" t="s">
        <v>5000</v>
      </c>
      <c r="C15247" s="2" t="s">
        <v>7523</v>
      </c>
      <c r="D15247" s="3" t="str">
        <f t="shared" si="3827"/>
        <v>12Go Link</v>
      </c>
      <c r="E15247" s="2" t="s">
        <v>4139</v>
      </c>
    </row>
    <row r="15248">
      <c r="A15248" s="2" t="s">
        <v>5020</v>
      </c>
      <c r="B15248" s="2" t="s">
        <v>5000</v>
      </c>
      <c r="C15248" s="2" t="s">
        <v>7523</v>
      </c>
      <c r="D15248" s="3" t="str">
        <f t="shared" si="3827"/>
        <v>12Go Link</v>
      </c>
      <c r="E15248" s="2" t="s">
        <v>3409</v>
      </c>
    </row>
    <row r="15249">
      <c r="A15249" s="2" t="s">
        <v>5020</v>
      </c>
      <c r="B15249" s="2" t="s">
        <v>5000</v>
      </c>
      <c r="C15249" s="2" t="s">
        <v>7524</v>
      </c>
      <c r="D15249" s="3" t="str">
        <f t="shared" ref="D15249:D15251" si="3828">HYPERLINK("https://12go.asia/en/travel/Yala-Park/Dalupotha", "12Go Link")</f>
        <v>12Go Link</v>
      </c>
      <c r="E15249" s="2" t="s">
        <v>286</v>
      </c>
    </row>
    <row r="15250">
      <c r="A15250" s="2" t="s">
        <v>5020</v>
      </c>
      <c r="B15250" s="2" t="s">
        <v>5000</v>
      </c>
      <c r="C15250" s="2" t="s">
        <v>7524</v>
      </c>
      <c r="D15250" s="3" t="str">
        <f t="shared" si="3828"/>
        <v>12Go Link</v>
      </c>
      <c r="E15250" s="2" t="s">
        <v>4139</v>
      </c>
    </row>
    <row r="15251">
      <c r="A15251" s="2" t="s">
        <v>5020</v>
      </c>
      <c r="B15251" s="2" t="s">
        <v>5000</v>
      </c>
      <c r="C15251" s="2" t="s">
        <v>7524</v>
      </c>
      <c r="D15251" s="3" t="str">
        <f t="shared" si="3828"/>
        <v>12Go Link</v>
      </c>
      <c r="E15251" s="2" t="s">
        <v>3409</v>
      </c>
    </row>
    <row r="15252">
      <c r="A15252" s="2" t="s">
        <v>5020</v>
      </c>
      <c r="B15252" s="2" t="s">
        <v>5003</v>
      </c>
      <c r="C15252" s="2" t="s">
        <v>7525</v>
      </c>
      <c r="D15252" s="3" t="str">
        <f t="shared" ref="D15252:D15254" si="3829">HYPERLINK("https://12go.asia/en/travel/Tissamaharama/Nilaveli", "12Go Link")</f>
        <v>12Go Link</v>
      </c>
      <c r="E15252" s="2" t="s">
        <v>286</v>
      </c>
    </row>
    <row r="15253">
      <c r="A15253" s="2" t="s">
        <v>5020</v>
      </c>
      <c r="B15253" s="2" t="s">
        <v>5003</v>
      </c>
      <c r="C15253" s="2" t="s">
        <v>7525</v>
      </c>
      <c r="D15253" s="3" t="str">
        <f t="shared" si="3829"/>
        <v>12Go Link</v>
      </c>
      <c r="E15253" s="2" t="s">
        <v>4139</v>
      </c>
    </row>
    <row r="15254">
      <c r="A15254" s="2" t="s">
        <v>5020</v>
      </c>
      <c r="B15254" s="2" t="s">
        <v>5003</v>
      </c>
      <c r="C15254" s="2" t="s">
        <v>7525</v>
      </c>
      <c r="D15254" s="3" t="str">
        <f t="shared" si="3829"/>
        <v>12Go Link</v>
      </c>
      <c r="E15254" s="2" t="s">
        <v>3409</v>
      </c>
    </row>
    <row r="15255">
      <c r="A15255" s="2" t="s">
        <v>5020</v>
      </c>
      <c r="B15255" s="2" t="s">
        <v>5005</v>
      </c>
      <c r="C15255" s="2" t="s">
        <v>7526</v>
      </c>
      <c r="D15255" s="3" t="str">
        <f t="shared" ref="D15255:D15257" si="3830">HYPERLINK("https://12go.asia/en/travel/Tissamaharama/Kotmale", "12Go Link")</f>
        <v>12Go Link</v>
      </c>
      <c r="E15255" s="2" t="s">
        <v>286</v>
      </c>
    </row>
    <row r="15256">
      <c r="A15256" s="2" t="s">
        <v>5020</v>
      </c>
      <c r="B15256" s="2" t="s">
        <v>5005</v>
      </c>
      <c r="C15256" s="2" t="s">
        <v>7526</v>
      </c>
      <c r="D15256" s="3" t="str">
        <f t="shared" si="3830"/>
        <v>12Go Link</v>
      </c>
      <c r="E15256" s="2" t="s">
        <v>4139</v>
      </c>
    </row>
    <row r="15257">
      <c r="A15257" s="2" t="s">
        <v>5020</v>
      </c>
      <c r="B15257" s="2" t="s">
        <v>5005</v>
      </c>
      <c r="C15257" s="2" t="s">
        <v>7526</v>
      </c>
      <c r="D15257" s="3" t="str">
        <f t="shared" si="3830"/>
        <v>12Go Link</v>
      </c>
      <c r="E15257" s="2" t="s">
        <v>3409</v>
      </c>
    </row>
    <row r="15258">
      <c r="A15258" s="2" t="s">
        <v>5020</v>
      </c>
      <c r="B15258" s="2" t="s">
        <v>5005</v>
      </c>
      <c r="C15258" s="2" t="s">
        <v>7527</v>
      </c>
      <c r="D15258" s="3" t="str">
        <f t="shared" ref="D15258:D15260" si="3831">HYPERLINK("https://12go.asia/en/travel/Yala-Park/Kotmale", "12Go Link")</f>
        <v>12Go Link</v>
      </c>
      <c r="E15258" s="2" t="s">
        <v>286</v>
      </c>
    </row>
    <row r="15259">
      <c r="A15259" s="2" t="s">
        <v>5020</v>
      </c>
      <c r="B15259" s="2" t="s">
        <v>5005</v>
      </c>
      <c r="C15259" s="2" t="s">
        <v>7527</v>
      </c>
      <c r="D15259" s="3" t="str">
        <f t="shared" si="3831"/>
        <v>12Go Link</v>
      </c>
      <c r="E15259" s="2" t="s">
        <v>4139</v>
      </c>
    </row>
    <row r="15260">
      <c r="A15260" s="2" t="s">
        <v>5020</v>
      </c>
      <c r="B15260" s="2" t="s">
        <v>5005</v>
      </c>
      <c r="C15260" s="2" t="s">
        <v>7527</v>
      </c>
      <c r="D15260" s="3" t="str">
        <f t="shared" si="3831"/>
        <v>12Go Link</v>
      </c>
      <c r="E15260" s="2" t="s">
        <v>3409</v>
      </c>
    </row>
    <row r="15261">
      <c r="A15261" s="2" t="s">
        <v>5020</v>
      </c>
      <c r="B15261" s="2" t="s">
        <v>5007</v>
      </c>
      <c r="C15261" s="2" t="s">
        <v>7528</v>
      </c>
      <c r="D15261" s="3" t="str">
        <f t="shared" ref="D15261:D15263" si="3832">HYPERLINK("https://12go.asia/en/travel/Tissamaharama/Pasikuda", "12Go Link")</f>
        <v>12Go Link</v>
      </c>
      <c r="E15261" s="2" t="s">
        <v>286</v>
      </c>
    </row>
    <row r="15262">
      <c r="A15262" s="2" t="s">
        <v>5020</v>
      </c>
      <c r="B15262" s="2" t="s">
        <v>5007</v>
      </c>
      <c r="C15262" s="2" t="s">
        <v>7528</v>
      </c>
      <c r="D15262" s="3" t="str">
        <f t="shared" si="3832"/>
        <v>12Go Link</v>
      </c>
      <c r="E15262" s="2" t="s">
        <v>4139</v>
      </c>
    </row>
    <row r="15263">
      <c r="A15263" s="2" t="s">
        <v>5020</v>
      </c>
      <c r="B15263" s="2" t="s">
        <v>5007</v>
      </c>
      <c r="C15263" s="2" t="s">
        <v>7528</v>
      </c>
      <c r="D15263" s="3" t="str">
        <f t="shared" si="3832"/>
        <v>12Go Link</v>
      </c>
      <c r="E15263" s="2" t="s">
        <v>3409</v>
      </c>
    </row>
    <row r="15264">
      <c r="A15264" s="2" t="s">
        <v>5020</v>
      </c>
      <c r="B15264" s="2" t="s">
        <v>5009</v>
      </c>
      <c r="C15264" s="2" t="s">
        <v>7529</v>
      </c>
      <c r="D15264" s="3" t="str">
        <f t="shared" ref="D15264:D15266" si="3833">HYPERLINK("https://12go.asia/en/travel/Tissamaharama/Galoya", "12Go Link")</f>
        <v>12Go Link</v>
      </c>
      <c r="E15264" s="2" t="s">
        <v>286</v>
      </c>
    </row>
    <row r="15265">
      <c r="A15265" s="2" t="s">
        <v>5020</v>
      </c>
      <c r="B15265" s="2" t="s">
        <v>5009</v>
      </c>
      <c r="C15265" s="2" t="s">
        <v>7529</v>
      </c>
      <c r="D15265" s="3" t="str">
        <f t="shared" si="3833"/>
        <v>12Go Link</v>
      </c>
      <c r="E15265" s="2" t="s">
        <v>4139</v>
      </c>
    </row>
    <row r="15266">
      <c r="A15266" s="2" t="s">
        <v>5020</v>
      </c>
      <c r="B15266" s="2" t="s">
        <v>5009</v>
      </c>
      <c r="C15266" s="2" t="s">
        <v>7529</v>
      </c>
      <c r="D15266" s="3" t="str">
        <f t="shared" si="3833"/>
        <v>12Go Link</v>
      </c>
      <c r="E15266" s="2" t="s">
        <v>3409</v>
      </c>
    </row>
    <row r="15267">
      <c r="A15267" s="2" t="s">
        <v>5020</v>
      </c>
      <c r="B15267" s="2" t="s">
        <v>5011</v>
      </c>
      <c r="C15267" s="2" t="s">
        <v>7530</v>
      </c>
      <c r="D15267" s="3" t="str">
        <f t="shared" ref="D15267:D15269" si="3834">HYPERLINK("https://12go.asia/en/travel/Tissamaharama/Kalpitiya", "12Go Link")</f>
        <v>12Go Link</v>
      </c>
      <c r="E15267" s="2" t="s">
        <v>286</v>
      </c>
    </row>
    <row r="15268">
      <c r="A15268" s="2" t="s">
        <v>5020</v>
      </c>
      <c r="B15268" s="2" t="s">
        <v>5011</v>
      </c>
      <c r="C15268" s="2" t="s">
        <v>7530</v>
      </c>
      <c r="D15268" s="3" t="str">
        <f t="shared" si="3834"/>
        <v>12Go Link</v>
      </c>
      <c r="E15268" s="2" t="s">
        <v>4139</v>
      </c>
    </row>
    <row r="15269">
      <c r="A15269" s="2" t="s">
        <v>5020</v>
      </c>
      <c r="B15269" s="2" t="s">
        <v>5011</v>
      </c>
      <c r="C15269" s="2" t="s">
        <v>7530</v>
      </c>
      <c r="D15269" s="3" t="str">
        <f t="shared" si="3834"/>
        <v>12Go Link</v>
      </c>
      <c r="E15269" s="2" t="s">
        <v>3409</v>
      </c>
    </row>
    <row r="15270">
      <c r="A15270" s="2" t="s">
        <v>5020</v>
      </c>
      <c r="B15270" s="2" t="s">
        <v>5011</v>
      </c>
      <c r="C15270" s="2" t="s">
        <v>7531</v>
      </c>
      <c r="D15270" s="3" t="str">
        <f t="shared" ref="D15270:D15272" si="3835">HYPERLINK("https://12go.asia/en/travel/Tissamaharama/Marawila", "12Go Link")</f>
        <v>12Go Link</v>
      </c>
      <c r="E15270" s="2" t="s">
        <v>286</v>
      </c>
    </row>
    <row r="15271">
      <c r="A15271" s="2" t="s">
        <v>5020</v>
      </c>
      <c r="B15271" s="2" t="s">
        <v>5011</v>
      </c>
      <c r="C15271" s="2" t="s">
        <v>7531</v>
      </c>
      <c r="D15271" s="3" t="str">
        <f t="shared" si="3835"/>
        <v>12Go Link</v>
      </c>
      <c r="E15271" s="2" t="s">
        <v>4139</v>
      </c>
    </row>
    <row r="15272">
      <c r="A15272" s="2" t="s">
        <v>5020</v>
      </c>
      <c r="B15272" s="2" t="s">
        <v>5011</v>
      </c>
      <c r="C15272" s="2" t="s">
        <v>7531</v>
      </c>
      <c r="D15272" s="3" t="str">
        <f t="shared" si="3835"/>
        <v>12Go Link</v>
      </c>
      <c r="E15272" s="2" t="s">
        <v>3409</v>
      </c>
    </row>
    <row r="15273">
      <c r="A15273" s="2" t="s">
        <v>5020</v>
      </c>
      <c r="B15273" s="2" t="s">
        <v>5011</v>
      </c>
      <c r="C15273" s="2" t="s">
        <v>7532</v>
      </c>
      <c r="D15273" s="3" t="str">
        <f t="shared" ref="D15273:D15275" si="3836">HYPERLINK("https://12go.asia/en/travel/Yala-Park/Marawila", "12Go Link")</f>
        <v>12Go Link</v>
      </c>
      <c r="E15273" s="2" t="s">
        <v>286</v>
      </c>
    </row>
    <row r="15274">
      <c r="A15274" s="2" t="s">
        <v>5020</v>
      </c>
      <c r="B15274" s="2" t="s">
        <v>5011</v>
      </c>
      <c r="C15274" s="2" t="s">
        <v>7532</v>
      </c>
      <c r="D15274" s="3" t="str">
        <f t="shared" si="3836"/>
        <v>12Go Link</v>
      </c>
      <c r="E15274" s="2" t="s">
        <v>4139</v>
      </c>
    </row>
    <row r="15275">
      <c r="A15275" s="2" t="s">
        <v>5020</v>
      </c>
      <c r="B15275" s="2" t="s">
        <v>5011</v>
      </c>
      <c r="C15275" s="2" t="s">
        <v>7532</v>
      </c>
      <c r="D15275" s="3" t="str">
        <f t="shared" si="3836"/>
        <v>12Go Link</v>
      </c>
      <c r="E15275" s="2" t="s">
        <v>3409</v>
      </c>
    </row>
    <row r="15276">
      <c r="A15276" s="2" t="s">
        <v>5020</v>
      </c>
      <c r="B15276" s="2" t="s">
        <v>5014</v>
      </c>
      <c r="C15276" s="2" t="s">
        <v>7533</v>
      </c>
      <c r="D15276" s="3" t="str">
        <f t="shared" ref="D15276:D15278" si="3837">HYPERLINK("https://12go.asia/en/travel/Tissamaharama/Kiriella", "12Go Link")</f>
        <v>12Go Link</v>
      </c>
      <c r="E15276" s="2" t="s">
        <v>286</v>
      </c>
    </row>
    <row r="15277">
      <c r="A15277" s="2" t="s">
        <v>5020</v>
      </c>
      <c r="B15277" s="2" t="s">
        <v>5014</v>
      </c>
      <c r="C15277" s="2" t="s">
        <v>7533</v>
      </c>
      <c r="D15277" s="3" t="str">
        <f t="shared" si="3837"/>
        <v>12Go Link</v>
      </c>
      <c r="E15277" s="2" t="s">
        <v>4139</v>
      </c>
    </row>
    <row r="15278">
      <c r="A15278" s="2" t="s">
        <v>5020</v>
      </c>
      <c r="B15278" s="2" t="s">
        <v>5014</v>
      </c>
      <c r="C15278" s="2" t="s">
        <v>7533</v>
      </c>
      <c r="D15278" s="3" t="str">
        <f t="shared" si="3837"/>
        <v>12Go Link</v>
      </c>
      <c r="E15278" s="2" t="s">
        <v>3409</v>
      </c>
    </row>
    <row r="15279">
      <c r="A15279" s="2" t="s">
        <v>5020</v>
      </c>
      <c r="B15279" s="2" t="s">
        <v>5016</v>
      </c>
      <c r="C15279" s="2" t="s">
        <v>7534</v>
      </c>
      <c r="D15279" s="3" t="str">
        <f t="shared" ref="D15279:D15281" si="3838">HYPERLINK("https://12go.asia/en/travel/Tissamaharama/Pidurangala", "12Go Link")</f>
        <v>12Go Link</v>
      </c>
      <c r="E15279" s="2" t="s">
        <v>286</v>
      </c>
    </row>
    <row r="15280">
      <c r="A15280" s="2" t="s">
        <v>5020</v>
      </c>
      <c r="B15280" s="2" t="s">
        <v>5016</v>
      </c>
      <c r="C15280" s="2" t="s">
        <v>7534</v>
      </c>
      <c r="D15280" s="3" t="str">
        <f t="shared" si="3838"/>
        <v>12Go Link</v>
      </c>
      <c r="E15280" s="2" t="s">
        <v>4139</v>
      </c>
    </row>
    <row r="15281">
      <c r="A15281" s="2" t="s">
        <v>5020</v>
      </c>
      <c r="B15281" s="2" t="s">
        <v>5016</v>
      </c>
      <c r="C15281" s="2" t="s">
        <v>7534</v>
      </c>
      <c r="D15281" s="3" t="str">
        <f t="shared" si="3838"/>
        <v>12Go Link</v>
      </c>
      <c r="E15281" s="2" t="s">
        <v>3409</v>
      </c>
    </row>
    <row r="15282">
      <c r="A15282" s="2" t="s">
        <v>5020</v>
      </c>
      <c r="B15282" s="2" t="s">
        <v>5016</v>
      </c>
      <c r="C15282" s="2" t="s">
        <v>7535</v>
      </c>
      <c r="D15282" s="3" t="str">
        <f t="shared" ref="D15282:D15284" si="3839">HYPERLINK("https://12go.asia/en/travel/Yala-Park/Pidurangala", "12Go Link")</f>
        <v>12Go Link</v>
      </c>
      <c r="E15282" s="2" t="s">
        <v>286</v>
      </c>
    </row>
    <row r="15283">
      <c r="A15283" s="2" t="s">
        <v>5020</v>
      </c>
      <c r="B15283" s="2" t="s">
        <v>5016</v>
      </c>
      <c r="C15283" s="2" t="s">
        <v>7535</v>
      </c>
      <c r="D15283" s="3" t="str">
        <f t="shared" si="3839"/>
        <v>12Go Link</v>
      </c>
      <c r="E15283" s="2" t="s">
        <v>4139</v>
      </c>
    </row>
    <row r="15284">
      <c r="A15284" s="2" t="s">
        <v>5020</v>
      </c>
      <c r="B15284" s="2" t="s">
        <v>5016</v>
      </c>
      <c r="C15284" s="2" t="s">
        <v>7535</v>
      </c>
      <c r="D15284" s="3" t="str">
        <f t="shared" si="3839"/>
        <v>12Go Link</v>
      </c>
      <c r="E15284" s="2" t="s">
        <v>3409</v>
      </c>
    </row>
    <row r="15285">
      <c r="A15285" s="2" t="s">
        <v>5020</v>
      </c>
      <c r="B15285" s="2" t="s">
        <v>5018</v>
      </c>
      <c r="C15285" s="2" t="s">
        <v>7536</v>
      </c>
      <c r="D15285" s="3" t="str">
        <f t="shared" ref="D15285:D15287" si="3840">HYPERLINK("https://12go.asia/en/travel/Tissamaharama/Rekawa", "12Go Link")</f>
        <v>12Go Link</v>
      </c>
      <c r="E15285" s="2" t="s">
        <v>286</v>
      </c>
    </row>
    <row r="15286">
      <c r="A15286" s="2" t="s">
        <v>5020</v>
      </c>
      <c r="B15286" s="2" t="s">
        <v>5018</v>
      </c>
      <c r="C15286" s="2" t="s">
        <v>7536</v>
      </c>
      <c r="D15286" s="3" t="str">
        <f t="shared" si="3840"/>
        <v>12Go Link</v>
      </c>
      <c r="E15286" s="2" t="s">
        <v>4139</v>
      </c>
    </row>
    <row r="15287">
      <c r="A15287" s="2" t="s">
        <v>5020</v>
      </c>
      <c r="B15287" s="2" t="s">
        <v>5018</v>
      </c>
      <c r="C15287" s="2" t="s">
        <v>7536</v>
      </c>
      <c r="D15287" s="3" t="str">
        <f t="shared" si="3840"/>
        <v>12Go Link</v>
      </c>
      <c r="E15287" s="2" t="s">
        <v>3409</v>
      </c>
    </row>
    <row r="15288">
      <c r="A15288" s="2" t="s">
        <v>5020</v>
      </c>
      <c r="B15288" s="2" t="s">
        <v>5020</v>
      </c>
      <c r="C15288" s="2" t="s">
        <v>7537</v>
      </c>
      <c r="D15288" s="3" t="str">
        <f t="shared" ref="D15288:D15290" si="3841">HYPERLINK("https://12go.asia/en/travel/Tissamaharama/Yala-Park", "12Go Link")</f>
        <v>12Go Link</v>
      </c>
      <c r="E15288" s="2" t="s">
        <v>286</v>
      </c>
    </row>
    <row r="15289">
      <c r="A15289" s="2" t="s">
        <v>5020</v>
      </c>
      <c r="B15289" s="2" t="s">
        <v>5020</v>
      </c>
      <c r="C15289" s="2" t="s">
        <v>7537</v>
      </c>
      <c r="D15289" s="3" t="str">
        <f t="shared" si="3841"/>
        <v>12Go Link</v>
      </c>
      <c r="E15289" s="2" t="s">
        <v>4139</v>
      </c>
    </row>
    <row r="15290">
      <c r="A15290" s="2" t="s">
        <v>5020</v>
      </c>
      <c r="B15290" s="2" t="s">
        <v>5020</v>
      </c>
      <c r="C15290" s="2" t="s">
        <v>7537</v>
      </c>
      <c r="D15290" s="3" t="str">
        <f t="shared" si="3841"/>
        <v>12Go Link</v>
      </c>
      <c r="E15290" s="2" t="s">
        <v>3409</v>
      </c>
    </row>
    <row r="15291">
      <c r="A15291" s="2" t="s">
        <v>5020</v>
      </c>
      <c r="B15291" s="2" t="s">
        <v>5020</v>
      </c>
      <c r="C15291" s="2" t="s">
        <v>7538</v>
      </c>
      <c r="D15291" s="3" t="str">
        <f t="shared" ref="D15291:D15293" si="3842">HYPERLINK("https://12go.asia/en/travel/Yala-Park/Tissamaharama", "12Go Link")</f>
        <v>12Go Link</v>
      </c>
      <c r="E15291" s="2" t="s">
        <v>286</v>
      </c>
    </row>
    <row r="15292">
      <c r="A15292" s="2" t="s">
        <v>5020</v>
      </c>
      <c r="B15292" s="2" t="s">
        <v>5020</v>
      </c>
      <c r="C15292" s="2" t="s">
        <v>7538</v>
      </c>
      <c r="D15292" s="3" t="str">
        <f t="shared" si="3842"/>
        <v>12Go Link</v>
      </c>
      <c r="E15292" s="2" t="s">
        <v>4139</v>
      </c>
    </row>
    <row r="15293">
      <c r="A15293" s="2" t="s">
        <v>5020</v>
      </c>
      <c r="B15293" s="2" t="s">
        <v>5020</v>
      </c>
      <c r="C15293" s="2" t="s">
        <v>7538</v>
      </c>
      <c r="D15293" s="3" t="str">
        <f t="shared" si="3842"/>
        <v>12Go Link</v>
      </c>
      <c r="E15293" s="2" t="s">
        <v>3409</v>
      </c>
    </row>
    <row r="15294">
      <c r="A15294" s="2" t="s">
        <v>5020</v>
      </c>
      <c r="B15294" s="2" t="s">
        <v>5023</v>
      </c>
      <c r="C15294" s="2" t="s">
        <v>7539</v>
      </c>
      <c r="D15294" s="3" t="str">
        <f t="shared" ref="D15294:D15296" si="3843">HYPERLINK("https://12go.asia/en/travel/Tissamaharama/Nilaweli", "12Go Link")</f>
        <v>12Go Link</v>
      </c>
      <c r="E15294" s="2" t="s">
        <v>286</v>
      </c>
    </row>
    <row r="15295">
      <c r="A15295" s="2" t="s">
        <v>5020</v>
      </c>
      <c r="B15295" s="2" t="s">
        <v>5023</v>
      </c>
      <c r="C15295" s="2" t="s">
        <v>7539</v>
      </c>
      <c r="D15295" s="3" t="str">
        <f t="shared" si="3843"/>
        <v>12Go Link</v>
      </c>
      <c r="E15295" s="2" t="s">
        <v>4139</v>
      </c>
    </row>
    <row r="15296">
      <c r="A15296" s="2" t="s">
        <v>5020</v>
      </c>
      <c r="B15296" s="2" t="s">
        <v>5023</v>
      </c>
      <c r="C15296" s="2" t="s">
        <v>7539</v>
      </c>
      <c r="D15296" s="3" t="str">
        <f t="shared" si="3843"/>
        <v>12Go Link</v>
      </c>
      <c r="E15296" s="2" t="s">
        <v>3409</v>
      </c>
    </row>
    <row r="15297">
      <c r="A15297" s="2" t="s">
        <v>5020</v>
      </c>
      <c r="B15297" s="2" t="s">
        <v>5025</v>
      </c>
      <c r="C15297" s="2" t="s">
        <v>7540</v>
      </c>
      <c r="D15297" s="3" t="str">
        <f t="shared" ref="D15297:D15299" si="3844">HYPERLINK("https://12go.asia/en/travel/Tissamaharama/Udawalawa", "12Go Link")</f>
        <v>12Go Link</v>
      </c>
      <c r="E15297" s="2" t="s">
        <v>286</v>
      </c>
    </row>
    <row r="15298">
      <c r="A15298" s="2" t="s">
        <v>5020</v>
      </c>
      <c r="B15298" s="2" t="s">
        <v>5025</v>
      </c>
      <c r="C15298" s="2" t="s">
        <v>7540</v>
      </c>
      <c r="D15298" s="3" t="str">
        <f t="shared" si="3844"/>
        <v>12Go Link</v>
      </c>
      <c r="E15298" s="2" t="s">
        <v>4139</v>
      </c>
    </row>
    <row r="15299">
      <c r="A15299" s="2" t="s">
        <v>5020</v>
      </c>
      <c r="B15299" s="2" t="s">
        <v>5025</v>
      </c>
      <c r="C15299" s="2" t="s">
        <v>7540</v>
      </c>
      <c r="D15299" s="3" t="str">
        <f t="shared" si="3844"/>
        <v>12Go Link</v>
      </c>
      <c r="E15299" s="2" t="s">
        <v>3409</v>
      </c>
    </row>
    <row r="15300">
      <c r="A15300" s="2" t="s">
        <v>5020</v>
      </c>
      <c r="B15300" s="2" t="s">
        <v>5027</v>
      </c>
      <c r="C15300" s="2" t="s">
        <v>7541</v>
      </c>
      <c r="D15300" s="3" t="str">
        <f t="shared" ref="D15300:D15302" si="3845">HYPERLINK("https://12go.asia/en/travel/Tissamaharama/Unawatuna", "12Go Link")</f>
        <v>12Go Link</v>
      </c>
      <c r="E15300" s="2" t="s">
        <v>286</v>
      </c>
    </row>
    <row r="15301">
      <c r="A15301" s="2" t="s">
        <v>5020</v>
      </c>
      <c r="B15301" s="2" t="s">
        <v>5027</v>
      </c>
      <c r="C15301" s="2" t="s">
        <v>7541</v>
      </c>
      <c r="D15301" s="3" t="str">
        <f t="shared" si="3845"/>
        <v>12Go Link</v>
      </c>
      <c r="E15301" s="2" t="s">
        <v>4139</v>
      </c>
    </row>
    <row r="15302">
      <c r="A15302" s="2" t="s">
        <v>5020</v>
      </c>
      <c r="B15302" s="2" t="s">
        <v>5027</v>
      </c>
      <c r="C15302" s="2" t="s">
        <v>7541</v>
      </c>
      <c r="D15302" s="3" t="str">
        <f t="shared" si="3845"/>
        <v>12Go Link</v>
      </c>
      <c r="E15302" s="2" t="s">
        <v>3409</v>
      </c>
    </row>
    <row r="15303">
      <c r="A15303" s="2" t="s">
        <v>5020</v>
      </c>
      <c r="B15303" s="2" t="s">
        <v>5029</v>
      </c>
      <c r="C15303" s="2" t="s">
        <v>7542</v>
      </c>
      <c r="D15303" s="3" t="str">
        <f t="shared" ref="D15303:D15305" si="3846">HYPERLINK("https://12go.asia/en/travel/Tissamaharama/Attanagalla", "12Go Link")</f>
        <v>12Go Link</v>
      </c>
      <c r="E15303" s="2" t="s">
        <v>286</v>
      </c>
    </row>
    <row r="15304">
      <c r="A15304" s="2" t="s">
        <v>5020</v>
      </c>
      <c r="B15304" s="2" t="s">
        <v>5029</v>
      </c>
      <c r="C15304" s="2" t="s">
        <v>7542</v>
      </c>
      <c r="D15304" s="3" t="str">
        <f t="shared" si="3846"/>
        <v>12Go Link</v>
      </c>
      <c r="E15304" s="2" t="s">
        <v>4139</v>
      </c>
    </row>
    <row r="15305">
      <c r="A15305" s="2" t="s">
        <v>5020</v>
      </c>
      <c r="B15305" s="2" t="s">
        <v>5029</v>
      </c>
      <c r="C15305" s="2" t="s">
        <v>7542</v>
      </c>
      <c r="D15305" s="3" t="str">
        <f t="shared" si="3846"/>
        <v>12Go Link</v>
      </c>
      <c r="E15305" s="2" t="s">
        <v>3409</v>
      </c>
    </row>
    <row r="15306">
      <c r="A15306" s="2" t="s">
        <v>5020</v>
      </c>
      <c r="B15306" s="2" t="s">
        <v>5031</v>
      </c>
      <c r="C15306" s="2" t="s">
        <v>7543</v>
      </c>
      <c r="D15306" s="3" t="str">
        <f t="shared" ref="D15306:D15308" si="3847">HYPERLINK("https://12go.asia/en/travel/Tissamaharama/Moronthuduwa", "12Go Link")</f>
        <v>12Go Link</v>
      </c>
      <c r="E15306" s="2" t="s">
        <v>286</v>
      </c>
    </row>
    <row r="15307">
      <c r="A15307" s="2" t="s">
        <v>5020</v>
      </c>
      <c r="B15307" s="2" t="s">
        <v>5031</v>
      </c>
      <c r="C15307" s="2" t="s">
        <v>7543</v>
      </c>
      <c r="D15307" s="3" t="str">
        <f t="shared" si="3847"/>
        <v>12Go Link</v>
      </c>
      <c r="E15307" s="2" t="s">
        <v>4139</v>
      </c>
    </row>
    <row r="15308">
      <c r="A15308" s="2" t="s">
        <v>5020</v>
      </c>
      <c r="B15308" s="2" t="s">
        <v>5031</v>
      </c>
      <c r="C15308" s="2" t="s">
        <v>7543</v>
      </c>
      <c r="D15308" s="3" t="str">
        <f t="shared" si="3847"/>
        <v>12Go Link</v>
      </c>
      <c r="E15308" s="2" t="s">
        <v>3409</v>
      </c>
    </row>
    <row r="15309">
      <c r="A15309" s="2" t="s">
        <v>5020</v>
      </c>
      <c r="B15309" s="2" t="s">
        <v>5031</v>
      </c>
      <c r="C15309" s="2" t="s">
        <v>7544</v>
      </c>
      <c r="D15309" s="3" t="str">
        <f t="shared" ref="D15309:D15311" si="3848">HYPERLINK("https://12go.asia/en/travel/Tissamaharama/Waskaduwa", "12Go Link")</f>
        <v>12Go Link</v>
      </c>
      <c r="E15309" s="2" t="s">
        <v>286</v>
      </c>
    </row>
    <row r="15310">
      <c r="A15310" s="2" t="s">
        <v>5020</v>
      </c>
      <c r="B15310" s="2" t="s">
        <v>5031</v>
      </c>
      <c r="C15310" s="2" t="s">
        <v>7544</v>
      </c>
      <c r="D15310" s="3" t="str">
        <f t="shared" si="3848"/>
        <v>12Go Link</v>
      </c>
      <c r="E15310" s="2" t="s">
        <v>4139</v>
      </c>
    </row>
    <row r="15311">
      <c r="A15311" s="2" t="s">
        <v>5020</v>
      </c>
      <c r="B15311" s="2" t="s">
        <v>5031</v>
      </c>
      <c r="C15311" s="2" t="s">
        <v>7544</v>
      </c>
      <c r="D15311" s="3" t="str">
        <f t="shared" si="3848"/>
        <v>12Go Link</v>
      </c>
      <c r="E15311" s="2" t="s">
        <v>3409</v>
      </c>
    </row>
    <row r="15312">
      <c r="A15312" s="2" t="s">
        <v>5020</v>
      </c>
      <c r="B15312" s="2" t="s">
        <v>5034</v>
      </c>
      <c r="C15312" s="2" t="s">
        <v>7545</v>
      </c>
      <c r="D15312" s="3" t="str">
        <f t="shared" ref="D15312:D15314" si="3849">HYPERLINK("https://12go.asia/en/travel/Tissamaharama/Weddagala", "12Go Link")</f>
        <v>12Go Link</v>
      </c>
      <c r="E15312" s="2" t="s">
        <v>286</v>
      </c>
    </row>
    <row r="15313">
      <c r="A15313" s="2" t="s">
        <v>5020</v>
      </c>
      <c r="B15313" s="2" t="s">
        <v>5034</v>
      </c>
      <c r="C15313" s="2" t="s">
        <v>7545</v>
      </c>
      <c r="D15313" s="3" t="str">
        <f t="shared" si="3849"/>
        <v>12Go Link</v>
      </c>
      <c r="E15313" s="2" t="s">
        <v>4139</v>
      </c>
    </row>
    <row r="15314">
      <c r="A15314" s="2" t="s">
        <v>5020</v>
      </c>
      <c r="B15314" s="2" t="s">
        <v>5034</v>
      </c>
      <c r="C15314" s="2" t="s">
        <v>7545</v>
      </c>
      <c r="D15314" s="3" t="str">
        <f t="shared" si="3849"/>
        <v>12Go Link</v>
      </c>
      <c r="E15314" s="2" t="s">
        <v>3409</v>
      </c>
    </row>
    <row r="15315">
      <c r="A15315" s="2" t="s">
        <v>5020</v>
      </c>
      <c r="B15315" s="2" t="s">
        <v>5036</v>
      </c>
      <c r="C15315" s="2" t="s">
        <v>7546</v>
      </c>
      <c r="D15315" s="3" t="str">
        <f t="shared" ref="D15315:D15317" si="3850">HYPERLINK("https://12go.asia/en/travel/Tissamaharama/Weligatta", "12Go Link")</f>
        <v>12Go Link</v>
      </c>
      <c r="E15315" s="2" t="s">
        <v>286</v>
      </c>
    </row>
    <row r="15316">
      <c r="A15316" s="2" t="s">
        <v>5020</v>
      </c>
      <c r="B15316" s="2" t="s">
        <v>5036</v>
      </c>
      <c r="C15316" s="2" t="s">
        <v>7546</v>
      </c>
      <c r="D15316" s="3" t="str">
        <f t="shared" si="3850"/>
        <v>12Go Link</v>
      </c>
      <c r="E15316" s="2" t="s">
        <v>4139</v>
      </c>
    </row>
    <row r="15317">
      <c r="A15317" s="2" t="s">
        <v>5020</v>
      </c>
      <c r="B15317" s="2" t="s">
        <v>5036</v>
      </c>
      <c r="C15317" s="2" t="s">
        <v>7546</v>
      </c>
      <c r="D15317" s="3" t="str">
        <f t="shared" si="3850"/>
        <v>12Go Link</v>
      </c>
      <c r="E15317" s="2" t="s">
        <v>3409</v>
      </c>
    </row>
    <row r="15318">
      <c r="A15318" s="2" t="s">
        <v>5020</v>
      </c>
      <c r="B15318" s="2" t="s">
        <v>5038</v>
      </c>
      <c r="C15318" s="2" t="s">
        <v>7547</v>
      </c>
      <c r="D15318" s="3" t="str">
        <f t="shared" ref="D15318:D15320" si="3851">HYPERLINK("https://12go.asia/en/travel/Tissamaharama/Akuressa", "12Go Link")</f>
        <v>12Go Link</v>
      </c>
      <c r="E15318" s="2" t="s">
        <v>286</v>
      </c>
    </row>
    <row r="15319">
      <c r="A15319" s="2" t="s">
        <v>5020</v>
      </c>
      <c r="B15319" s="2" t="s">
        <v>5038</v>
      </c>
      <c r="C15319" s="2" t="s">
        <v>7547</v>
      </c>
      <c r="D15319" s="3" t="str">
        <f t="shared" si="3851"/>
        <v>12Go Link</v>
      </c>
      <c r="E15319" s="2" t="s">
        <v>4139</v>
      </c>
    </row>
    <row r="15320">
      <c r="A15320" s="2" t="s">
        <v>5020</v>
      </c>
      <c r="B15320" s="2" t="s">
        <v>5038</v>
      </c>
      <c r="C15320" s="2" t="s">
        <v>7547</v>
      </c>
      <c r="D15320" s="3" t="str">
        <f t="shared" si="3851"/>
        <v>12Go Link</v>
      </c>
      <c r="E15320" s="2" t="s">
        <v>3409</v>
      </c>
    </row>
    <row r="15321">
      <c r="A15321" s="2" t="s">
        <v>5020</v>
      </c>
      <c r="B15321" s="2" t="s">
        <v>5040</v>
      </c>
      <c r="C15321" s="2" t="s">
        <v>7548</v>
      </c>
      <c r="D15321" s="3" t="str">
        <f t="shared" ref="D15321:D15323" si="3852">HYPERLINK("https://12go.asia/en/travel/Tissamaharama/Wilpattu", "12Go Link")</f>
        <v>12Go Link</v>
      </c>
      <c r="E15321" s="2" t="s">
        <v>286</v>
      </c>
    </row>
    <row r="15322">
      <c r="A15322" s="2" t="s">
        <v>5020</v>
      </c>
      <c r="B15322" s="2" t="s">
        <v>5040</v>
      </c>
      <c r="C15322" s="2" t="s">
        <v>7548</v>
      </c>
      <c r="D15322" s="3" t="str">
        <f t="shared" si="3852"/>
        <v>12Go Link</v>
      </c>
      <c r="E15322" s="2" t="s">
        <v>4139</v>
      </c>
    </row>
    <row r="15323">
      <c r="A15323" s="2" t="s">
        <v>5020</v>
      </c>
      <c r="B15323" s="2" t="s">
        <v>5040</v>
      </c>
      <c r="C15323" s="2" t="s">
        <v>7548</v>
      </c>
      <c r="D15323" s="3" t="str">
        <f t="shared" si="3852"/>
        <v>12Go Link</v>
      </c>
      <c r="E15323" s="2" t="s">
        <v>3409</v>
      </c>
    </row>
    <row r="15324">
      <c r="A15324" s="2" t="s">
        <v>5023</v>
      </c>
      <c r="B15324" s="2" t="s">
        <v>4945</v>
      </c>
      <c r="C15324" s="2" t="s">
        <v>7549</v>
      </c>
      <c r="D15324" s="3" t="str">
        <f t="shared" ref="D15324:D15326" si="3853">HYPERLINK("https://12go.asia/en/travel/Nilaweli/Bandaranaike-Airport", "12Go Link")</f>
        <v>12Go Link</v>
      </c>
      <c r="E15324" s="2" t="s">
        <v>286</v>
      </c>
    </row>
    <row r="15325">
      <c r="A15325" s="2" t="s">
        <v>5023</v>
      </c>
      <c r="B15325" s="2" t="s">
        <v>4945</v>
      </c>
      <c r="C15325" s="2" t="s">
        <v>7549</v>
      </c>
      <c r="D15325" s="3" t="str">
        <f t="shared" si="3853"/>
        <v>12Go Link</v>
      </c>
      <c r="E15325" s="2" t="s">
        <v>4139</v>
      </c>
    </row>
    <row r="15326">
      <c r="A15326" s="2" t="s">
        <v>5023</v>
      </c>
      <c r="B15326" s="2" t="s">
        <v>4945</v>
      </c>
      <c r="C15326" s="2" t="s">
        <v>7549</v>
      </c>
      <c r="D15326" s="3" t="str">
        <f t="shared" si="3853"/>
        <v>12Go Link</v>
      </c>
      <c r="E15326" s="2" t="s">
        <v>3409</v>
      </c>
    </row>
    <row r="15327">
      <c r="A15327" s="2" t="s">
        <v>5023</v>
      </c>
      <c r="B15327" s="2" t="s">
        <v>4969</v>
      </c>
      <c r="C15327" s="2" t="s">
        <v>7550</v>
      </c>
      <c r="D15327" s="3" t="str">
        <f t="shared" ref="D15327:D15329" si="3854">HYPERLINK("https://12go.asia/en/travel/Nilaweli/Jaffna", "12Go Link")</f>
        <v>12Go Link</v>
      </c>
      <c r="E15327" s="2" t="s">
        <v>286</v>
      </c>
    </row>
    <row r="15328">
      <c r="A15328" s="2" t="s">
        <v>5023</v>
      </c>
      <c r="B15328" s="2" t="s">
        <v>4969</v>
      </c>
      <c r="C15328" s="2" t="s">
        <v>7550</v>
      </c>
      <c r="D15328" s="3" t="str">
        <f t="shared" si="3854"/>
        <v>12Go Link</v>
      </c>
      <c r="E15328" s="2" t="s">
        <v>4139</v>
      </c>
    </row>
    <row r="15329">
      <c r="A15329" s="2" t="s">
        <v>5023</v>
      </c>
      <c r="B15329" s="2" t="s">
        <v>4969</v>
      </c>
      <c r="C15329" s="2" t="s">
        <v>7550</v>
      </c>
      <c r="D15329" s="3" t="str">
        <f t="shared" si="3854"/>
        <v>12Go Link</v>
      </c>
      <c r="E15329" s="2" t="s">
        <v>3409</v>
      </c>
    </row>
    <row r="15330">
      <c r="A15330" s="2" t="s">
        <v>5025</v>
      </c>
      <c r="B15330" s="2" t="s">
        <v>4996</v>
      </c>
      <c r="C15330" s="2" t="s">
        <v>7551</v>
      </c>
      <c r="D15330" s="3" t="str">
        <f t="shared" ref="D15330:D15332" si="3855">HYPERLINK("https://12go.asia/en/travel/Udawalawa/mirissa", "12Go Link")</f>
        <v>12Go Link</v>
      </c>
      <c r="E15330" s="2" t="s">
        <v>286</v>
      </c>
    </row>
    <row r="15331">
      <c r="A15331" s="2" t="s">
        <v>5025</v>
      </c>
      <c r="B15331" s="2" t="s">
        <v>4996</v>
      </c>
      <c r="C15331" s="2" t="s">
        <v>7551</v>
      </c>
      <c r="D15331" s="3" t="str">
        <f t="shared" si="3855"/>
        <v>12Go Link</v>
      </c>
      <c r="E15331" s="2" t="s">
        <v>4139</v>
      </c>
    </row>
    <row r="15332">
      <c r="A15332" s="2" t="s">
        <v>5025</v>
      </c>
      <c r="B15332" s="2" t="s">
        <v>4996</v>
      </c>
      <c r="C15332" s="2" t="s">
        <v>7551</v>
      </c>
      <c r="D15332" s="3" t="str">
        <f t="shared" si="3855"/>
        <v>12Go Link</v>
      </c>
      <c r="E15332" s="2" t="s">
        <v>3409</v>
      </c>
    </row>
    <row r="15333">
      <c r="A15333" s="2" t="s">
        <v>5025</v>
      </c>
      <c r="B15333" s="2" t="s">
        <v>5000</v>
      </c>
      <c r="C15333" s="2" t="s">
        <v>7552</v>
      </c>
      <c r="D15333" s="3" t="str">
        <f t="shared" ref="D15333:D15335" si="3856">HYPERLINK("https://12go.asia/en/travel/Udawalawa/Dalupotha", "12Go Link")</f>
        <v>12Go Link</v>
      </c>
      <c r="E15333" s="2" t="s">
        <v>286</v>
      </c>
    </row>
    <row r="15334">
      <c r="A15334" s="2" t="s">
        <v>5025</v>
      </c>
      <c r="B15334" s="2" t="s">
        <v>5000</v>
      </c>
      <c r="C15334" s="2" t="s">
        <v>7552</v>
      </c>
      <c r="D15334" s="3" t="str">
        <f t="shared" si="3856"/>
        <v>12Go Link</v>
      </c>
      <c r="E15334" s="2" t="s">
        <v>4139</v>
      </c>
    </row>
    <row r="15335">
      <c r="A15335" s="2" t="s">
        <v>5025</v>
      </c>
      <c r="B15335" s="2" t="s">
        <v>5000</v>
      </c>
      <c r="C15335" s="2" t="s">
        <v>7552</v>
      </c>
      <c r="D15335" s="3" t="str">
        <f t="shared" si="3856"/>
        <v>12Go Link</v>
      </c>
      <c r="E15335" s="2" t="s">
        <v>3409</v>
      </c>
    </row>
    <row r="15336">
      <c r="A15336" s="2" t="s">
        <v>5027</v>
      </c>
      <c r="B15336" s="2" t="s">
        <v>4918</v>
      </c>
      <c r="C15336" s="2" t="s">
        <v>7553</v>
      </c>
      <c r="D15336" s="3" t="str">
        <f t="shared" ref="D15336:D15338" si="3857">HYPERLINK("https://12go.asia/en/travel/Unawatuna/Adams-Peak", "12Go Link")</f>
        <v>12Go Link</v>
      </c>
      <c r="E15336" s="2" t="s">
        <v>286</v>
      </c>
    </row>
    <row r="15337">
      <c r="A15337" s="2" t="s">
        <v>5027</v>
      </c>
      <c r="B15337" s="2" t="s">
        <v>4918</v>
      </c>
      <c r="C15337" s="2" t="s">
        <v>7553</v>
      </c>
      <c r="D15337" s="3" t="str">
        <f t="shared" si="3857"/>
        <v>12Go Link</v>
      </c>
      <c r="E15337" s="2" t="s">
        <v>4139</v>
      </c>
    </row>
    <row r="15338">
      <c r="A15338" s="2" t="s">
        <v>5027</v>
      </c>
      <c r="B15338" s="2" t="s">
        <v>4918</v>
      </c>
      <c r="C15338" s="2" t="s">
        <v>7553</v>
      </c>
      <c r="D15338" s="3" t="str">
        <f t="shared" si="3857"/>
        <v>12Go Link</v>
      </c>
      <c r="E15338" s="2" t="s">
        <v>3409</v>
      </c>
    </row>
    <row r="15339">
      <c r="A15339" s="2" t="s">
        <v>5027</v>
      </c>
      <c r="B15339" s="2" t="s">
        <v>4919</v>
      </c>
      <c r="C15339" s="2" t="s">
        <v>7554</v>
      </c>
      <c r="D15339" s="3" t="str">
        <f t="shared" ref="D15339:D15341" si="3858">HYPERLINK("https://12go.asia/en/travel/Unawatuna/Ahangama", "12Go Link")</f>
        <v>12Go Link</v>
      </c>
      <c r="E15339" s="2" t="s">
        <v>286</v>
      </c>
    </row>
    <row r="15340">
      <c r="A15340" s="2" t="s">
        <v>5027</v>
      </c>
      <c r="B15340" s="2" t="s">
        <v>4919</v>
      </c>
      <c r="C15340" s="2" t="s">
        <v>7554</v>
      </c>
      <c r="D15340" s="3" t="str">
        <f t="shared" si="3858"/>
        <v>12Go Link</v>
      </c>
      <c r="E15340" s="2" t="s">
        <v>4139</v>
      </c>
    </row>
    <row r="15341">
      <c r="A15341" s="2" t="s">
        <v>5027</v>
      </c>
      <c r="B15341" s="2" t="s">
        <v>4919</v>
      </c>
      <c r="C15341" s="2" t="s">
        <v>7554</v>
      </c>
      <c r="D15341" s="3" t="str">
        <f t="shared" si="3858"/>
        <v>12Go Link</v>
      </c>
      <c r="E15341" s="2" t="s">
        <v>3409</v>
      </c>
    </row>
    <row r="15342">
      <c r="A15342" s="2" t="s">
        <v>5027</v>
      </c>
      <c r="B15342" s="2" t="s">
        <v>4921</v>
      </c>
      <c r="C15342" s="2" t="s">
        <v>7555</v>
      </c>
      <c r="D15342" s="3" t="str">
        <f t="shared" ref="D15342:D15344" si="3859">HYPERLINK("https://12go.asia/en/travel/Unawatuna/Ahungalla", "12Go Link")</f>
        <v>12Go Link</v>
      </c>
      <c r="E15342" s="2" t="s">
        <v>286</v>
      </c>
    </row>
    <row r="15343">
      <c r="A15343" s="2" t="s">
        <v>5027</v>
      </c>
      <c r="B15343" s="2" t="s">
        <v>4921</v>
      </c>
      <c r="C15343" s="2" t="s">
        <v>7555</v>
      </c>
      <c r="D15343" s="3" t="str">
        <f t="shared" si="3859"/>
        <v>12Go Link</v>
      </c>
      <c r="E15343" s="2" t="s">
        <v>4139</v>
      </c>
    </row>
    <row r="15344">
      <c r="A15344" s="2" t="s">
        <v>5027</v>
      </c>
      <c r="B15344" s="2" t="s">
        <v>4921</v>
      </c>
      <c r="C15344" s="2" t="s">
        <v>7555</v>
      </c>
      <c r="D15344" s="3" t="str">
        <f t="shared" si="3859"/>
        <v>12Go Link</v>
      </c>
      <c r="E15344" s="2" t="s">
        <v>3409</v>
      </c>
    </row>
    <row r="15345">
      <c r="A15345" s="2" t="s">
        <v>5027</v>
      </c>
      <c r="B15345" s="2" t="s">
        <v>4923</v>
      </c>
      <c r="C15345" s="2" t="s">
        <v>7556</v>
      </c>
      <c r="D15345" s="3" t="str">
        <f t="shared" ref="D15345:D15347" si="3860">HYPERLINK("https://12go.asia/en/travel/Unawatuna/Aluthgama", "12Go Link")</f>
        <v>12Go Link</v>
      </c>
      <c r="E15345" s="2" t="s">
        <v>286</v>
      </c>
    </row>
    <row r="15346">
      <c r="A15346" s="2" t="s">
        <v>5027</v>
      </c>
      <c r="B15346" s="2" t="s">
        <v>4923</v>
      </c>
      <c r="C15346" s="2" t="s">
        <v>7556</v>
      </c>
      <c r="D15346" s="3" t="str">
        <f t="shared" si="3860"/>
        <v>12Go Link</v>
      </c>
      <c r="E15346" s="2" t="s">
        <v>4139</v>
      </c>
    </row>
    <row r="15347">
      <c r="A15347" s="2" t="s">
        <v>5027</v>
      </c>
      <c r="B15347" s="2" t="s">
        <v>4923</v>
      </c>
      <c r="C15347" s="2" t="s">
        <v>7556</v>
      </c>
      <c r="D15347" s="3" t="str">
        <f t="shared" si="3860"/>
        <v>12Go Link</v>
      </c>
      <c r="E15347" s="2" t="s">
        <v>3409</v>
      </c>
    </row>
    <row r="15348">
      <c r="A15348" s="2" t="s">
        <v>5027</v>
      </c>
      <c r="B15348" s="2" t="s">
        <v>4925</v>
      </c>
      <c r="C15348" s="2" t="s">
        <v>7557</v>
      </c>
      <c r="D15348" s="3" t="str">
        <f t="shared" ref="D15348:D15350" si="3861">HYPERLINK("https://12go.asia/en/travel/Unawatuna/Ambalangoda", "12Go Link")</f>
        <v>12Go Link</v>
      </c>
      <c r="E15348" s="2" t="s">
        <v>286</v>
      </c>
    </row>
    <row r="15349">
      <c r="A15349" s="2" t="s">
        <v>5027</v>
      </c>
      <c r="B15349" s="2" t="s">
        <v>4925</v>
      </c>
      <c r="C15349" s="2" t="s">
        <v>7557</v>
      </c>
      <c r="D15349" s="3" t="str">
        <f t="shared" si="3861"/>
        <v>12Go Link</v>
      </c>
      <c r="E15349" s="2" t="s">
        <v>4139</v>
      </c>
    </row>
    <row r="15350">
      <c r="A15350" s="2" t="s">
        <v>5027</v>
      </c>
      <c r="B15350" s="2" t="s">
        <v>4925</v>
      </c>
      <c r="C15350" s="2" t="s">
        <v>7557</v>
      </c>
      <c r="D15350" s="3" t="str">
        <f t="shared" si="3861"/>
        <v>12Go Link</v>
      </c>
      <c r="E15350" s="2" t="s">
        <v>3409</v>
      </c>
    </row>
    <row r="15351">
      <c r="A15351" s="2" t="s">
        <v>5027</v>
      </c>
      <c r="B15351" s="2" t="s">
        <v>4927</v>
      </c>
      <c r="C15351" s="2" t="s">
        <v>7558</v>
      </c>
      <c r="D15351" s="3" t="str">
        <f t="shared" ref="D15351:D15353" si="3862">HYPERLINK("https://12go.asia/en/travel/Unawatuna/Ambalantota", "12Go Link")</f>
        <v>12Go Link</v>
      </c>
      <c r="E15351" s="2" t="s">
        <v>286</v>
      </c>
    </row>
    <row r="15352">
      <c r="A15352" s="2" t="s">
        <v>5027</v>
      </c>
      <c r="B15352" s="2" t="s">
        <v>4927</v>
      </c>
      <c r="C15352" s="2" t="s">
        <v>7558</v>
      </c>
      <c r="D15352" s="3" t="str">
        <f t="shared" si="3862"/>
        <v>12Go Link</v>
      </c>
      <c r="E15352" s="2" t="s">
        <v>4139</v>
      </c>
    </row>
    <row r="15353">
      <c r="A15353" s="2" t="s">
        <v>5027</v>
      </c>
      <c r="B15353" s="2" t="s">
        <v>4927</v>
      </c>
      <c r="C15353" s="2" t="s">
        <v>7558</v>
      </c>
      <c r="D15353" s="3" t="str">
        <f t="shared" si="3862"/>
        <v>12Go Link</v>
      </c>
      <c r="E15353" s="2" t="s">
        <v>3409</v>
      </c>
    </row>
    <row r="15354">
      <c r="A15354" s="2" t="s">
        <v>5027</v>
      </c>
      <c r="B15354" s="2" t="s">
        <v>4929</v>
      </c>
      <c r="C15354" s="2" t="s">
        <v>7559</v>
      </c>
      <c r="D15354" s="3" t="str">
        <f t="shared" ref="D15354:D15356" si="3863">HYPERLINK("https://12go.asia/en/travel/Unawatuna/Anuradhapura", "12Go Link")</f>
        <v>12Go Link</v>
      </c>
      <c r="E15354" s="2" t="s">
        <v>286</v>
      </c>
    </row>
    <row r="15355">
      <c r="A15355" s="2" t="s">
        <v>5027</v>
      </c>
      <c r="B15355" s="2" t="s">
        <v>4929</v>
      </c>
      <c r="C15355" s="2" t="s">
        <v>7559</v>
      </c>
      <c r="D15355" s="3" t="str">
        <f t="shared" si="3863"/>
        <v>12Go Link</v>
      </c>
      <c r="E15355" s="2" t="s">
        <v>4139</v>
      </c>
    </row>
    <row r="15356">
      <c r="A15356" s="2" t="s">
        <v>5027</v>
      </c>
      <c r="B15356" s="2" t="s">
        <v>4929</v>
      </c>
      <c r="C15356" s="2" t="s">
        <v>7559</v>
      </c>
      <c r="D15356" s="3" t="str">
        <f t="shared" si="3863"/>
        <v>12Go Link</v>
      </c>
      <c r="E15356" s="2" t="s">
        <v>3409</v>
      </c>
    </row>
    <row r="15357">
      <c r="A15357" s="2" t="s">
        <v>5027</v>
      </c>
      <c r="B15357" s="2" t="s">
        <v>4931</v>
      </c>
      <c r="C15357" s="2" t="s">
        <v>7560</v>
      </c>
      <c r="D15357" s="3" t="str">
        <f t="shared" ref="D15357:D15359" si="3864">HYPERLINK("https://12go.asia/en/travel/Unawatuna/Arugam-bay", "12Go Link")</f>
        <v>12Go Link</v>
      </c>
      <c r="E15357" s="2" t="s">
        <v>286</v>
      </c>
    </row>
    <row r="15358">
      <c r="A15358" s="2" t="s">
        <v>5027</v>
      </c>
      <c r="B15358" s="2" t="s">
        <v>4931</v>
      </c>
      <c r="C15358" s="2" t="s">
        <v>7560</v>
      </c>
      <c r="D15358" s="3" t="str">
        <f t="shared" si="3864"/>
        <v>12Go Link</v>
      </c>
      <c r="E15358" s="2" t="s">
        <v>4139</v>
      </c>
    </row>
    <row r="15359">
      <c r="A15359" s="2" t="s">
        <v>5027</v>
      </c>
      <c r="B15359" s="2" t="s">
        <v>4931</v>
      </c>
      <c r="C15359" s="2" t="s">
        <v>7560</v>
      </c>
      <c r="D15359" s="3" t="str">
        <f t="shared" si="3864"/>
        <v>12Go Link</v>
      </c>
      <c r="E15359" s="2" t="s">
        <v>3409</v>
      </c>
    </row>
    <row r="15360">
      <c r="A15360" s="2" t="s">
        <v>5027</v>
      </c>
      <c r="B15360" s="2" t="s">
        <v>4933</v>
      </c>
      <c r="C15360" s="2" t="s">
        <v>7561</v>
      </c>
      <c r="D15360" s="3" t="str">
        <f t="shared" ref="D15360:D15362" si="3865">HYPERLINK("https://12go.asia/en/travel/Unawatuna/balapitiya", "12Go Link")</f>
        <v>12Go Link</v>
      </c>
      <c r="E15360" s="2" t="s">
        <v>286</v>
      </c>
    </row>
    <row r="15361">
      <c r="A15361" s="2" t="s">
        <v>5027</v>
      </c>
      <c r="B15361" s="2" t="s">
        <v>4933</v>
      </c>
      <c r="C15361" s="2" t="s">
        <v>7561</v>
      </c>
      <c r="D15361" s="3" t="str">
        <f t="shared" si="3865"/>
        <v>12Go Link</v>
      </c>
      <c r="E15361" s="2" t="s">
        <v>4139</v>
      </c>
    </row>
    <row r="15362">
      <c r="A15362" s="2" t="s">
        <v>5027</v>
      </c>
      <c r="B15362" s="2" t="s">
        <v>4933</v>
      </c>
      <c r="C15362" s="2" t="s">
        <v>7561</v>
      </c>
      <c r="D15362" s="3" t="str">
        <f t="shared" si="3865"/>
        <v>12Go Link</v>
      </c>
      <c r="E15362" s="2" t="s">
        <v>3409</v>
      </c>
    </row>
    <row r="15363">
      <c r="A15363" s="2" t="s">
        <v>5027</v>
      </c>
      <c r="B15363" s="2" t="s">
        <v>4935</v>
      </c>
      <c r="C15363" s="2" t="s">
        <v>7562</v>
      </c>
      <c r="D15363" s="3" t="str">
        <f t="shared" ref="D15363:D15365" si="3866">HYPERLINK("https://12go.asia/en/travel/Unawatuna/Batticaloa", "12Go Link")</f>
        <v>12Go Link</v>
      </c>
      <c r="E15363" s="2" t="s">
        <v>286</v>
      </c>
    </row>
    <row r="15364">
      <c r="A15364" s="2" t="s">
        <v>5027</v>
      </c>
      <c r="B15364" s="2" t="s">
        <v>4935</v>
      </c>
      <c r="C15364" s="2" t="s">
        <v>7562</v>
      </c>
      <c r="D15364" s="3" t="str">
        <f t="shared" si="3866"/>
        <v>12Go Link</v>
      </c>
      <c r="E15364" s="2" t="s">
        <v>4139</v>
      </c>
    </row>
    <row r="15365">
      <c r="A15365" s="2" t="s">
        <v>5027</v>
      </c>
      <c r="B15365" s="2" t="s">
        <v>4935</v>
      </c>
      <c r="C15365" s="2" t="s">
        <v>7562</v>
      </c>
      <c r="D15365" s="3" t="str">
        <f t="shared" si="3866"/>
        <v>12Go Link</v>
      </c>
      <c r="E15365" s="2" t="s">
        <v>3409</v>
      </c>
    </row>
    <row r="15366">
      <c r="A15366" s="2" t="s">
        <v>5027</v>
      </c>
      <c r="B15366" s="2" t="s">
        <v>4937</v>
      </c>
      <c r="C15366" s="2" t="s">
        <v>7563</v>
      </c>
      <c r="D15366" s="3" t="str">
        <f t="shared" ref="D15366:D15368" si="3867">HYPERLINK("https://12go.asia/en/travel/Unawatuna/Bentota", "12Go Link")</f>
        <v>12Go Link</v>
      </c>
      <c r="E15366" s="2" t="s">
        <v>286</v>
      </c>
    </row>
    <row r="15367">
      <c r="A15367" s="2" t="s">
        <v>5027</v>
      </c>
      <c r="B15367" s="2" t="s">
        <v>4937</v>
      </c>
      <c r="C15367" s="2" t="s">
        <v>7563</v>
      </c>
      <c r="D15367" s="3" t="str">
        <f t="shared" si="3867"/>
        <v>12Go Link</v>
      </c>
      <c r="E15367" s="2" t="s">
        <v>4139</v>
      </c>
    </row>
    <row r="15368">
      <c r="A15368" s="2" t="s">
        <v>5027</v>
      </c>
      <c r="B15368" s="2" t="s">
        <v>4937</v>
      </c>
      <c r="C15368" s="2" t="s">
        <v>7563</v>
      </c>
      <c r="D15368" s="3" t="str">
        <f t="shared" si="3867"/>
        <v>12Go Link</v>
      </c>
      <c r="E15368" s="2" t="s">
        <v>3409</v>
      </c>
    </row>
    <row r="15369">
      <c r="A15369" s="2" t="s">
        <v>5027</v>
      </c>
      <c r="B15369" s="2" t="s">
        <v>4939</v>
      </c>
      <c r="C15369" s="2" t="s">
        <v>7564</v>
      </c>
      <c r="D15369" s="3" t="str">
        <f t="shared" ref="D15369:D15371" si="3868">HYPERLINK("https://12go.asia/en/travel/Unawatuna/Beruwala", "12Go Link")</f>
        <v>12Go Link</v>
      </c>
      <c r="E15369" s="2" t="s">
        <v>286</v>
      </c>
    </row>
    <row r="15370">
      <c r="A15370" s="2" t="s">
        <v>5027</v>
      </c>
      <c r="B15370" s="2" t="s">
        <v>4939</v>
      </c>
      <c r="C15370" s="2" t="s">
        <v>7564</v>
      </c>
      <c r="D15370" s="3" t="str">
        <f t="shared" si="3868"/>
        <v>12Go Link</v>
      </c>
      <c r="E15370" s="2" t="s">
        <v>4139</v>
      </c>
    </row>
    <row r="15371">
      <c r="A15371" s="2" t="s">
        <v>5027</v>
      </c>
      <c r="B15371" s="2" t="s">
        <v>4939</v>
      </c>
      <c r="C15371" s="2" t="s">
        <v>7564</v>
      </c>
      <c r="D15371" s="3" t="str">
        <f t="shared" si="3868"/>
        <v>12Go Link</v>
      </c>
      <c r="E15371" s="2" t="s">
        <v>3409</v>
      </c>
    </row>
    <row r="15372">
      <c r="A15372" s="2" t="s">
        <v>5027</v>
      </c>
      <c r="B15372" s="2" t="s">
        <v>4941</v>
      </c>
      <c r="C15372" s="2" t="s">
        <v>7565</v>
      </c>
      <c r="D15372" s="3" t="str">
        <f t="shared" ref="D15372:D15374" si="3869">HYPERLINK("https://12go.asia/en/travel/Unawatuna/Bundala", "12Go Link")</f>
        <v>12Go Link</v>
      </c>
      <c r="E15372" s="2" t="s">
        <v>286</v>
      </c>
    </row>
    <row r="15373">
      <c r="A15373" s="2" t="s">
        <v>5027</v>
      </c>
      <c r="B15373" s="2" t="s">
        <v>4941</v>
      </c>
      <c r="C15373" s="2" t="s">
        <v>7565</v>
      </c>
      <c r="D15373" s="3" t="str">
        <f t="shared" si="3869"/>
        <v>12Go Link</v>
      </c>
      <c r="E15373" s="2" t="s">
        <v>4139</v>
      </c>
    </row>
    <row r="15374">
      <c r="A15374" s="2" t="s">
        <v>5027</v>
      </c>
      <c r="B15374" s="2" t="s">
        <v>4941</v>
      </c>
      <c r="C15374" s="2" t="s">
        <v>7565</v>
      </c>
      <c r="D15374" s="3" t="str">
        <f t="shared" si="3869"/>
        <v>12Go Link</v>
      </c>
      <c r="E15374" s="2" t="s">
        <v>3409</v>
      </c>
    </row>
    <row r="15375">
      <c r="A15375" s="2" t="s">
        <v>5027</v>
      </c>
      <c r="B15375" s="2" t="s">
        <v>4945</v>
      </c>
      <c r="C15375" s="2" t="s">
        <v>7566</v>
      </c>
      <c r="D15375" s="3" t="str">
        <f t="shared" ref="D15375:D15377" si="3870">HYPERLINK("https://12go.asia/en/travel/Unawatuna/Bandaranaike-Airport", "12Go Link")</f>
        <v>12Go Link</v>
      </c>
      <c r="E15375" s="2" t="s">
        <v>286</v>
      </c>
    </row>
    <row r="15376">
      <c r="A15376" s="2" t="s">
        <v>5027</v>
      </c>
      <c r="B15376" s="2" t="s">
        <v>4945</v>
      </c>
      <c r="C15376" s="2" t="s">
        <v>7566</v>
      </c>
      <c r="D15376" s="3" t="str">
        <f t="shared" si="3870"/>
        <v>12Go Link</v>
      </c>
      <c r="E15376" s="2" t="s">
        <v>4139</v>
      </c>
    </row>
    <row r="15377">
      <c r="A15377" s="2" t="s">
        <v>5027</v>
      </c>
      <c r="B15377" s="2" t="s">
        <v>4945</v>
      </c>
      <c r="C15377" s="2" t="s">
        <v>7566</v>
      </c>
      <c r="D15377" s="3" t="str">
        <f t="shared" si="3870"/>
        <v>12Go Link</v>
      </c>
      <c r="E15377" s="2" t="s">
        <v>3409</v>
      </c>
    </row>
    <row r="15378">
      <c r="A15378" s="2" t="s">
        <v>5027</v>
      </c>
      <c r="B15378" s="2" t="s">
        <v>4949</v>
      </c>
      <c r="C15378" s="2" t="s">
        <v>7567</v>
      </c>
      <c r="D15378" s="3" t="str">
        <f t="shared" ref="D15378:D15380" si="3871">HYPERLINK("https://12go.asia/en/travel/Unawatuna/Deniyaya", "12Go Link")</f>
        <v>12Go Link</v>
      </c>
      <c r="E15378" s="2" t="s">
        <v>286</v>
      </c>
    </row>
    <row r="15379">
      <c r="A15379" s="2" t="s">
        <v>5027</v>
      </c>
      <c r="B15379" s="2" t="s">
        <v>4949</v>
      </c>
      <c r="C15379" s="2" t="s">
        <v>7567</v>
      </c>
      <c r="D15379" s="3" t="str">
        <f t="shared" si="3871"/>
        <v>12Go Link</v>
      </c>
      <c r="E15379" s="2" t="s">
        <v>4139</v>
      </c>
    </row>
    <row r="15380">
      <c r="A15380" s="2" t="s">
        <v>5027</v>
      </c>
      <c r="B15380" s="2" t="s">
        <v>4949</v>
      </c>
      <c r="C15380" s="2" t="s">
        <v>7567</v>
      </c>
      <c r="D15380" s="3" t="str">
        <f t="shared" si="3871"/>
        <v>12Go Link</v>
      </c>
      <c r="E15380" s="2" t="s">
        <v>3409</v>
      </c>
    </row>
    <row r="15381">
      <c r="A15381" s="2" t="s">
        <v>5027</v>
      </c>
      <c r="B15381" s="2" t="s">
        <v>4951</v>
      </c>
      <c r="C15381" s="2" t="s">
        <v>7568</v>
      </c>
      <c r="D15381" s="3" t="str">
        <f t="shared" ref="D15381:D15383" si="3872">HYPERLINK("https://12go.asia/en/travel/Unawatuna/Dickwella", "12Go Link")</f>
        <v>12Go Link</v>
      </c>
      <c r="E15381" s="2" t="s">
        <v>286</v>
      </c>
    </row>
    <row r="15382">
      <c r="A15382" s="2" t="s">
        <v>5027</v>
      </c>
      <c r="B15382" s="2" t="s">
        <v>4951</v>
      </c>
      <c r="C15382" s="2" t="s">
        <v>7568</v>
      </c>
      <c r="D15382" s="3" t="str">
        <f t="shared" si="3872"/>
        <v>12Go Link</v>
      </c>
      <c r="E15382" s="2" t="s">
        <v>4139</v>
      </c>
    </row>
    <row r="15383">
      <c r="A15383" s="2" t="s">
        <v>5027</v>
      </c>
      <c r="B15383" s="2" t="s">
        <v>4951</v>
      </c>
      <c r="C15383" s="2" t="s">
        <v>7568</v>
      </c>
      <c r="D15383" s="3" t="str">
        <f t="shared" si="3872"/>
        <v>12Go Link</v>
      </c>
      <c r="E15383" s="2" t="s">
        <v>3409</v>
      </c>
    </row>
    <row r="15384">
      <c r="A15384" s="2" t="s">
        <v>5027</v>
      </c>
      <c r="B15384" s="2" t="s">
        <v>4951</v>
      </c>
      <c r="C15384" s="2" t="s">
        <v>7569</v>
      </c>
      <c r="D15384" s="3" t="str">
        <f t="shared" ref="D15384:D15386" si="3873">HYPERLINK("https://12go.asia/en/travel/Unawatuna/Hiriketiya-beach", "12Go Link")</f>
        <v>12Go Link</v>
      </c>
      <c r="E15384" s="2" t="s">
        <v>286</v>
      </c>
    </row>
    <row r="15385">
      <c r="A15385" s="2" t="s">
        <v>5027</v>
      </c>
      <c r="B15385" s="2" t="s">
        <v>4951</v>
      </c>
      <c r="C15385" s="2" t="s">
        <v>7569</v>
      </c>
      <c r="D15385" s="3" t="str">
        <f t="shared" si="3873"/>
        <v>12Go Link</v>
      </c>
      <c r="E15385" s="2" t="s">
        <v>4139</v>
      </c>
    </row>
    <row r="15386">
      <c r="A15386" s="2" t="s">
        <v>5027</v>
      </c>
      <c r="B15386" s="2" t="s">
        <v>4951</v>
      </c>
      <c r="C15386" s="2" t="s">
        <v>7569</v>
      </c>
      <c r="D15386" s="3" t="str">
        <f t="shared" si="3873"/>
        <v>12Go Link</v>
      </c>
      <c r="E15386" s="2" t="s">
        <v>3409</v>
      </c>
    </row>
    <row r="15387">
      <c r="A15387" s="2" t="s">
        <v>5027</v>
      </c>
      <c r="B15387" s="2" t="s">
        <v>4954</v>
      </c>
      <c r="C15387" s="2" t="s">
        <v>7570</v>
      </c>
      <c r="D15387" s="3" t="str">
        <f t="shared" ref="D15387:D15389" si="3874">HYPERLINK("https://12go.asia/en/travel/Unawatuna/Galle", "12Go Link")</f>
        <v>12Go Link</v>
      </c>
      <c r="E15387" s="2" t="s">
        <v>286</v>
      </c>
    </row>
    <row r="15388">
      <c r="A15388" s="2" t="s">
        <v>5027</v>
      </c>
      <c r="B15388" s="2" t="s">
        <v>4954</v>
      </c>
      <c r="C15388" s="2" t="s">
        <v>7570</v>
      </c>
      <c r="D15388" s="3" t="str">
        <f t="shared" si="3874"/>
        <v>12Go Link</v>
      </c>
      <c r="E15388" s="2" t="s">
        <v>4139</v>
      </c>
    </row>
    <row r="15389">
      <c r="A15389" s="2" t="s">
        <v>5027</v>
      </c>
      <c r="B15389" s="2" t="s">
        <v>4954</v>
      </c>
      <c r="C15389" s="2" t="s">
        <v>7570</v>
      </c>
      <c r="D15389" s="3" t="str">
        <f t="shared" si="3874"/>
        <v>12Go Link</v>
      </c>
      <c r="E15389" s="2" t="s">
        <v>3409</v>
      </c>
    </row>
    <row r="15390">
      <c r="A15390" s="2" t="s">
        <v>5027</v>
      </c>
      <c r="B15390" s="2" t="s">
        <v>4954</v>
      </c>
      <c r="C15390" s="2" t="s">
        <v>7571</v>
      </c>
      <c r="D15390" s="3" t="str">
        <f t="shared" ref="D15390:D15392" si="3875">HYPERLINK("https://12go.asia/en/travel/Unawatuna/Talpe", "12Go Link")</f>
        <v>12Go Link</v>
      </c>
      <c r="E15390" s="2" t="s">
        <v>286</v>
      </c>
    </row>
    <row r="15391">
      <c r="A15391" s="2" t="s">
        <v>5027</v>
      </c>
      <c r="B15391" s="2" t="s">
        <v>4954</v>
      </c>
      <c r="C15391" s="2" t="s">
        <v>7571</v>
      </c>
      <c r="D15391" s="3" t="str">
        <f t="shared" si="3875"/>
        <v>12Go Link</v>
      </c>
      <c r="E15391" s="2" t="s">
        <v>4139</v>
      </c>
    </row>
    <row r="15392">
      <c r="A15392" s="2" t="s">
        <v>5027</v>
      </c>
      <c r="B15392" s="2" t="s">
        <v>4954</v>
      </c>
      <c r="C15392" s="2" t="s">
        <v>7571</v>
      </c>
      <c r="D15392" s="3" t="str">
        <f t="shared" si="3875"/>
        <v>12Go Link</v>
      </c>
      <c r="E15392" s="2" t="s">
        <v>3409</v>
      </c>
    </row>
    <row r="15393">
      <c r="A15393" s="2" t="s">
        <v>5027</v>
      </c>
      <c r="B15393" s="2" t="s">
        <v>4957</v>
      </c>
      <c r="C15393" s="2" t="s">
        <v>7572</v>
      </c>
      <c r="D15393" s="3" t="str">
        <f t="shared" ref="D15393:D15395" si="3876">HYPERLINK("https://12go.asia/en/travel/Unawatuna/Habarana", "12Go Link")</f>
        <v>12Go Link</v>
      </c>
      <c r="E15393" s="2" t="s">
        <v>286</v>
      </c>
    </row>
    <row r="15394">
      <c r="A15394" s="2" t="s">
        <v>5027</v>
      </c>
      <c r="B15394" s="2" t="s">
        <v>4957</v>
      </c>
      <c r="C15394" s="2" t="s">
        <v>7572</v>
      </c>
      <c r="D15394" s="3" t="str">
        <f t="shared" si="3876"/>
        <v>12Go Link</v>
      </c>
      <c r="E15394" s="2" t="s">
        <v>4139</v>
      </c>
    </row>
    <row r="15395">
      <c r="A15395" s="2" t="s">
        <v>5027</v>
      </c>
      <c r="B15395" s="2" t="s">
        <v>4957</v>
      </c>
      <c r="C15395" s="2" t="s">
        <v>7572</v>
      </c>
      <c r="D15395" s="3" t="str">
        <f t="shared" si="3876"/>
        <v>12Go Link</v>
      </c>
      <c r="E15395" s="2" t="s">
        <v>3409</v>
      </c>
    </row>
    <row r="15396">
      <c r="A15396" s="2" t="s">
        <v>5027</v>
      </c>
      <c r="B15396" s="2" t="s">
        <v>4959</v>
      </c>
      <c r="C15396" s="2" t="s">
        <v>7573</v>
      </c>
      <c r="D15396" s="3" t="str">
        <f t="shared" ref="D15396:D15398" si="3877">HYPERLINK("https://12go.asia/en/travel/Unawatuna/Ella", "12Go Link")</f>
        <v>12Go Link</v>
      </c>
      <c r="E15396" s="2" t="s">
        <v>286</v>
      </c>
    </row>
    <row r="15397">
      <c r="A15397" s="2" t="s">
        <v>5027</v>
      </c>
      <c r="B15397" s="2" t="s">
        <v>4959</v>
      </c>
      <c r="C15397" s="2" t="s">
        <v>7573</v>
      </c>
      <c r="D15397" s="3" t="str">
        <f t="shared" si="3877"/>
        <v>12Go Link</v>
      </c>
      <c r="E15397" s="2" t="s">
        <v>4139</v>
      </c>
    </row>
    <row r="15398">
      <c r="A15398" s="2" t="s">
        <v>5027</v>
      </c>
      <c r="B15398" s="2" t="s">
        <v>4959</v>
      </c>
      <c r="C15398" s="2" t="s">
        <v>7573</v>
      </c>
      <c r="D15398" s="3" t="str">
        <f t="shared" si="3877"/>
        <v>12Go Link</v>
      </c>
      <c r="E15398" s="2" t="s">
        <v>3409</v>
      </c>
    </row>
    <row r="15399">
      <c r="A15399" s="2" t="s">
        <v>5027</v>
      </c>
      <c r="B15399" s="2" t="s">
        <v>4961</v>
      </c>
      <c r="C15399" s="2" t="s">
        <v>7574</v>
      </c>
      <c r="D15399" s="3" t="str">
        <f t="shared" ref="D15399:D15401" si="3878">HYPERLINK("https://12go.asia/en/travel/Unawatuna/Beragala", "12Go Link")</f>
        <v>12Go Link</v>
      </c>
      <c r="E15399" s="2" t="s">
        <v>286</v>
      </c>
    </row>
    <row r="15400">
      <c r="A15400" s="2" t="s">
        <v>5027</v>
      </c>
      <c r="B15400" s="2" t="s">
        <v>4961</v>
      </c>
      <c r="C15400" s="2" t="s">
        <v>7574</v>
      </c>
      <c r="D15400" s="3" t="str">
        <f t="shared" si="3878"/>
        <v>12Go Link</v>
      </c>
      <c r="E15400" s="2" t="s">
        <v>4139</v>
      </c>
    </row>
    <row r="15401">
      <c r="A15401" s="2" t="s">
        <v>5027</v>
      </c>
      <c r="B15401" s="2" t="s">
        <v>4961</v>
      </c>
      <c r="C15401" s="2" t="s">
        <v>7574</v>
      </c>
      <c r="D15401" s="3" t="str">
        <f t="shared" si="3878"/>
        <v>12Go Link</v>
      </c>
      <c r="E15401" s="2" t="s">
        <v>3409</v>
      </c>
    </row>
    <row r="15402">
      <c r="A15402" s="2" t="s">
        <v>5027</v>
      </c>
      <c r="B15402" s="2" t="s">
        <v>4963</v>
      </c>
      <c r="C15402" s="2" t="s">
        <v>7575</v>
      </c>
      <c r="D15402" s="3" t="str">
        <f t="shared" ref="D15402:D15404" si="3879">HYPERLINK("https://12go.asia/en/travel/Unawatuna/Dick-oya", "12Go Link")</f>
        <v>12Go Link</v>
      </c>
      <c r="E15402" s="2" t="s">
        <v>286</v>
      </c>
    </row>
    <row r="15403">
      <c r="A15403" s="2" t="s">
        <v>5027</v>
      </c>
      <c r="B15403" s="2" t="s">
        <v>4963</v>
      </c>
      <c r="C15403" s="2" t="s">
        <v>7575</v>
      </c>
      <c r="D15403" s="3" t="str">
        <f t="shared" si="3879"/>
        <v>12Go Link</v>
      </c>
      <c r="E15403" s="2" t="s">
        <v>4139</v>
      </c>
    </row>
    <row r="15404">
      <c r="A15404" s="2" t="s">
        <v>5027</v>
      </c>
      <c r="B15404" s="2" t="s">
        <v>4963</v>
      </c>
      <c r="C15404" s="2" t="s">
        <v>7575</v>
      </c>
      <c r="D15404" s="3" t="str">
        <f t="shared" si="3879"/>
        <v>12Go Link</v>
      </c>
      <c r="E15404" s="2" t="s">
        <v>3409</v>
      </c>
    </row>
    <row r="15405">
      <c r="A15405" s="2" t="s">
        <v>5027</v>
      </c>
      <c r="B15405" s="2" t="s">
        <v>4965</v>
      </c>
      <c r="C15405" s="2" t="s">
        <v>7576</v>
      </c>
      <c r="D15405" s="3" t="str">
        <f t="shared" ref="D15405:D15407" si="3880">HYPERLINK("https://12go.asia/en/travel/Unawatuna/Dodanduwa", "12Go Link")</f>
        <v>12Go Link</v>
      </c>
      <c r="E15405" s="2" t="s">
        <v>286</v>
      </c>
    </row>
    <row r="15406">
      <c r="A15406" s="2" t="s">
        <v>5027</v>
      </c>
      <c r="B15406" s="2" t="s">
        <v>4965</v>
      </c>
      <c r="C15406" s="2" t="s">
        <v>7576</v>
      </c>
      <c r="D15406" s="3" t="str">
        <f t="shared" si="3880"/>
        <v>12Go Link</v>
      </c>
      <c r="E15406" s="2" t="s">
        <v>4139</v>
      </c>
    </row>
    <row r="15407">
      <c r="A15407" s="2" t="s">
        <v>5027</v>
      </c>
      <c r="B15407" s="2" t="s">
        <v>4965</v>
      </c>
      <c r="C15407" s="2" t="s">
        <v>7576</v>
      </c>
      <c r="D15407" s="3" t="str">
        <f t="shared" si="3880"/>
        <v>12Go Link</v>
      </c>
      <c r="E15407" s="2" t="s">
        <v>3409</v>
      </c>
    </row>
    <row r="15408">
      <c r="A15408" s="2" t="s">
        <v>5027</v>
      </c>
      <c r="B15408" s="2" t="s">
        <v>4967</v>
      </c>
      <c r="C15408" s="2" t="s">
        <v>7577</v>
      </c>
      <c r="D15408" s="3" t="str">
        <f t="shared" ref="D15408:D15410" si="3881">HYPERLINK("https://12go.asia/en/travel/Unawatuna/Induruwa", "12Go Link")</f>
        <v>12Go Link</v>
      </c>
      <c r="E15408" s="2" t="s">
        <v>286</v>
      </c>
    </row>
    <row r="15409">
      <c r="A15409" s="2" t="s">
        <v>5027</v>
      </c>
      <c r="B15409" s="2" t="s">
        <v>4967</v>
      </c>
      <c r="C15409" s="2" t="s">
        <v>7577</v>
      </c>
      <c r="D15409" s="3" t="str">
        <f t="shared" si="3881"/>
        <v>12Go Link</v>
      </c>
      <c r="E15409" s="2" t="s">
        <v>4139</v>
      </c>
    </row>
    <row r="15410">
      <c r="A15410" s="2" t="s">
        <v>5027</v>
      </c>
      <c r="B15410" s="2" t="s">
        <v>4967</v>
      </c>
      <c r="C15410" s="2" t="s">
        <v>7577</v>
      </c>
      <c r="D15410" s="3" t="str">
        <f t="shared" si="3881"/>
        <v>12Go Link</v>
      </c>
      <c r="E15410" s="2" t="s">
        <v>3409</v>
      </c>
    </row>
    <row r="15411">
      <c r="A15411" s="2" t="s">
        <v>5027</v>
      </c>
      <c r="B15411" s="2" t="s">
        <v>4969</v>
      </c>
      <c r="C15411" s="2" t="s">
        <v>7578</v>
      </c>
      <c r="D15411" s="3" t="str">
        <f t="shared" ref="D15411:D15413" si="3882">HYPERLINK("https://12go.asia/en/travel/Unawatuna/Jaffna", "12Go Link")</f>
        <v>12Go Link</v>
      </c>
      <c r="E15411" s="2" t="s">
        <v>286</v>
      </c>
    </row>
    <row r="15412">
      <c r="A15412" s="2" t="s">
        <v>5027</v>
      </c>
      <c r="B15412" s="2" t="s">
        <v>4969</v>
      </c>
      <c r="C15412" s="2" t="s">
        <v>7578</v>
      </c>
      <c r="D15412" s="3" t="str">
        <f t="shared" si="3882"/>
        <v>12Go Link</v>
      </c>
      <c r="E15412" s="2" t="s">
        <v>4139</v>
      </c>
    </row>
    <row r="15413">
      <c r="A15413" s="2" t="s">
        <v>5027</v>
      </c>
      <c r="B15413" s="2" t="s">
        <v>4969</v>
      </c>
      <c r="C15413" s="2" t="s">
        <v>7578</v>
      </c>
      <c r="D15413" s="3" t="str">
        <f t="shared" si="3882"/>
        <v>12Go Link</v>
      </c>
      <c r="E15413" s="2" t="s">
        <v>3409</v>
      </c>
    </row>
    <row r="15414">
      <c r="A15414" s="2" t="s">
        <v>5027</v>
      </c>
      <c r="B15414" s="2" t="s">
        <v>4971</v>
      </c>
      <c r="C15414" s="2" t="s">
        <v>7579</v>
      </c>
      <c r="D15414" s="3" t="str">
        <f t="shared" ref="D15414:D15416" si="3883">HYPERLINK("https://12go.asia/en/travel/Unawatuna/Kalapuwa", "12Go Link")</f>
        <v>12Go Link</v>
      </c>
      <c r="E15414" s="2" t="s">
        <v>286</v>
      </c>
    </row>
    <row r="15415">
      <c r="A15415" s="2" t="s">
        <v>5027</v>
      </c>
      <c r="B15415" s="2" t="s">
        <v>4971</v>
      </c>
      <c r="C15415" s="2" t="s">
        <v>7579</v>
      </c>
      <c r="D15415" s="3" t="str">
        <f t="shared" si="3883"/>
        <v>12Go Link</v>
      </c>
      <c r="E15415" s="2" t="s">
        <v>4139</v>
      </c>
    </row>
    <row r="15416">
      <c r="A15416" s="2" t="s">
        <v>5027</v>
      </c>
      <c r="B15416" s="2" t="s">
        <v>4971</v>
      </c>
      <c r="C15416" s="2" t="s">
        <v>7579</v>
      </c>
      <c r="D15416" s="3" t="str">
        <f t="shared" si="3883"/>
        <v>12Go Link</v>
      </c>
      <c r="E15416" s="2" t="s">
        <v>3409</v>
      </c>
    </row>
    <row r="15417">
      <c r="A15417" s="2" t="s">
        <v>5027</v>
      </c>
      <c r="B15417" s="2" t="s">
        <v>4973</v>
      </c>
      <c r="C15417" s="2" t="s">
        <v>7580</v>
      </c>
      <c r="D15417" s="3" t="str">
        <f>HYPERLINK("https://12go.asia/en/travel/Unawatuna/Ampitiya", "12Go Link")</f>
        <v>12Go Link</v>
      </c>
      <c r="E15417" s="2" t="s">
        <v>286</v>
      </c>
    </row>
    <row r="15418">
      <c r="A15418" s="2" t="s">
        <v>5027</v>
      </c>
      <c r="B15418" s="2" t="s">
        <v>4973</v>
      </c>
      <c r="C15418" s="2" t="s">
        <v>7581</v>
      </c>
      <c r="D15418" s="3" t="str">
        <f t="shared" ref="D15418:D15420" si="3884">HYPERLINK("https://12go.asia/en/travel/Unawatuna/Digana", "12Go Link")</f>
        <v>12Go Link</v>
      </c>
      <c r="E15418" s="2" t="s">
        <v>286</v>
      </c>
    </row>
    <row r="15419">
      <c r="A15419" s="2" t="s">
        <v>5027</v>
      </c>
      <c r="B15419" s="2" t="s">
        <v>4973</v>
      </c>
      <c r="C15419" s="2" t="s">
        <v>7581</v>
      </c>
      <c r="D15419" s="3" t="str">
        <f t="shared" si="3884"/>
        <v>12Go Link</v>
      </c>
      <c r="E15419" s="2" t="s">
        <v>4139</v>
      </c>
    </row>
    <row r="15420">
      <c r="A15420" s="2" t="s">
        <v>5027</v>
      </c>
      <c r="B15420" s="2" t="s">
        <v>4973</v>
      </c>
      <c r="C15420" s="2" t="s">
        <v>7581</v>
      </c>
      <c r="D15420" s="3" t="str">
        <f t="shared" si="3884"/>
        <v>12Go Link</v>
      </c>
      <c r="E15420" s="2" t="s">
        <v>3409</v>
      </c>
    </row>
    <row r="15421">
      <c r="A15421" s="2" t="s">
        <v>5027</v>
      </c>
      <c r="B15421" s="2" t="s">
        <v>4976</v>
      </c>
      <c r="C15421" s="2" t="s">
        <v>7582</v>
      </c>
      <c r="D15421" s="3" t="str">
        <f t="shared" ref="D15421:D15423" si="3885">HYPERLINK("https://12go.asia/en/travel/Unawatuna/Kataragama", "12Go Link")</f>
        <v>12Go Link</v>
      </c>
      <c r="E15421" s="2" t="s">
        <v>286</v>
      </c>
    </row>
    <row r="15422">
      <c r="A15422" s="2" t="s">
        <v>5027</v>
      </c>
      <c r="B15422" s="2" t="s">
        <v>4976</v>
      </c>
      <c r="C15422" s="2" t="s">
        <v>7582</v>
      </c>
      <c r="D15422" s="3" t="str">
        <f t="shared" si="3885"/>
        <v>12Go Link</v>
      </c>
      <c r="E15422" s="2" t="s">
        <v>4139</v>
      </c>
    </row>
    <row r="15423">
      <c r="A15423" s="2" t="s">
        <v>5027</v>
      </c>
      <c r="B15423" s="2" t="s">
        <v>4976</v>
      </c>
      <c r="C15423" s="2" t="s">
        <v>7582</v>
      </c>
      <c r="D15423" s="3" t="str">
        <f t="shared" si="3885"/>
        <v>12Go Link</v>
      </c>
      <c r="E15423" s="2" t="s">
        <v>3409</v>
      </c>
    </row>
    <row r="15424">
      <c r="A15424" s="2" t="s">
        <v>5027</v>
      </c>
      <c r="B15424" s="2" t="s">
        <v>4978</v>
      </c>
      <c r="C15424" s="2" t="s">
        <v>7583</v>
      </c>
      <c r="D15424" s="3" t="str">
        <f t="shared" ref="D15424:D15426" si="3886">HYPERLINK("https://12go.asia/en/travel/Unawatuna/Alawathupitiya", "12Go Link")</f>
        <v>12Go Link</v>
      </c>
      <c r="E15424" s="2" t="s">
        <v>286</v>
      </c>
    </row>
    <row r="15425">
      <c r="A15425" s="2" t="s">
        <v>5027</v>
      </c>
      <c r="B15425" s="2" t="s">
        <v>4978</v>
      </c>
      <c r="C15425" s="2" t="s">
        <v>7583</v>
      </c>
      <c r="D15425" s="3" t="str">
        <f t="shared" si="3886"/>
        <v>12Go Link</v>
      </c>
      <c r="E15425" s="2" t="s">
        <v>4139</v>
      </c>
    </row>
    <row r="15426">
      <c r="A15426" s="2" t="s">
        <v>5027</v>
      </c>
      <c r="B15426" s="2" t="s">
        <v>4978</v>
      </c>
      <c r="C15426" s="2" t="s">
        <v>7583</v>
      </c>
      <c r="D15426" s="3" t="str">
        <f t="shared" si="3886"/>
        <v>12Go Link</v>
      </c>
      <c r="E15426" s="2" t="s">
        <v>3409</v>
      </c>
    </row>
    <row r="15427">
      <c r="A15427" s="2" t="s">
        <v>5027</v>
      </c>
      <c r="B15427" s="2" t="s">
        <v>4980</v>
      </c>
      <c r="C15427" s="2" t="s">
        <v>7584</v>
      </c>
      <c r="D15427" s="3" t="str">
        <f t="shared" ref="D15427:D15429" si="3887">HYPERLINK("https://12go.asia/en/travel/Unawatuna/Pinnawala", "12Go Link")</f>
        <v>12Go Link</v>
      </c>
      <c r="E15427" s="2" t="s">
        <v>286</v>
      </c>
    </row>
    <row r="15428">
      <c r="A15428" s="2" t="s">
        <v>5027</v>
      </c>
      <c r="B15428" s="2" t="s">
        <v>4980</v>
      </c>
      <c r="C15428" s="2" t="s">
        <v>7584</v>
      </c>
      <c r="D15428" s="3" t="str">
        <f t="shared" si="3887"/>
        <v>12Go Link</v>
      </c>
      <c r="E15428" s="2" t="s">
        <v>4139</v>
      </c>
    </row>
    <row r="15429">
      <c r="A15429" s="2" t="s">
        <v>5027</v>
      </c>
      <c r="B15429" s="2" t="s">
        <v>4980</v>
      </c>
      <c r="C15429" s="2" t="s">
        <v>7584</v>
      </c>
      <c r="D15429" s="3" t="str">
        <f t="shared" si="3887"/>
        <v>12Go Link</v>
      </c>
      <c r="E15429" s="2" t="s">
        <v>3409</v>
      </c>
    </row>
    <row r="15430">
      <c r="A15430" s="2" t="s">
        <v>5027</v>
      </c>
      <c r="B15430" s="2" t="s">
        <v>4982</v>
      </c>
      <c r="C15430" s="2" t="s">
        <v>7585</v>
      </c>
      <c r="D15430" s="3" t="str">
        <f t="shared" ref="D15430:D15432" si="3888">HYPERLINK("https://12go.asia/en/travel/Unawatuna/Kitulgala", "12Go Link")</f>
        <v>12Go Link</v>
      </c>
      <c r="E15430" s="2" t="s">
        <v>286</v>
      </c>
    </row>
    <row r="15431">
      <c r="A15431" s="2" t="s">
        <v>5027</v>
      </c>
      <c r="B15431" s="2" t="s">
        <v>4982</v>
      </c>
      <c r="C15431" s="2" t="s">
        <v>7585</v>
      </c>
      <c r="D15431" s="3" t="str">
        <f t="shared" si="3888"/>
        <v>12Go Link</v>
      </c>
      <c r="E15431" s="2" t="s">
        <v>4139</v>
      </c>
    </row>
    <row r="15432">
      <c r="A15432" s="2" t="s">
        <v>5027</v>
      </c>
      <c r="B15432" s="2" t="s">
        <v>4982</v>
      </c>
      <c r="C15432" s="2" t="s">
        <v>7585</v>
      </c>
      <c r="D15432" s="3" t="str">
        <f t="shared" si="3888"/>
        <v>12Go Link</v>
      </c>
      <c r="E15432" s="2" t="s">
        <v>3409</v>
      </c>
    </row>
    <row r="15433">
      <c r="A15433" s="2" t="s">
        <v>5027</v>
      </c>
      <c r="B15433" s="2" t="s">
        <v>4984</v>
      </c>
      <c r="C15433" s="2" t="s">
        <v>7586</v>
      </c>
      <c r="D15433" s="3" t="str">
        <f t="shared" ref="D15433:D15435" si="3889">HYPERLINK("https://12go.asia/en/travel/Unawatuna/Habaraduwa", "12Go Link")</f>
        <v>12Go Link</v>
      </c>
      <c r="E15433" s="2" t="s">
        <v>286</v>
      </c>
    </row>
    <row r="15434">
      <c r="A15434" s="2" t="s">
        <v>5027</v>
      </c>
      <c r="B15434" s="2" t="s">
        <v>4984</v>
      </c>
      <c r="C15434" s="2" t="s">
        <v>7586</v>
      </c>
      <c r="D15434" s="3" t="str">
        <f t="shared" si="3889"/>
        <v>12Go Link</v>
      </c>
      <c r="E15434" s="2" t="s">
        <v>4139</v>
      </c>
    </row>
    <row r="15435">
      <c r="A15435" s="2" t="s">
        <v>5027</v>
      </c>
      <c r="B15435" s="2" t="s">
        <v>4984</v>
      </c>
      <c r="C15435" s="2" t="s">
        <v>7586</v>
      </c>
      <c r="D15435" s="3" t="str">
        <f t="shared" si="3889"/>
        <v>12Go Link</v>
      </c>
      <c r="E15435" s="2" t="s">
        <v>3409</v>
      </c>
    </row>
    <row r="15436">
      <c r="A15436" s="2" t="s">
        <v>5027</v>
      </c>
      <c r="B15436" s="2" t="s">
        <v>4986</v>
      </c>
      <c r="C15436" s="2" t="s">
        <v>7587</v>
      </c>
      <c r="D15436" s="3" t="str">
        <f t="shared" ref="D15436:D15438" si="3890">HYPERLINK("https://12go.asia/en/travel/Unawatuna/Kosgoda", "12Go Link")</f>
        <v>12Go Link</v>
      </c>
      <c r="E15436" s="2" t="s">
        <v>286</v>
      </c>
    </row>
    <row r="15437">
      <c r="A15437" s="2" t="s">
        <v>5027</v>
      </c>
      <c r="B15437" s="2" t="s">
        <v>4986</v>
      </c>
      <c r="C15437" s="2" t="s">
        <v>7587</v>
      </c>
      <c r="D15437" s="3" t="str">
        <f t="shared" si="3890"/>
        <v>12Go Link</v>
      </c>
      <c r="E15437" s="2" t="s">
        <v>4139</v>
      </c>
    </row>
    <row r="15438">
      <c r="A15438" s="2" t="s">
        <v>5027</v>
      </c>
      <c r="B15438" s="2" t="s">
        <v>4986</v>
      </c>
      <c r="C15438" s="2" t="s">
        <v>7587</v>
      </c>
      <c r="D15438" s="3" t="str">
        <f t="shared" si="3890"/>
        <v>12Go Link</v>
      </c>
      <c r="E15438" s="2" t="s">
        <v>3409</v>
      </c>
    </row>
    <row r="15439">
      <c r="A15439" s="2" t="s">
        <v>5027</v>
      </c>
      <c r="B15439" s="2" t="s">
        <v>4988</v>
      </c>
      <c r="C15439" s="2" t="s">
        <v>7588</v>
      </c>
      <c r="D15439" s="3" t="str">
        <f t="shared" ref="D15439:D15441" si="3891">HYPERLINK("https://12go.asia/en/travel/Unawatuna/Kuchchaveli", "12Go Link")</f>
        <v>12Go Link</v>
      </c>
      <c r="E15439" s="2" t="s">
        <v>286</v>
      </c>
    </row>
    <row r="15440">
      <c r="A15440" s="2" t="s">
        <v>5027</v>
      </c>
      <c r="B15440" s="2" t="s">
        <v>4988</v>
      </c>
      <c r="C15440" s="2" t="s">
        <v>7588</v>
      </c>
      <c r="D15440" s="3" t="str">
        <f t="shared" si="3891"/>
        <v>12Go Link</v>
      </c>
      <c r="E15440" s="2" t="s">
        <v>4139</v>
      </c>
    </row>
    <row r="15441">
      <c r="A15441" s="2" t="s">
        <v>5027</v>
      </c>
      <c r="B15441" s="2" t="s">
        <v>4988</v>
      </c>
      <c r="C15441" s="2" t="s">
        <v>7588</v>
      </c>
      <c r="D15441" s="3" t="str">
        <f t="shared" si="3891"/>
        <v>12Go Link</v>
      </c>
      <c r="E15441" s="2" t="s">
        <v>3409</v>
      </c>
    </row>
    <row r="15442">
      <c r="A15442" s="2" t="s">
        <v>5027</v>
      </c>
      <c r="B15442" s="2" t="s">
        <v>4990</v>
      </c>
      <c r="C15442" s="2" t="s">
        <v>7589</v>
      </c>
      <c r="D15442" s="3" t="str">
        <f t="shared" ref="D15442:D15444" si="3892">HYPERLINK("https://12go.asia/en/travel/Unawatuna/Mannar", "12Go Link")</f>
        <v>12Go Link</v>
      </c>
      <c r="E15442" s="2" t="s">
        <v>286</v>
      </c>
    </row>
    <row r="15443">
      <c r="A15443" s="2" t="s">
        <v>5027</v>
      </c>
      <c r="B15443" s="2" t="s">
        <v>4990</v>
      </c>
      <c r="C15443" s="2" t="s">
        <v>7589</v>
      </c>
      <c r="D15443" s="3" t="str">
        <f t="shared" si="3892"/>
        <v>12Go Link</v>
      </c>
      <c r="E15443" s="2" t="s">
        <v>4139</v>
      </c>
    </row>
    <row r="15444">
      <c r="A15444" s="2" t="s">
        <v>5027</v>
      </c>
      <c r="B15444" s="2" t="s">
        <v>4990</v>
      </c>
      <c r="C15444" s="2" t="s">
        <v>7589</v>
      </c>
      <c r="D15444" s="3" t="str">
        <f t="shared" si="3892"/>
        <v>12Go Link</v>
      </c>
      <c r="E15444" s="2" t="s">
        <v>3409</v>
      </c>
    </row>
    <row r="15445">
      <c r="A15445" s="2" t="s">
        <v>5027</v>
      </c>
      <c r="B15445" s="2" t="s">
        <v>4992</v>
      </c>
      <c r="C15445" s="2" t="s">
        <v>7590</v>
      </c>
      <c r="D15445" s="3" t="str">
        <f t="shared" ref="D15445:D15447" si="3893">HYPERLINK("https://12go.asia/en/travel/Unawatuna/Kinigama", "12Go Link")</f>
        <v>12Go Link</v>
      </c>
      <c r="E15445" s="2" t="s">
        <v>286</v>
      </c>
    </row>
    <row r="15446">
      <c r="A15446" s="2" t="s">
        <v>5027</v>
      </c>
      <c r="B15446" s="2" t="s">
        <v>4992</v>
      </c>
      <c r="C15446" s="2" t="s">
        <v>7590</v>
      </c>
      <c r="D15446" s="3" t="str">
        <f t="shared" si="3893"/>
        <v>12Go Link</v>
      </c>
      <c r="E15446" s="2" t="s">
        <v>4139</v>
      </c>
    </row>
    <row r="15447">
      <c r="A15447" s="2" t="s">
        <v>5027</v>
      </c>
      <c r="B15447" s="2" t="s">
        <v>4992</v>
      </c>
      <c r="C15447" s="2" t="s">
        <v>7590</v>
      </c>
      <c r="D15447" s="3" t="str">
        <f t="shared" si="3893"/>
        <v>12Go Link</v>
      </c>
      <c r="E15447" s="2" t="s">
        <v>3409</v>
      </c>
    </row>
    <row r="15448">
      <c r="A15448" s="2" t="s">
        <v>5027</v>
      </c>
      <c r="B15448" s="2" t="s">
        <v>4994</v>
      </c>
      <c r="C15448" s="2" t="s">
        <v>7591</v>
      </c>
      <c r="D15448" s="3" t="str">
        <f t="shared" ref="D15448:D15450" si="3894">HYPERLINK("https://12go.asia/en/travel/Unawatuna/Kalamatiya", "12Go Link")</f>
        <v>12Go Link</v>
      </c>
      <c r="E15448" s="2" t="s">
        <v>286</v>
      </c>
    </row>
    <row r="15449">
      <c r="A15449" s="2" t="s">
        <v>5027</v>
      </c>
      <c r="B15449" s="2" t="s">
        <v>4994</v>
      </c>
      <c r="C15449" s="2" t="s">
        <v>7591</v>
      </c>
      <c r="D15449" s="3" t="str">
        <f t="shared" si="3894"/>
        <v>12Go Link</v>
      </c>
      <c r="E15449" s="2" t="s">
        <v>4139</v>
      </c>
    </row>
    <row r="15450">
      <c r="A15450" s="2" t="s">
        <v>5027</v>
      </c>
      <c r="B15450" s="2" t="s">
        <v>4994</v>
      </c>
      <c r="C15450" s="2" t="s">
        <v>7591</v>
      </c>
      <c r="D15450" s="3" t="str">
        <f t="shared" si="3894"/>
        <v>12Go Link</v>
      </c>
      <c r="E15450" s="2" t="s">
        <v>3409</v>
      </c>
    </row>
    <row r="15451">
      <c r="A15451" s="2" t="s">
        <v>5027</v>
      </c>
      <c r="B15451" s="2" t="s">
        <v>4996</v>
      </c>
      <c r="C15451" s="2" t="s">
        <v>7592</v>
      </c>
      <c r="D15451" s="3" t="str">
        <f t="shared" ref="D15451:D15453" si="3895">HYPERLINK("https://12go.asia/en/travel/Unawatuna/mirissa", "12Go Link")</f>
        <v>12Go Link</v>
      </c>
      <c r="E15451" s="2" t="s">
        <v>286</v>
      </c>
    </row>
    <row r="15452">
      <c r="A15452" s="2" t="s">
        <v>5027</v>
      </c>
      <c r="B15452" s="2" t="s">
        <v>4996</v>
      </c>
      <c r="C15452" s="2" t="s">
        <v>7592</v>
      </c>
      <c r="D15452" s="3" t="str">
        <f t="shared" si="3895"/>
        <v>12Go Link</v>
      </c>
      <c r="E15452" s="2" t="s">
        <v>4139</v>
      </c>
    </row>
    <row r="15453">
      <c r="A15453" s="2" t="s">
        <v>5027</v>
      </c>
      <c r="B15453" s="2" t="s">
        <v>4996</v>
      </c>
      <c r="C15453" s="2" t="s">
        <v>7592</v>
      </c>
      <c r="D15453" s="3" t="str">
        <f t="shared" si="3895"/>
        <v>12Go Link</v>
      </c>
      <c r="E15453" s="2" t="s">
        <v>3409</v>
      </c>
    </row>
    <row r="15454">
      <c r="A15454" s="2" t="s">
        <v>5027</v>
      </c>
      <c r="B15454" s="2" t="s">
        <v>4998</v>
      </c>
      <c r="C15454" s="2" t="s">
        <v>7593</v>
      </c>
      <c r="D15454" s="3" t="str">
        <f t="shared" ref="D15454:D15456" si="3896">HYPERLINK("https://12go.asia/en/travel/Unawatuna/Nanu-Oya", "12Go Link")</f>
        <v>12Go Link</v>
      </c>
      <c r="E15454" s="2" t="s">
        <v>286</v>
      </c>
    </row>
    <row r="15455">
      <c r="A15455" s="2" t="s">
        <v>5027</v>
      </c>
      <c r="B15455" s="2" t="s">
        <v>4998</v>
      </c>
      <c r="C15455" s="2" t="s">
        <v>7593</v>
      </c>
      <c r="D15455" s="3" t="str">
        <f t="shared" si="3896"/>
        <v>12Go Link</v>
      </c>
      <c r="E15455" s="2" t="s">
        <v>4139</v>
      </c>
    </row>
    <row r="15456">
      <c r="A15456" s="2" t="s">
        <v>5027</v>
      </c>
      <c r="B15456" s="2" t="s">
        <v>4998</v>
      </c>
      <c r="C15456" s="2" t="s">
        <v>7593</v>
      </c>
      <c r="D15456" s="3" t="str">
        <f t="shared" si="3896"/>
        <v>12Go Link</v>
      </c>
      <c r="E15456" s="2" t="s">
        <v>3409</v>
      </c>
    </row>
    <row r="15457">
      <c r="A15457" s="2" t="s">
        <v>5027</v>
      </c>
      <c r="B15457" s="2" t="s">
        <v>5000</v>
      </c>
      <c r="C15457" s="2" t="s">
        <v>7594</v>
      </c>
      <c r="D15457" s="3" t="str">
        <f t="shared" ref="D15457:D15459" si="3897">HYPERLINK("https://12go.asia/en/travel/Unawatuna/Waikkal", "12Go Link")</f>
        <v>12Go Link</v>
      </c>
      <c r="E15457" s="2" t="s">
        <v>286</v>
      </c>
    </row>
    <row r="15458">
      <c r="A15458" s="2" t="s">
        <v>5027</v>
      </c>
      <c r="B15458" s="2" t="s">
        <v>5000</v>
      </c>
      <c r="C15458" s="2" t="s">
        <v>7594</v>
      </c>
      <c r="D15458" s="3" t="str">
        <f t="shared" si="3897"/>
        <v>12Go Link</v>
      </c>
      <c r="E15458" s="2" t="s">
        <v>4139</v>
      </c>
    </row>
    <row r="15459">
      <c r="A15459" s="2" t="s">
        <v>5027</v>
      </c>
      <c r="B15459" s="2" t="s">
        <v>5000</v>
      </c>
      <c r="C15459" s="2" t="s">
        <v>7594</v>
      </c>
      <c r="D15459" s="3" t="str">
        <f t="shared" si="3897"/>
        <v>12Go Link</v>
      </c>
      <c r="E15459" s="2" t="s">
        <v>3409</v>
      </c>
    </row>
    <row r="15460">
      <c r="A15460" s="2" t="s">
        <v>5027</v>
      </c>
      <c r="B15460" s="2" t="s">
        <v>5003</v>
      </c>
      <c r="C15460" s="2" t="s">
        <v>7595</v>
      </c>
      <c r="D15460" s="3" t="str">
        <f t="shared" ref="D15460:D15462" si="3898">HYPERLINK("https://12go.asia/en/travel/Unawatuna/Nilaveli", "12Go Link")</f>
        <v>12Go Link</v>
      </c>
      <c r="E15460" s="2" t="s">
        <v>286</v>
      </c>
    </row>
    <row r="15461">
      <c r="A15461" s="2" t="s">
        <v>5027</v>
      </c>
      <c r="B15461" s="2" t="s">
        <v>5003</v>
      </c>
      <c r="C15461" s="2" t="s">
        <v>7595</v>
      </c>
      <c r="D15461" s="3" t="str">
        <f t="shared" si="3898"/>
        <v>12Go Link</v>
      </c>
      <c r="E15461" s="2" t="s">
        <v>4139</v>
      </c>
    </row>
    <row r="15462">
      <c r="A15462" s="2" t="s">
        <v>5027</v>
      </c>
      <c r="B15462" s="2" t="s">
        <v>5003</v>
      </c>
      <c r="C15462" s="2" t="s">
        <v>7595</v>
      </c>
      <c r="D15462" s="3" t="str">
        <f t="shared" si="3898"/>
        <v>12Go Link</v>
      </c>
      <c r="E15462" s="2" t="s">
        <v>3409</v>
      </c>
    </row>
    <row r="15463">
      <c r="A15463" s="2" t="s">
        <v>5027</v>
      </c>
      <c r="B15463" s="2" t="s">
        <v>5007</v>
      </c>
      <c r="C15463" s="2" t="s">
        <v>7596</v>
      </c>
      <c r="D15463" s="3" t="str">
        <f t="shared" ref="D15463:D15465" si="3899">HYPERLINK("https://12go.asia/en/travel/Unawatuna/Pasikuda", "12Go Link")</f>
        <v>12Go Link</v>
      </c>
      <c r="E15463" s="2" t="s">
        <v>286</v>
      </c>
    </row>
    <row r="15464">
      <c r="A15464" s="2" t="s">
        <v>5027</v>
      </c>
      <c r="B15464" s="2" t="s">
        <v>5007</v>
      </c>
      <c r="C15464" s="2" t="s">
        <v>7596</v>
      </c>
      <c r="D15464" s="3" t="str">
        <f t="shared" si="3899"/>
        <v>12Go Link</v>
      </c>
      <c r="E15464" s="2" t="s">
        <v>4139</v>
      </c>
    </row>
    <row r="15465">
      <c r="A15465" s="2" t="s">
        <v>5027</v>
      </c>
      <c r="B15465" s="2" t="s">
        <v>5007</v>
      </c>
      <c r="C15465" s="2" t="s">
        <v>7596</v>
      </c>
      <c r="D15465" s="3" t="str">
        <f t="shared" si="3899"/>
        <v>12Go Link</v>
      </c>
      <c r="E15465" s="2" t="s">
        <v>3409</v>
      </c>
    </row>
    <row r="15466">
      <c r="A15466" s="2" t="s">
        <v>5027</v>
      </c>
      <c r="B15466" s="2" t="s">
        <v>5009</v>
      </c>
      <c r="C15466" s="2" t="s">
        <v>7597</v>
      </c>
      <c r="D15466" s="3" t="str">
        <f t="shared" ref="D15466:D15468" si="3900">HYPERLINK("https://12go.asia/en/travel/Unawatuna/Galoya", "12Go Link")</f>
        <v>12Go Link</v>
      </c>
      <c r="E15466" s="2" t="s">
        <v>286</v>
      </c>
    </row>
    <row r="15467">
      <c r="A15467" s="2" t="s">
        <v>5027</v>
      </c>
      <c r="B15467" s="2" t="s">
        <v>5009</v>
      </c>
      <c r="C15467" s="2" t="s">
        <v>7597</v>
      </c>
      <c r="D15467" s="3" t="str">
        <f t="shared" si="3900"/>
        <v>12Go Link</v>
      </c>
      <c r="E15467" s="2" t="s">
        <v>4139</v>
      </c>
    </row>
    <row r="15468">
      <c r="A15468" s="2" t="s">
        <v>5027</v>
      </c>
      <c r="B15468" s="2" t="s">
        <v>5009</v>
      </c>
      <c r="C15468" s="2" t="s">
        <v>7597</v>
      </c>
      <c r="D15468" s="3" t="str">
        <f t="shared" si="3900"/>
        <v>12Go Link</v>
      </c>
      <c r="E15468" s="2" t="s">
        <v>3409</v>
      </c>
    </row>
    <row r="15469">
      <c r="A15469" s="2" t="s">
        <v>5027</v>
      </c>
      <c r="B15469" s="2" t="s">
        <v>5011</v>
      </c>
      <c r="C15469" s="2" t="s">
        <v>7598</v>
      </c>
      <c r="D15469" s="3" t="str">
        <f t="shared" ref="D15469:D15471" si="3901">HYPERLINK("https://12go.asia/en/travel/Unawatuna/Kalpitiya", "12Go Link")</f>
        <v>12Go Link</v>
      </c>
      <c r="E15469" s="2" t="s">
        <v>286</v>
      </c>
    </row>
    <row r="15470">
      <c r="A15470" s="2" t="s">
        <v>5027</v>
      </c>
      <c r="B15470" s="2" t="s">
        <v>5011</v>
      </c>
      <c r="C15470" s="2" t="s">
        <v>7598</v>
      </c>
      <c r="D15470" s="3" t="str">
        <f t="shared" si="3901"/>
        <v>12Go Link</v>
      </c>
      <c r="E15470" s="2" t="s">
        <v>4139</v>
      </c>
    </row>
    <row r="15471">
      <c r="A15471" s="2" t="s">
        <v>5027</v>
      </c>
      <c r="B15471" s="2" t="s">
        <v>5011</v>
      </c>
      <c r="C15471" s="2" t="s">
        <v>7598</v>
      </c>
      <c r="D15471" s="3" t="str">
        <f t="shared" si="3901"/>
        <v>12Go Link</v>
      </c>
      <c r="E15471" s="2" t="s">
        <v>3409</v>
      </c>
    </row>
    <row r="15472">
      <c r="A15472" s="2" t="s">
        <v>5027</v>
      </c>
      <c r="B15472" s="2" t="s">
        <v>5011</v>
      </c>
      <c r="C15472" s="2" t="s">
        <v>7599</v>
      </c>
      <c r="D15472" s="3" t="str">
        <f t="shared" ref="D15472:D15474" si="3902">HYPERLINK("https://12go.asia/en/travel/Unawatuna/Marawila", "12Go Link")</f>
        <v>12Go Link</v>
      </c>
      <c r="E15472" s="2" t="s">
        <v>286</v>
      </c>
    </row>
    <row r="15473">
      <c r="A15473" s="2" t="s">
        <v>5027</v>
      </c>
      <c r="B15473" s="2" t="s">
        <v>5011</v>
      </c>
      <c r="C15473" s="2" t="s">
        <v>7599</v>
      </c>
      <c r="D15473" s="3" t="str">
        <f t="shared" si="3902"/>
        <v>12Go Link</v>
      </c>
      <c r="E15473" s="2" t="s">
        <v>4139</v>
      </c>
    </row>
    <row r="15474">
      <c r="A15474" s="2" t="s">
        <v>5027</v>
      </c>
      <c r="B15474" s="2" t="s">
        <v>5011</v>
      </c>
      <c r="C15474" s="2" t="s">
        <v>7599</v>
      </c>
      <c r="D15474" s="3" t="str">
        <f t="shared" si="3902"/>
        <v>12Go Link</v>
      </c>
      <c r="E15474" s="2" t="s">
        <v>3409</v>
      </c>
    </row>
    <row r="15475">
      <c r="A15475" s="2" t="s">
        <v>5027</v>
      </c>
      <c r="B15475" s="2" t="s">
        <v>5014</v>
      </c>
      <c r="C15475" s="2" t="s">
        <v>7600</v>
      </c>
      <c r="D15475" s="3" t="str">
        <f t="shared" ref="D15475:D15477" si="3903">HYPERLINK("https://12go.asia/en/travel/Unawatuna/Kiriella", "12Go Link")</f>
        <v>12Go Link</v>
      </c>
      <c r="E15475" s="2" t="s">
        <v>286</v>
      </c>
    </row>
    <row r="15476">
      <c r="A15476" s="2" t="s">
        <v>5027</v>
      </c>
      <c r="B15476" s="2" t="s">
        <v>5014</v>
      </c>
      <c r="C15476" s="2" t="s">
        <v>7600</v>
      </c>
      <c r="D15476" s="3" t="str">
        <f t="shared" si="3903"/>
        <v>12Go Link</v>
      </c>
      <c r="E15476" s="2" t="s">
        <v>4139</v>
      </c>
    </row>
    <row r="15477">
      <c r="A15477" s="2" t="s">
        <v>5027</v>
      </c>
      <c r="B15477" s="2" t="s">
        <v>5014</v>
      </c>
      <c r="C15477" s="2" t="s">
        <v>7600</v>
      </c>
      <c r="D15477" s="3" t="str">
        <f t="shared" si="3903"/>
        <v>12Go Link</v>
      </c>
      <c r="E15477" s="2" t="s">
        <v>3409</v>
      </c>
    </row>
    <row r="15478">
      <c r="A15478" s="2" t="s">
        <v>5027</v>
      </c>
      <c r="B15478" s="2" t="s">
        <v>5018</v>
      </c>
      <c r="C15478" s="2" t="s">
        <v>7601</v>
      </c>
      <c r="D15478" s="3" t="str">
        <f t="shared" ref="D15478:D15480" si="3904">HYPERLINK("https://12go.asia/en/travel/Unawatuna/Rekawa", "12Go Link")</f>
        <v>12Go Link</v>
      </c>
      <c r="E15478" s="2" t="s">
        <v>286</v>
      </c>
    </row>
    <row r="15479">
      <c r="A15479" s="2" t="s">
        <v>5027</v>
      </c>
      <c r="B15479" s="2" t="s">
        <v>5018</v>
      </c>
      <c r="C15479" s="2" t="s">
        <v>7601</v>
      </c>
      <c r="D15479" s="3" t="str">
        <f t="shared" si="3904"/>
        <v>12Go Link</v>
      </c>
      <c r="E15479" s="2" t="s">
        <v>4139</v>
      </c>
    </row>
    <row r="15480">
      <c r="A15480" s="2" t="s">
        <v>5027</v>
      </c>
      <c r="B15480" s="2" t="s">
        <v>5018</v>
      </c>
      <c r="C15480" s="2" t="s">
        <v>7601</v>
      </c>
      <c r="D15480" s="3" t="str">
        <f t="shared" si="3904"/>
        <v>12Go Link</v>
      </c>
      <c r="E15480" s="2" t="s">
        <v>3409</v>
      </c>
    </row>
    <row r="15481">
      <c r="A15481" s="2" t="s">
        <v>5027</v>
      </c>
      <c r="B15481" s="2" t="s">
        <v>5020</v>
      </c>
      <c r="C15481" s="2" t="s">
        <v>7602</v>
      </c>
      <c r="D15481" s="3" t="str">
        <f t="shared" ref="D15481:D15483" si="3905">HYPERLINK("https://12go.asia/en/travel/Unawatuna/Tissamaharama", "12Go Link")</f>
        <v>12Go Link</v>
      </c>
      <c r="E15481" s="2" t="s">
        <v>286</v>
      </c>
    </row>
    <row r="15482">
      <c r="A15482" s="2" t="s">
        <v>5027</v>
      </c>
      <c r="B15482" s="2" t="s">
        <v>5020</v>
      </c>
      <c r="C15482" s="2" t="s">
        <v>7602</v>
      </c>
      <c r="D15482" s="3" t="str">
        <f t="shared" si="3905"/>
        <v>12Go Link</v>
      </c>
      <c r="E15482" s="2" t="s">
        <v>4139</v>
      </c>
    </row>
    <row r="15483">
      <c r="A15483" s="2" t="s">
        <v>5027</v>
      </c>
      <c r="B15483" s="2" t="s">
        <v>5020</v>
      </c>
      <c r="C15483" s="2" t="s">
        <v>7602</v>
      </c>
      <c r="D15483" s="3" t="str">
        <f t="shared" si="3905"/>
        <v>12Go Link</v>
      </c>
      <c r="E15483" s="2" t="s">
        <v>3409</v>
      </c>
    </row>
    <row r="15484">
      <c r="A15484" s="2" t="s">
        <v>5027</v>
      </c>
      <c r="B15484" s="2" t="s">
        <v>5020</v>
      </c>
      <c r="C15484" s="2" t="s">
        <v>7603</v>
      </c>
      <c r="D15484" s="3" t="str">
        <f t="shared" ref="D15484:D15486" si="3906">HYPERLINK("https://12go.asia/en/travel/Unawatuna/Yala-Park", "12Go Link")</f>
        <v>12Go Link</v>
      </c>
      <c r="E15484" s="2" t="s">
        <v>286</v>
      </c>
    </row>
    <row r="15485">
      <c r="A15485" s="2" t="s">
        <v>5027</v>
      </c>
      <c r="B15485" s="2" t="s">
        <v>5020</v>
      </c>
      <c r="C15485" s="2" t="s">
        <v>7603</v>
      </c>
      <c r="D15485" s="3" t="str">
        <f t="shared" si="3906"/>
        <v>12Go Link</v>
      </c>
      <c r="E15485" s="2" t="s">
        <v>4139</v>
      </c>
    </row>
    <row r="15486">
      <c r="A15486" s="2" t="s">
        <v>5027</v>
      </c>
      <c r="B15486" s="2" t="s">
        <v>5020</v>
      </c>
      <c r="C15486" s="2" t="s">
        <v>7603</v>
      </c>
      <c r="D15486" s="3" t="str">
        <f t="shared" si="3906"/>
        <v>12Go Link</v>
      </c>
      <c r="E15486" s="2" t="s">
        <v>3409</v>
      </c>
    </row>
    <row r="15487">
      <c r="A15487" s="2" t="s">
        <v>5027</v>
      </c>
      <c r="B15487" s="2" t="s">
        <v>5023</v>
      </c>
      <c r="C15487" s="2" t="s">
        <v>7604</v>
      </c>
      <c r="D15487" s="3" t="str">
        <f t="shared" ref="D15487:D15489" si="3907">HYPERLINK("https://12go.asia/en/travel/Unawatuna/Nilaweli", "12Go Link")</f>
        <v>12Go Link</v>
      </c>
      <c r="E15487" s="2" t="s">
        <v>286</v>
      </c>
    </row>
    <row r="15488">
      <c r="A15488" s="2" t="s">
        <v>5027</v>
      </c>
      <c r="B15488" s="2" t="s">
        <v>5023</v>
      </c>
      <c r="C15488" s="2" t="s">
        <v>7604</v>
      </c>
      <c r="D15488" s="3" t="str">
        <f t="shared" si="3907"/>
        <v>12Go Link</v>
      </c>
      <c r="E15488" s="2" t="s">
        <v>4139</v>
      </c>
    </row>
    <row r="15489">
      <c r="A15489" s="2" t="s">
        <v>5027</v>
      </c>
      <c r="B15489" s="2" t="s">
        <v>5023</v>
      </c>
      <c r="C15489" s="2" t="s">
        <v>7604</v>
      </c>
      <c r="D15489" s="3" t="str">
        <f t="shared" si="3907"/>
        <v>12Go Link</v>
      </c>
      <c r="E15489" s="2" t="s">
        <v>3409</v>
      </c>
    </row>
    <row r="15490">
      <c r="A15490" s="2" t="s">
        <v>5027</v>
      </c>
      <c r="B15490" s="2" t="s">
        <v>5025</v>
      </c>
      <c r="C15490" s="2" t="s">
        <v>7605</v>
      </c>
      <c r="D15490" s="3" t="str">
        <f t="shared" ref="D15490:D15492" si="3908">HYPERLINK("https://12go.asia/en/travel/Unawatuna/Udawalawa", "12Go Link")</f>
        <v>12Go Link</v>
      </c>
      <c r="E15490" s="2" t="s">
        <v>286</v>
      </c>
    </row>
    <row r="15491">
      <c r="A15491" s="2" t="s">
        <v>5027</v>
      </c>
      <c r="B15491" s="2" t="s">
        <v>5025</v>
      </c>
      <c r="C15491" s="2" t="s">
        <v>7605</v>
      </c>
      <c r="D15491" s="3" t="str">
        <f t="shared" si="3908"/>
        <v>12Go Link</v>
      </c>
      <c r="E15491" s="2" t="s">
        <v>4139</v>
      </c>
    </row>
    <row r="15492">
      <c r="A15492" s="2" t="s">
        <v>5027</v>
      </c>
      <c r="B15492" s="2" t="s">
        <v>5025</v>
      </c>
      <c r="C15492" s="2" t="s">
        <v>7605</v>
      </c>
      <c r="D15492" s="3" t="str">
        <f t="shared" si="3908"/>
        <v>12Go Link</v>
      </c>
      <c r="E15492" s="2" t="s">
        <v>3409</v>
      </c>
    </row>
    <row r="15493">
      <c r="A15493" s="2" t="s">
        <v>5027</v>
      </c>
      <c r="B15493" s="2" t="s">
        <v>5029</v>
      </c>
      <c r="C15493" s="2" t="s">
        <v>7606</v>
      </c>
      <c r="D15493" s="3" t="str">
        <f t="shared" ref="D15493:D15495" si="3909">HYPERLINK("https://12go.asia/en/travel/Unawatuna/Attanagalla", "12Go Link")</f>
        <v>12Go Link</v>
      </c>
      <c r="E15493" s="2" t="s">
        <v>286</v>
      </c>
    </row>
    <row r="15494">
      <c r="A15494" s="2" t="s">
        <v>5027</v>
      </c>
      <c r="B15494" s="2" t="s">
        <v>5029</v>
      </c>
      <c r="C15494" s="2" t="s">
        <v>7606</v>
      </c>
      <c r="D15494" s="3" t="str">
        <f t="shared" si="3909"/>
        <v>12Go Link</v>
      </c>
      <c r="E15494" s="2" t="s">
        <v>4139</v>
      </c>
    </row>
    <row r="15495">
      <c r="A15495" s="2" t="s">
        <v>5027</v>
      </c>
      <c r="B15495" s="2" t="s">
        <v>5029</v>
      </c>
      <c r="C15495" s="2" t="s">
        <v>7606</v>
      </c>
      <c r="D15495" s="3" t="str">
        <f t="shared" si="3909"/>
        <v>12Go Link</v>
      </c>
      <c r="E15495" s="2" t="s">
        <v>3409</v>
      </c>
    </row>
    <row r="15496">
      <c r="A15496" s="2" t="s">
        <v>5027</v>
      </c>
      <c r="B15496" s="2" t="s">
        <v>5031</v>
      </c>
      <c r="C15496" s="2" t="s">
        <v>7607</v>
      </c>
      <c r="D15496" s="3" t="str">
        <f t="shared" ref="D15496:D15498" si="3910">HYPERLINK("https://12go.asia/en/travel/Unawatuna/Moronthuduwa", "12Go Link")</f>
        <v>12Go Link</v>
      </c>
      <c r="E15496" s="2" t="s">
        <v>286</v>
      </c>
    </row>
    <row r="15497">
      <c r="A15497" s="2" t="s">
        <v>5027</v>
      </c>
      <c r="B15497" s="2" t="s">
        <v>5031</v>
      </c>
      <c r="C15497" s="2" t="s">
        <v>7607</v>
      </c>
      <c r="D15497" s="3" t="str">
        <f t="shared" si="3910"/>
        <v>12Go Link</v>
      </c>
      <c r="E15497" s="2" t="s">
        <v>4139</v>
      </c>
    </row>
    <row r="15498">
      <c r="A15498" s="2" t="s">
        <v>5027</v>
      </c>
      <c r="B15498" s="2" t="s">
        <v>5031</v>
      </c>
      <c r="C15498" s="2" t="s">
        <v>7607</v>
      </c>
      <c r="D15498" s="3" t="str">
        <f t="shared" si="3910"/>
        <v>12Go Link</v>
      </c>
      <c r="E15498" s="2" t="s">
        <v>3409</v>
      </c>
    </row>
    <row r="15499">
      <c r="A15499" s="2" t="s">
        <v>5027</v>
      </c>
      <c r="B15499" s="2" t="s">
        <v>5031</v>
      </c>
      <c r="C15499" s="2" t="s">
        <v>7608</v>
      </c>
      <c r="D15499" s="3" t="str">
        <f t="shared" ref="D15499:D15501" si="3911">HYPERLINK("https://12go.asia/en/travel/Unawatuna/Waskaduwa", "12Go Link")</f>
        <v>12Go Link</v>
      </c>
      <c r="E15499" s="2" t="s">
        <v>286</v>
      </c>
    </row>
    <row r="15500">
      <c r="A15500" s="2" t="s">
        <v>5027</v>
      </c>
      <c r="B15500" s="2" t="s">
        <v>5031</v>
      </c>
      <c r="C15500" s="2" t="s">
        <v>7608</v>
      </c>
      <c r="D15500" s="3" t="str">
        <f t="shared" si="3911"/>
        <v>12Go Link</v>
      </c>
      <c r="E15500" s="2" t="s">
        <v>4139</v>
      </c>
    </row>
    <row r="15501">
      <c r="A15501" s="2" t="s">
        <v>5027</v>
      </c>
      <c r="B15501" s="2" t="s">
        <v>5031</v>
      </c>
      <c r="C15501" s="2" t="s">
        <v>7608</v>
      </c>
      <c r="D15501" s="3" t="str">
        <f t="shared" si="3911"/>
        <v>12Go Link</v>
      </c>
      <c r="E15501" s="2" t="s">
        <v>3409</v>
      </c>
    </row>
    <row r="15502">
      <c r="A15502" s="2" t="s">
        <v>5027</v>
      </c>
      <c r="B15502" s="2" t="s">
        <v>5034</v>
      </c>
      <c r="C15502" s="2" t="s">
        <v>7609</v>
      </c>
      <c r="D15502" s="3" t="str">
        <f t="shared" ref="D15502:D15504" si="3912">HYPERLINK("https://12go.asia/en/travel/Unawatuna/Weddagala", "12Go Link")</f>
        <v>12Go Link</v>
      </c>
      <c r="E15502" s="2" t="s">
        <v>286</v>
      </c>
    </row>
    <row r="15503">
      <c r="A15503" s="2" t="s">
        <v>5027</v>
      </c>
      <c r="B15503" s="2" t="s">
        <v>5034</v>
      </c>
      <c r="C15503" s="2" t="s">
        <v>7609</v>
      </c>
      <c r="D15503" s="3" t="str">
        <f t="shared" si="3912"/>
        <v>12Go Link</v>
      </c>
      <c r="E15503" s="2" t="s">
        <v>4139</v>
      </c>
    </row>
    <row r="15504">
      <c r="A15504" s="2" t="s">
        <v>5027</v>
      </c>
      <c r="B15504" s="2" t="s">
        <v>5034</v>
      </c>
      <c r="C15504" s="2" t="s">
        <v>7609</v>
      </c>
      <c r="D15504" s="3" t="str">
        <f t="shared" si="3912"/>
        <v>12Go Link</v>
      </c>
      <c r="E15504" s="2" t="s">
        <v>3409</v>
      </c>
    </row>
    <row r="15505">
      <c r="A15505" s="2" t="s">
        <v>5027</v>
      </c>
      <c r="B15505" s="2" t="s">
        <v>5036</v>
      </c>
      <c r="C15505" s="2" t="s">
        <v>7610</v>
      </c>
      <c r="D15505" s="3" t="str">
        <f t="shared" ref="D15505:D15507" si="3913">HYPERLINK("https://12go.asia/en/travel/Unawatuna/Weligatta", "12Go Link")</f>
        <v>12Go Link</v>
      </c>
      <c r="E15505" s="2" t="s">
        <v>286</v>
      </c>
    </row>
    <row r="15506">
      <c r="A15506" s="2" t="s">
        <v>5027</v>
      </c>
      <c r="B15506" s="2" t="s">
        <v>5036</v>
      </c>
      <c r="C15506" s="2" t="s">
        <v>7610</v>
      </c>
      <c r="D15506" s="3" t="str">
        <f t="shared" si="3913"/>
        <v>12Go Link</v>
      </c>
      <c r="E15506" s="2" t="s">
        <v>4139</v>
      </c>
    </row>
    <row r="15507">
      <c r="A15507" s="2" t="s">
        <v>5027</v>
      </c>
      <c r="B15507" s="2" t="s">
        <v>5036</v>
      </c>
      <c r="C15507" s="2" t="s">
        <v>7610</v>
      </c>
      <c r="D15507" s="3" t="str">
        <f t="shared" si="3913"/>
        <v>12Go Link</v>
      </c>
      <c r="E15507" s="2" t="s">
        <v>3409</v>
      </c>
    </row>
    <row r="15508">
      <c r="A15508" s="2" t="s">
        <v>5027</v>
      </c>
      <c r="B15508" s="2" t="s">
        <v>5038</v>
      </c>
      <c r="C15508" s="2" t="s">
        <v>7611</v>
      </c>
      <c r="D15508" s="3" t="str">
        <f t="shared" ref="D15508:D15510" si="3914">HYPERLINK("https://12go.asia/en/travel/Unawatuna/Akuressa", "12Go Link")</f>
        <v>12Go Link</v>
      </c>
      <c r="E15508" s="2" t="s">
        <v>286</v>
      </c>
    </row>
    <row r="15509">
      <c r="A15509" s="2" t="s">
        <v>5027</v>
      </c>
      <c r="B15509" s="2" t="s">
        <v>5038</v>
      </c>
      <c r="C15509" s="2" t="s">
        <v>7611</v>
      </c>
      <c r="D15509" s="3" t="str">
        <f t="shared" si="3914"/>
        <v>12Go Link</v>
      </c>
      <c r="E15509" s="2" t="s">
        <v>4139</v>
      </c>
    </row>
    <row r="15510">
      <c r="A15510" s="2" t="s">
        <v>5027</v>
      </c>
      <c r="B15510" s="2" t="s">
        <v>5038</v>
      </c>
      <c r="C15510" s="2" t="s">
        <v>7611</v>
      </c>
      <c r="D15510" s="3" t="str">
        <f t="shared" si="3914"/>
        <v>12Go Link</v>
      </c>
      <c r="E15510" s="2" t="s">
        <v>3409</v>
      </c>
    </row>
    <row r="15511">
      <c r="A15511" s="2" t="s">
        <v>5027</v>
      </c>
      <c r="B15511" s="2" t="s">
        <v>5040</v>
      </c>
      <c r="C15511" s="2" t="s">
        <v>7612</v>
      </c>
      <c r="D15511" s="3" t="str">
        <f t="shared" ref="D15511:D15513" si="3915">HYPERLINK("https://12go.asia/en/travel/Unawatuna/Wilpattu", "12Go Link")</f>
        <v>12Go Link</v>
      </c>
      <c r="E15511" s="2" t="s">
        <v>286</v>
      </c>
    </row>
    <row r="15512">
      <c r="A15512" s="2" t="s">
        <v>5027</v>
      </c>
      <c r="B15512" s="2" t="s">
        <v>5040</v>
      </c>
      <c r="C15512" s="2" t="s">
        <v>7612</v>
      </c>
      <c r="D15512" s="3" t="str">
        <f t="shared" si="3915"/>
        <v>12Go Link</v>
      </c>
      <c r="E15512" s="2" t="s">
        <v>4139</v>
      </c>
    </row>
    <row r="15513">
      <c r="A15513" s="2" t="s">
        <v>5027</v>
      </c>
      <c r="B15513" s="2" t="s">
        <v>5040</v>
      </c>
      <c r="C15513" s="2" t="s">
        <v>7612</v>
      </c>
      <c r="D15513" s="3" t="str">
        <f t="shared" si="3915"/>
        <v>12Go Link</v>
      </c>
      <c r="E15513" s="2" t="s">
        <v>3409</v>
      </c>
    </row>
    <row r="15514">
      <c r="A15514" s="2" t="s">
        <v>5029</v>
      </c>
      <c r="B15514" s="2" t="s">
        <v>4918</v>
      </c>
      <c r="C15514" s="2" t="s">
        <v>7613</v>
      </c>
      <c r="D15514" s="3" t="str">
        <f t="shared" ref="D15514:D15516" si="3916">HYPERLINK("https://12go.asia/en/travel/Attanagalla/Adams-Peak", "12Go Link")</f>
        <v>12Go Link</v>
      </c>
      <c r="E15514" s="2" t="s">
        <v>286</v>
      </c>
    </row>
    <row r="15515">
      <c r="A15515" s="2" t="s">
        <v>5029</v>
      </c>
      <c r="B15515" s="2" t="s">
        <v>4918</v>
      </c>
      <c r="C15515" s="2" t="s">
        <v>7613</v>
      </c>
      <c r="D15515" s="3" t="str">
        <f t="shared" si="3916"/>
        <v>12Go Link</v>
      </c>
      <c r="E15515" s="2" t="s">
        <v>4139</v>
      </c>
    </row>
    <row r="15516">
      <c r="A15516" s="2" t="s">
        <v>5029</v>
      </c>
      <c r="B15516" s="2" t="s">
        <v>4918</v>
      </c>
      <c r="C15516" s="2" t="s">
        <v>7613</v>
      </c>
      <c r="D15516" s="3" t="str">
        <f t="shared" si="3916"/>
        <v>12Go Link</v>
      </c>
      <c r="E15516" s="2" t="s">
        <v>3409</v>
      </c>
    </row>
    <row r="15517">
      <c r="A15517" s="2" t="s">
        <v>5029</v>
      </c>
      <c r="B15517" s="2" t="s">
        <v>4919</v>
      </c>
      <c r="C15517" s="2" t="s">
        <v>7614</v>
      </c>
      <c r="D15517" s="3" t="str">
        <f t="shared" ref="D15517:D15519" si="3917">HYPERLINK("https://12go.asia/en/travel/Attanagalla/Ahangama", "12Go Link")</f>
        <v>12Go Link</v>
      </c>
      <c r="E15517" s="2" t="s">
        <v>286</v>
      </c>
    </row>
    <row r="15518">
      <c r="A15518" s="2" t="s">
        <v>5029</v>
      </c>
      <c r="B15518" s="2" t="s">
        <v>4919</v>
      </c>
      <c r="C15518" s="2" t="s">
        <v>7614</v>
      </c>
      <c r="D15518" s="3" t="str">
        <f t="shared" si="3917"/>
        <v>12Go Link</v>
      </c>
      <c r="E15518" s="2" t="s">
        <v>4139</v>
      </c>
    </row>
    <row r="15519">
      <c r="A15519" s="2" t="s">
        <v>5029</v>
      </c>
      <c r="B15519" s="2" t="s">
        <v>4919</v>
      </c>
      <c r="C15519" s="2" t="s">
        <v>7614</v>
      </c>
      <c r="D15519" s="3" t="str">
        <f t="shared" si="3917"/>
        <v>12Go Link</v>
      </c>
      <c r="E15519" s="2" t="s">
        <v>3409</v>
      </c>
    </row>
    <row r="15520">
      <c r="A15520" s="2" t="s">
        <v>5029</v>
      </c>
      <c r="B15520" s="2" t="s">
        <v>4921</v>
      </c>
      <c r="C15520" s="2" t="s">
        <v>7615</v>
      </c>
      <c r="D15520" s="3" t="str">
        <f t="shared" ref="D15520:D15522" si="3918">HYPERLINK("https://12go.asia/en/travel/Attanagalla/Ahungalla", "12Go Link")</f>
        <v>12Go Link</v>
      </c>
      <c r="E15520" s="2" t="s">
        <v>286</v>
      </c>
    </row>
    <row r="15521">
      <c r="A15521" s="2" t="s">
        <v>5029</v>
      </c>
      <c r="B15521" s="2" t="s">
        <v>4921</v>
      </c>
      <c r="C15521" s="2" t="s">
        <v>7615</v>
      </c>
      <c r="D15521" s="3" t="str">
        <f t="shared" si="3918"/>
        <v>12Go Link</v>
      </c>
      <c r="E15521" s="2" t="s">
        <v>4139</v>
      </c>
    </row>
    <row r="15522">
      <c r="A15522" s="2" t="s">
        <v>5029</v>
      </c>
      <c r="B15522" s="2" t="s">
        <v>4921</v>
      </c>
      <c r="C15522" s="2" t="s">
        <v>7615</v>
      </c>
      <c r="D15522" s="3" t="str">
        <f t="shared" si="3918"/>
        <v>12Go Link</v>
      </c>
      <c r="E15522" s="2" t="s">
        <v>3409</v>
      </c>
    </row>
    <row r="15523">
      <c r="A15523" s="2" t="s">
        <v>5029</v>
      </c>
      <c r="B15523" s="2" t="s">
        <v>4923</v>
      </c>
      <c r="C15523" s="2" t="s">
        <v>7616</v>
      </c>
      <c r="D15523" s="3" t="str">
        <f t="shared" ref="D15523:D15525" si="3919">HYPERLINK("https://12go.asia/en/travel/Attanagalla/Aluthgama", "12Go Link")</f>
        <v>12Go Link</v>
      </c>
      <c r="E15523" s="2" t="s">
        <v>286</v>
      </c>
    </row>
    <row r="15524">
      <c r="A15524" s="2" t="s">
        <v>5029</v>
      </c>
      <c r="B15524" s="2" t="s">
        <v>4923</v>
      </c>
      <c r="C15524" s="2" t="s">
        <v>7616</v>
      </c>
      <c r="D15524" s="3" t="str">
        <f t="shared" si="3919"/>
        <v>12Go Link</v>
      </c>
      <c r="E15524" s="2" t="s">
        <v>4139</v>
      </c>
    </row>
    <row r="15525">
      <c r="A15525" s="2" t="s">
        <v>5029</v>
      </c>
      <c r="B15525" s="2" t="s">
        <v>4923</v>
      </c>
      <c r="C15525" s="2" t="s">
        <v>7616</v>
      </c>
      <c r="D15525" s="3" t="str">
        <f t="shared" si="3919"/>
        <v>12Go Link</v>
      </c>
      <c r="E15525" s="2" t="s">
        <v>3409</v>
      </c>
    </row>
    <row r="15526">
      <c r="A15526" s="2" t="s">
        <v>5029</v>
      </c>
      <c r="B15526" s="2" t="s">
        <v>4925</v>
      </c>
      <c r="C15526" s="2" t="s">
        <v>7617</v>
      </c>
      <c r="D15526" s="3" t="str">
        <f t="shared" ref="D15526:D15528" si="3920">HYPERLINK("https://12go.asia/en/travel/Attanagalla/Ambalangoda", "12Go Link")</f>
        <v>12Go Link</v>
      </c>
      <c r="E15526" s="2" t="s">
        <v>286</v>
      </c>
    </row>
    <row r="15527">
      <c r="A15527" s="2" t="s">
        <v>5029</v>
      </c>
      <c r="B15527" s="2" t="s">
        <v>4925</v>
      </c>
      <c r="C15527" s="2" t="s">
        <v>7617</v>
      </c>
      <c r="D15527" s="3" t="str">
        <f t="shared" si="3920"/>
        <v>12Go Link</v>
      </c>
      <c r="E15527" s="2" t="s">
        <v>4139</v>
      </c>
    </row>
    <row r="15528">
      <c r="A15528" s="2" t="s">
        <v>5029</v>
      </c>
      <c r="B15528" s="2" t="s">
        <v>4925</v>
      </c>
      <c r="C15528" s="2" t="s">
        <v>7617</v>
      </c>
      <c r="D15528" s="3" t="str">
        <f t="shared" si="3920"/>
        <v>12Go Link</v>
      </c>
      <c r="E15528" s="2" t="s">
        <v>3409</v>
      </c>
    </row>
    <row r="15529">
      <c r="A15529" s="2" t="s">
        <v>5029</v>
      </c>
      <c r="B15529" s="2" t="s">
        <v>4927</v>
      </c>
      <c r="C15529" s="2" t="s">
        <v>7618</v>
      </c>
      <c r="D15529" s="3" t="str">
        <f t="shared" ref="D15529:D15531" si="3921">HYPERLINK("https://12go.asia/en/travel/Attanagalla/Ambalantota", "12Go Link")</f>
        <v>12Go Link</v>
      </c>
      <c r="E15529" s="2" t="s">
        <v>286</v>
      </c>
    </row>
    <row r="15530">
      <c r="A15530" s="2" t="s">
        <v>5029</v>
      </c>
      <c r="B15530" s="2" t="s">
        <v>4927</v>
      </c>
      <c r="C15530" s="2" t="s">
        <v>7618</v>
      </c>
      <c r="D15530" s="3" t="str">
        <f t="shared" si="3921"/>
        <v>12Go Link</v>
      </c>
      <c r="E15530" s="2" t="s">
        <v>4139</v>
      </c>
    </row>
    <row r="15531">
      <c r="A15531" s="2" t="s">
        <v>5029</v>
      </c>
      <c r="B15531" s="2" t="s">
        <v>4927</v>
      </c>
      <c r="C15531" s="2" t="s">
        <v>7618</v>
      </c>
      <c r="D15531" s="3" t="str">
        <f t="shared" si="3921"/>
        <v>12Go Link</v>
      </c>
      <c r="E15531" s="2" t="s">
        <v>3409</v>
      </c>
    </row>
    <row r="15532">
      <c r="A15532" s="2" t="s">
        <v>5029</v>
      </c>
      <c r="B15532" s="2" t="s">
        <v>4929</v>
      </c>
      <c r="C15532" s="2" t="s">
        <v>7619</v>
      </c>
      <c r="D15532" s="3" t="str">
        <f t="shared" ref="D15532:D15534" si="3922">HYPERLINK("https://12go.asia/en/travel/Attanagalla/Anuradhapura", "12Go Link")</f>
        <v>12Go Link</v>
      </c>
      <c r="E15532" s="2" t="s">
        <v>286</v>
      </c>
    </row>
    <row r="15533">
      <c r="A15533" s="2" t="s">
        <v>5029</v>
      </c>
      <c r="B15533" s="2" t="s">
        <v>4929</v>
      </c>
      <c r="C15533" s="2" t="s">
        <v>7619</v>
      </c>
      <c r="D15533" s="3" t="str">
        <f t="shared" si="3922"/>
        <v>12Go Link</v>
      </c>
      <c r="E15533" s="2" t="s">
        <v>4139</v>
      </c>
    </row>
    <row r="15534">
      <c r="A15534" s="2" t="s">
        <v>5029</v>
      </c>
      <c r="B15534" s="2" t="s">
        <v>4929</v>
      </c>
      <c r="C15534" s="2" t="s">
        <v>7619</v>
      </c>
      <c r="D15534" s="3" t="str">
        <f t="shared" si="3922"/>
        <v>12Go Link</v>
      </c>
      <c r="E15534" s="2" t="s">
        <v>3409</v>
      </c>
    </row>
    <row r="15535">
      <c r="A15535" s="2" t="s">
        <v>5029</v>
      </c>
      <c r="B15535" s="2" t="s">
        <v>4931</v>
      </c>
      <c r="C15535" s="2" t="s">
        <v>7620</v>
      </c>
      <c r="D15535" s="3" t="str">
        <f t="shared" ref="D15535:D15537" si="3923">HYPERLINK("https://12go.asia/en/travel/Attanagalla/Arugam-bay", "12Go Link")</f>
        <v>12Go Link</v>
      </c>
      <c r="E15535" s="2" t="s">
        <v>286</v>
      </c>
    </row>
    <row r="15536">
      <c r="A15536" s="2" t="s">
        <v>5029</v>
      </c>
      <c r="B15536" s="2" t="s">
        <v>4931</v>
      </c>
      <c r="C15536" s="2" t="s">
        <v>7620</v>
      </c>
      <c r="D15536" s="3" t="str">
        <f t="shared" si="3923"/>
        <v>12Go Link</v>
      </c>
      <c r="E15536" s="2" t="s">
        <v>4139</v>
      </c>
    </row>
    <row r="15537">
      <c r="A15537" s="2" t="s">
        <v>5029</v>
      </c>
      <c r="B15537" s="2" t="s">
        <v>4931</v>
      </c>
      <c r="C15537" s="2" t="s">
        <v>7620</v>
      </c>
      <c r="D15537" s="3" t="str">
        <f t="shared" si="3923"/>
        <v>12Go Link</v>
      </c>
      <c r="E15537" s="2" t="s">
        <v>3409</v>
      </c>
    </row>
    <row r="15538">
      <c r="A15538" s="2" t="s">
        <v>5029</v>
      </c>
      <c r="B15538" s="2" t="s">
        <v>4933</v>
      </c>
      <c r="C15538" s="2" t="s">
        <v>7621</v>
      </c>
      <c r="D15538" s="3" t="str">
        <f t="shared" ref="D15538:D15540" si="3924">HYPERLINK("https://12go.asia/en/travel/Attanagalla/balapitiya", "12Go Link")</f>
        <v>12Go Link</v>
      </c>
      <c r="E15538" s="2" t="s">
        <v>286</v>
      </c>
    </row>
    <row r="15539">
      <c r="A15539" s="2" t="s">
        <v>5029</v>
      </c>
      <c r="B15539" s="2" t="s">
        <v>4933</v>
      </c>
      <c r="C15539" s="2" t="s">
        <v>7621</v>
      </c>
      <c r="D15539" s="3" t="str">
        <f t="shared" si="3924"/>
        <v>12Go Link</v>
      </c>
      <c r="E15539" s="2" t="s">
        <v>4139</v>
      </c>
    </row>
    <row r="15540">
      <c r="A15540" s="2" t="s">
        <v>5029</v>
      </c>
      <c r="B15540" s="2" t="s">
        <v>4933</v>
      </c>
      <c r="C15540" s="2" t="s">
        <v>7621</v>
      </c>
      <c r="D15540" s="3" t="str">
        <f t="shared" si="3924"/>
        <v>12Go Link</v>
      </c>
      <c r="E15540" s="2" t="s">
        <v>3409</v>
      </c>
    </row>
    <row r="15541">
      <c r="A15541" s="2" t="s">
        <v>5029</v>
      </c>
      <c r="B15541" s="2" t="s">
        <v>4935</v>
      </c>
      <c r="C15541" s="2" t="s">
        <v>7622</v>
      </c>
      <c r="D15541" s="3" t="str">
        <f t="shared" ref="D15541:D15543" si="3925">HYPERLINK("https://12go.asia/en/travel/Attanagalla/Batticaloa", "12Go Link")</f>
        <v>12Go Link</v>
      </c>
      <c r="E15541" s="2" t="s">
        <v>286</v>
      </c>
    </row>
    <row r="15542">
      <c r="A15542" s="2" t="s">
        <v>5029</v>
      </c>
      <c r="B15542" s="2" t="s">
        <v>4935</v>
      </c>
      <c r="C15542" s="2" t="s">
        <v>7622</v>
      </c>
      <c r="D15542" s="3" t="str">
        <f t="shared" si="3925"/>
        <v>12Go Link</v>
      </c>
      <c r="E15542" s="2" t="s">
        <v>4139</v>
      </c>
    </row>
    <row r="15543">
      <c r="A15543" s="2" t="s">
        <v>5029</v>
      </c>
      <c r="B15543" s="2" t="s">
        <v>4935</v>
      </c>
      <c r="C15543" s="2" t="s">
        <v>7622</v>
      </c>
      <c r="D15543" s="3" t="str">
        <f t="shared" si="3925"/>
        <v>12Go Link</v>
      </c>
      <c r="E15543" s="2" t="s">
        <v>3409</v>
      </c>
    </row>
    <row r="15544">
      <c r="A15544" s="2" t="s">
        <v>5029</v>
      </c>
      <c r="B15544" s="2" t="s">
        <v>4937</v>
      </c>
      <c r="C15544" s="2" t="s">
        <v>7623</v>
      </c>
      <c r="D15544" s="3" t="str">
        <f t="shared" ref="D15544:D15546" si="3926">HYPERLINK("https://12go.asia/en/travel/Attanagalla/Bentota", "12Go Link")</f>
        <v>12Go Link</v>
      </c>
      <c r="E15544" s="2" t="s">
        <v>286</v>
      </c>
    </row>
    <row r="15545">
      <c r="A15545" s="2" t="s">
        <v>5029</v>
      </c>
      <c r="B15545" s="2" t="s">
        <v>4937</v>
      </c>
      <c r="C15545" s="2" t="s">
        <v>7623</v>
      </c>
      <c r="D15545" s="3" t="str">
        <f t="shared" si="3926"/>
        <v>12Go Link</v>
      </c>
      <c r="E15545" s="2" t="s">
        <v>4139</v>
      </c>
    </row>
    <row r="15546">
      <c r="A15546" s="2" t="s">
        <v>5029</v>
      </c>
      <c r="B15546" s="2" t="s">
        <v>4937</v>
      </c>
      <c r="C15546" s="2" t="s">
        <v>7623</v>
      </c>
      <c r="D15546" s="3" t="str">
        <f t="shared" si="3926"/>
        <v>12Go Link</v>
      </c>
      <c r="E15546" s="2" t="s">
        <v>3409</v>
      </c>
    </row>
    <row r="15547">
      <c r="A15547" s="2" t="s">
        <v>5029</v>
      </c>
      <c r="B15547" s="2" t="s">
        <v>4939</v>
      </c>
      <c r="C15547" s="2" t="s">
        <v>7624</v>
      </c>
      <c r="D15547" s="3" t="str">
        <f t="shared" ref="D15547:D15549" si="3927">HYPERLINK("https://12go.asia/en/travel/Attanagalla/Beruwala", "12Go Link")</f>
        <v>12Go Link</v>
      </c>
      <c r="E15547" s="2" t="s">
        <v>286</v>
      </c>
    </row>
    <row r="15548">
      <c r="A15548" s="2" t="s">
        <v>5029</v>
      </c>
      <c r="B15548" s="2" t="s">
        <v>4939</v>
      </c>
      <c r="C15548" s="2" t="s">
        <v>7624</v>
      </c>
      <c r="D15548" s="3" t="str">
        <f t="shared" si="3927"/>
        <v>12Go Link</v>
      </c>
      <c r="E15548" s="2" t="s">
        <v>4139</v>
      </c>
    </row>
    <row r="15549">
      <c r="A15549" s="2" t="s">
        <v>5029</v>
      </c>
      <c r="B15549" s="2" t="s">
        <v>4939</v>
      </c>
      <c r="C15549" s="2" t="s">
        <v>7624</v>
      </c>
      <c r="D15549" s="3" t="str">
        <f t="shared" si="3927"/>
        <v>12Go Link</v>
      </c>
      <c r="E15549" s="2" t="s">
        <v>3409</v>
      </c>
    </row>
    <row r="15550">
      <c r="A15550" s="2" t="s">
        <v>5029</v>
      </c>
      <c r="B15550" s="2" t="s">
        <v>4941</v>
      </c>
      <c r="C15550" s="2" t="s">
        <v>7625</v>
      </c>
      <c r="D15550" s="3" t="str">
        <f t="shared" ref="D15550:D15552" si="3928">HYPERLINK("https://12go.asia/en/travel/Attanagalla/Bundala", "12Go Link")</f>
        <v>12Go Link</v>
      </c>
      <c r="E15550" s="2" t="s">
        <v>286</v>
      </c>
    </row>
    <row r="15551">
      <c r="A15551" s="2" t="s">
        <v>5029</v>
      </c>
      <c r="B15551" s="2" t="s">
        <v>4941</v>
      </c>
      <c r="C15551" s="2" t="s">
        <v>7625</v>
      </c>
      <c r="D15551" s="3" t="str">
        <f t="shared" si="3928"/>
        <v>12Go Link</v>
      </c>
      <c r="E15551" s="2" t="s">
        <v>4139</v>
      </c>
    </row>
    <row r="15552">
      <c r="A15552" s="2" t="s">
        <v>5029</v>
      </c>
      <c r="B15552" s="2" t="s">
        <v>4941</v>
      </c>
      <c r="C15552" s="2" t="s">
        <v>7625</v>
      </c>
      <c r="D15552" s="3" t="str">
        <f t="shared" si="3928"/>
        <v>12Go Link</v>
      </c>
      <c r="E15552" s="2" t="s">
        <v>3409</v>
      </c>
    </row>
    <row r="15553">
      <c r="A15553" s="2" t="s">
        <v>5029</v>
      </c>
      <c r="B15553" s="2" t="s">
        <v>4943</v>
      </c>
      <c r="C15553" s="2" t="s">
        <v>7626</v>
      </c>
      <c r="D15553" s="3" t="str">
        <f t="shared" ref="D15553:D15555" si="3929">HYPERLINK("https://12go.asia/en/travel/Attanagalla/Bambalapitiya", "12Go Link")</f>
        <v>12Go Link</v>
      </c>
      <c r="E15553" s="2" t="s">
        <v>286</v>
      </c>
    </row>
    <row r="15554">
      <c r="A15554" s="2" t="s">
        <v>5029</v>
      </c>
      <c r="B15554" s="2" t="s">
        <v>4943</v>
      </c>
      <c r="C15554" s="2" t="s">
        <v>7626</v>
      </c>
      <c r="D15554" s="3" t="str">
        <f t="shared" si="3929"/>
        <v>12Go Link</v>
      </c>
      <c r="E15554" s="2" t="s">
        <v>4139</v>
      </c>
    </row>
    <row r="15555">
      <c r="A15555" s="2" t="s">
        <v>5029</v>
      </c>
      <c r="B15555" s="2" t="s">
        <v>4943</v>
      </c>
      <c r="C15555" s="2" t="s">
        <v>7626</v>
      </c>
      <c r="D15555" s="3" t="str">
        <f t="shared" si="3929"/>
        <v>12Go Link</v>
      </c>
      <c r="E15555" s="2" t="s">
        <v>3409</v>
      </c>
    </row>
    <row r="15556">
      <c r="A15556" s="2" t="s">
        <v>5029</v>
      </c>
      <c r="B15556" s="2" t="s">
        <v>4945</v>
      </c>
      <c r="C15556" s="2" t="s">
        <v>7627</v>
      </c>
      <c r="D15556" s="3" t="str">
        <f t="shared" ref="D15556:D15558" si="3930">HYPERLINK("https://12go.asia/en/travel/Attanagalla/Bandaranaike-Airport", "12Go Link")</f>
        <v>12Go Link</v>
      </c>
      <c r="E15556" s="2" t="s">
        <v>286</v>
      </c>
    </row>
    <row r="15557">
      <c r="A15557" s="2" t="s">
        <v>5029</v>
      </c>
      <c r="B15557" s="2" t="s">
        <v>4945</v>
      </c>
      <c r="C15557" s="2" t="s">
        <v>7627</v>
      </c>
      <c r="D15557" s="3" t="str">
        <f t="shared" si="3930"/>
        <v>12Go Link</v>
      </c>
      <c r="E15557" s="2" t="s">
        <v>4139</v>
      </c>
    </row>
    <row r="15558">
      <c r="A15558" s="2" t="s">
        <v>5029</v>
      </c>
      <c r="B15558" s="2" t="s">
        <v>4945</v>
      </c>
      <c r="C15558" s="2" t="s">
        <v>7627</v>
      </c>
      <c r="D15558" s="3" t="str">
        <f t="shared" si="3930"/>
        <v>12Go Link</v>
      </c>
      <c r="E15558" s="2" t="s">
        <v>3409</v>
      </c>
    </row>
    <row r="15559">
      <c r="A15559" s="2" t="s">
        <v>5029</v>
      </c>
      <c r="B15559" s="2" t="s">
        <v>4947</v>
      </c>
      <c r="C15559" s="2" t="s">
        <v>7628</v>
      </c>
      <c r="D15559" s="3" t="str">
        <f t="shared" ref="D15559:D15561" si="3931">HYPERLINK("https://12go.asia/en/travel/Attanagalla/Dambulla", "12Go Link")</f>
        <v>12Go Link</v>
      </c>
      <c r="E15559" s="2" t="s">
        <v>286</v>
      </c>
    </row>
    <row r="15560">
      <c r="A15560" s="2" t="s">
        <v>5029</v>
      </c>
      <c r="B15560" s="2" t="s">
        <v>4947</v>
      </c>
      <c r="C15560" s="2" t="s">
        <v>7628</v>
      </c>
      <c r="D15560" s="3" t="str">
        <f t="shared" si="3931"/>
        <v>12Go Link</v>
      </c>
      <c r="E15560" s="2" t="s">
        <v>4139</v>
      </c>
    </row>
    <row r="15561">
      <c r="A15561" s="2" t="s">
        <v>5029</v>
      </c>
      <c r="B15561" s="2" t="s">
        <v>4947</v>
      </c>
      <c r="C15561" s="2" t="s">
        <v>7628</v>
      </c>
      <c r="D15561" s="3" t="str">
        <f t="shared" si="3931"/>
        <v>12Go Link</v>
      </c>
      <c r="E15561" s="2" t="s">
        <v>3409</v>
      </c>
    </row>
    <row r="15562">
      <c r="A15562" s="2" t="s">
        <v>5029</v>
      </c>
      <c r="B15562" s="2" t="s">
        <v>4949</v>
      </c>
      <c r="C15562" s="2" t="s">
        <v>7629</v>
      </c>
      <c r="D15562" s="3" t="str">
        <f t="shared" ref="D15562:D15564" si="3932">HYPERLINK("https://12go.asia/en/travel/Attanagalla/Deniyaya", "12Go Link")</f>
        <v>12Go Link</v>
      </c>
      <c r="E15562" s="2" t="s">
        <v>286</v>
      </c>
    </row>
    <row r="15563">
      <c r="A15563" s="2" t="s">
        <v>5029</v>
      </c>
      <c r="B15563" s="2" t="s">
        <v>4949</v>
      </c>
      <c r="C15563" s="2" t="s">
        <v>7629</v>
      </c>
      <c r="D15563" s="3" t="str">
        <f t="shared" si="3932"/>
        <v>12Go Link</v>
      </c>
      <c r="E15563" s="2" t="s">
        <v>4139</v>
      </c>
    </row>
    <row r="15564">
      <c r="A15564" s="2" t="s">
        <v>5029</v>
      </c>
      <c r="B15564" s="2" t="s">
        <v>4949</v>
      </c>
      <c r="C15564" s="2" t="s">
        <v>7629</v>
      </c>
      <c r="D15564" s="3" t="str">
        <f t="shared" si="3932"/>
        <v>12Go Link</v>
      </c>
      <c r="E15564" s="2" t="s">
        <v>3409</v>
      </c>
    </row>
    <row r="15565">
      <c r="A15565" s="2" t="s">
        <v>5029</v>
      </c>
      <c r="B15565" s="2" t="s">
        <v>4951</v>
      </c>
      <c r="C15565" s="2" t="s">
        <v>7630</v>
      </c>
      <c r="D15565" s="3" t="str">
        <f t="shared" ref="D15565:D15567" si="3933">HYPERLINK("https://12go.asia/en/travel/Attanagalla/Dickwella", "12Go Link")</f>
        <v>12Go Link</v>
      </c>
      <c r="E15565" s="2" t="s">
        <v>286</v>
      </c>
    </row>
    <row r="15566">
      <c r="A15566" s="2" t="s">
        <v>5029</v>
      </c>
      <c r="B15566" s="2" t="s">
        <v>4951</v>
      </c>
      <c r="C15566" s="2" t="s">
        <v>7630</v>
      </c>
      <c r="D15566" s="3" t="str">
        <f t="shared" si="3933"/>
        <v>12Go Link</v>
      </c>
      <c r="E15566" s="2" t="s">
        <v>4139</v>
      </c>
    </row>
    <row r="15567">
      <c r="A15567" s="2" t="s">
        <v>5029</v>
      </c>
      <c r="B15567" s="2" t="s">
        <v>4951</v>
      </c>
      <c r="C15567" s="2" t="s">
        <v>7630</v>
      </c>
      <c r="D15567" s="3" t="str">
        <f t="shared" si="3933"/>
        <v>12Go Link</v>
      </c>
      <c r="E15567" s="2" t="s">
        <v>3409</v>
      </c>
    </row>
    <row r="15568">
      <c r="A15568" s="2" t="s">
        <v>5029</v>
      </c>
      <c r="B15568" s="2" t="s">
        <v>4951</v>
      </c>
      <c r="C15568" s="2" t="s">
        <v>7631</v>
      </c>
      <c r="D15568" s="3" t="str">
        <f t="shared" ref="D15568:D15570" si="3934">HYPERLINK("https://12go.asia/en/travel/Attanagalla/Hiriketiya-beach", "12Go Link")</f>
        <v>12Go Link</v>
      </c>
      <c r="E15568" s="2" t="s">
        <v>286</v>
      </c>
    </row>
    <row r="15569">
      <c r="A15569" s="2" t="s">
        <v>5029</v>
      </c>
      <c r="B15569" s="2" t="s">
        <v>4951</v>
      </c>
      <c r="C15569" s="2" t="s">
        <v>7631</v>
      </c>
      <c r="D15569" s="3" t="str">
        <f t="shared" si="3934"/>
        <v>12Go Link</v>
      </c>
      <c r="E15569" s="2" t="s">
        <v>4139</v>
      </c>
    </row>
    <row r="15570">
      <c r="A15570" s="2" t="s">
        <v>5029</v>
      </c>
      <c r="B15570" s="2" t="s">
        <v>4951</v>
      </c>
      <c r="C15570" s="2" t="s">
        <v>7631</v>
      </c>
      <c r="D15570" s="3" t="str">
        <f t="shared" si="3934"/>
        <v>12Go Link</v>
      </c>
      <c r="E15570" s="2" t="s">
        <v>3409</v>
      </c>
    </row>
    <row r="15571">
      <c r="A15571" s="2" t="s">
        <v>5029</v>
      </c>
      <c r="B15571" s="2" t="s">
        <v>4954</v>
      </c>
      <c r="C15571" s="2" t="s">
        <v>7632</v>
      </c>
      <c r="D15571" s="3" t="str">
        <f t="shared" ref="D15571:D15573" si="3935">HYPERLINK("https://12go.asia/en/travel/Attanagalla/Galle", "12Go Link")</f>
        <v>12Go Link</v>
      </c>
      <c r="E15571" s="2" t="s">
        <v>286</v>
      </c>
    </row>
    <row r="15572">
      <c r="A15572" s="2" t="s">
        <v>5029</v>
      </c>
      <c r="B15572" s="2" t="s">
        <v>4954</v>
      </c>
      <c r="C15572" s="2" t="s">
        <v>7632</v>
      </c>
      <c r="D15572" s="3" t="str">
        <f t="shared" si="3935"/>
        <v>12Go Link</v>
      </c>
      <c r="E15572" s="2" t="s">
        <v>4139</v>
      </c>
    </row>
    <row r="15573">
      <c r="A15573" s="2" t="s">
        <v>5029</v>
      </c>
      <c r="B15573" s="2" t="s">
        <v>4954</v>
      </c>
      <c r="C15573" s="2" t="s">
        <v>7632</v>
      </c>
      <c r="D15573" s="3" t="str">
        <f t="shared" si="3935"/>
        <v>12Go Link</v>
      </c>
      <c r="E15573" s="2" t="s">
        <v>3409</v>
      </c>
    </row>
    <row r="15574">
      <c r="A15574" s="2" t="s">
        <v>5029</v>
      </c>
      <c r="B15574" s="2" t="s">
        <v>4954</v>
      </c>
      <c r="C15574" s="2" t="s">
        <v>7633</v>
      </c>
      <c r="D15574" s="3" t="str">
        <f t="shared" ref="D15574:D15576" si="3936">HYPERLINK("https://12go.asia/en/travel/Attanagalla/Talpe", "12Go Link")</f>
        <v>12Go Link</v>
      </c>
      <c r="E15574" s="2" t="s">
        <v>286</v>
      </c>
    </row>
    <row r="15575">
      <c r="A15575" s="2" t="s">
        <v>5029</v>
      </c>
      <c r="B15575" s="2" t="s">
        <v>4954</v>
      </c>
      <c r="C15575" s="2" t="s">
        <v>7633</v>
      </c>
      <c r="D15575" s="3" t="str">
        <f t="shared" si="3936"/>
        <v>12Go Link</v>
      </c>
      <c r="E15575" s="2" t="s">
        <v>4139</v>
      </c>
    </row>
    <row r="15576">
      <c r="A15576" s="2" t="s">
        <v>5029</v>
      </c>
      <c r="B15576" s="2" t="s">
        <v>4954</v>
      </c>
      <c r="C15576" s="2" t="s">
        <v>7633</v>
      </c>
      <c r="D15576" s="3" t="str">
        <f t="shared" si="3936"/>
        <v>12Go Link</v>
      </c>
      <c r="E15576" s="2" t="s">
        <v>3409</v>
      </c>
    </row>
    <row r="15577">
      <c r="A15577" s="2" t="s">
        <v>5029</v>
      </c>
      <c r="B15577" s="2" t="s">
        <v>4957</v>
      </c>
      <c r="C15577" s="2" t="s">
        <v>7634</v>
      </c>
      <c r="D15577" s="3" t="str">
        <f t="shared" ref="D15577:D15579" si="3937">HYPERLINK("https://12go.asia/en/travel/Attanagalla/Habarana", "12Go Link")</f>
        <v>12Go Link</v>
      </c>
      <c r="E15577" s="2" t="s">
        <v>286</v>
      </c>
    </row>
    <row r="15578">
      <c r="A15578" s="2" t="s">
        <v>5029</v>
      </c>
      <c r="B15578" s="2" t="s">
        <v>4957</v>
      </c>
      <c r="C15578" s="2" t="s">
        <v>7634</v>
      </c>
      <c r="D15578" s="3" t="str">
        <f t="shared" si="3937"/>
        <v>12Go Link</v>
      </c>
      <c r="E15578" s="2" t="s">
        <v>4139</v>
      </c>
    </row>
    <row r="15579">
      <c r="A15579" s="2" t="s">
        <v>5029</v>
      </c>
      <c r="B15579" s="2" t="s">
        <v>4957</v>
      </c>
      <c r="C15579" s="2" t="s">
        <v>7634</v>
      </c>
      <c r="D15579" s="3" t="str">
        <f t="shared" si="3937"/>
        <v>12Go Link</v>
      </c>
      <c r="E15579" s="2" t="s">
        <v>3409</v>
      </c>
    </row>
    <row r="15580">
      <c r="A15580" s="2" t="s">
        <v>5029</v>
      </c>
      <c r="B15580" s="2" t="s">
        <v>4959</v>
      </c>
      <c r="C15580" s="2" t="s">
        <v>7635</v>
      </c>
      <c r="D15580" s="3" t="str">
        <f t="shared" ref="D15580:D15582" si="3938">HYPERLINK("https://12go.asia/en/travel/Attanagalla/Ella", "12Go Link")</f>
        <v>12Go Link</v>
      </c>
      <c r="E15580" s="2" t="s">
        <v>286</v>
      </c>
    </row>
    <row r="15581">
      <c r="A15581" s="2" t="s">
        <v>5029</v>
      </c>
      <c r="B15581" s="2" t="s">
        <v>4959</v>
      </c>
      <c r="C15581" s="2" t="s">
        <v>7635</v>
      </c>
      <c r="D15581" s="3" t="str">
        <f t="shared" si="3938"/>
        <v>12Go Link</v>
      </c>
      <c r="E15581" s="2" t="s">
        <v>4139</v>
      </c>
    </row>
    <row r="15582">
      <c r="A15582" s="2" t="s">
        <v>5029</v>
      </c>
      <c r="B15582" s="2" t="s">
        <v>4959</v>
      </c>
      <c r="C15582" s="2" t="s">
        <v>7635</v>
      </c>
      <c r="D15582" s="3" t="str">
        <f t="shared" si="3938"/>
        <v>12Go Link</v>
      </c>
      <c r="E15582" s="2" t="s">
        <v>3409</v>
      </c>
    </row>
    <row r="15583">
      <c r="A15583" s="2" t="s">
        <v>5029</v>
      </c>
      <c r="B15583" s="2" t="s">
        <v>4961</v>
      </c>
      <c r="C15583" s="2" t="s">
        <v>7636</v>
      </c>
      <c r="D15583" s="3" t="str">
        <f t="shared" ref="D15583:D15585" si="3939">HYPERLINK("https://12go.asia/en/travel/Attanagalla/Beragala", "12Go Link")</f>
        <v>12Go Link</v>
      </c>
      <c r="E15583" s="2" t="s">
        <v>286</v>
      </c>
    </row>
    <row r="15584">
      <c r="A15584" s="2" t="s">
        <v>5029</v>
      </c>
      <c r="B15584" s="2" t="s">
        <v>4961</v>
      </c>
      <c r="C15584" s="2" t="s">
        <v>7636</v>
      </c>
      <c r="D15584" s="3" t="str">
        <f t="shared" si="3939"/>
        <v>12Go Link</v>
      </c>
      <c r="E15584" s="2" t="s">
        <v>4139</v>
      </c>
    </row>
    <row r="15585">
      <c r="A15585" s="2" t="s">
        <v>5029</v>
      </c>
      <c r="B15585" s="2" t="s">
        <v>4961</v>
      </c>
      <c r="C15585" s="2" t="s">
        <v>7636</v>
      </c>
      <c r="D15585" s="3" t="str">
        <f t="shared" si="3939"/>
        <v>12Go Link</v>
      </c>
      <c r="E15585" s="2" t="s">
        <v>3409</v>
      </c>
    </row>
    <row r="15586">
      <c r="A15586" s="2" t="s">
        <v>5029</v>
      </c>
      <c r="B15586" s="2" t="s">
        <v>4963</v>
      </c>
      <c r="C15586" s="2" t="s">
        <v>7637</v>
      </c>
      <c r="D15586" s="3" t="str">
        <f t="shared" ref="D15586:D15588" si="3940">HYPERLINK("https://12go.asia/en/travel/Attanagalla/Dick-oya", "12Go Link")</f>
        <v>12Go Link</v>
      </c>
      <c r="E15586" s="2" t="s">
        <v>286</v>
      </c>
    </row>
    <row r="15587">
      <c r="A15587" s="2" t="s">
        <v>5029</v>
      </c>
      <c r="B15587" s="2" t="s">
        <v>4963</v>
      </c>
      <c r="C15587" s="2" t="s">
        <v>7637</v>
      </c>
      <c r="D15587" s="3" t="str">
        <f t="shared" si="3940"/>
        <v>12Go Link</v>
      </c>
      <c r="E15587" s="2" t="s">
        <v>4139</v>
      </c>
    </row>
    <row r="15588">
      <c r="A15588" s="2" t="s">
        <v>5029</v>
      </c>
      <c r="B15588" s="2" t="s">
        <v>4963</v>
      </c>
      <c r="C15588" s="2" t="s">
        <v>7637</v>
      </c>
      <c r="D15588" s="3" t="str">
        <f t="shared" si="3940"/>
        <v>12Go Link</v>
      </c>
      <c r="E15588" s="2" t="s">
        <v>3409</v>
      </c>
    </row>
    <row r="15589">
      <c r="A15589" s="2" t="s">
        <v>5029</v>
      </c>
      <c r="B15589" s="2" t="s">
        <v>4965</v>
      </c>
      <c r="C15589" s="2" t="s">
        <v>7638</v>
      </c>
      <c r="D15589" s="3" t="str">
        <f t="shared" ref="D15589:D15591" si="3941">HYPERLINK("https://12go.asia/en/travel/Attanagalla/Dodanduwa", "12Go Link")</f>
        <v>12Go Link</v>
      </c>
      <c r="E15589" s="2" t="s">
        <v>286</v>
      </c>
    </row>
    <row r="15590">
      <c r="A15590" s="2" t="s">
        <v>5029</v>
      </c>
      <c r="B15590" s="2" t="s">
        <v>4965</v>
      </c>
      <c r="C15590" s="2" t="s">
        <v>7638</v>
      </c>
      <c r="D15590" s="3" t="str">
        <f t="shared" si="3941"/>
        <v>12Go Link</v>
      </c>
      <c r="E15590" s="2" t="s">
        <v>4139</v>
      </c>
    </row>
    <row r="15591">
      <c r="A15591" s="2" t="s">
        <v>5029</v>
      </c>
      <c r="B15591" s="2" t="s">
        <v>4965</v>
      </c>
      <c r="C15591" s="2" t="s">
        <v>7638</v>
      </c>
      <c r="D15591" s="3" t="str">
        <f t="shared" si="3941"/>
        <v>12Go Link</v>
      </c>
      <c r="E15591" s="2" t="s">
        <v>3409</v>
      </c>
    </row>
    <row r="15592">
      <c r="A15592" s="2" t="s">
        <v>5029</v>
      </c>
      <c r="B15592" s="2" t="s">
        <v>4967</v>
      </c>
      <c r="C15592" s="2" t="s">
        <v>7639</v>
      </c>
      <c r="D15592" s="3" t="str">
        <f t="shared" ref="D15592:D15594" si="3942">HYPERLINK("https://12go.asia/en/travel/Attanagalla/Induruwa", "12Go Link")</f>
        <v>12Go Link</v>
      </c>
      <c r="E15592" s="2" t="s">
        <v>286</v>
      </c>
    </row>
    <row r="15593">
      <c r="A15593" s="2" t="s">
        <v>5029</v>
      </c>
      <c r="B15593" s="2" t="s">
        <v>4967</v>
      </c>
      <c r="C15593" s="2" t="s">
        <v>7639</v>
      </c>
      <c r="D15593" s="3" t="str">
        <f t="shared" si="3942"/>
        <v>12Go Link</v>
      </c>
      <c r="E15593" s="2" t="s">
        <v>4139</v>
      </c>
    </row>
    <row r="15594">
      <c r="A15594" s="2" t="s">
        <v>5029</v>
      </c>
      <c r="B15594" s="2" t="s">
        <v>4967</v>
      </c>
      <c r="C15594" s="2" t="s">
        <v>7639</v>
      </c>
      <c r="D15594" s="3" t="str">
        <f t="shared" si="3942"/>
        <v>12Go Link</v>
      </c>
      <c r="E15594" s="2" t="s">
        <v>3409</v>
      </c>
    </row>
    <row r="15595">
      <c r="A15595" s="2" t="s">
        <v>5029</v>
      </c>
      <c r="B15595" s="2" t="s">
        <v>4969</v>
      </c>
      <c r="C15595" s="2" t="s">
        <v>7640</v>
      </c>
      <c r="D15595" s="3" t="str">
        <f t="shared" ref="D15595:D15597" si="3943">HYPERLINK("https://12go.asia/en/travel/Attanagalla/Jaffna", "12Go Link")</f>
        <v>12Go Link</v>
      </c>
      <c r="E15595" s="2" t="s">
        <v>286</v>
      </c>
    </row>
    <row r="15596">
      <c r="A15596" s="2" t="s">
        <v>5029</v>
      </c>
      <c r="B15596" s="2" t="s">
        <v>4969</v>
      </c>
      <c r="C15596" s="2" t="s">
        <v>7640</v>
      </c>
      <c r="D15596" s="3" t="str">
        <f t="shared" si="3943"/>
        <v>12Go Link</v>
      </c>
      <c r="E15596" s="2" t="s">
        <v>4139</v>
      </c>
    </row>
    <row r="15597">
      <c r="A15597" s="2" t="s">
        <v>5029</v>
      </c>
      <c r="B15597" s="2" t="s">
        <v>4969</v>
      </c>
      <c r="C15597" s="2" t="s">
        <v>7640</v>
      </c>
      <c r="D15597" s="3" t="str">
        <f t="shared" si="3943"/>
        <v>12Go Link</v>
      </c>
      <c r="E15597" s="2" t="s">
        <v>3409</v>
      </c>
    </row>
    <row r="15598">
      <c r="A15598" s="2" t="s">
        <v>5029</v>
      </c>
      <c r="B15598" s="2" t="s">
        <v>4971</v>
      </c>
      <c r="C15598" s="2" t="s">
        <v>7641</v>
      </c>
      <c r="D15598" s="3" t="str">
        <f t="shared" ref="D15598:D15600" si="3944">HYPERLINK("https://12go.asia/en/travel/Attanagalla/Kalapuwa", "12Go Link")</f>
        <v>12Go Link</v>
      </c>
      <c r="E15598" s="2" t="s">
        <v>286</v>
      </c>
    </row>
    <row r="15599">
      <c r="A15599" s="2" t="s">
        <v>5029</v>
      </c>
      <c r="B15599" s="2" t="s">
        <v>4971</v>
      </c>
      <c r="C15599" s="2" t="s">
        <v>7641</v>
      </c>
      <c r="D15599" s="3" t="str">
        <f t="shared" si="3944"/>
        <v>12Go Link</v>
      </c>
      <c r="E15599" s="2" t="s">
        <v>4139</v>
      </c>
    </row>
    <row r="15600">
      <c r="A15600" s="2" t="s">
        <v>5029</v>
      </c>
      <c r="B15600" s="2" t="s">
        <v>4971</v>
      </c>
      <c r="C15600" s="2" t="s">
        <v>7641</v>
      </c>
      <c r="D15600" s="3" t="str">
        <f t="shared" si="3944"/>
        <v>12Go Link</v>
      </c>
      <c r="E15600" s="2" t="s">
        <v>3409</v>
      </c>
    </row>
    <row r="15601">
      <c r="A15601" s="2" t="s">
        <v>5029</v>
      </c>
      <c r="B15601" s="2" t="s">
        <v>4973</v>
      </c>
      <c r="C15601" s="2" t="s">
        <v>7642</v>
      </c>
      <c r="D15601" s="3" t="str">
        <f t="shared" ref="D15601:D15603" si="3945">HYPERLINK("https://12go.asia/en/travel/Attanagalla/Ampitiya", "12Go Link")</f>
        <v>12Go Link</v>
      </c>
      <c r="E15601" s="2" t="s">
        <v>286</v>
      </c>
    </row>
    <row r="15602">
      <c r="A15602" s="2" t="s">
        <v>5029</v>
      </c>
      <c r="B15602" s="2" t="s">
        <v>4973</v>
      </c>
      <c r="C15602" s="2" t="s">
        <v>7642</v>
      </c>
      <c r="D15602" s="3" t="str">
        <f t="shared" si="3945"/>
        <v>12Go Link</v>
      </c>
      <c r="E15602" s="2" t="s">
        <v>4139</v>
      </c>
    </row>
    <row r="15603">
      <c r="A15603" s="2" t="s">
        <v>5029</v>
      </c>
      <c r="B15603" s="2" t="s">
        <v>4973</v>
      </c>
      <c r="C15603" s="2" t="s">
        <v>7642</v>
      </c>
      <c r="D15603" s="3" t="str">
        <f t="shared" si="3945"/>
        <v>12Go Link</v>
      </c>
      <c r="E15603" s="2" t="s">
        <v>3409</v>
      </c>
    </row>
    <row r="15604">
      <c r="A15604" s="2" t="s">
        <v>5029</v>
      </c>
      <c r="B15604" s="2" t="s">
        <v>4973</v>
      </c>
      <c r="C15604" s="2" t="s">
        <v>7643</v>
      </c>
      <c r="D15604" s="3" t="str">
        <f t="shared" ref="D15604:D15606" si="3946">HYPERLINK("https://12go.asia/en/travel/Attanagalla/Digana", "12Go Link")</f>
        <v>12Go Link</v>
      </c>
      <c r="E15604" s="2" t="s">
        <v>286</v>
      </c>
    </row>
    <row r="15605">
      <c r="A15605" s="2" t="s">
        <v>5029</v>
      </c>
      <c r="B15605" s="2" t="s">
        <v>4973</v>
      </c>
      <c r="C15605" s="2" t="s">
        <v>7643</v>
      </c>
      <c r="D15605" s="3" t="str">
        <f t="shared" si="3946"/>
        <v>12Go Link</v>
      </c>
      <c r="E15605" s="2" t="s">
        <v>4139</v>
      </c>
    </row>
    <row r="15606">
      <c r="A15606" s="2" t="s">
        <v>5029</v>
      </c>
      <c r="B15606" s="2" t="s">
        <v>4973</v>
      </c>
      <c r="C15606" s="2" t="s">
        <v>7643</v>
      </c>
      <c r="D15606" s="3" t="str">
        <f t="shared" si="3946"/>
        <v>12Go Link</v>
      </c>
      <c r="E15606" s="2" t="s">
        <v>3409</v>
      </c>
    </row>
    <row r="15607">
      <c r="A15607" s="2" t="s">
        <v>5029</v>
      </c>
      <c r="B15607" s="2" t="s">
        <v>4976</v>
      </c>
      <c r="C15607" s="2" t="s">
        <v>7644</v>
      </c>
      <c r="D15607" s="3" t="str">
        <f t="shared" ref="D15607:D15609" si="3947">HYPERLINK("https://12go.asia/en/travel/Attanagalla/Kataragama", "12Go Link")</f>
        <v>12Go Link</v>
      </c>
      <c r="E15607" s="2" t="s">
        <v>286</v>
      </c>
    </row>
    <row r="15608">
      <c r="A15608" s="2" t="s">
        <v>5029</v>
      </c>
      <c r="B15608" s="2" t="s">
        <v>4976</v>
      </c>
      <c r="C15608" s="2" t="s">
        <v>7644</v>
      </c>
      <c r="D15608" s="3" t="str">
        <f t="shared" si="3947"/>
        <v>12Go Link</v>
      </c>
      <c r="E15608" s="2" t="s">
        <v>4139</v>
      </c>
    </row>
    <row r="15609">
      <c r="A15609" s="2" t="s">
        <v>5029</v>
      </c>
      <c r="B15609" s="2" t="s">
        <v>4976</v>
      </c>
      <c r="C15609" s="2" t="s">
        <v>7644</v>
      </c>
      <c r="D15609" s="3" t="str">
        <f t="shared" si="3947"/>
        <v>12Go Link</v>
      </c>
      <c r="E15609" s="2" t="s">
        <v>3409</v>
      </c>
    </row>
    <row r="15610">
      <c r="A15610" s="2" t="s">
        <v>5029</v>
      </c>
      <c r="B15610" s="2" t="s">
        <v>4978</v>
      </c>
      <c r="C15610" s="2" t="s">
        <v>7645</v>
      </c>
      <c r="D15610" s="3" t="str">
        <f t="shared" ref="D15610:D15612" si="3948">HYPERLINK("https://12go.asia/en/travel/Attanagalla/Alawathupitiya", "12Go Link")</f>
        <v>12Go Link</v>
      </c>
      <c r="E15610" s="2" t="s">
        <v>286</v>
      </c>
    </row>
    <row r="15611">
      <c r="A15611" s="2" t="s">
        <v>5029</v>
      </c>
      <c r="B15611" s="2" t="s">
        <v>4978</v>
      </c>
      <c r="C15611" s="2" t="s">
        <v>7645</v>
      </c>
      <c r="D15611" s="3" t="str">
        <f t="shared" si="3948"/>
        <v>12Go Link</v>
      </c>
      <c r="E15611" s="2" t="s">
        <v>4139</v>
      </c>
    </row>
    <row r="15612">
      <c r="A15612" s="2" t="s">
        <v>5029</v>
      </c>
      <c r="B15612" s="2" t="s">
        <v>4978</v>
      </c>
      <c r="C15612" s="2" t="s">
        <v>7645</v>
      </c>
      <c r="D15612" s="3" t="str">
        <f t="shared" si="3948"/>
        <v>12Go Link</v>
      </c>
      <c r="E15612" s="2" t="s">
        <v>3409</v>
      </c>
    </row>
    <row r="15613">
      <c r="A15613" s="2" t="s">
        <v>5029</v>
      </c>
      <c r="B15613" s="2" t="s">
        <v>4980</v>
      </c>
      <c r="C15613" s="2" t="s">
        <v>7646</v>
      </c>
      <c r="D15613" s="3" t="str">
        <f t="shared" ref="D15613:D15615" si="3949">HYPERLINK("https://12go.asia/en/travel/Attanagalla/Pinnawala", "12Go Link")</f>
        <v>12Go Link</v>
      </c>
      <c r="E15613" s="2" t="s">
        <v>286</v>
      </c>
    </row>
    <row r="15614">
      <c r="A15614" s="2" t="s">
        <v>5029</v>
      </c>
      <c r="B15614" s="2" t="s">
        <v>4980</v>
      </c>
      <c r="C15614" s="2" t="s">
        <v>7646</v>
      </c>
      <c r="D15614" s="3" t="str">
        <f t="shared" si="3949"/>
        <v>12Go Link</v>
      </c>
      <c r="E15614" s="2" t="s">
        <v>4139</v>
      </c>
    </row>
    <row r="15615">
      <c r="A15615" s="2" t="s">
        <v>5029</v>
      </c>
      <c r="B15615" s="2" t="s">
        <v>4980</v>
      </c>
      <c r="C15615" s="2" t="s">
        <v>7646</v>
      </c>
      <c r="D15615" s="3" t="str">
        <f t="shared" si="3949"/>
        <v>12Go Link</v>
      </c>
      <c r="E15615" s="2" t="s">
        <v>3409</v>
      </c>
    </row>
    <row r="15616">
      <c r="A15616" s="2" t="s">
        <v>5029</v>
      </c>
      <c r="B15616" s="2" t="s">
        <v>4982</v>
      </c>
      <c r="C15616" s="2" t="s">
        <v>7647</v>
      </c>
      <c r="D15616" s="3" t="str">
        <f t="shared" ref="D15616:D15618" si="3950">HYPERLINK("https://12go.asia/en/travel/Attanagalla/Kitulgala", "12Go Link")</f>
        <v>12Go Link</v>
      </c>
      <c r="E15616" s="2" t="s">
        <v>286</v>
      </c>
    </row>
    <row r="15617">
      <c r="A15617" s="2" t="s">
        <v>5029</v>
      </c>
      <c r="B15617" s="2" t="s">
        <v>4982</v>
      </c>
      <c r="C15617" s="2" t="s">
        <v>7647</v>
      </c>
      <c r="D15617" s="3" t="str">
        <f t="shared" si="3950"/>
        <v>12Go Link</v>
      </c>
      <c r="E15617" s="2" t="s">
        <v>4139</v>
      </c>
    </row>
    <row r="15618">
      <c r="A15618" s="2" t="s">
        <v>5029</v>
      </c>
      <c r="B15618" s="2" t="s">
        <v>4982</v>
      </c>
      <c r="C15618" s="2" t="s">
        <v>7647</v>
      </c>
      <c r="D15618" s="3" t="str">
        <f t="shared" si="3950"/>
        <v>12Go Link</v>
      </c>
      <c r="E15618" s="2" t="s">
        <v>3409</v>
      </c>
    </row>
    <row r="15619">
      <c r="A15619" s="2" t="s">
        <v>5029</v>
      </c>
      <c r="B15619" s="2" t="s">
        <v>4984</v>
      </c>
      <c r="C15619" s="2" t="s">
        <v>7648</v>
      </c>
      <c r="D15619" s="3" t="str">
        <f t="shared" ref="D15619:D15621" si="3951">HYPERLINK("https://12go.asia/en/travel/Attanagalla/Habaraduwa", "12Go Link")</f>
        <v>12Go Link</v>
      </c>
      <c r="E15619" s="2" t="s">
        <v>286</v>
      </c>
    </row>
    <row r="15620">
      <c r="A15620" s="2" t="s">
        <v>5029</v>
      </c>
      <c r="B15620" s="2" t="s">
        <v>4984</v>
      </c>
      <c r="C15620" s="2" t="s">
        <v>7648</v>
      </c>
      <c r="D15620" s="3" t="str">
        <f t="shared" si="3951"/>
        <v>12Go Link</v>
      </c>
      <c r="E15620" s="2" t="s">
        <v>4139</v>
      </c>
    </row>
    <row r="15621">
      <c r="A15621" s="2" t="s">
        <v>5029</v>
      </c>
      <c r="B15621" s="2" t="s">
        <v>4984</v>
      </c>
      <c r="C15621" s="2" t="s">
        <v>7648</v>
      </c>
      <c r="D15621" s="3" t="str">
        <f t="shared" si="3951"/>
        <v>12Go Link</v>
      </c>
      <c r="E15621" s="2" t="s">
        <v>3409</v>
      </c>
    </row>
    <row r="15622">
      <c r="A15622" s="2" t="s">
        <v>5029</v>
      </c>
      <c r="B15622" s="2" t="s">
        <v>4986</v>
      </c>
      <c r="C15622" s="2" t="s">
        <v>7649</v>
      </c>
      <c r="D15622" s="3" t="str">
        <f t="shared" ref="D15622:D15624" si="3952">HYPERLINK("https://12go.asia/en/travel/Attanagalla/Kosgoda", "12Go Link")</f>
        <v>12Go Link</v>
      </c>
      <c r="E15622" s="2" t="s">
        <v>286</v>
      </c>
    </row>
    <row r="15623">
      <c r="A15623" s="2" t="s">
        <v>5029</v>
      </c>
      <c r="B15623" s="2" t="s">
        <v>4986</v>
      </c>
      <c r="C15623" s="2" t="s">
        <v>7649</v>
      </c>
      <c r="D15623" s="3" t="str">
        <f t="shared" si="3952"/>
        <v>12Go Link</v>
      </c>
      <c r="E15623" s="2" t="s">
        <v>4139</v>
      </c>
    </row>
    <row r="15624">
      <c r="A15624" s="2" t="s">
        <v>5029</v>
      </c>
      <c r="B15624" s="2" t="s">
        <v>4986</v>
      </c>
      <c r="C15624" s="2" t="s">
        <v>7649</v>
      </c>
      <c r="D15624" s="3" t="str">
        <f t="shared" si="3952"/>
        <v>12Go Link</v>
      </c>
      <c r="E15624" s="2" t="s">
        <v>3409</v>
      </c>
    </row>
    <row r="15625">
      <c r="A15625" s="2" t="s">
        <v>5029</v>
      </c>
      <c r="B15625" s="2" t="s">
        <v>4988</v>
      </c>
      <c r="C15625" s="2" t="s">
        <v>7650</v>
      </c>
      <c r="D15625" s="3" t="str">
        <f t="shared" ref="D15625:D15627" si="3953">HYPERLINK("https://12go.asia/en/travel/Attanagalla/Kuchchaveli", "12Go Link")</f>
        <v>12Go Link</v>
      </c>
      <c r="E15625" s="2" t="s">
        <v>286</v>
      </c>
    </row>
    <row r="15626">
      <c r="A15626" s="2" t="s">
        <v>5029</v>
      </c>
      <c r="B15626" s="2" t="s">
        <v>4988</v>
      </c>
      <c r="C15626" s="2" t="s">
        <v>7650</v>
      </c>
      <c r="D15626" s="3" t="str">
        <f t="shared" si="3953"/>
        <v>12Go Link</v>
      </c>
      <c r="E15626" s="2" t="s">
        <v>4139</v>
      </c>
    </row>
    <row r="15627">
      <c r="A15627" s="2" t="s">
        <v>5029</v>
      </c>
      <c r="B15627" s="2" t="s">
        <v>4988</v>
      </c>
      <c r="C15627" s="2" t="s">
        <v>7650</v>
      </c>
      <c r="D15627" s="3" t="str">
        <f t="shared" si="3953"/>
        <v>12Go Link</v>
      </c>
      <c r="E15627" s="2" t="s">
        <v>3409</v>
      </c>
    </row>
    <row r="15628">
      <c r="A15628" s="2" t="s">
        <v>5029</v>
      </c>
      <c r="B15628" s="2" t="s">
        <v>4990</v>
      </c>
      <c r="C15628" s="2" t="s">
        <v>7651</v>
      </c>
      <c r="D15628" s="3" t="str">
        <f t="shared" ref="D15628:D15630" si="3954">HYPERLINK("https://12go.asia/en/travel/Attanagalla/Mannar", "12Go Link")</f>
        <v>12Go Link</v>
      </c>
      <c r="E15628" s="2" t="s">
        <v>286</v>
      </c>
    </row>
    <row r="15629">
      <c r="A15629" s="2" t="s">
        <v>5029</v>
      </c>
      <c r="B15629" s="2" t="s">
        <v>4990</v>
      </c>
      <c r="C15629" s="2" t="s">
        <v>7651</v>
      </c>
      <c r="D15629" s="3" t="str">
        <f t="shared" si="3954"/>
        <v>12Go Link</v>
      </c>
      <c r="E15629" s="2" t="s">
        <v>4139</v>
      </c>
    </row>
    <row r="15630">
      <c r="A15630" s="2" t="s">
        <v>5029</v>
      </c>
      <c r="B15630" s="2" t="s">
        <v>4990</v>
      </c>
      <c r="C15630" s="2" t="s">
        <v>7651</v>
      </c>
      <c r="D15630" s="3" t="str">
        <f t="shared" si="3954"/>
        <v>12Go Link</v>
      </c>
      <c r="E15630" s="2" t="s">
        <v>3409</v>
      </c>
    </row>
    <row r="15631">
      <c r="A15631" s="2" t="s">
        <v>5029</v>
      </c>
      <c r="B15631" s="2" t="s">
        <v>4992</v>
      </c>
      <c r="C15631" s="2" t="s">
        <v>7652</v>
      </c>
      <c r="D15631" s="3" t="str">
        <f t="shared" ref="D15631:D15633" si="3955">HYPERLINK("https://12go.asia/en/travel/Attanagalla/Kinigama", "12Go Link")</f>
        <v>12Go Link</v>
      </c>
      <c r="E15631" s="2" t="s">
        <v>286</v>
      </c>
    </row>
    <row r="15632">
      <c r="A15632" s="2" t="s">
        <v>5029</v>
      </c>
      <c r="B15632" s="2" t="s">
        <v>4992</v>
      </c>
      <c r="C15632" s="2" t="s">
        <v>7652</v>
      </c>
      <c r="D15632" s="3" t="str">
        <f t="shared" si="3955"/>
        <v>12Go Link</v>
      </c>
      <c r="E15632" s="2" t="s">
        <v>4139</v>
      </c>
    </row>
    <row r="15633">
      <c r="A15633" s="2" t="s">
        <v>5029</v>
      </c>
      <c r="B15633" s="2" t="s">
        <v>4992</v>
      </c>
      <c r="C15633" s="2" t="s">
        <v>7652</v>
      </c>
      <c r="D15633" s="3" t="str">
        <f t="shared" si="3955"/>
        <v>12Go Link</v>
      </c>
      <c r="E15633" s="2" t="s">
        <v>3409</v>
      </c>
    </row>
    <row r="15634">
      <c r="A15634" s="2" t="s">
        <v>5029</v>
      </c>
      <c r="B15634" s="2" t="s">
        <v>4994</v>
      </c>
      <c r="C15634" s="2" t="s">
        <v>7653</v>
      </c>
      <c r="D15634" s="3" t="str">
        <f t="shared" ref="D15634:D15636" si="3956">HYPERLINK("https://12go.asia/en/travel/Attanagalla/Kalamatiya", "12Go Link")</f>
        <v>12Go Link</v>
      </c>
      <c r="E15634" s="2" t="s">
        <v>286</v>
      </c>
    </row>
    <row r="15635">
      <c r="A15635" s="2" t="s">
        <v>5029</v>
      </c>
      <c r="B15635" s="2" t="s">
        <v>4994</v>
      </c>
      <c r="C15635" s="2" t="s">
        <v>7653</v>
      </c>
      <c r="D15635" s="3" t="str">
        <f t="shared" si="3956"/>
        <v>12Go Link</v>
      </c>
      <c r="E15635" s="2" t="s">
        <v>4139</v>
      </c>
    </row>
    <row r="15636">
      <c r="A15636" s="2" t="s">
        <v>5029</v>
      </c>
      <c r="B15636" s="2" t="s">
        <v>4994</v>
      </c>
      <c r="C15636" s="2" t="s">
        <v>7653</v>
      </c>
      <c r="D15636" s="3" t="str">
        <f t="shared" si="3956"/>
        <v>12Go Link</v>
      </c>
      <c r="E15636" s="2" t="s">
        <v>3409</v>
      </c>
    </row>
    <row r="15637">
      <c r="A15637" s="2" t="s">
        <v>5029</v>
      </c>
      <c r="B15637" s="2" t="s">
        <v>4996</v>
      </c>
      <c r="C15637" s="2" t="s">
        <v>7654</v>
      </c>
      <c r="D15637" s="3" t="str">
        <f t="shared" ref="D15637:D15639" si="3957">HYPERLINK("https://12go.asia/en/travel/Attanagalla/mirissa", "12Go Link")</f>
        <v>12Go Link</v>
      </c>
      <c r="E15637" s="2" t="s">
        <v>286</v>
      </c>
    </row>
    <row r="15638">
      <c r="A15638" s="2" t="s">
        <v>5029</v>
      </c>
      <c r="B15638" s="2" t="s">
        <v>4996</v>
      </c>
      <c r="C15638" s="2" t="s">
        <v>7654</v>
      </c>
      <c r="D15638" s="3" t="str">
        <f t="shared" si="3957"/>
        <v>12Go Link</v>
      </c>
      <c r="E15638" s="2" t="s">
        <v>4139</v>
      </c>
    </row>
    <row r="15639">
      <c r="A15639" s="2" t="s">
        <v>5029</v>
      </c>
      <c r="B15639" s="2" t="s">
        <v>4996</v>
      </c>
      <c r="C15639" s="2" t="s">
        <v>7654</v>
      </c>
      <c r="D15639" s="3" t="str">
        <f t="shared" si="3957"/>
        <v>12Go Link</v>
      </c>
      <c r="E15639" s="2" t="s">
        <v>3409</v>
      </c>
    </row>
    <row r="15640">
      <c r="A15640" s="2" t="s">
        <v>5029</v>
      </c>
      <c r="B15640" s="2" t="s">
        <v>4998</v>
      </c>
      <c r="C15640" s="2" t="s">
        <v>7655</v>
      </c>
      <c r="D15640" s="3" t="str">
        <f t="shared" ref="D15640:D15642" si="3958">HYPERLINK("https://12go.asia/en/travel/Attanagalla/Nanu-Oya", "12Go Link")</f>
        <v>12Go Link</v>
      </c>
      <c r="E15640" s="2" t="s">
        <v>286</v>
      </c>
    </row>
    <row r="15641">
      <c r="A15641" s="2" t="s">
        <v>5029</v>
      </c>
      <c r="B15641" s="2" t="s">
        <v>4998</v>
      </c>
      <c r="C15641" s="2" t="s">
        <v>7655</v>
      </c>
      <c r="D15641" s="3" t="str">
        <f t="shared" si="3958"/>
        <v>12Go Link</v>
      </c>
      <c r="E15641" s="2" t="s">
        <v>4139</v>
      </c>
    </row>
    <row r="15642">
      <c r="A15642" s="2" t="s">
        <v>5029</v>
      </c>
      <c r="B15642" s="2" t="s">
        <v>4998</v>
      </c>
      <c r="C15642" s="2" t="s">
        <v>7655</v>
      </c>
      <c r="D15642" s="3" t="str">
        <f t="shared" si="3958"/>
        <v>12Go Link</v>
      </c>
      <c r="E15642" s="2" t="s">
        <v>3409</v>
      </c>
    </row>
    <row r="15643">
      <c r="A15643" s="2" t="s">
        <v>5029</v>
      </c>
      <c r="B15643" s="2" t="s">
        <v>5000</v>
      </c>
      <c r="C15643" s="2" t="s">
        <v>7656</v>
      </c>
      <c r="D15643" s="3" t="str">
        <f t="shared" ref="D15643:D15645" si="3959">HYPERLINK("https://12go.asia/en/travel/Attanagalla/Dalupotha", "12Go Link")</f>
        <v>12Go Link</v>
      </c>
      <c r="E15643" s="2" t="s">
        <v>286</v>
      </c>
    </row>
    <row r="15644">
      <c r="A15644" s="2" t="s">
        <v>5029</v>
      </c>
      <c r="B15644" s="2" t="s">
        <v>5000</v>
      </c>
      <c r="C15644" s="2" t="s">
        <v>7656</v>
      </c>
      <c r="D15644" s="3" t="str">
        <f t="shared" si="3959"/>
        <v>12Go Link</v>
      </c>
      <c r="E15644" s="2" t="s">
        <v>4139</v>
      </c>
    </row>
    <row r="15645">
      <c r="A15645" s="2" t="s">
        <v>5029</v>
      </c>
      <c r="B15645" s="2" t="s">
        <v>5000</v>
      </c>
      <c r="C15645" s="2" t="s">
        <v>7656</v>
      </c>
      <c r="D15645" s="3" t="str">
        <f t="shared" si="3959"/>
        <v>12Go Link</v>
      </c>
      <c r="E15645" s="2" t="s">
        <v>3409</v>
      </c>
    </row>
    <row r="15646">
      <c r="A15646" s="2" t="s">
        <v>5029</v>
      </c>
      <c r="B15646" s="2" t="s">
        <v>5000</v>
      </c>
      <c r="C15646" s="2" t="s">
        <v>7657</v>
      </c>
      <c r="D15646" s="3" t="str">
        <f t="shared" ref="D15646:D15648" si="3960">HYPERLINK("https://12go.asia/en/travel/Attanagalla/Waikkal", "12Go Link")</f>
        <v>12Go Link</v>
      </c>
      <c r="E15646" s="2" t="s">
        <v>286</v>
      </c>
    </row>
    <row r="15647">
      <c r="A15647" s="2" t="s">
        <v>5029</v>
      </c>
      <c r="B15647" s="2" t="s">
        <v>5000</v>
      </c>
      <c r="C15647" s="2" t="s">
        <v>7657</v>
      </c>
      <c r="D15647" s="3" t="str">
        <f t="shared" si="3960"/>
        <v>12Go Link</v>
      </c>
      <c r="E15647" s="2" t="s">
        <v>4139</v>
      </c>
    </row>
    <row r="15648">
      <c r="A15648" s="2" t="s">
        <v>5029</v>
      </c>
      <c r="B15648" s="2" t="s">
        <v>5000</v>
      </c>
      <c r="C15648" s="2" t="s">
        <v>7657</v>
      </c>
      <c r="D15648" s="3" t="str">
        <f t="shared" si="3960"/>
        <v>12Go Link</v>
      </c>
      <c r="E15648" s="2" t="s">
        <v>3409</v>
      </c>
    </row>
    <row r="15649">
      <c r="A15649" s="2" t="s">
        <v>5029</v>
      </c>
      <c r="B15649" s="2" t="s">
        <v>5003</v>
      </c>
      <c r="C15649" s="2" t="s">
        <v>7658</v>
      </c>
      <c r="D15649" s="3" t="str">
        <f t="shared" ref="D15649:D15651" si="3961">HYPERLINK("https://12go.asia/en/travel/Attanagalla/Nilaveli", "12Go Link")</f>
        <v>12Go Link</v>
      </c>
      <c r="E15649" s="2" t="s">
        <v>286</v>
      </c>
    </row>
    <row r="15650">
      <c r="A15650" s="2" t="s">
        <v>5029</v>
      </c>
      <c r="B15650" s="2" t="s">
        <v>5003</v>
      </c>
      <c r="C15650" s="2" t="s">
        <v>7658</v>
      </c>
      <c r="D15650" s="3" t="str">
        <f t="shared" si="3961"/>
        <v>12Go Link</v>
      </c>
      <c r="E15650" s="2" t="s">
        <v>4139</v>
      </c>
    </row>
    <row r="15651">
      <c r="A15651" s="2" t="s">
        <v>5029</v>
      </c>
      <c r="B15651" s="2" t="s">
        <v>5003</v>
      </c>
      <c r="C15651" s="2" t="s">
        <v>7658</v>
      </c>
      <c r="D15651" s="3" t="str">
        <f t="shared" si="3961"/>
        <v>12Go Link</v>
      </c>
      <c r="E15651" s="2" t="s">
        <v>3409</v>
      </c>
    </row>
    <row r="15652">
      <c r="A15652" s="2" t="s">
        <v>5029</v>
      </c>
      <c r="B15652" s="2" t="s">
        <v>5005</v>
      </c>
      <c r="C15652" s="2" t="s">
        <v>7659</v>
      </c>
      <c r="D15652" s="3" t="str">
        <f t="shared" ref="D15652:D15654" si="3962">HYPERLINK("https://12go.asia/en/travel/Attanagalla/Kotmale", "12Go Link")</f>
        <v>12Go Link</v>
      </c>
      <c r="E15652" s="2" t="s">
        <v>286</v>
      </c>
    </row>
    <row r="15653">
      <c r="A15653" s="2" t="s">
        <v>5029</v>
      </c>
      <c r="B15653" s="2" t="s">
        <v>5005</v>
      </c>
      <c r="C15653" s="2" t="s">
        <v>7659</v>
      </c>
      <c r="D15653" s="3" t="str">
        <f t="shared" si="3962"/>
        <v>12Go Link</v>
      </c>
      <c r="E15653" s="2" t="s">
        <v>4139</v>
      </c>
    </row>
    <row r="15654">
      <c r="A15654" s="2" t="s">
        <v>5029</v>
      </c>
      <c r="B15654" s="2" t="s">
        <v>5005</v>
      </c>
      <c r="C15654" s="2" t="s">
        <v>7659</v>
      </c>
      <c r="D15654" s="3" t="str">
        <f t="shared" si="3962"/>
        <v>12Go Link</v>
      </c>
      <c r="E15654" s="2" t="s">
        <v>3409</v>
      </c>
    </row>
    <row r="15655">
      <c r="A15655" s="2" t="s">
        <v>5029</v>
      </c>
      <c r="B15655" s="2" t="s">
        <v>5007</v>
      </c>
      <c r="C15655" s="2" t="s">
        <v>7660</v>
      </c>
      <c r="D15655" s="3" t="str">
        <f t="shared" ref="D15655:D15657" si="3963">HYPERLINK("https://12go.asia/en/travel/Attanagalla/Pasikuda", "12Go Link")</f>
        <v>12Go Link</v>
      </c>
      <c r="E15655" s="2" t="s">
        <v>286</v>
      </c>
    </row>
    <row r="15656">
      <c r="A15656" s="2" t="s">
        <v>5029</v>
      </c>
      <c r="B15656" s="2" t="s">
        <v>5007</v>
      </c>
      <c r="C15656" s="2" t="s">
        <v>7660</v>
      </c>
      <c r="D15656" s="3" t="str">
        <f t="shared" si="3963"/>
        <v>12Go Link</v>
      </c>
      <c r="E15656" s="2" t="s">
        <v>4139</v>
      </c>
    </row>
    <row r="15657">
      <c r="A15657" s="2" t="s">
        <v>5029</v>
      </c>
      <c r="B15657" s="2" t="s">
        <v>5007</v>
      </c>
      <c r="C15657" s="2" t="s">
        <v>7660</v>
      </c>
      <c r="D15657" s="3" t="str">
        <f t="shared" si="3963"/>
        <v>12Go Link</v>
      </c>
      <c r="E15657" s="2" t="s">
        <v>3409</v>
      </c>
    </row>
    <row r="15658">
      <c r="A15658" s="2" t="s">
        <v>5029</v>
      </c>
      <c r="B15658" s="2" t="s">
        <v>5009</v>
      </c>
      <c r="C15658" s="2" t="s">
        <v>7661</v>
      </c>
      <c r="D15658" s="3" t="str">
        <f t="shared" ref="D15658:D15660" si="3964">HYPERLINK("https://12go.asia/en/travel/Attanagalla/Galoya", "12Go Link")</f>
        <v>12Go Link</v>
      </c>
      <c r="E15658" s="2" t="s">
        <v>286</v>
      </c>
    </row>
    <row r="15659">
      <c r="A15659" s="2" t="s">
        <v>5029</v>
      </c>
      <c r="B15659" s="2" t="s">
        <v>5009</v>
      </c>
      <c r="C15659" s="2" t="s">
        <v>7661</v>
      </c>
      <c r="D15659" s="3" t="str">
        <f t="shared" si="3964"/>
        <v>12Go Link</v>
      </c>
      <c r="E15659" s="2" t="s">
        <v>4139</v>
      </c>
    </row>
    <row r="15660">
      <c r="A15660" s="2" t="s">
        <v>5029</v>
      </c>
      <c r="B15660" s="2" t="s">
        <v>5009</v>
      </c>
      <c r="C15660" s="2" t="s">
        <v>7661</v>
      </c>
      <c r="D15660" s="3" t="str">
        <f t="shared" si="3964"/>
        <v>12Go Link</v>
      </c>
      <c r="E15660" s="2" t="s">
        <v>3409</v>
      </c>
    </row>
    <row r="15661">
      <c r="A15661" s="2" t="s">
        <v>5029</v>
      </c>
      <c r="B15661" s="2" t="s">
        <v>5011</v>
      </c>
      <c r="C15661" s="2" t="s">
        <v>7662</v>
      </c>
      <c r="D15661" s="3" t="str">
        <f t="shared" ref="D15661:D15663" si="3965">HYPERLINK("https://12go.asia/en/travel/Attanagalla/Kalpitiya", "12Go Link")</f>
        <v>12Go Link</v>
      </c>
      <c r="E15661" s="2" t="s">
        <v>286</v>
      </c>
    </row>
    <row r="15662">
      <c r="A15662" s="2" t="s">
        <v>5029</v>
      </c>
      <c r="B15662" s="2" t="s">
        <v>5011</v>
      </c>
      <c r="C15662" s="2" t="s">
        <v>7662</v>
      </c>
      <c r="D15662" s="3" t="str">
        <f t="shared" si="3965"/>
        <v>12Go Link</v>
      </c>
      <c r="E15662" s="2" t="s">
        <v>4139</v>
      </c>
    </row>
    <row r="15663">
      <c r="A15663" s="2" t="s">
        <v>5029</v>
      </c>
      <c r="B15663" s="2" t="s">
        <v>5011</v>
      </c>
      <c r="C15663" s="2" t="s">
        <v>7662</v>
      </c>
      <c r="D15663" s="3" t="str">
        <f t="shared" si="3965"/>
        <v>12Go Link</v>
      </c>
      <c r="E15663" s="2" t="s">
        <v>3409</v>
      </c>
    </row>
    <row r="15664">
      <c r="A15664" s="2" t="s">
        <v>5029</v>
      </c>
      <c r="B15664" s="2" t="s">
        <v>5011</v>
      </c>
      <c r="C15664" s="2" t="s">
        <v>7663</v>
      </c>
      <c r="D15664" s="3" t="str">
        <f t="shared" ref="D15664:D15666" si="3966">HYPERLINK("https://12go.asia/en/travel/Attanagalla/Marawila", "12Go Link")</f>
        <v>12Go Link</v>
      </c>
      <c r="E15664" s="2" t="s">
        <v>286</v>
      </c>
    </row>
    <row r="15665">
      <c r="A15665" s="2" t="s">
        <v>5029</v>
      </c>
      <c r="B15665" s="2" t="s">
        <v>5011</v>
      </c>
      <c r="C15665" s="2" t="s">
        <v>7663</v>
      </c>
      <c r="D15665" s="3" t="str">
        <f t="shared" si="3966"/>
        <v>12Go Link</v>
      </c>
      <c r="E15665" s="2" t="s">
        <v>4139</v>
      </c>
    </row>
    <row r="15666">
      <c r="A15666" s="2" t="s">
        <v>5029</v>
      </c>
      <c r="B15666" s="2" t="s">
        <v>5011</v>
      </c>
      <c r="C15666" s="2" t="s">
        <v>7663</v>
      </c>
      <c r="D15666" s="3" t="str">
        <f t="shared" si="3966"/>
        <v>12Go Link</v>
      </c>
      <c r="E15666" s="2" t="s">
        <v>3409</v>
      </c>
    </row>
    <row r="15667">
      <c r="A15667" s="2" t="s">
        <v>5029</v>
      </c>
      <c r="B15667" s="2" t="s">
        <v>5014</v>
      </c>
      <c r="C15667" s="2" t="s">
        <v>7664</v>
      </c>
      <c r="D15667" s="3" t="str">
        <f t="shared" ref="D15667:D15669" si="3967">HYPERLINK("https://12go.asia/en/travel/Attanagalla/Kiriella", "12Go Link")</f>
        <v>12Go Link</v>
      </c>
      <c r="E15667" s="2" t="s">
        <v>286</v>
      </c>
    </row>
    <row r="15668">
      <c r="A15668" s="2" t="s">
        <v>5029</v>
      </c>
      <c r="B15668" s="2" t="s">
        <v>5014</v>
      </c>
      <c r="C15668" s="2" t="s">
        <v>7664</v>
      </c>
      <c r="D15668" s="3" t="str">
        <f t="shared" si="3967"/>
        <v>12Go Link</v>
      </c>
      <c r="E15668" s="2" t="s">
        <v>4139</v>
      </c>
    </row>
    <row r="15669">
      <c r="A15669" s="2" t="s">
        <v>5029</v>
      </c>
      <c r="B15669" s="2" t="s">
        <v>5014</v>
      </c>
      <c r="C15669" s="2" t="s">
        <v>7664</v>
      </c>
      <c r="D15669" s="3" t="str">
        <f t="shared" si="3967"/>
        <v>12Go Link</v>
      </c>
      <c r="E15669" s="2" t="s">
        <v>3409</v>
      </c>
    </row>
    <row r="15670">
      <c r="A15670" s="2" t="s">
        <v>5029</v>
      </c>
      <c r="B15670" s="2" t="s">
        <v>5016</v>
      </c>
      <c r="C15670" s="2" t="s">
        <v>7665</v>
      </c>
      <c r="D15670" s="3" t="str">
        <f t="shared" ref="D15670:D15672" si="3968">HYPERLINK("https://12go.asia/en/travel/Attanagalla/Pidurangala", "12Go Link")</f>
        <v>12Go Link</v>
      </c>
      <c r="E15670" s="2" t="s">
        <v>286</v>
      </c>
    </row>
    <row r="15671">
      <c r="A15671" s="2" t="s">
        <v>5029</v>
      </c>
      <c r="B15671" s="2" t="s">
        <v>5016</v>
      </c>
      <c r="C15671" s="2" t="s">
        <v>7665</v>
      </c>
      <c r="D15671" s="3" t="str">
        <f t="shared" si="3968"/>
        <v>12Go Link</v>
      </c>
      <c r="E15671" s="2" t="s">
        <v>4139</v>
      </c>
    </row>
    <row r="15672">
      <c r="A15672" s="2" t="s">
        <v>5029</v>
      </c>
      <c r="B15672" s="2" t="s">
        <v>5016</v>
      </c>
      <c r="C15672" s="2" t="s">
        <v>7665</v>
      </c>
      <c r="D15672" s="3" t="str">
        <f t="shared" si="3968"/>
        <v>12Go Link</v>
      </c>
      <c r="E15672" s="2" t="s">
        <v>3409</v>
      </c>
    </row>
    <row r="15673">
      <c r="A15673" s="2" t="s">
        <v>5029</v>
      </c>
      <c r="B15673" s="2" t="s">
        <v>5018</v>
      </c>
      <c r="C15673" s="2" t="s">
        <v>7666</v>
      </c>
      <c r="D15673" s="3" t="str">
        <f t="shared" ref="D15673:D15675" si="3969">HYPERLINK("https://12go.asia/en/travel/Attanagalla/Rekawa", "12Go Link")</f>
        <v>12Go Link</v>
      </c>
      <c r="E15673" s="2" t="s">
        <v>286</v>
      </c>
    </row>
    <row r="15674">
      <c r="A15674" s="2" t="s">
        <v>5029</v>
      </c>
      <c r="B15674" s="2" t="s">
        <v>5018</v>
      </c>
      <c r="C15674" s="2" t="s">
        <v>7666</v>
      </c>
      <c r="D15674" s="3" t="str">
        <f t="shared" si="3969"/>
        <v>12Go Link</v>
      </c>
      <c r="E15674" s="2" t="s">
        <v>4139</v>
      </c>
    </row>
    <row r="15675">
      <c r="A15675" s="2" t="s">
        <v>5029</v>
      </c>
      <c r="B15675" s="2" t="s">
        <v>5018</v>
      </c>
      <c r="C15675" s="2" t="s">
        <v>7666</v>
      </c>
      <c r="D15675" s="3" t="str">
        <f t="shared" si="3969"/>
        <v>12Go Link</v>
      </c>
      <c r="E15675" s="2" t="s">
        <v>3409</v>
      </c>
    </row>
    <row r="15676">
      <c r="A15676" s="2" t="s">
        <v>5029</v>
      </c>
      <c r="B15676" s="2" t="s">
        <v>5020</v>
      </c>
      <c r="C15676" s="2" t="s">
        <v>7667</v>
      </c>
      <c r="D15676" s="3" t="str">
        <f t="shared" ref="D15676:D15678" si="3970">HYPERLINK("https://12go.asia/en/travel/Attanagalla/Tissamaharama", "12Go Link")</f>
        <v>12Go Link</v>
      </c>
      <c r="E15676" s="2" t="s">
        <v>286</v>
      </c>
    </row>
    <row r="15677">
      <c r="A15677" s="2" t="s">
        <v>5029</v>
      </c>
      <c r="B15677" s="2" t="s">
        <v>5020</v>
      </c>
      <c r="C15677" s="2" t="s">
        <v>7667</v>
      </c>
      <c r="D15677" s="3" t="str">
        <f t="shared" si="3970"/>
        <v>12Go Link</v>
      </c>
      <c r="E15677" s="2" t="s">
        <v>4139</v>
      </c>
    </row>
    <row r="15678">
      <c r="A15678" s="2" t="s">
        <v>5029</v>
      </c>
      <c r="B15678" s="2" t="s">
        <v>5020</v>
      </c>
      <c r="C15678" s="2" t="s">
        <v>7667</v>
      </c>
      <c r="D15678" s="3" t="str">
        <f t="shared" si="3970"/>
        <v>12Go Link</v>
      </c>
      <c r="E15678" s="2" t="s">
        <v>3409</v>
      </c>
    </row>
    <row r="15679">
      <c r="A15679" s="2" t="s">
        <v>5029</v>
      </c>
      <c r="B15679" s="2" t="s">
        <v>5020</v>
      </c>
      <c r="C15679" s="2" t="s">
        <v>7668</v>
      </c>
      <c r="D15679" s="3" t="str">
        <f t="shared" ref="D15679:D15681" si="3971">HYPERLINK("https://12go.asia/en/travel/Attanagalla/Yala-Park", "12Go Link")</f>
        <v>12Go Link</v>
      </c>
      <c r="E15679" s="2" t="s">
        <v>286</v>
      </c>
    </row>
    <row r="15680">
      <c r="A15680" s="2" t="s">
        <v>5029</v>
      </c>
      <c r="B15680" s="2" t="s">
        <v>5020</v>
      </c>
      <c r="C15680" s="2" t="s">
        <v>7668</v>
      </c>
      <c r="D15680" s="3" t="str">
        <f t="shared" si="3971"/>
        <v>12Go Link</v>
      </c>
      <c r="E15680" s="2" t="s">
        <v>4139</v>
      </c>
    </row>
    <row r="15681">
      <c r="A15681" s="2" t="s">
        <v>5029</v>
      </c>
      <c r="B15681" s="2" t="s">
        <v>5020</v>
      </c>
      <c r="C15681" s="2" t="s">
        <v>7668</v>
      </c>
      <c r="D15681" s="3" t="str">
        <f t="shared" si="3971"/>
        <v>12Go Link</v>
      </c>
      <c r="E15681" s="2" t="s">
        <v>3409</v>
      </c>
    </row>
    <row r="15682">
      <c r="A15682" s="2" t="s">
        <v>5029</v>
      </c>
      <c r="B15682" s="2" t="s">
        <v>5023</v>
      </c>
      <c r="C15682" s="2" t="s">
        <v>7669</v>
      </c>
      <c r="D15682" s="3" t="str">
        <f t="shared" ref="D15682:D15684" si="3972">HYPERLINK("https://12go.asia/en/travel/Attanagalla/Nilaweli", "12Go Link")</f>
        <v>12Go Link</v>
      </c>
      <c r="E15682" s="2" t="s">
        <v>286</v>
      </c>
    </row>
    <row r="15683">
      <c r="A15683" s="2" t="s">
        <v>5029</v>
      </c>
      <c r="B15683" s="2" t="s">
        <v>5023</v>
      </c>
      <c r="C15683" s="2" t="s">
        <v>7669</v>
      </c>
      <c r="D15683" s="3" t="str">
        <f t="shared" si="3972"/>
        <v>12Go Link</v>
      </c>
      <c r="E15683" s="2" t="s">
        <v>4139</v>
      </c>
    </row>
    <row r="15684">
      <c r="A15684" s="2" t="s">
        <v>5029</v>
      </c>
      <c r="B15684" s="2" t="s">
        <v>5023</v>
      </c>
      <c r="C15684" s="2" t="s">
        <v>7669</v>
      </c>
      <c r="D15684" s="3" t="str">
        <f t="shared" si="3972"/>
        <v>12Go Link</v>
      </c>
      <c r="E15684" s="2" t="s">
        <v>3409</v>
      </c>
    </row>
    <row r="15685">
      <c r="A15685" s="2" t="s">
        <v>5029</v>
      </c>
      <c r="B15685" s="2" t="s">
        <v>5025</v>
      </c>
      <c r="C15685" s="2" t="s">
        <v>7670</v>
      </c>
      <c r="D15685" s="3" t="str">
        <f t="shared" ref="D15685:D15687" si="3973">HYPERLINK("https://12go.asia/en/travel/Attanagalla/Udawalawa", "12Go Link")</f>
        <v>12Go Link</v>
      </c>
      <c r="E15685" s="2" t="s">
        <v>286</v>
      </c>
    </row>
    <row r="15686">
      <c r="A15686" s="2" t="s">
        <v>5029</v>
      </c>
      <c r="B15686" s="2" t="s">
        <v>5025</v>
      </c>
      <c r="C15686" s="2" t="s">
        <v>7670</v>
      </c>
      <c r="D15686" s="3" t="str">
        <f t="shared" si="3973"/>
        <v>12Go Link</v>
      </c>
      <c r="E15686" s="2" t="s">
        <v>4139</v>
      </c>
    </row>
    <row r="15687">
      <c r="A15687" s="2" t="s">
        <v>5029</v>
      </c>
      <c r="B15687" s="2" t="s">
        <v>5025</v>
      </c>
      <c r="C15687" s="2" t="s">
        <v>7670</v>
      </c>
      <c r="D15687" s="3" t="str">
        <f t="shared" si="3973"/>
        <v>12Go Link</v>
      </c>
      <c r="E15687" s="2" t="s">
        <v>3409</v>
      </c>
    </row>
    <row r="15688">
      <c r="A15688" s="2" t="s">
        <v>5029</v>
      </c>
      <c r="B15688" s="2" t="s">
        <v>5027</v>
      </c>
      <c r="C15688" s="2" t="s">
        <v>7671</v>
      </c>
      <c r="D15688" s="3" t="str">
        <f t="shared" ref="D15688:D15690" si="3974">HYPERLINK("https://12go.asia/en/travel/Attanagalla/Unawatuna", "12Go Link")</f>
        <v>12Go Link</v>
      </c>
      <c r="E15688" s="2" t="s">
        <v>286</v>
      </c>
    </row>
    <row r="15689">
      <c r="A15689" s="2" t="s">
        <v>5029</v>
      </c>
      <c r="B15689" s="2" t="s">
        <v>5027</v>
      </c>
      <c r="C15689" s="2" t="s">
        <v>7671</v>
      </c>
      <c r="D15689" s="3" t="str">
        <f t="shared" si="3974"/>
        <v>12Go Link</v>
      </c>
      <c r="E15689" s="2" t="s">
        <v>4139</v>
      </c>
    </row>
    <row r="15690">
      <c r="A15690" s="2" t="s">
        <v>5029</v>
      </c>
      <c r="B15690" s="2" t="s">
        <v>5027</v>
      </c>
      <c r="C15690" s="2" t="s">
        <v>7671</v>
      </c>
      <c r="D15690" s="3" t="str">
        <f t="shared" si="3974"/>
        <v>12Go Link</v>
      </c>
      <c r="E15690" s="2" t="s">
        <v>3409</v>
      </c>
    </row>
    <row r="15691">
      <c r="A15691" s="2" t="s">
        <v>5029</v>
      </c>
      <c r="B15691" s="2" t="s">
        <v>5031</v>
      </c>
      <c r="C15691" s="2" t="s">
        <v>7672</v>
      </c>
      <c r="D15691" s="3" t="str">
        <f t="shared" ref="D15691:D15693" si="3975">HYPERLINK("https://12go.asia/en/travel/Attanagalla/Moronthuduwa", "12Go Link")</f>
        <v>12Go Link</v>
      </c>
      <c r="E15691" s="2" t="s">
        <v>286</v>
      </c>
    </row>
    <row r="15692">
      <c r="A15692" s="2" t="s">
        <v>5029</v>
      </c>
      <c r="B15692" s="2" t="s">
        <v>5031</v>
      </c>
      <c r="C15692" s="2" t="s">
        <v>7672</v>
      </c>
      <c r="D15692" s="3" t="str">
        <f t="shared" si="3975"/>
        <v>12Go Link</v>
      </c>
      <c r="E15692" s="2" t="s">
        <v>4139</v>
      </c>
    </row>
    <row r="15693">
      <c r="A15693" s="2" t="s">
        <v>5029</v>
      </c>
      <c r="B15693" s="2" t="s">
        <v>5031</v>
      </c>
      <c r="C15693" s="2" t="s">
        <v>7672</v>
      </c>
      <c r="D15693" s="3" t="str">
        <f t="shared" si="3975"/>
        <v>12Go Link</v>
      </c>
      <c r="E15693" s="2" t="s">
        <v>3409</v>
      </c>
    </row>
    <row r="15694">
      <c r="A15694" s="2" t="s">
        <v>5029</v>
      </c>
      <c r="B15694" s="2" t="s">
        <v>5031</v>
      </c>
      <c r="C15694" s="2" t="s">
        <v>7673</v>
      </c>
      <c r="D15694" s="3" t="str">
        <f t="shared" ref="D15694:D15696" si="3976">HYPERLINK("https://12go.asia/en/travel/Attanagalla/Waskaduwa", "12Go Link")</f>
        <v>12Go Link</v>
      </c>
      <c r="E15694" s="2" t="s">
        <v>286</v>
      </c>
    </row>
    <row r="15695">
      <c r="A15695" s="2" t="s">
        <v>5029</v>
      </c>
      <c r="B15695" s="2" t="s">
        <v>5031</v>
      </c>
      <c r="C15695" s="2" t="s">
        <v>7673</v>
      </c>
      <c r="D15695" s="3" t="str">
        <f t="shared" si="3976"/>
        <v>12Go Link</v>
      </c>
      <c r="E15695" s="2" t="s">
        <v>4139</v>
      </c>
    </row>
    <row r="15696">
      <c r="A15696" s="2" t="s">
        <v>5029</v>
      </c>
      <c r="B15696" s="2" t="s">
        <v>5031</v>
      </c>
      <c r="C15696" s="2" t="s">
        <v>7673</v>
      </c>
      <c r="D15696" s="3" t="str">
        <f t="shared" si="3976"/>
        <v>12Go Link</v>
      </c>
      <c r="E15696" s="2" t="s">
        <v>3409</v>
      </c>
    </row>
    <row r="15697">
      <c r="A15697" s="2" t="s">
        <v>5029</v>
      </c>
      <c r="B15697" s="2" t="s">
        <v>5034</v>
      </c>
      <c r="C15697" s="2" t="s">
        <v>7674</v>
      </c>
      <c r="D15697" s="3" t="str">
        <f t="shared" ref="D15697:D15699" si="3977">HYPERLINK("https://12go.asia/en/travel/Attanagalla/Weddagala", "12Go Link")</f>
        <v>12Go Link</v>
      </c>
      <c r="E15697" s="2" t="s">
        <v>286</v>
      </c>
    </row>
    <row r="15698">
      <c r="A15698" s="2" t="s">
        <v>5029</v>
      </c>
      <c r="B15698" s="2" t="s">
        <v>5034</v>
      </c>
      <c r="C15698" s="2" t="s">
        <v>7674</v>
      </c>
      <c r="D15698" s="3" t="str">
        <f t="shared" si="3977"/>
        <v>12Go Link</v>
      </c>
      <c r="E15698" s="2" t="s">
        <v>4139</v>
      </c>
    </row>
    <row r="15699">
      <c r="A15699" s="2" t="s">
        <v>5029</v>
      </c>
      <c r="B15699" s="2" t="s">
        <v>5034</v>
      </c>
      <c r="C15699" s="2" t="s">
        <v>7674</v>
      </c>
      <c r="D15699" s="3" t="str">
        <f t="shared" si="3977"/>
        <v>12Go Link</v>
      </c>
      <c r="E15699" s="2" t="s">
        <v>3409</v>
      </c>
    </row>
    <row r="15700">
      <c r="A15700" s="2" t="s">
        <v>5029</v>
      </c>
      <c r="B15700" s="2" t="s">
        <v>5036</v>
      </c>
      <c r="C15700" s="2" t="s">
        <v>7675</v>
      </c>
      <c r="D15700" s="3" t="str">
        <f t="shared" ref="D15700:D15702" si="3978">HYPERLINK("https://12go.asia/en/travel/Attanagalla/Weligatta", "12Go Link")</f>
        <v>12Go Link</v>
      </c>
      <c r="E15700" s="2" t="s">
        <v>286</v>
      </c>
    </row>
    <row r="15701">
      <c r="A15701" s="2" t="s">
        <v>5029</v>
      </c>
      <c r="B15701" s="2" t="s">
        <v>5036</v>
      </c>
      <c r="C15701" s="2" t="s">
        <v>7675</v>
      </c>
      <c r="D15701" s="3" t="str">
        <f t="shared" si="3978"/>
        <v>12Go Link</v>
      </c>
      <c r="E15701" s="2" t="s">
        <v>4139</v>
      </c>
    </row>
    <row r="15702">
      <c r="A15702" s="2" t="s">
        <v>5029</v>
      </c>
      <c r="B15702" s="2" t="s">
        <v>5036</v>
      </c>
      <c r="C15702" s="2" t="s">
        <v>7675</v>
      </c>
      <c r="D15702" s="3" t="str">
        <f t="shared" si="3978"/>
        <v>12Go Link</v>
      </c>
      <c r="E15702" s="2" t="s">
        <v>3409</v>
      </c>
    </row>
    <row r="15703">
      <c r="A15703" s="2" t="s">
        <v>5029</v>
      </c>
      <c r="B15703" s="2" t="s">
        <v>5038</v>
      </c>
      <c r="C15703" s="2" t="s">
        <v>7676</v>
      </c>
      <c r="D15703" s="3" t="str">
        <f t="shared" ref="D15703:D15705" si="3979">HYPERLINK("https://12go.asia/en/travel/Attanagalla/Akuressa", "12Go Link")</f>
        <v>12Go Link</v>
      </c>
      <c r="E15703" s="2" t="s">
        <v>286</v>
      </c>
    </row>
    <row r="15704">
      <c r="A15704" s="2" t="s">
        <v>5029</v>
      </c>
      <c r="B15704" s="2" t="s">
        <v>5038</v>
      </c>
      <c r="C15704" s="2" t="s">
        <v>7676</v>
      </c>
      <c r="D15704" s="3" t="str">
        <f t="shared" si="3979"/>
        <v>12Go Link</v>
      </c>
      <c r="E15704" s="2" t="s">
        <v>4139</v>
      </c>
    </row>
    <row r="15705">
      <c r="A15705" s="2" t="s">
        <v>5029</v>
      </c>
      <c r="B15705" s="2" t="s">
        <v>5038</v>
      </c>
      <c r="C15705" s="2" t="s">
        <v>7676</v>
      </c>
      <c r="D15705" s="3" t="str">
        <f t="shared" si="3979"/>
        <v>12Go Link</v>
      </c>
      <c r="E15705" s="2" t="s">
        <v>3409</v>
      </c>
    </row>
    <row r="15706">
      <c r="A15706" s="2" t="s">
        <v>5029</v>
      </c>
      <c r="B15706" s="2" t="s">
        <v>5040</v>
      </c>
      <c r="C15706" s="2" t="s">
        <v>7677</v>
      </c>
      <c r="D15706" s="3" t="str">
        <f t="shared" ref="D15706:D15708" si="3980">HYPERLINK("https://12go.asia/en/travel/Attanagalla/Wilpattu", "12Go Link")</f>
        <v>12Go Link</v>
      </c>
      <c r="E15706" s="2" t="s">
        <v>286</v>
      </c>
    </row>
    <row r="15707">
      <c r="A15707" s="2" t="s">
        <v>5029</v>
      </c>
      <c r="B15707" s="2" t="s">
        <v>5040</v>
      </c>
      <c r="C15707" s="2" t="s">
        <v>7677</v>
      </c>
      <c r="D15707" s="3" t="str">
        <f t="shared" si="3980"/>
        <v>12Go Link</v>
      </c>
      <c r="E15707" s="2" t="s">
        <v>4139</v>
      </c>
    </row>
    <row r="15708">
      <c r="A15708" s="2" t="s">
        <v>5029</v>
      </c>
      <c r="B15708" s="2" t="s">
        <v>5040</v>
      </c>
      <c r="C15708" s="2" t="s">
        <v>7677</v>
      </c>
      <c r="D15708" s="3" t="str">
        <f t="shared" si="3980"/>
        <v>12Go Link</v>
      </c>
      <c r="E15708" s="2" t="s">
        <v>3409</v>
      </c>
    </row>
    <row r="15709">
      <c r="A15709" s="2" t="s">
        <v>5031</v>
      </c>
      <c r="B15709" s="2" t="s">
        <v>4918</v>
      </c>
      <c r="C15709" s="2" t="s">
        <v>7678</v>
      </c>
      <c r="D15709" s="3" t="str">
        <f t="shared" ref="D15709:D15711" si="3981">HYPERLINK("https://12go.asia/en/travel/Moronthuduwa/Adams-Peak", "12Go Link")</f>
        <v>12Go Link</v>
      </c>
      <c r="E15709" s="2" t="s">
        <v>286</v>
      </c>
    </row>
    <row r="15710">
      <c r="A15710" s="2" t="s">
        <v>5031</v>
      </c>
      <c r="B15710" s="2" t="s">
        <v>4918</v>
      </c>
      <c r="C15710" s="2" t="s">
        <v>7678</v>
      </c>
      <c r="D15710" s="3" t="str">
        <f t="shared" si="3981"/>
        <v>12Go Link</v>
      </c>
      <c r="E15710" s="2" t="s">
        <v>4139</v>
      </c>
    </row>
    <row r="15711">
      <c r="A15711" s="2" t="s">
        <v>5031</v>
      </c>
      <c r="B15711" s="2" t="s">
        <v>4918</v>
      </c>
      <c r="C15711" s="2" t="s">
        <v>7678</v>
      </c>
      <c r="D15711" s="3" t="str">
        <f t="shared" si="3981"/>
        <v>12Go Link</v>
      </c>
      <c r="E15711" s="2" t="s">
        <v>3409</v>
      </c>
    </row>
    <row r="15712">
      <c r="A15712" s="2" t="s">
        <v>5031</v>
      </c>
      <c r="B15712" s="2" t="s">
        <v>4918</v>
      </c>
      <c r="C15712" s="2" t="s">
        <v>7679</v>
      </c>
      <c r="D15712" s="3" t="str">
        <f t="shared" ref="D15712:D15714" si="3982">HYPERLINK("https://12go.asia/en/travel/Waskaduwa/Adams-Peak", "12Go Link")</f>
        <v>12Go Link</v>
      </c>
      <c r="E15712" s="2" t="s">
        <v>286</v>
      </c>
    </row>
    <row r="15713">
      <c r="A15713" s="2" t="s">
        <v>5031</v>
      </c>
      <c r="B15713" s="2" t="s">
        <v>4918</v>
      </c>
      <c r="C15713" s="2" t="s">
        <v>7679</v>
      </c>
      <c r="D15713" s="3" t="str">
        <f t="shared" si="3982"/>
        <v>12Go Link</v>
      </c>
      <c r="E15713" s="2" t="s">
        <v>4139</v>
      </c>
    </row>
    <row r="15714">
      <c r="A15714" s="2" t="s">
        <v>5031</v>
      </c>
      <c r="B15714" s="2" t="s">
        <v>4918</v>
      </c>
      <c r="C15714" s="2" t="s">
        <v>7679</v>
      </c>
      <c r="D15714" s="3" t="str">
        <f t="shared" si="3982"/>
        <v>12Go Link</v>
      </c>
      <c r="E15714" s="2" t="s">
        <v>3409</v>
      </c>
    </row>
    <row r="15715">
      <c r="A15715" s="2" t="s">
        <v>5031</v>
      </c>
      <c r="B15715" s="2" t="s">
        <v>4919</v>
      </c>
      <c r="C15715" s="2" t="s">
        <v>7680</v>
      </c>
      <c r="D15715" s="3" t="str">
        <f t="shared" ref="D15715:D15717" si="3983">HYPERLINK("https://12go.asia/en/travel/Moronthuduwa/Ahangama", "12Go Link")</f>
        <v>12Go Link</v>
      </c>
      <c r="E15715" s="2" t="s">
        <v>286</v>
      </c>
    </row>
    <row r="15716">
      <c r="A15716" s="2" t="s">
        <v>5031</v>
      </c>
      <c r="B15716" s="2" t="s">
        <v>4919</v>
      </c>
      <c r="C15716" s="2" t="s">
        <v>7680</v>
      </c>
      <c r="D15716" s="3" t="str">
        <f t="shared" si="3983"/>
        <v>12Go Link</v>
      </c>
      <c r="E15716" s="2" t="s">
        <v>4139</v>
      </c>
    </row>
    <row r="15717">
      <c r="A15717" s="2" t="s">
        <v>5031</v>
      </c>
      <c r="B15717" s="2" t="s">
        <v>4919</v>
      </c>
      <c r="C15717" s="2" t="s">
        <v>7680</v>
      </c>
      <c r="D15717" s="3" t="str">
        <f t="shared" si="3983"/>
        <v>12Go Link</v>
      </c>
      <c r="E15717" s="2" t="s">
        <v>3409</v>
      </c>
    </row>
    <row r="15718">
      <c r="A15718" s="2" t="s">
        <v>5031</v>
      </c>
      <c r="B15718" s="2" t="s">
        <v>4919</v>
      </c>
      <c r="C15718" s="2" t="s">
        <v>7681</v>
      </c>
      <c r="D15718" s="3" t="str">
        <f t="shared" ref="D15718:D15720" si="3984">HYPERLINK("https://12go.asia/en/travel/Waskaduwa/Ahangama", "12Go Link")</f>
        <v>12Go Link</v>
      </c>
      <c r="E15718" s="2" t="s">
        <v>286</v>
      </c>
    </row>
    <row r="15719">
      <c r="A15719" s="2" t="s">
        <v>5031</v>
      </c>
      <c r="B15719" s="2" t="s">
        <v>4919</v>
      </c>
      <c r="C15719" s="2" t="s">
        <v>7681</v>
      </c>
      <c r="D15719" s="3" t="str">
        <f t="shared" si="3984"/>
        <v>12Go Link</v>
      </c>
      <c r="E15719" s="2" t="s">
        <v>4139</v>
      </c>
    </row>
    <row r="15720">
      <c r="A15720" s="2" t="s">
        <v>5031</v>
      </c>
      <c r="B15720" s="2" t="s">
        <v>4919</v>
      </c>
      <c r="C15720" s="2" t="s">
        <v>7681</v>
      </c>
      <c r="D15720" s="3" t="str">
        <f t="shared" si="3984"/>
        <v>12Go Link</v>
      </c>
      <c r="E15720" s="2" t="s">
        <v>3409</v>
      </c>
    </row>
    <row r="15721">
      <c r="A15721" s="2" t="s">
        <v>5031</v>
      </c>
      <c r="B15721" s="2" t="s">
        <v>4921</v>
      </c>
      <c r="C15721" s="2" t="s">
        <v>7682</v>
      </c>
      <c r="D15721" s="3" t="str">
        <f t="shared" ref="D15721:D15723" si="3985">HYPERLINK("https://12go.asia/en/travel/Moronthuduwa/Ahungalla", "12Go Link")</f>
        <v>12Go Link</v>
      </c>
      <c r="E15721" s="2" t="s">
        <v>286</v>
      </c>
    </row>
    <row r="15722">
      <c r="A15722" s="2" t="s">
        <v>5031</v>
      </c>
      <c r="B15722" s="2" t="s">
        <v>4921</v>
      </c>
      <c r="C15722" s="2" t="s">
        <v>7682</v>
      </c>
      <c r="D15722" s="3" t="str">
        <f t="shared" si="3985"/>
        <v>12Go Link</v>
      </c>
      <c r="E15722" s="2" t="s">
        <v>4139</v>
      </c>
    </row>
    <row r="15723">
      <c r="A15723" s="2" t="s">
        <v>5031</v>
      </c>
      <c r="B15723" s="2" t="s">
        <v>4921</v>
      </c>
      <c r="C15723" s="2" t="s">
        <v>7682</v>
      </c>
      <c r="D15723" s="3" t="str">
        <f t="shared" si="3985"/>
        <v>12Go Link</v>
      </c>
      <c r="E15723" s="2" t="s">
        <v>3409</v>
      </c>
    </row>
    <row r="15724">
      <c r="A15724" s="2" t="s">
        <v>5031</v>
      </c>
      <c r="B15724" s="2" t="s">
        <v>4921</v>
      </c>
      <c r="C15724" s="2" t="s">
        <v>7683</v>
      </c>
      <c r="D15724" s="3" t="str">
        <f t="shared" ref="D15724:D15726" si="3986">HYPERLINK("https://12go.asia/en/travel/Waskaduwa/Ahungalla", "12Go Link")</f>
        <v>12Go Link</v>
      </c>
      <c r="E15724" s="2" t="s">
        <v>286</v>
      </c>
    </row>
    <row r="15725">
      <c r="A15725" s="2" t="s">
        <v>5031</v>
      </c>
      <c r="B15725" s="2" t="s">
        <v>4921</v>
      </c>
      <c r="C15725" s="2" t="s">
        <v>7683</v>
      </c>
      <c r="D15725" s="3" t="str">
        <f t="shared" si="3986"/>
        <v>12Go Link</v>
      </c>
      <c r="E15725" s="2" t="s">
        <v>4139</v>
      </c>
    </row>
    <row r="15726">
      <c r="A15726" s="2" t="s">
        <v>5031</v>
      </c>
      <c r="B15726" s="2" t="s">
        <v>4921</v>
      </c>
      <c r="C15726" s="2" t="s">
        <v>7683</v>
      </c>
      <c r="D15726" s="3" t="str">
        <f t="shared" si="3986"/>
        <v>12Go Link</v>
      </c>
      <c r="E15726" s="2" t="s">
        <v>3409</v>
      </c>
    </row>
    <row r="15727">
      <c r="A15727" s="2" t="s">
        <v>5031</v>
      </c>
      <c r="B15727" s="2" t="s">
        <v>4923</v>
      </c>
      <c r="C15727" s="2" t="s">
        <v>7684</v>
      </c>
      <c r="D15727" s="3" t="str">
        <f t="shared" ref="D15727:D15729" si="3987">HYPERLINK("https://12go.asia/en/travel/Moronthuduwa/Aluthgama", "12Go Link")</f>
        <v>12Go Link</v>
      </c>
      <c r="E15727" s="2" t="s">
        <v>286</v>
      </c>
    </row>
    <row r="15728">
      <c r="A15728" s="2" t="s">
        <v>5031</v>
      </c>
      <c r="B15728" s="2" t="s">
        <v>4923</v>
      </c>
      <c r="C15728" s="2" t="s">
        <v>7684</v>
      </c>
      <c r="D15728" s="3" t="str">
        <f t="shared" si="3987"/>
        <v>12Go Link</v>
      </c>
      <c r="E15728" s="2" t="s">
        <v>4139</v>
      </c>
    </row>
    <row r="15729">
      <c r="A15729" s="2" t="s">
        <v>5031</v>
      </c>
      <c r="B15729" s="2" t="s">
        <v>4923</v>
      </c>
      <c r="C15729" s="2" t="s">
        <v>7684</v>
      </c>
      <c r="D15729" s="3" t="str">
        <f t="shared" si="3987"/>
        <v>12Go Link</v>
      </c>
      <c r="E15729" s="2" t="s">
        <v>3409</v>
      </c>
    </row>
    <row r="15730">
      <c r="A15730" s="2" t="s">
        <v>5031</v>
      </c>
      <c r="B15730" s="2" t="s">
        <v>4923</v>
      </c>
      <c r="C15730" s="2" t="s">
        <v>7685</v>
      </c>
      <c r="D15730" s="3" t="str">
        <f t="shared" ref="D15730:D15732" si="3988">HYPERLINK("https://12go.asia/en/travel/Waskaduwa/Aluthgama", "12Go Link")</f>
        <v>12Go Link</v>
      </c>
      <c r="E15730" s="2" t="s">
        <v>286</v>
      </c>
    </row>
    <row r="15731">
      <c r="A15731" s="2" t="s">
        <v>5031</v>
      </c>
      <c r="B15731" s="2" t="s">
        <v>4923</v>
      </c>
      <c r="C15731" s="2" t="s">
        <v>7685</v>
      </c>
      <c r="D15731" s="3" t="str">
        <f t="shared" si="3988"/>
        <v>12Go Link</v>
      </c>
      <c r="E15731" s="2" t="s">
        <v>4139</v>
      </c>
    </row>
    <row r="15732">
      <c r="A15732" s="2" t="s">
        <v>5031</v>
      </c>
      <c r="B15732" s="2" t="s">
        <v>4923</v>
      </c>
      <c r="C15732" s="2" t="s">
        <v>7685</v>
      </c>
      <c r="D15732" s="3" t="str">
        <f t="shared" si="3988"/>
        <v>12Go Link</v>
      </c>
      <c r="E15732" s="2" t="s">
        <v>3409</v>
      </c>
    </row>
    <row r="15733">
      <c r="A15733" s="2" t="s">
        <v>5031</v>
      </c>
      <c r="B15733" s="2" t="s">
        <v>4925</v>
      </c>
      <c r="C15733" s="2" t="s">
        <v>7686</v>
      </c>
      <c r="D15733" s="3" t="str">
        <f t="shared" ref="D15733:D15735" si="3989">HYPERLINK("https://12go.asia/en/travel/Moronthuduwa/Ambalangoda", "12Go Link")</f>
        <v>12Go Link</v>
      </c>
      <c r="E15733" s="2" t="s">
        <v>286</v>
      </c>
    </row>
    <row r="15734">
      <c r="A15734" s="2" t="s">
        <v>5031</v>
      </c>
      <c r="B15734" s="2" t="s">
        <v>4925</v>
      </c>
      <c r="C15734" s="2" t="s">
        <v>7686</v>
      </c>
      <c r="D15734" s="3" t="str">
        <f t="shared" si="3989"/>
        <v>12Go Link</v>
      </c>
      <c r="E15734" s="2" t="s">
        <v>4139</v>
      </c>
    </row>
    <row r="15735">
      <c r="A15735" s="2" t="s">
        <v>5031</v>
      </c>
      <c r="B15735" s="2" t="s">
        <v>4925</v>
      </c>
      <c r="C15735" s="2" t="s">
        <v>7686</v>
      </c>
      <c r="D15735" s="3" t="str">
        <f t="shared" si="3989"/>
        <v>12Go Link</v>
      </c>
      <c r="E15735" s="2" t="s">
        <v>3409</v>
      </c>
    </row>
    <row r="15736">
      <c r="A15736" s="2" t="s">
        <v>5031</v>
      </c>
      <c r="B15736" s="2" t="s">
        <v>4925</v>
      </c>
      <c r="C15736" s="2" t="s">
        <v>7687</v>
      </c>
      <c r="D15736" s="3" t="str">
        <f t="shared" ref="D15736:D15738" si="3990">HYPERLINK("https://12go.asia/en/travel/Waskaduwa/Ambalangoda", "12Go Link")</f>
        <v>12Go Link</v>
      </c>
      <c r="E15736" s="2" t="s">
        <v>286</v>
      </c>
    </row>
    <row r="15737">
      <c r="A15737" s="2" t="s">
        <v>5031</v>
      </c>
      <c r="B15737" s="2" t="s">
        <v>4925</v>
      </c>
      <c r="C15737" s="2" t="s">
        <v>7687</v>
      </c>
      <c r="D15737" s="3" t="str">
        <f t="shared" si="3990"/>
        <v>12Go Link</v>
      </c>
      <c r="E15737" s="2" t="s">
        <v>4139</v>
      </c>
    </row>
    <row r="15738">
      <c r="A15738" s="2" t="s">
        <v>5031</v>
      </c>
      <c r="B15738" s="2" t="s">
        <v>4925</v>
      </c>
      <c r="C15738" s="2" t="s">
        <v>7687</v>
      </c>
      <c r="D15738" s="3" t="str">
        <f t="shared" si="3990"/>
        <v>12Go Link</v>
      </c>
      <c r="E15738" s="2" t="s">
        <v>3409</v>
      </c>
    </row>
    <row r="15739">
      <c r="A15739" s="2" t="s">
        <v>5031</v>
      </c>
      <c r="B15739" s="2" t="s">
        <v>4927</v>
      </c>
      <c r="C15739" s="2" t="s">
        <v>7688</v>
      </c>
      <c r="D15739" s="3" t="str">
        <f t="shared" ref="D15739:D15741" si="3991">HYPERLINK("https://12go.asia/en/travel/Moronthuduwa/Ambalantota", "12Go Link")</f>
        <v>12Go Link</v>
      </c>
      <c r="E15739" s="2" t="s">
        <v>286</v>
      </c>
    </row>
    <row r="15740">
      <c r="A15740" s="2" t="s">
        <v>5031</v>
      </c>
      <c r="B15740" s="2" t="s">
        <v>4927</v>
      </c>
      <c r="C15740" s="2" t="s">
        <v>7688</v>
      </c>
      <c r="D15740" s="3" t="str">
        <f t="shared" si="3991"/>
        <v>12Go Link</v>
      </c>
      <c r="E15740" s="2" t="s">
        <v>4139</v>
      </c>
    </row>
    <row r="15741">
      <c r="A15741" s="2" t="s">
        <v>5031</v>
      </c>
      <c r="B15741" s="2" t="s">
        <v>4927</v>
      </c>
      <c r="C15741" s="2" t="s">
        <v>7688</v>
      </c>
      <c r="D15741" s="3" t="str">
        <f t="shared" si="3991"/>
        <v>12Go Link</v>
      </c>
      <c r="E15741" s="2" t="s">
        <v>3409</v>
      </c>
    </row>
    <row r="15742">
      <c r="A15742" s="2" t="s">
        <v>5031</v>
      </c>
      <c r="B15742" s="2" t="s">
        <v>4927</v>
      </c>
      <c r="C15742" s="2" t="s">
        <v>7689</v>
      </c>
      <c r="D15742" s="3" t="str">
        <f t="shared" ref="D15742:D15744" si="3992">HYPERLINK("https://12go.asia/en/travel/Waskaduwa/Ambalantota", "12Go Link")</f>
        <v>12Go Link</v>
      </c>
      <c r="E15742" s="2" t="s">
        <v>286</v>
      </c>
    </row>
    <row r="15743">
      <c r="A15743" s="2" t="s">
        <v>5031</v>
      </c>
      <c r="B15743" s="2" t="s">
        <v>4927</v>
      </c>
      <c r="C15743" s="2" t="s">
        <v>7689</v>
      </c>
      <c r="D15743" s="3" t="str">
        <f t="shared" si="3992"/>
        <v>12Go Link</v>
      </c>
      <c r="E15743" s="2" t="s">
        <v>4139</v>
      </c>
    </row>
    <row r="15744">
      <c r="A15744" s="2" t="s">
        <v>5031</v>
      </c>
      <c r="B15744" s="2" t="s">
        <v>4927</v>
      </c>
      <c r="C15744" s="2" t="s">
        <v>7689</v>
      </c>
      <c r="D15744" s="3" t="str">
        <f t="shared" si="3992"/>
        <v>12Go Link</v>
      </c>
      <c r="E15744" s="2" t="s">
        <v>3409</v>
      </c>
    </row>
    <row r="15745">
      <c r="A15745" s="2" t="s">
        <v>5031</v>
      </c>
      <c r="B15745" s="2" t="s">
        <v>4929</v>
      </c>
      <c r="C15745" s="2" t="s">
        <v>7690</v>
      </c>
      <c r="D15745" s="3" t="str">
        <f t="shared" ref="D15745:D15747" si="3993">HYPERLINK("https://12go.asia/en/travel/Moronthuduwa/Anuradhapura", "12Go Link")</f>
        <v>12Go Link</v>
      </c>
      <c r="E15745" s="2" t="s">
        <v>286</v>
      </c>
    </row>
    <row r="15746">
      <c r="A15746" s="2" t="s">
        <v>5031</v>
      </c>
      <c r="B15746" s="2" t="s">
        <v>4929</v>
      </c>
      <c r="C15746" s="2" t="s">
        <v>7690</v>
      </c>
      <c r="D15746" s="3" t="str">
        <f t="shared" si="3993"/>
        <v>12Go Link</v>
      </c>
      <c r="E15746" s="2" t="s">
        <v>4139</v>
      </c>
    </row>
    <row r="15747">
      <c r="A15747" s="2" t="s">
        <v>5031</v>
      </c>
      <c r="B15747" s="2" t="s">
        <v>4929</v>
      </c>
      <c r="C15747" s="2" t="s">
        <v>7690</v>
      </c>
      <c r="D15747" s="3" t="str">
        <f t="shared" si="3993"/>
        <v>12Go Link</v>
      </c>
      <c r="E15747" s="2" t="s">
        <v>3409</v>
      </c>
    </row>
    <row r="15748">
      <c r="A15748" s="2" t="s">
        <v>5031</v>
      </c>
      <c r="B15748" s="2" t="s">
        <v>4929</v>
      </c>
      <c r="C15748" s="2" t="s">
        <v>7691</v>
      </c>
      <c r="D15748" s="3" t="str">
        <f t="shared" ref="D15748:D15750" si="3994">HYPERLINK("https://12go.asia/en/travel/Waskaduwa/Anuradhapura", "12Go Link")</f>
        <v>12Go Link</v>
      </c>
      <c r="E15748" s="2" t="s">
        <v>286</v>
      </c>
    </row>
    <row r="15749">
      <c r="A15749" s="2" t="s">
        <v>5031</v>
      </c>
      <c r="B15749" s="2" t="s">
        <v>4929</v>
      </c>
      <c r="C15749" s="2" t="s">
        <v>7691</v>
      </c>
      <c r="D15749" s="3" t="str">
        <f t="shared" si="3994"/>
        <v>12Go Link</v>
      </c>
      <c r="E15749" s="2" t="s">
        <v>4139</v>
      </c>
    </row>
    <row r="15750">
      <c r="A15750" s="2" t="s">
        <v>5031</v>
      </c>
      <c r="B15750" s="2" t="s">
        <v>4929</v>
      </c>
      <c r="C15750" s="2" t="s">
        <v>7691</v>
      </c>
      <c r="D15750" s="3" t="str">
        <f t="shared" si="3994"/>
        <v>12Go Link</v>
      </c>
      <c r="E15750" s="2" t="s">
        <v>3409</v>
      </c>
    </row>
    <row r="15751">
      <c r="A15751" s="2" t="s">
        <v>5031</v>
      </c>
      <c r="B15751" s="2" t="s">
        <v>4931</v>
      </c>
      <c r="C15751" s="2" t="s">
        <v>7692</v>
      </c>
      <c r="D15751" s="3" t="str">
        <f t="shared" ref="D15751:D15753" si="3995">HYPERLINK("https://12go.asia/en/travel/Moronthuduwa/Arugam-bay", "12Go Link")</f>
        <v>12Go Link</v>
      </c>
      <c r="E15751" s="2" t="s">
        <v>286</v>
      </c>
    </row>
    <row r="15752">
      <c r="A15752" s="2" t="s">
        <v>5031</v>
      </c>
      <c r="B15752" s="2" t="s">
        <v>4931</v>
      </c>
      <c r="C15752" s="2" t="s">
        <v>7692</v>
      </c>
      <c r="D15752" s="3" t="str">
        <f t="shared" si="3995"/>
        <v>12Go Link</v>
      </c>
      <c r="E15752" s="2" t="s">
        <v>4139</v>
      </c>
    </row>
    <row r="15753">
      <c r="A15753" s="2" t="s">
        <v>5031</v>
      </c>
      <c r="B15753" s="2" t="s">
        <v>4931</v>
      </c>
      <c r="C15753" s="2" t="s">
        <v>7692</v>
      </c>
      <c r="D15753" s="3" t="str">
        <f t="shared" si="3995"/>
        <v>12Go Link</v>
      </c>
      <c r="E15753" s="2" t="s">
        <v>3409</v>
      </c>
    </row>
    <row r="15754">
      <c r="A15754" s="2" t="s">
        <v>5031</v>
      </c>
      <c r="B15754" s="2" t="s">
        <v>4931</v>
      </c>
      <c r="C15754" s="2" t="s">
        <v>7693</v>
      </c>
      <c r="D15754" s="3" t="str">
        <f t="shared" ref="D15754:D15756" si="3996">HYPERLINK("https://12go.asia/en/travel/Waskaduwa/Arugam-bay", "12Go Link")</f>
        <v>12Go Link</v>
      </c>
      <c r="E15754" s="2" t="s">
        <v>286</v>
      </c>
    </row>
    <row r="15755">
      <c r="A15755" s="2" t="s">
        <v>5031</v>
      </c>
      <c r="B15755" s="2" t="s">
        <v>4931</v>
      </c>
      <c r="C15755" s="2" t="s">
        <v>7693</v>
      </c>
      <c r="D15755" s="3" t="str">
        <f t="shared" si="3996"/>
        <v>12Go Link</v>
      </c>
      <c r="E15755" s="2" t="s">
        <v>4139</v>
      </c>
    </row>
    <row r="15756">
      <c r="A15756" s="2" t="s">
        <v>5031</v>
      </c>
      <c r="B15756" s="2" t="s">
        <v>4931</v>
      </c>
      <c r="C15756" s="2" t="s">
        <v>7693</v>
      </c>
      <c r="D15756" s="3" t="str">
        <f t="shared" si="3996"/>
        <v>12Go Link</v>
      </c>
      <c r="E15756" s="2" t="s">
        <v>3409</v>
      </c>
    </row>
    <row r="15757">
      <c r="A15757" s="2" t="s">
        <v>5031</v>
      </c>
      <c r="B15757" s="2" t="s">
        <v>4933</v>
      </c>
      <c r="C15757" s="2" t="s">
        <v>7694</v>
      </c>
      <c r="D15757" s="3" t="str">
        <f t="shared" ref="D15757:D15759" si="3997">HYPERLINK("https://12go.asia/en/travel/Moronthuduwa/balapitiya", "12Go Link")</f>
        <v>12Go Link</v>
      </c>
      <c r="E15757" s="2" t="s">
        <v>286</v>
      </c>
    </row>
    <row r="15758">
      <c r="A15758" s="2" t="s">
        <v>5031</v>
      </c>
      <c r="B15758" s="2" t="s">
        <v>4933</v>
      </c>
      <c r="C15758" s="2" t="s">
        <v>7694</v>
      </c>
      <c r="D15758" s="3" t="str">
        <f t="shared" si="3997"/>
        <v>12Go Link</v>
      </c>
      <c r="E15758" s="2" t="s">
        <v>4139</v>
      </c>
    </row>
    <row r="15759">
      <c r="A15759" s="2" t="s">
        <v>5031</v>
      </c>
      <c r="B15759" s="2" t="s">
        <v>4933</v>
      </c>
      <c r="C15759" s="2" t="s">
        <v>7694</v>
      </c>
      <c r="D15759" s="3" t="str">
        <f t="shared" si="3997"/>
        <v>12Go Link</v>
      </c>
      <c r="E15759" s="2" t="s">
        <v>3409</v>
      </c>
    </row>
    <row r="15760">
      <c r="A15760" s="2" t="s">
        <v>5031</v>
      </c>
      <c r="B15760" s="2" t="s">
        <v>4933</v>
      </c>
      <c r="C15760" s="2" t="s">
        <v>7695</v>
      </c>
      <c r="D15760" s="3" t="str">
        <f t="shared" ref="D15760:D15762" si="3998">HYPERLINK("https://12go.asia/en/travel/Waskaduwa/balapitiya", "12Go Link")</f>
        <v>12Go Link</v>
      </c>
      <c r="E15760" s="2" t="s">
        <v>286</v>
      </c>
    </row>
    <row r="15761">
      <c r="A15761" s="2" t="s">
        <v>5031</v>
      </c>
      <c r="B15761" s="2" t="s">
        <v>4933</v>
      </c>
      <c r="C15761" s="2" t="s">
        <v>7695</v>
      </c>
      <c r="D15761" s="3" t="str">
        <f t="shared" si="3998"/>
        <v>12Go Link</v>
      </c>
      <c r="E15761" s="2" t="s">
        <v>4139</v>
      </c>
    </row>
    <row r="15762">
      <c r="A15762" s="2" t="s">
        <v>5031</v>
      </c>
      <c r="B15762" s="2" t="s">
        <v>4933</v>
      </c>
      <c r="C15762" s="2" t="s">
        <v>7695</v>
      </c>
      <c r="D15762" s="3" t="str">
        <f t="shared" si="3998"/>
        <v>12Go Link</v>
      </c>
      <c r="E15762" s="2" t="s">
        <v>3409</v>
      </c>
    </row>
    <row r="15763">
      <c r="A15763" s="2" t="s">
        <v>5031</v>
      </c>
      <c r="B15763" s="2" t="s">
        <v>4935</v>
      </c>
      <c r="C15763" s="2" t="s">
        <v>7696</v>
      </c>
      <c r="D15763" s="3" t="str">
        <f t="shared" ref="D15763:D15765" si="3999">HYPERLINK("https://12go.asia/en/travel/Moronthuduwa/Batticaloa", "12Go Link")</f>
        <v>12Go Link</v>
      </c>
      <c r="E15763" s="2" t="s">
        <v>286</v>
      </c>
    </row>
    <row r="15764">
      <c r="A15764" s="2" t="s">
        <v>5031</v>
      </c>
      <c r="B15764" s="2" t="s">
        <v>4935</v>
      </c>
      <c r="C15764" s="2" t="s">
        <v>7696</v>
      </c>
      <c r="D15764" s="3" t="str">
        <f t="shared" si="3999"/>
        <v>12Go Link</v>
      </c>
      <c r="E15764" s="2" t="s">
        <v>4139</v>
      </c>
    </row>
    <row r="15765">
      <c r="A15765" s="2" t="s">
        <v>5031</v>
      </c>
      <c r="B15765" s="2" t="s">
        <v>4935</v>
      </c>
      <c r="C15765" s="2" t="s">
        <v>7696</v>
      </c>
      <c r="D15765" s="3" t="str">
        <f t="shared" si="3999"/>
        <v>12Go Link</v>
      </c>
      <c r="E15765" s="2" t="s">
        <v>3409</v>
      </c>
    </row>
    <row r="15766">
      <c r="A15766" s="2" t="s">
        <v>5031</v>
      </c>
      <c r="B15766" s="2" t="s">
        <v>4935</v>
      </c>
      <c r="C15766" s="2" t="s">
        <v>7697</v>
      </c>
      <c r="D15766" s="3" t="str">
        <f t="shared" ref="D15766:D15768" si="4000">HYPERLINK("https://12go.asia/en/travel/Waskaduwa/Batticaloa", "12Go Link")</f>
        <v>12Go Link</v>
      </c>
      <c r="E15766" s="2" t="s">
        <v>286</v>
      </c>
    </row>
    <row r="15767">
      <c r="A15767" s="2" t="s">
        <v>5031</v>
      </c>
      <c r="B15767" s="2" t="s">
        <v>4935</v>
      </c>
      <c r="C15767" s="2" t="s">
        <v>7697</v>
      </c>
      <c r="D15767" s="3" t="str">
        <f t="shared" si="4000"/>
        <v>12Go Link</v>
      </c>
      <c r="E15767" s="2" t="s">
        <v>4139</v>
      </c>
    </row>
    <row r="15768">
      <c r="A15768" s="2" t="s">
        <v>5031</v>
      </c>
      <c r="B15768" s="2" t="s">
        <v>4935</v>
      </c>
      <c r="C15768" s="2" t="s">
        <v>7697</v>
      </c>
      <c r="D15768" s="3" t="str">
        <f t="shared" si="4000"/>
        <v>12Go Link</v>
      </c>
      <c r="E15768" s="2" t="s">
        <v>3409</v>
      </c>
    </row>
    <row r="15769">
      <c r="A15769" s="2" t="s">
        <v>5031</v>
      </c>
      <c r="B15769" s="2" t="s">
        <v>4937</v>
      </c>
      <c r="C15769" s="2" t="s">
        <v>7698</v>
      </c>
      <c r="D15769" s="3" t="str">
        <f t="shared" ref="D15769:D15771" si="4001">HYPERLINK("https://12go.asia/en/travel/Moronthuduwa/Bentota", "12Go Link")</f>
        <v>12Go Link</v>
      </c>
      <c r="E15769" s="2" t="s">
        <v>286</v>
      </c>
    </row>
    <row r="15770">
      <c r="A15770" s="2" t="s">
        <v>5031</v>
      </c>
      <c r="B15770" s="2" t="s">
        <v>4937</v>
      </c>
      <c r="C15770" s="2" t="s">
        <v>7698</v>
      </c>
      <c r="D15770" s="3" t="str">
        <f t="shared" si="4001"/>
        <v>12Go Link</v>
      </c>
      <c r="E15770" s="2" t="s">
        <v>4139</v>
      </c>
    </row>
    <row r="15771">
      <c r="A15771" s="2" t="s">
        <v>5031</v>
      </c>
      <c r="B15771" s="2" t="s">
        <v>4937</v>
      </c>
      <c r="C15771" s="2" t="s">
        <v>7698</v>
      </c>
      <c r="D15771" s="3" t="str">
        <f t="shared" si="4001"/>
        <v>12Go Link</v>
      </c>
      <c r="E15771" s="2" t="s">
        <v>3409</v>
      </c>
    </row>
    <row r="15772">
      <c r="A15772" s="2" t="s">
        <v>5031</v>
      </c>
      <c r="B15772" s="2" t="s">
        <v>4937</v>
      </c>
      <c r="C15772" s="2" t="s">
        <v>7699</v>
      </c>
      <c r="D15772" s="3" t="str">
        <f t="shared" ref="D15772:D15774" si="4002">HYPERLINK("https://12go.asia/en/travel/Waskaduwa/Bentota", "12Go Link")</f>
        <v>12Go Link</v>
      </c>
      <c r="E15772" s="2" t="s">
        <v>286</v>
      </c>
    </row>
    <row r="15773">
      <c r="A15773" s="2" t="s">
        <v>5031</v>
      </c>
      <c r="B15773" s="2" t="s">
        <v>4937</v>
      </c>
      <c r="C15773" s="2" t="s">
        <v>7699</v>
      </c>
      <c r="D15773" s="3" t="str">
        <f t="shared" si="4002"/>
        <v>12Go Link</v>
      </c>
      <c r="E15773" s="2" t="s">
        <v>4139</v>
      </c>
    </row>
    <row r="15774">
      <c r="A15774" s="2" t="s">
        <v>5031</v>
      </c>
      <c r="B15774" s="2" t="s">
        <v>4937</v>
      </c>
      <c r="C15774" s="2" t="s">
        <v>7699</v>
      </c>
      <c r="D15774" s="3" t="str">
        <f t="shared" si="4002"/>
        <v>12Go Link</v>
      </c>
      <c r="E15774" s="2" t="s">
        <v>3409</v>
      </c>
    </row>
    <row r="15775">
      <c r="A15775" s="2" t="s">
        <v>5031</v>
      </c>
      <c r="B15775" s="2" t="s">
        <v>4939</v>
      </c>
      <c r="C15775" s="2" t="s">
        <v>7700</v>
      </c>
      <c r="D15775" s="3" t="str">
        <f t="shared" ref="D15775:D15777" si="4003">HYPERLINK("https://12go.asia/en/travel/Moronthuduwa/Beruwala", "12Go Link")</f>
        <v>12Go Link</v>
      </c>
      <c r="E15775" s="2" t="s">
        <v>286</v>
      </c>
    </row>
    <row r="15776">
      <c r="A15776" s="2" t="s">
        <v>5031</v>
      </c>
      <c r="B15776" s="2" t="s">
        <v>4939</v>
      </c>
      <c r="C15776" s="2" t="s">
        <v>7700</v>
      </c>
      <c r="D15776" s="3" t="str">
        <f t="shared" si="4003"/>
        <v>12Go Link</v>
      </c>
      <c r="E15776" s="2" t="s">
        <v>4139</v>
      </c>
    </row>
    <row r="15777">
      <c r="A15777" s="2" t="s">
        <v>5031</v>
      </c>
      <c r="B15777" s="2" t="s">
        <v>4939</v>
      </c>
      <c r="C15777" s="2" t="s">
        <v>7700</v>
      </c>
      <c r="D15777" s="3" t="str">
        <f t="shared" si="4003"/>
        <v>12Go Link</v>
      </c>
      <c r="E15777" s="2" t="s">
        <v>3409</v>
      </c>
    </row>
    <row r="15778">
      <c r="A15778" s="2" t="s">
        <v>5031</v>
      </c>
      <c r="B15778" s="2" t="s">
        <v>4939</v>
      </c>
      <c r="C15778" s="2" t="s">
        <v>7701</v>
      </c>
      <c r="D15778" s="3" t="str">
        <f t="shared" ref="D15778:D15780" si="4004">HYPERLINK("https://12go.asia/en/travel/Waskaduwa/Beruwala", "12Go Link")</f>
        <v>12Go Link</v>
      </c>
      <c r="E15778" s="2" t="s">
        <v>286</v>
      </c>
    </row>
    <row r="15779">
      <c r="A15779" s="2" t="s">
        <v>5031</v>
      </c>
      <c r="B15779" s="2" t="s">
        <v>4939</v>
      </c>
      <c r="C15779" s="2" t="s">
        <v>7701</v>
      </c>
      <c r="D15779" s="3" t="str">
        <f t="shared" si="4004"/>
        <v>12Go Link</v>
      </c>
      <c r="E15779" s="2" t="s">
        <v>4139</v>
      </c>
    </row>
    <row r="15780">
      <c r="A15780" s="2" t="s">
        <v>5031</v>
      </c>
      <c r="B15780" s="2" t="s">
        <v>4939</v>
      </c>
      <c r="C15780" s="2" t="s">
        <v>7701</v>
      </c>
      <c r="D15780" s="3" t="str">
        <f t="shared" si="4004"/>
        <v>12Go Link</v>
      </c>
      <c r="E15780" s="2" t="s">
        <v>3409</v>
      </c>
    </row>
    <row r="15781">
      <c r="A15781" s="2" t="s">
        <v>5031</v>
      </c>
      <c r="B15781" s="2" t="s">
        <v>4941</v>
      </c>
      <c r="C15781" s="2" t="s">
        <v>7702</v>
      </c>
      <c r="D15781" s="3" t="str">
        <f t="shared" ref="D15781:D15783" si="4005">HYPERLINK("https://12go.asia/en/travel/Moronthuduwa/Bundala", "12Go Link")</f>
        <v>12Go Link</v>
      </c>
      <c r="E15781" s="2" t="s">
        <v>286</v>
      </c>
    </row>
    <row r="15782">
      <c r="A15782" s="2" t="s">
        <v>5031</v>
      </c>
      <c r="B15782" s="2" t="s">
        <v>4941</v>
      </c>
      <c r="C15782" s="2" t="s">
        <v>7702</v>
      </c>
      <c r="D15782" s="3" t="str">
        <f t="shared" si="4005"/>
        <v>12Go Link</v>
      </c>
      <c r="E15782" s="2" t="s">
        <v>4139</v>
      </c>
    </row>
    <row r="15783">
      <c r="A15783" s="2" t="s">
        <v>5031</v>
      </c>
      <c r="B15783" s="2" t="s">
        <v>4941</v>
      </c>
      <c r="C15783" s="2" t="s">
        <v>7702</v>
      </c>
      <c r="D15783" s="3" t="str">
        <f t="shared" si="4005"/>
        <v>12Go Link</v>
      </c>
      <c r="E15783" s="2" t="s">
        <v>3409</v>
      </c>
    </row>
    <row r="15784">
      <c r="A15784" s="2" t="s">
        <v>5031</v>
      </c>
      <c r="B15784" s="2" t="s">
        <v>4941</v>
      </c>
      <c r="C15784" s="2" t="s">
        <v>7703</v>
      </c>
      <c r="D15784" s="3" t="str">
        <f t="shared" ref="D15784:D15786" si="4006">HYPERLINK("https://12go.asia/en/travel/Waskaduwa/Bundala", "12Go Link")</f>
        <v>12Go Link</v>
      </c>
      <c r="E15784" s="2" t="s">
        <v>286</v>
      </c>
    </row>
    <row r="15785">
      <c r="A15785" s="2" t="s">
        <v>5031</v>
      </c>
      <c r="B15785" s="2" t="s">
        <v>4941</v>
      </c>
      <c r="C15785" s="2" t="s">
        <v>7703</v>
      </c>
      <c r="D15785" s="3" t="str">
        <f t="shared" si="4006"/>
        <v>12Go Link</v>
      </c>
      <c r="E15785" s="2" t="s">
        <v>4139</v>
      </c>
    </row>
    <row r="15786">
      <c r="A15786" s="2" t="s">
        <v>5031</v>
      </c>
      <c r="B15786" s="2" t="s">
        <v>4941</v>
      </c>
      <c r="C15786" s="2" t="s">
        <v>7703</v>
      </c>
      <c r="D15786" s="3" t="str">
        <f t="shared" si="4006"/>
        <v>12Go Link</v>
      </c>
      <c r="E15786" s="2" t="s">
        <v>3409</v>
      </c>
    </row>
    <row r="15787">
      <c r="A15787" s="2" t="s">
        <v>5031</v>
      </c>
      <c r="B15787" s="2" t="s">
        <v>4943</v>
      </c>
      <c r="C15787" s="2" t="s">
        <v>7704</v>
      </c>
      <c r="D15787" s="3" t="str">
        <f t="shared" ref="D15787:D15789" si="4007">HYPERLINK("https://12go.asia/en/travel/Waskaduwa/Bambalapitiya", "12Go Link")</f>
        <v>12Go Link</v>
      </c>
      <c r="E15787" s="2" t="s">
        <v>286</v>
      </c>
    </row>
    <row r="15788">
      <c r="A15788" s="2" t="s">
        <v>5031</v>
      </c>
      <c r="B15788" s="2" t="s">
        <v>4943</v>
      </c>
      <c r="C15788" s="2" t="s">
        <v>7704</v>
      </c>
      <c r="D15788" s="3" t="str">
        <f t="shared" si="4007"/>
        <v>12Go Link</v>
      </c>
      <c r="E15788" s="2" t="s">
        <v>4139</v>
      </c>
    </row>
    <row r="15789">
      <c r="A15789" s="2" t="s">
        <v>5031</v>
      </c>
      <c r="B15789" s="2" t="s">
        <v>4943</v>
      </c>
      <c r="C15789" s="2" t="s">
        <v>7704</v>
      </c>
      <c r="D15789" s="3" t="str">
        <f t="shared" si="4007"/>
        <v>12Go Link</v>
      </c>
      <c r="E15789" s="2" t="s">
        <v>3409</v>
      </c>
    </row>
    <row r="15790">
      <c r="A15790" s="2" t="s">
        <v>5031</v>
      </c>
      <c r="B15790" s="2" t="s">
        <v>4945</v>
      </c>
      <c r="C15790" s="2" t="s">
        <v>7705</v>
      </c>
      <c r="D15790" s="3" t="str">
        <f t="shared" ref="D15790:D15792" si="4008">HYPERLINK("https://12go.asia/en/travel/Moronthuduwa/Bandaranaike-Airport", "12Go Link")</f>
        <v>12Go Link</v>
      </c>
      <c r="E15790" s="2" t="s">
        <v>286</v>
      </c>
    </row>
    <row r="15791">
      <c r="A15791" s="2" t="s">
        <v>5031</v>
      </c>
      <c r="B15791" s="2" t="s">
        <v>4945</v>
      </c>
      <c r="C15791" s="2" t="s">
        <v>7705</v>
      </c>
      <c r="D15791" s="3" t="str">
        <f t="shared" si="4008"/>
        <v>12Go Link</v>
      </c>
      <c r="E15791" s="2" t="s">
        <v>4139</v>
      </c>
    </row>
    <row r="15792">
      <c r="A15792" s="2" t="s">
        <v>5031</v>
      </c>
      <c r="B15792" s="2" t="s">
        <v>4945</v>
      </c>
      <c r="C15792" s="2" t="s">
        <v>7705</v>
      </c>
      <c r="D15792" s="3" t="str">
        <f t="shared" si="4008"/>
        <v>12Go Link</v>
      </c>
      <c r="E15792" s="2" t="s">
        <v>3409</v>
      </c>
    </row>
    <row r="15793">
      <c r="A15793" s="2" t="s">
        <v>5031</v>
      </c>
      <c r="B15793" s="2" t="s">
        <v>4945</v>
      </c>
      <c r="C15793" s="2" t="s">
        <v>7706</v>
      </c>
      <c r="D15793" s="3" t="str">
        <f t="shared" ref="D15793:D15795" si="4009">HYPERLINK("https://12go.asia/en/travel/Waskaduwa/Bandaranaike-Airport", "12Go Link")</f>
        <v>12Go Link</v>
      </c>
      <c r="E15793" s="2" t="s">
        <v>286</v>
      </c>
    </row>
    <row r="15794">
      <c r="A15794" s="2" t="s">
        <v>5031</v>
      </c>
      <c r="B15794" s="2" t="s">
        <v>4945</v>
      </c>
      <c r="C15794" s="2" t="s">
        <v>7706</v>
      </c>
      <c r="D15794" s="3" t="str">
        <f t="shared" si="4009"/>
        <v>12Go Link</v>
      </c>
      <c r="E15794" s="2" t="s">
        <v>4139</v>
      </c>
    </row>
    <row r="15795">
      <c r="A15795" s="2" t="s">
        <v>5031</v>
      </c>
      <c r="B15795" s="2" t="s">
        <v>4945</v>
      </c>
      <c r="C15795" s="2" t="s">
        <v>7706</v>
      </c>
      <c r="D15795" s="3" t="str">
        <f t="shared" si="4009"/>
        <v>12Go Link</v>
      </c>
      <c r="E15795" s="2" t="s">
        <v>3409</v>
      </c>
    </row>
    <row r="15796">
      <c r="A15796" s="2" t="s">
        <v>5031</v>
      </c>
      <c r="B15796" s="2" t="s">
        <v>4947</v>
      </c>
      <c r="C15796" s="2" t="s">
        <v>7707</v>
      </c>
      <c r="D15796" s="3" t="str">
        <f t="shared" ref="D15796:D15798" si="4010">HYPERLINK("https://12go.asia/en/travel/Waskaduwa/Dambulla", "12Go Link")</f>
        <v>12Go Link</v>
      </c>
      <c r="E15796" s="2" t="s">
        <v>286</v>
      </c>
    </row>
    <row r="15797">
      <c r="A15797" s="2" t="s">
        <v>5031</v>
      </c>
      <c r="B15797" s="2" t="s">
        <v>4947</v>
      </c>
      <c r="C15797" s="2" t="s">
        <v>7707</v>
      </c>
      <c r="D15797" s="3" t="str">
        <f t="shared" si="4010"/>
        <v>12Go Link</v>
      </c>
      <c r="E15797" s="2" t="s">
        <v>4139</v>
      </c>
    </row>
    <row r="15798">
      <c r="A15798" s="2" t="s">
        <v>5031</v>
      </c>
      <c r="B15798" s="2" t="s">
        <v>4947</v>
      </c>
      <c r="C15798" s="2" t="s">
        <v>7707</v>
      </c>
      <c r="D15798" s="3" t="str">
        <f t="shared" si="4010"/>
        <v>12Go Link</v>
      </c>
      <c r="E15798" s="2" t="s">
        <v>3409</v>
      </c>
    </row>
    <row r="15799">
      <c r="A15799" s="2" t="s">
        <v>5031</v>
      </c>
      <c r="B15799" s="2" t="s">
        <v>4949</v>
      </c>
      <c r="C15799" s="2" t="s">
        <v>7708</v>
      </c>
      <c r="D15799" s="3" t="str">
        <f t="shared" ref="D15799:D15801" si="4011">HYPERLINK("https://12go.asia/en/travel/Moronthuduwa/Deniyaya", "12Go Link")</f>
        <v>12Go Link</v>
      </c>
      <c r="E15799" s="2" t="s">
        <v>286</v>
      </c>
    </row>
    <row r="15800">
      <c r="A15800" s="2" t="s">
        <v>5031</v>
      </c>
      <c r="B15800" s="2" t="s">
        <v>4949</v>
      </c>
      <c r="C15800" s="2" t="s">
        <v>7708</v>
      </c>
      <c r="D15800" s="3" t="str">
        <f t="shared" si="4011"/>
        <v>12Go Link</v>
      </c>
      <c r="E15800" s="2" t="s">
        <v>4139</v>
      </c>
    </row>
    <row r="15801">
      <c r="A15801" s="2" t="s">
        <v>5031</v>
      </c>
      <c r="B15801" s="2" t="s">
        <v>4949</v>
      </c>
      <c r="C15801" s="2" t="s">
        <v>7708</v>
      </c>
      <c r="D15801" s="3" t="str">
        <f t="shared" si="4011"/>
        <v>12Go Link</v>
      </c>
      <c r="E15801" s="2" t="s">
        <v>3409</v>
      </c>
    </row>
    <row r="15802">
      <c r="A15802" s="2" t="s">
        <v>5031</v>
      </c>
      <c r="B15802" s="2" t="s">
        <v>4949</v>
      </c>
      <c r="C15802" s="2" t="s">
        <v>7709</v>
      </c>
      <c r="D15802" s="3" t="str">
        <f t="shared" ref="D15802:D15804" si="4012">HYPERLINK("https://12go.asia/en/travel/Waskaduwa/Deniyaya", "12Go Link")</f>
        <v>12Go Link</v>
      </c>
      <c r="E15802" s="2" t="s">
        <v>286</v>
      </c>
    </row>
    <row r="15803">
      <c r="A15803" s="2" t="s">
        <v>5031</v>
      </c>
      <c r="B15803" s="2" t="s">
        <v>4949</v>
      </c>
      <c r="C15803" s="2" t="s">
        <v>7709</v>
      </c>
      <c r="D15803" s="3" t="str">
        <f t="shared" si="4012"/>
        <v>12Go Link</v>
      </c>
      <c r="E15803" s="2" t="s">
        <v>4139</v>
      </c>
    </row>
    <row r="15804">
      <c r="A15804" s="2" t="s">
        <v>5031</v>
      </c>
      <c r="B15804" s="2" t="s">
        <v>4949</v>
      </c>
      <c r="C15804" s="2" t="s">
        <v>7709</v>
      </c>
      <c r="D15804" s="3" t="str">
        <f t="shared" si="4012"/>
        <v>12Go Link</v>
      </c>
      <c r="E15804" s="2" t="s">
        <v>3409</v>
      </c>
    </row>
    <row r="15805">
      <c r="A15805" s="2" t="s">
        <v>5031</v>
      </c>
      <c r="B15805" s="2" t="s">
        <v>4951</v>
      </c>
      <c r="C15805" s="2" t="s">
        <v>7710</v>
      </c>
      <c r="D15805" s="3" t="str">
        <f t="shared" ref="D15805:D15807" si="4013">HYPERLINK("https://12go.asia/en/travel/Moronthuduwa/Dickwella", "12Go Link")</f>
        <v>12Go Link</v>
      </c>
      <c r="E15805" s="2" t="s">
        <v>286</v>
      </c>
    </row>
    <row r="15806">
      <c r="A15806" s="2" t="s">
        <v>5031</v>
      </c>
      <c r="B15806" s="2" t="s">
        <v>4951</v>
      </c>
      <c r="C15806" s="2" t="s">
        <v>7710</v>
      </c>
      <c r="D15806" s="3" t="str">
        <f t="shared" si="4013"/>
        <v>12Go Link</v>
      </c>
      <c r="E15806" s="2" t="s">
        <v>4139</v>
      </c>
    </row>
    <row r="15807">
      <c r="A15807" s="2" t="s">
        <v>5031</v>
      </c>
      <c r="B15807" s="2" t="s">
        <v>4951</v>
      </c>
      <c r="C15807" s="2" t="s">
        <v>7710</v>
      </c>
      <c r="D15807" s="3" t="str">
        <f t="shared" si="4013"/>
        <v>12Go Link</v>
      </c>
      <c r="E15807" s="2" t="s">
        <v>3409</v>
      </c>
    </row>
    <row r="15808">
      <c r="A15808" s="2" t="s">
        <v>5031</v>
      </c>
      <c r="B15808" s="2" t="s">
        <v>4951</v>
      </c>
      <c r="C15808" s="2" t="s">
        <v>7711</v>
      </c>
      <c r="D15808" s="3" t="str">
        <f t="shared" ref="D15808:D15810" si="4014">HYPERLINK("https://12go.asia/en/travel/Moronthuduwa/Hiriketiya-beach", "12Go Link")</f>
        <v>12Go Link</v>
      </c>
      <c r="E15808" s="2" t="s">
        <v>286</v>
      </c>
    </row>
    <row r="15809">
      <c r="A15809" s="2" t="s">
        <v>5031</v>
      </c>
      <c r="B15809" s="2" t="s">
        <v>4951</v>
      </c>
      <c r="C15809" s="2" t="s">
        <v>7711</v>
      </c>
      <c r="D15809" s="3" t="str">
        <f t="shared" si="4014"/>
        <v>12Go Link</v>
      </c>
      <c r="E15809" s="2" t="s">
        <v>4139</v>
      </c>
    </row>
    <row r="15810">
      <c r="A15810" s="2" t="s">
        <v>5031</v>
      </c>
      <c r="B15810" s="2" t="s">
        <v>4951</v>
      </c>
      <c r="C15810" s="2" t="s">
        <v>7711</v>
      </c>
      <c r="D15810" s="3" t="str">
        <f t="shared" si="4014"/>
        <v>12Go Link</v>
      </c>
      <c r="E15810" s="2" t="s">
        <v>3409</v>
      </c>
    </row>
    <row r="15811">
      <c r="A15811" s="2" t="s">
        <v>5031</v>
      </c>
      <c r="B15811" s="2" t="s">
        <v>4951</v>
      </c>
      <c r="C15811" s="2" t="s">
        <v>7712</v>
      </c>
      <c r="D15811" s="3" t="str">
        <f t="shared" ref="D15811:D15813" si="4015">HYPERLINK("https://12go.asia/en/travel/Waskaduwa/Dickwella", "12Go Link")</f>
        <v>12Go Link</v>
      </c>
      <c r="E15811" s="2" t="s">
        <v>286</v>
      </c>
    </row>
    <row r="15812">
      <c r="A15812" s="2" t="s">
        <v>5031</v>
      </c>
      <c r="B15812" s="2" t="s">
        <v>4951</v>
      </c>
      <c r="C15812" s="2" t="s">
        <v>7712</v>
      </c>
      <c r="D15812" s="3" t="str">
        <f t="shared" si="4015"/>
        <v>12Go Link</v>
      </c>
      <c r="E15812" s="2" t="s">
        <v>4139</v>
      </c>
    </row>
    <row r="15813">
      <c r="A15813" s="2" t="s">
        <v>5031</v>
      </c>
      <c r="B15813" s="2" t="s">
        <v>4951</v>
      </c>
      <c r="C15813" s="2" t="s">
        <v>7712</v>
      </c>
      <c r="D15813" s="3" t="str">
        <f t="shared" si="4015"/>
        <v>12Go Link</v>
      </c>
      <c r="E15813" s="2" t="s">
        <v>3409</v>
      </c>
    </row>
    <row r="15814">
      <c r="A15814" s="2" t="s">
        <v>5031</v>
      </c>
      <c r="B15814" s="2" t="s">
        <v>4951</v>
      </c>
      <c r="C15814" s="2" t="s">
        <v>7713</v>
      </c>
      <c r="D15814" s="3" t="str">
        <f t="shared" ref="D15814:D15816" si="4016">HYPERLINK("https://12go.asia/en/travel/Waskaduwa/Hiriketiya-beach", "12Go Link")</f>
        <v>12Go Link</v>
      </c>
      <c r="E15814" s="2" t="s">
        <v>286</v>
      </c>
    </row>
    <row r="15815">
      <c r="A15815" s="2" t="s">
        <v>5031</v>
      </c>
      <c r="B15815" s="2" t="s">
        <v>4951</v>
      </c>
      <c r="C15815" s="2" t="s">
        <v>7713</v>
      </c>
      <c r="D15815" s="3" t="str">
        <f t="shared" si="4016"/>
        <v>12Go Link</v>
      </c>
      <c r="E15815" s="2" t="s">
        <v>4139</v>
      </c>
    </row>
    <row r="15816">
      <c r="A15816" s="2" t="s">
        <v>5031</v>
      </c>
      <c r="B15816" s="2" t="s">
        <v>4951</v>
      </c>
      <c r="C15816" s="2" t="s">
        <v>7713</v>
      </c>
      <c r="D15816" s="3" t="str">
        <f t="shared" si="4016"/>
        <v>12Go Link</v>
      </c>
      <c r="E15816" s="2" t="s">
        <v>3409</v>
      </c>
    </row>
    <row r="15817">
      <c r="A15817" s="2" t="s">
        <v>5031</v>
      </c>
      <c r="B15817" s="2" t="s">
        <v>4954</v>
      </c>
      <c r="C15817" s="2" t="s">
        <v>7714</v>
      </c>
      <c r="D15817" s="3" t="str">
        <f t="shared" ref="D15817:D15819" si="4017">HYPERLINK("https://12go.asia/en/travel/Moronthuduwa/Galle", "12Go Link")</f>
        <v>12Go Link</v>
      </c>
      <c r="E15817" s="2" t="s">
        <v>286</v>
      </c>
    </row>
    <row r="15818">
      <c r="A15818" s="2" t="s">
        <v>5031</v>
      </c>
      <c r="B15818" s="2" t="s">
        <v>4954</v>
      </c>
      <c r="C15818" s="2" t="s">
        <v>7714</v>
      </c>
      <c r="D15818" s="3" t="str">
        <f t="shared" si="4017"/>
        <v>12Go Link</v>
      </c>
      <c r="E15818" s="2" t="s">
        <v>4139</v>
      </c>
    </row>
    <row r="15819">
      <c r="A15819" s="2" t="s">
        <v>5031</v>
      </c>
      <c r="B15819" s="2" t="s">
        <v>4954</v>
      </c>
      <c r="C15819" s="2" t="s">
        <v>7714</v>
      </c>
      <c r="D15819" s="3" t="str">
        <f t="shared" si="4017"/>
        <v>12Go Link</v>
      </c>
      <c r="E15819" s="2" t="s">
        <v>3409</v>
      </c>
    </row>
    <row r="15820">
      <c r="A15820" s="2" t="s">
        <v>5031</v>
      </c>
      <c r="B15820" s="2" t="s">
        <v>4954</v>
      </c>
      <c r="C15820" s="2" t="s">
        <v>7715</v>
      </c>
      <c r="D15820" s="3" t="str">
        <f t="shared" ref="D15820:D15822" si="4018">HYPERLINK("https://12go.asia/en/travel/Moronthuduwa/Talpe", "12Go Link")</f>
        <v>12Go Link</v>
      </c>
      <c r="E15820" s="2" t="s">
        <v>286</v>
      </c>
    </row>
    <row r="15821">
      <c r="A15821" s="2" t="s">
        <v>5031</v>
      </c>
      <c r="B15821" s="2" t="s">
        <v>4954</v>
      </c>
      <c r="C15821" s="2" t="s">
        <v>7715</v>
      </c>
      <c r="D15821" s="3" t="str">
        <f t="shared" si="4018"/>
        <v>12Go Link</v>
      </c>
      <c r="E15821" s="2" t="s">
        <v>4139</v>
      </c>
    </row>
    <row r="15822">
      <c r="A15822" s="2" t="s">
        <v>5031</v>
      </c>
      <c r="B15822" s="2" t="s">
        <v>4954</v>
      </c>
      <c r="C15822" s="2" t="s">
        <v>7715</v>
      </c>
      <c r="D15822" s="3" t="str">
        <f t="shared" si="4018"/>
        <v>12Go Link</v>
      </c>
      <c r="E15822" s="2" t="s">
        <v>3409</v>
      </c>
    </row>
    <row r="15823">
      <c r="A15823" s="2" t="s">
        <v>5031</v>
      </c>
      <c r="B15823" s="2" t="s">
        <v>4954</v>
      </c>
      <c r="C15823" s="2" t="s">
        <v>7716</v>
      </c>
      <c r="D15823" s="3" t="str">
        <f>HYPERLINK("https://12go.asia/en/travel/Wadduwa/Galle", "12Go Link")</f>
        <v>12Go Link</v>
      </c>
      <c r="E15823" s="2" t="s">
        <v>5080</v>
      </c>
    </row>
    <row r="15824">
      <c r="A15824" s="2" t="s">
        <v>5031</v>
      </c>
      <c r="B15824" s="2" t="s">
        <v>4954</v>
      </c>
      <c r="C15824" s="2" t="s">
        <v>7717</v>
      </c>
      <c r="D15824" s="3" t="str">
        <f t="shared" ref="D15824:D15826" si="4019">HYPERLINK("https://12go.asia/en/travel/Waskaduwa/Galle", "12Go Link")</f>
        <v>12Go Link</v>
      </c>
      <c r="E15824" s="2" t="s">
        <v>286</v>
      </c>
    </row>
    <row r="15825">
      <c r="A15825" s="2" t="s">
        <v>5031</v>
      </c>
      <c r="B15825" s="2" t="s">
        <v>4954</v>
      </c>
      <c r="C15825" s="2" t="s">
        <v>7717</v>
      </c>
      <c r="D15825" s="3" t="str">
        <f t="shared" si="4019"/>
        <v>12Go Link</v>
      </c>
      <c r="E15825" s="2" t="s">
        <v>4139</v>
      </c>
    </row>
    <row r="15826">
      <c r="A15826" s="2" t="s">
        <v>5031</v>
      </c>
      <c r="B15826" s="2" t="s">
        <v>4954</v>
      </c>
      <c r="C15826" s="2" t="s">
        <v>7717</v>
      </c>
      <c r="D15826" s="3" t="str">
        <f t="shared" si="4019"/>
        <v>12Go Link</v>
      </c>
      <c r="E15826" s="2" t="s">
        <v>3409</v>
      </c>
    </row>
    <row r="15827">
      <c r="A15827" s="2" t="s">
        <v>5031</v>
      </c>
      <c r="B15827" s="2" t="s">
        <v>4954</v>
      </c>
      <c r="C15827" s="2" t="s">
        <v>7718</v>
      </c>
      <c r="D15827" s="3" t="str">
        <f t="shared" ref="D15827:D15829" si="4020">HYPERLINK("https://12go.asia/en/travel/Waskaduwa/Talpe", "12Go Link")</f>
        <v>12Go Link</v>
      </c>
      <c r="E15827" s="2" t="s">
        <v>286</v>
      </c>
    </row>
    <row r="15828">
      <c r="A15828" s="2" t="s">
        <v>5031</v>
      </c>
      <c r="B15828" s="2" t="s">
        <v>4954</v>
      </c>
      <c r="C15828" s="2" t="s">
        <v>7718</v>
      </c>
      <c r="D15828" s="3" t="str">
        <f t="shared" si="4020"/>
        <v>12Go Link</v>
      </c>
      <c r="E15828" s="2" t="s">
        <v>4139</v>
      </c>
    </row>
    <row r="15829">
      <c r="A15829" s="2" t="s">
        <v>5031</v>
      </c>
      <c r="B15829" s="2" t="s">
        <v>4954</v>
      </c>
      <c r="C15829" s="2" t="s">
        <v>7718</v>
      </c>
      <c r="D15829" s="3" t="str">
        <f t="shared" si="4020"/>
        <v>12Go Link</v>
      </c>
      <c r="E15829" s="2" t="s">
        <v>3409</v>
      </c>
    </row>
    <row r="15830">
      <c r="A15830" s="2" t="s">
        <v>5031</v>
      </c>
      <c r="B15830" s="2" t="s">
        <v>4957</v>
      </c>
      <c r="C15830" s="2" t="s">
        <v>7719</v>
      </c>
      <c r="D15830" s="3" t="str">
        <f t="shared" ref="D15830:D15832" si="4021">HYPERLINK("https://12go.asia/en/travel/Moronthuduwa/Habarana", "12Go Link")</f>
        <v>12Go Link</v>
      </c>
      <c r="E15830" s="2" t="s">
        <v>286</v>
      </c>
    </row>
    <row r="15831">
      <c r="A15831" s="2" t="s">
        <v>5031</v>
      </c>
      <c r="B15831" s="2" t="s">
        <v>4957</v>
      </c>
      <c r="C15831" s="2" t="s">
        <v>7719</v>
      </c>
      <c r="D15831" s="3" t="str">
        <f t="shared" si="4021"/>
        <v>12Go Link</v>
      </c>
      <c r="E15831" s="2" t="s">
        <v>4139</v>
      </c>
    </row>
    <row r="15832">
      <c r="A15832" s="2" t="s">
        <v>5031</v>
      </c>
      <c r="B15832" s="2" t="s">
        <v>4957</v>
      </c>
      <c r="C15832" s="2" t="s">
        <v>7719</v>
      </c>
      <c r="D15832" s="3" t="str">
        <f t="shared" si="4021"/>
        <v>12Go Link</v>
      </c>
      <c r="E15832" s="2" t="s">
        <v>3409</v>
      </c>
    </row>
    <row r="15833">
      <c r="A15833" s="2" t="s">
        <v>5031</v>
      </c>
      <c r="B15833" s="2" t="s">
        <v>4957</v>
      </c>
      <c r="C15833" s="2" t="s">
        <v>7720</v>
      </c>
      <c r="D15833" s="3" t="str">
        <f t="shared" ref="D15833:D15835" si="4022">HYPERLINK("https://12go.asia/en/travel/Waskaduwa/Habarana", "12Go Link")</f>
        <v>12Go Link</v>
      </c>
      <c r="E15833" s="2" t="s">
        <v>286</v>
      </c>
    </row>
    <row r="15834">
      <c r="A15834" s="2" t="s">
        <v>5031</v>
      </c>
      <c r="B15834" s="2" t="s">
        <v>4957</v>
      </c>
      <c r="C15834" s="2" t="s">
        <v>7720</v>
      </c>
      <c r="D15834" s="3" t="str">
        <f t="shared" si="4022"/>
        <v>12Go Link</v>
      </c>
      <c r="E15834" s="2" t="s">
        <v>4139</v>
      </c>
    </row>
    <row r="15835">
      <c r="A15835" s="2" t="s">
        <v>5031</v>
      </c>
      <c r="B15835" s="2" t="s">
        <v>4957</v>
      </c>
      <c r="C15835" s="2" t="s">
        <v>7720</v>
      </c>
      <c r="D15835" s="3" t="str">
        <f t="shared" si="4022"/>
        <v>12Go Link</v>
      </c>
      <c r="E15835" s="2" t="s">
        <v>3409</v>
      </c>
    </row>
    <row r="15836">
      <c r="A15836" s="2" t="s">
        <v>5031</v>
      </c>
      <c r="B15836" s="2" t="s">
        <v>4959</v>
      </c>
      <c r="C15836" s="2" t="s">
        <v>7721</v>
      </c>
      <c r="D15836" s="3" t="str">
        <f t="shared" ref="D15836:D15838" si="4023">HYPERLINK("https://12go.asia/en/travel/Moronthuduwa/Ella", "12Go Link")</f>
        <v>12Go Link</v>
      </c>
      <c r="E15836" s="2" t="s">
        <v>286</v>
      </c>
    </row>
    <row r="15837">
      <c r="A15837" s="2" t="s">
        <v>5031</v>
      </c>
      <c r="B15837" s="2" t="s">
        <v>4959</v>
      </c>
      <c r="C15837" s="2" t="s">
        <v>7721</v>
      </c>
      <c r="D15837" s="3" t="str">
        <f t="shared" si="4023"/>
        <v>12Go Link</v>
      </c>
      <c r="E15837" s="2" t="s">
        <v>4139</v>
      </c>
    </row>
    <row r="15838">
      <c r="A15838" s="2" t="s">
        <v>5031</v>
      </c>
      <c r="B15838" s="2" t="s">
        <v>4959</v>
      </c>
      <c r="C15838" s="2" t="s">
        <v>7721</v>
      </c>
      <c r="D15838" s="3" t="str">
        <f t="shared" si="4023"/>
        <v>12Go Link</v>
      </c>
      <c r="E15838" s="2" t="s">
        <v>3409</v>
      </c>
    </row>
    <row r="15839">
      <c r="A15839" s="2" t="s">
        <v>5031</v>
      </c>
      <c r="B15839" s="2" t="s">
        <v>4959</v>
      </c>
      <c r="C15839" s="2" t="s">
        <v>7722</v>
      </c>
      <c r="D15839" s="3" t="str">
        <f t="shared" ref="D15839:D15841" si="4024">HYPERLINK("https://12go.asia/en/travel/Waskaduwa/Ella", "12Go Link")</f>
        <v>12Go Link</v>
      </c>
      <c r="E15839" s="2" t="s">
        <v>286</v>
      </c>
    </row>
    <row r="15840">
      <c r="A15840" s="2" t="s">
        <v>5031</v>
      </c>
      <c r="B15840" s="2" t="s">
        <v>4959</v>
      </c>
      <c r="C15840" s="2" t="s">
        <v>7722</v>
      </c>
      <c r="D15840" s="3" t="str">
        <f t="shared" si="4024"/>
        <v>12Go Link</v>
      </c>
      <c r="E15840" s="2" t="s">
        <v>4139</v>
      </c>
    </row>
    <row r="15841">
      <c r="A15841" s="2" t="s">
        <v>5031</v>
      </c>
      <c r="B15841" s="2" t="s">
        <v>4959</v>
      </c>
      <c r="C15841" s="2" t="s">
        <v>7722</v>
      </c>
      <c r="D15841" s="3" t="str">
        <f t="shared" si="4024"/>
        <v>12Go Link</v>
      </c>
      <c r="E15841" s="2" t="s">
        <v>3409</v>
      </c>
    </row>
    <row r="15842">
      <c r="A15842" s="2" t="s">
        <v>5031</v>
      </c>
      <c r="B15842" s="2" t="s">
        <v>4961</v>
      </c>
      <c r="C15842" s="2" t="s">
        <v>7723</v>
      </c>
      <c r="D15842" s="3" t="str">
        <f t="shared" ref="D15842:D15844" si="4025">HYPERLINK("https://12go.asia/en/travel/Moronthuduwa/Beragala", "12Go Link")</f>
        <v>12Go Link</v>
      </c>
      <c r="E15842" s="2" t="s">
        <v>286</v>
      </c>
    </row>
    <row r="15843">
      <c r="A15843" s="2" t="s">
        <v>5031</v>
      </c>
      <c r="B15843" s="2" t="s">
        <v>4961</v>
      </c>
      <c r="C15843" s="2" t="s">
        <v>7723</v>
      </c>
      <c r="D15843" s="3" t="str">
        <f t="shared" si="4025"/>
        <v>12Go Link</v>
      </c>
      <c r="E15843" s="2" t="s">
        <v>4139</v>
      </c>
    </row>
    <row r="15844">
      <c r="A15844" s="2" t="s">
        <v>5031</v>
      </c>
      <c r="B15844" s="2" t="s">
        <v>4961</v>
      </c>
      <c r="C15844" s="2" t="s">
        <v>7723</v>
      </c>
      <c r="D15844" s="3" t="str">
        <f t="shared" si="4025"/>
        <v>12Go Link</v>
      </c>
      <c r="E15844" s="2" t="s">
        <v>3409</v>
      </c>
    </row>
    <row r="15845">
      <c r="A15845" s="2" t="s">
        <v>5031</v>
      </c>
      <c r="B15845" s="2" t="s">
        <v>4961</v>
      </c>
      <c r="C15845" s="2" t="s">
        <v>7724</v>
      </c>
      <c r="D15845" s="3" t="str">
        <f t="shared" ref="D15845:D15847" si="4026">HYPERLINK("https://12go.asia/en/travel/Waskaduwa/Beragala", "12Go Link")</f>
        <v>12Go Link</v>
      </c>
      <c r="E15845" s="2" t="s">
        <v>286</v>
      </c>
    </row>
    <row r="15846">
      <c r="A15846" s="2" t="s">
        <v>5031</v>
      </c>
      <c r="B15846" s="2" t="s">
        <v>4961</v>
      </c>
      <c r="C15846" s="2" t="s">
        <v>7724</v>
      </c>
      <c r="D15846" s="3" t="str">
        <f t="shared" si="4026"/>
        <v>12Go Link</v>
      </c>
      <c r="E15846" s="2" t="s">
        <v>4139</v>
      </c>
    </row>
    <row r="15847">
      <c r="A15847" s="2" t="s">
        <v>5031</v>
      </c>
      <c r="B15847" s="2" t="s">
        <v>4961</v>
      </c>
      <c r="C15847" s="2" t="s">
        <v>7724</v>
      </c>
      <c r="D15847" s="3" t="str">
        <f t="shared" si="4026"/>
        <v>12Go Link</v>
      </c>
      <c r="E15847" s="2" t="s">
        <v>3409</v>
      </c>
    </row>
    <row r="15848">
      <c r="A15848" s="2" t="s">
        <v>5031</v>
      </c>
      <c r="B15848" s="2" t="s">
        <v>4963</v>
      </c>
      <c r="C15848" s="2" t="s">
        <v>7725</v>
      </c>
      <c r="D15848" s="3" t="str">
        <f t="shared" ref="D15848:D15850" si="4027">HYPERLINK("https://12go.asia/en/travel/Moronthuduwa/Dick-oya", "12Go Link")</f>
        <v>12Go Link</v>
      </c>
      <c r="E15848" s="2" t="s">
        <v>286</v>
      </c>
    </row>
    <row r="15849">
      <c r="A15849" s="2" t="s">
        <v>5031</v>
      </c>
      <c r="B15849" s="2" t="s">
        <v>4963</v>
      </c>
      <c r="C15849" s="2" t="s">
        <v>7725</v>
      </c>
      <c r="D15849" s="3" t="str">
        <f t="shared" si="4027"/>
        <v>12Go Link</v>
      </c>
      <c r="E15849" s="2" t="s">
        <v>4139</v>
      </c>
    </row>
    <row r="15850">
      <c r="A15850" s="2" t="s">
        <v>5031</v>
      </c>
      <c r="B15850" s="2" t="s">
        <v>4963</v>
      </c>
      <c r="C15850" s="2" t="s">
        <v>7725</v>
      </c>
      <c r="D15850" s="3" t="str">
        <f t="shared" si="4027"/>
        <v>12Go Link</v>
      </c>
      <c r="E15850" s="2" t="s">
        <v>3409</v>
      </c>
    </row>
    <row r="15851">
      <c r="A15851" s="2" t="s">
        <v>5031</v>
      </c>
      <c r="B15851" s="2" t="s">
        <v>4963</v>
      </c>
      <c r="C15851" s="2" t="s">
        <v>7726</v>
      </c>
      <c r="D15851" s="3" t="str">
        <f t="shared" ref="D15851:D15853" si="4028">HYPERLINK("https://12go.asia/en/travel/Waskaduwa/Dick-oya", "12Go Link")</f>
        <v>12Go Link</v>
      </c>
      <c r="E15851" s="2" t="s">
        <v>286</v>
      </c>
    </row>
    <row r="15852">
      <c r="A15852" s="2" t="s">
        <v>5031</v>
      </c>
      <c r="B15852" s="2" t="s">
        <v>4963</v>
      </c>
      <c r="C15852" s="2" t="s">
        <v>7726</v>
      </c>
      <c r="D15852" s="3" t="str">
        <f t="shared" si="4028"/>
        <v>12Go Link</v>
      </c>
      <c r="E15852" s="2" t="s">
        <v>4139</v>
      </c>
    </row>
    <row r="15853">
      <c r="A15853" s="2" t="s">
        <v>5031</v>
      </c>
      <c r="B15853" s="2" t="s">
        <v>4963</v>
      </c>
      <c r="C15853" s="2" t="s">
        <v>7726</v>
      </c>
      <c r="D15853" s="3" t="str">
        <f t="shared" si="4028"/>
        <v>12Go Link</v>
      </c>
      <c r="E15853" s="2" t="s">
        <v>3409</v>
      </c>
    </row>
    <row r="15854">
      <c r="A15854" s="2" t="s">
        <v>5031</v>
      </c>
      <c r="B15854" s="2" t="s">
        <v>4965</v>
      </c>
      <c r="C15854" s="2" t="s">
        <v>7727</v>
      </c>
      <c r="D15854" s="3" t="str">
        <f t="shared" ref="D15854:D15856" si="4029">HYPERLINK("https://12go.asia/en/travel/Moronthuduwa/Dodanduwa", "12Go Link")</f>
        <v>12Go Link</v>
      </c>
      <c r="E15854" s="2" t="s">
        <v>286</v>
      </c>
    </row>
    <row r="15855">
      <c r="A15855" s="2" t="s">
        <v>5031</v>
      </c>
      <c r="B15855" s="2" t="s">
        <v>4965</v>
      </c>
      <c r="C15855" s="2" t="s">
        <v>7727</v>
      </c>
      <c r="D15855" s="3" t="str">
        <f t="shared" si="4029"/>
        <v>12Go Link</v>
      </c>
      <c r="E15855" s="2" t="s">
        <v>4139</v>
      </c>
    </row>
    <row r="15856">
      <c r="A15856" s="2" t="s">
        <v>5031</v>
      </c>
      <c r="B15856" s="2" t="s">
        <v>4965</v>
      </c>
      <c r="C15856" s="2" t="s">
        <v>7727</v>
      </c>
      <c r="D15856" s="3" t="str">
        <f t="shared" si="4029"/>
        <v>12Go Link</v>
      </c>
      <c r="E15856" s="2" t="s">
        <v>3409</v>
      </c>
    </row>
    <row r="15857">
      <c r="A15857" s="2" t="s">
        <v>5031</v>
      </c>
      <c r="B15857" s="2" t="s">
        <v>4965</v>
      </c>
      <c r="C15857" s="2" t="s">
        <v>7728</v>
      </c>
      <c r="D15857" s="3" t="str">
        <f t="shared" ref="D15857:D15859" si="4030">HYPERLINK("https://12go.asia/en/travel/Waskaduwa/Dodanduwa", "12Go Link")</f>
        <v>12Go Link</v>
      </c>
      <c r="E15857" s="2" t="s">
        <v>286</v>
      </c>
    </row>
    <row r="15858">
      <c r="A15858" s="2" t="s">
        <v>5031</v>
      </c>
      <c r="B15858" s="2" t="s">
        <v>4965</v>
      </c>
      <c r="C15858" s="2" t="s">
        <v>7728</v>
      </c>
      <c r="D15858" s="3" t="str">
        <f t="shared" si="4030"/>
        <v>12Go Link</v>
      </c>
      <c r="E15858" s="2" t="s">
        <v>4139</v>
      </c>
    </row>
    <row r="15859">
      <c r="A15859" s="2" t="s">
        <v>5031</v>
      </c>
      <c r="B15859" s="2" t="s">
        <v>4965</v>
      </c>
      <c r="C15859" s="2" t="s">
        <v>7728</v>
      </c>
      <c r="D15859" s="3" t="str">
        <f t="shared" si="4030"/>
        <v>12Go Link</v>
      </c>
      <c r="E15859" s="2" t="s">
        <v>3409</v>
      </c>
    </row>
    <row r="15860">
      <c r="A15860" s="2" t="s">
        <v>5031</v>
      </c>
      <c r="B15860" s="2" t="s">
        <v>4967</v>
      </c>
      <c r="C15860" s="2" t="s">
        <v>7729</v>
      </c>
      <c r="D15860" s="3" t="str">
        <f t="shared" ref="D15860:D15862" si="4031">HYPERLINK("https://12go.asia/en/travel/Moronthuduwa/Induruwa", "12Go Link")</f>
        <v>12Go Link</v>
      </c>
      <c r="E15860" s="2" t="s">
        <v>286</v>
      </c>
    </row>
    <row r="15861">
      <c r="A15861" s="2" t="s">
        <v>5031</v>
      </c>
      <c r="B15861" s="2" t="s">
        <v>4967</v>
      </c>
      <c r="C15861" s="2" t="s">
        <v>7729</v>
      </c>
      <c r="D15861" s="3" t="str">
        <f t="shared" si="4031"/>
        <v>12Go Link</v>
      </c>
      <c r="E15861" s="2" t="s">
        <v>4139</v>
      </c>
    </row>
    <row r="15862">
      <c r="A15862" s="2" t="s">
        <v>5031</v>
      </c>
      <c r="B15862" s="2" t="s">
        <v>4967</v>
      </c>
      <c r="C15862" s="2" t="s">
        <v>7729</v>
      </c>
      <c r="D15862" s="3" t="str">
        <f t="shared" si="4031"/>
        <v>12Go Link</v>
      </c>
      <c r="E15862" s="2" t="s">
        <v>3409</v>
      </c>
    </row>
    <row r="15863">
      <c r="A15863" s="2" t="s">
        <v>5031</v>
      </c>
      <c r="B15863" s="2" t="s">
        <v>4967</v>
      </c>
      <c r="C15863" s="2" t="s">
        <v>7730</v>
      </c>
      <c r="D15863" s="3" t="str">
        <f t="shared" ref="D15863:D15865" si="4032">HYPERLINK("https://12go.asia/en/travel/Waskaduwa/Induruwa", "12Go Link")</f>
        <v>12Go Link</v>
      </c>
      <c r="E15863" s="2" t="s">
        <v>286</v>
      </c>
    </row>
    <row r="15864">
      <c r="A15864" s="2" t="s">
        <v>5031</v>
      </c>
      <c r="B15864" s="2" t="s">
        <v>4967</v>
      </c>
      <c r="C15864" s="2" t="s">
        <v>7730</v>
      </c>
      <c r="D15864" s="3" t="str">
        <f t="shared" si="4032"/>
        <v>12Go Link</v>
      </c>
      <c r="E15864" s="2" t="s">
        <v>4139</v>
      </c>
    </row>
    <row r="15865">
      <c r="A15865" s="2" t="s">
        <v>5031</v>
      </c>
      <c r="B15865" s="2" t="s">
        <v>4967</v>
      </c>
      <c r="C15865" s="2" t="s">
        <v>7730</v>
      </c>
      <c r="D15865" s="3" t="str">
        <f t="shared" si="4032"/>
        <v>12Go Link</v>
      </c>
      <c r="E15865" s="2" t="s">
        <v>3409</v>
      </c>
    </row>
    <row r="15866">
      <c r="A15866" s="2" t="s">
        <v>5031</v>
      </c>
      <c r="B15866" s="2" t="s">
        <v>4969</v>
      </c>
      <c r="C15866" s="2" t="s">
        <v>7731</v>
      </c>
      <c r="D15866" s="3" t="str">
        <f t="shared" ref="D15866:D15868" si="4033">HYPERLINK("https://12go.asia/en/travel/Moronthuduwa/Jaffna", "12Go Link")</f>
        <v>12Go Link</v>
      </c>
      <c r="E15866" s="2" t="s">
        <v>286</v>
      </c>
    </row>
    <row r="15867">
      <c r="A15867" s="2" t="s">
        <v>5031</v>
      </c>
      <c r="B15867" s="2" t="s">
        <v>4969</v>
      </c>
      <c r="C15867" s="2" t="s">
        <v>7731</v>
      </c>
      <c r="D15867" s="3" t="str">
        <f t="shared" si="4033"/>
        <v>12Go Link</v>
      </c>
      <c r="E15867" s="2" t="s">
        <v>4139</v>
      </c>
    </row>
    <row r="15868">
      <c r="A15868" s="2" t="s">
        <v>5031</v>
      </c>
      <c r="B15868" s="2" t="s">
        <v>4969</v>
      </c>
      <c r="C15868" s="2" t="s">
        <v>7731</v>
      </c>
      <c r="D15868" s="3" t="str">
        <f t="shared" si="4033"/>
        <v>12Go Link</v>
      </c>
      <c r="E15868" s="2" t="s">
        <v>3409</v>
      </c>
    </row>
    <row r="15869">
      <c r="A15869" s="2" t="s">
        <v>5031</v>
      </c>
      <c r="B15869" s="2" t="s">
        <v>4969</v>
      </c>
      <c r="C15869" s="2" t="s">
        <v>7732</v>
      </c>
      <c r="D15869" s="3" t="str">
        <f t="shared" ref="D15869:D15871" si="4034">HYPERLINK("https://12go.asia/en/travel/Waskaduwa/Jaffna", "12Go Link")</f>
        <v>12Go Link</v>
      </c>
      <c r="E15869" s="2" t="s">
        <v>286</v>
      </c>
    </row>
    <row r="15870">
      <c r="A15870" s="2" t="s">
        <v>5031</v>
      </c>
      <c r="B15870" s="2" t="s">
        <v>4969</v>
      </c>
      <c r="C15870" s="2" t="s">
        <v>7732</v>
      </c>
      <c r="D15870" s="3" t="str">
        <f t="shared" si="4034"/>
        <v>12Go Link</v>
      </c>
      <c r="E15870" s="2" t="s">
        <v>4139</v>
      </c>
    </row>
    <row r="15871">
      <c r="A15871" s="2" t="s">
        <v>5031</v>
      </c>
      <c r="B15871" s="2" t="s">
        <v>4969</v>
      </c>
      <c r="C15871" s="2" t="s">
        <v>7732</v>
      </c>
      <c r="D15871" s="3" t="str">
        <f t="shared" si="4034"/>
        <v>12Go Link</v>
      </c>
      <c r="E15871" s="2" t="s">
        <v>3409</v>
      </c>
    </row>
    <row r="15872">
      <c r="A15872" s="2" t="s">
        <v>5031</v>
      </c>
      <c r="B15872" s="2" t="s">
        <v>4971</v>
      </c>
      <c r="C15872" s="2" t="s">
        <v>7733</v>
      </c>
      <c r="D15872" s="3" t="str">
        <f t="shared" ref="D15872:D15874" si="4035">HYPERLINK("https://12go.asia/en/travel/Moronthuduwa/Kalapuwa", "12Go Link")</f>
        <v>12Go Link</v>
      </c>
      <c r="E15872" s="2" t="s">
        <v>286</v>
      </c>
    </row>
    <row r="15873">
      <c r="A15873" s="2" t="s">
        <v>5031</v>
      </c>
      <c r="B15873" s="2" t="s">
        <v>4971</v>
      </c>
      <c r="C15873" s="2" t="s">
        <v>7733</v>
      </c>
      <c r="D15873" s="3" t="str">
        <f t="shared" si="4035"/>
        <v>12Go Link</v>
      </c>
      <c r="E15873" s="2" t="s">
        <v>4139</v>
      </c>
    </row>
    <row r="15874">
      <c r="A15874" s="2" t="s">
        <v>5031</v>
      </c>
      <c r="B15874" s="2" t="s">
        <v>4971</v>
      </c>
      <c r="C15874" s="2" t="s">
        <v>7733</v>
      </c>
      <c r="D15874" s="3" t="str">
        <f t="shared" si="4035"/>
        <v>12Go Link</v>
      </c>
      <c r="E15874" s="2" t="s">
        <v>3409</v>
      </c>
    </row>
    <row r="15875">
      <c r="A15875" s="2" t="s">
        <v>5031</v>
      </c>
      <c r="B15875" s="2" t="s">
        <v>4971</v>
      </c>
      <c r="C15875" s="2" t="s">
        <v>7734</v>
      </c>
      <c r="D15875" s="3" t="str">
        <f t="shared" ref="D15875:D15877" si="4036">HYPERLINK("https://12go.asia/en/travel/Waskaduwa/Kalapuwa", "12Go Link")</f>
        <v>12Go Link</v>
      </c>
      <c r="E15875" s="2" t="s">
        <v>286</v>
      </c>
    </row>
    <row r="15876">
      <c r="A15876" s="2" t="s">
        <v>5031</v>
      </c>
      <c r="B15876" s="2" t="s">
        <v>4971</v>
      </c>
      <c r="C15876" s="2" t="s">
        <v>7734</v>
      </c>
      <c r="D15876" s="3" t="str">
        <f t="shared" si="4036"/>
        <v>12Go Link</v>
      </c>
      <c r="E15876" s="2" t="s">
        <v>4139</v>
      </c>
    </row>
    <row r="15877">
      <c r="A15877" s="2" t="s">
        <v>5031</v>
      </c>
      <c r="B15877" s="2" t="s">
        <v>4971</v>
      </c>
      <c r="C15877" s="2" t="s">
        <v>7734</v>
      </c>
      <c r="D15877" s="3" t="str">
        <f t="shared" si="4036"/>
        <v>12Go Link</v>
      </c>
      <c r="E15877" s="2" t="s">
        <v>3409</v>
      </c>
    </row>
    <row r="15878">
      <c r="A15878" s="2" t="s">
        <v>5031</v>
      </c>
      <c r="B15878" s="2" t="s">
        <v>4973</v>
      </c>
      <c r="C15878" s="2" t="s">
        <v>7735</v>
      </c>
      <c r="D15878" s="3" t="str">
        <f t="shared" ref="D15878:D15880" si="4037">HYPERLINK("https://12go.asia/en/travel/Moronthuduwa/Digana", "12Go Link")</f>
        <v>12Go Link</v>
      </c>
      <c r="E15878" s="2" t="s">
        <v>286</v>
      </c>
    </row>
    <row r="15879">
      <c r="A15879" s="2" t="s">
        <v>5031</v>
      </c>
      <c r="B15879" s="2" t="s">
        <v>4973</v>
      </c>
      <c r="C15879" s="2" t="s">
        <v>7735</v>
      </c>
      <c r="D15879" s="3" t="str">
        <f t="shared" si="4037"/>
        <v>12Go Link</v>
      </c>
      <c r="E15879" s="2" t="s">
        <v>4139</v>
      </c>
    </row>
    <row r="15880">
      <c r="A15880" s="2" t="s">
        <v>5031</v>
      </c>
      <c r="B15880" s="2" t="s">
        <v>4973</v>
      </c>
      <c r="C15880" s="2" t="s">
        <v>7735</v>
      </c>
      <c r="D15880" s="3" t="str">
        <f t="shared" si="4037"/>
        <v>12Go Link</v>
      </c>
      <c r="E15880" s="2" t="s">
        <v>3409</v>
      </c>
    </row>
    <row r="15881">
      <c r="A15881" s="2" t="s">
        <v>5031</v>
      </c>
      <c r="B15881" s="2" t="s">
        <v>4973</v>
      </c>
      <c r="C15881" s="2" t="s">
        <v>7736</v>
      </c>
      <c r="D15881" s="3" t="str">
        <f t="shared" ref="D15881:D15883" si="4038">HYPERLINK("https://12go.asia/en/travel/Waskaduwa/Ampitiya", "12Go Link")</f>
        <v>12Go Link</v>
      </c>
      <c r="E15881" s="2" t="s">
        <v>286</v>
      </c>
    </row>
    <row r="15882">
      <c r="A15882" s="2" t="s">
        <v>5031</v>
      </c>
      <c r="B15882" s="2" t="s">
        <v>4973</v>
      </c>
      <c r="C15882" s="2" t="s">
        <v>7736</v>
      </c>
      <c r="D15882" s="3" t="str">
        <f t="shared" si="4038"/>
        <v>12Go Link</v>
      </c>
      <c r="E15882" s="2" t="s">
        <v>4139</v>
      </c>
    </row>
    <row r="15883">
      <c r="A15883" s="2" t="s">
        <v>5031</v>
      </c>
      <c r="B15883" s="2" t="s">
        <v>4973</v>
      </c>
      <c r="C15883" s="2" t="s">
        <v>7736</v>
      </c>
      <c r="D15883" s="3" t="str">
        <f t="shared" si="4038"/>
        <v>12Go Link</v>
      </c>
      <c r="E15883" s="2" t="s">
        <v>3409</v>
      </c>
    </row>
    <row r="15884">
      <c r="A15884" s="2" t="s">
        <v>5031</v>
      </c>
      <c r="B15884" s="2" t="s">
        <v>4973</v>
      </c>
      <c r="C15884" s="2" t="s">
        <v>7737</v>
      </c>
      <c r="D15884" s="3" t="str">
        <f t="shared" ref="D15884:D15886" si="4039">HYPERLINK("https://12go.asia/en/travel/Waskaduwa/Digana", "12Go Link")</f>
        <v>12Go Link</v>
      </c>
      <c r="E15884" s="2" t="s">
        <v>286</v>
      </c>
    </row>
    <row r="15885">
      <c r="A15885" s="2" t="s">
        <v>5031</v>
      </c>
      <c r="B15885" s="2" t="s">
        <v>4973</v>
      </c>
      <c r="C15885" s="2" t="s">
        <v>7737</v>
      </c>
      <c r="D15885" s="3" t="str">
        <f t="shared" si="4039"/>
        <v>12Go Link</v>
      </c>
      <c r="E15885" s="2" t="s">
        <v>4139</v>
      </c>
    </row>
    <row r="15886">
      <c r="A15886" s="2" t="s">
        <v>5031</v>
      </c>
      <c r="B15886" s="2" t="s">
        <v>4973</v>
      </c>
      <c r="C15886" s="2" t="s">
        <v>7737</v>
      </c>
      <c r="D15886" s="3" t="str">
        <f t="shared" si="4039"/>
        <v>12Go Link</v>
      </c>
      <c r="E15886" s="2" t="s">
        <v>3409</v>
      </c>
    </row>
    <row r="15887">
      <c r="A15887" s="2" t="s">
        <v>5031</v>
      </c>
      <c r="B15887" s="2" t="s">
        <v>4976</v>
      </c>
      <c r="C15887" s="2" t="s">
        <v>7738</v>
      </c>
      <c r="D15887" s="3" t="str">
        <f t="shared" ref="D15887:D15889" si="4040">HYPERLINK("https://12go.asia/en/travel/Waskaduwa/Kataragama", "12Go Link")</f>
        <v>12Go Link</v>
      </c>
      <c r="E15887" s="2" t="s">
        <v>286</v>
      </c>
    </row>
    <row r="15888">
      <c r="A15888" s="2" t="s">
        <v>5031</v>
      </c>
      <c r="B15888" s="2" t="s">
        <v>4976</v>
      </c>
      <c r="C15888" s="2" t="s">
        <v>7738</v>
      </c>
      <c r="D15888" s="3" t="str">
        <f t="shared" si="4040"/>
        <v>12Go Link</v>
      </c>
      <c r="E15888" s="2" t="s">
        <v>4139</v>
      </c>
    </row>
    <row r="15889">
      <c r="A15889" s="2" t="s">
        <v>5031</v>
      </c>
      <c r="B15889" s="2" t="s">
        <v>4976</v>
      </c>
      <c r="C15889" s="2" t="s">
        <v>7738</v>
      </c>
      <c r="D15889" s="3" t="str">
        <f t="shared" si="4040"/>
        <v>12Go Link</v>
      </c>
      <c r="E15889" s="2" t="s">
        <v>3409</v>
      </c>
    </row>
    <row r="15890">
      <c r="A15890" s="2" t="s">
        <v>5031</v>
      </c>
      <c r="B15890" s="2" t="s">
        <v>4978</v>
      </c>
      <c r="C15890" s="2" t="s">
        <v>7739</v>
      </c>
      <c r="D15890" s="3" t="str">
        <f t="shared" ref="D15890:D15892" si="4041">HYPERLINK("https://12go.asia/en/travel/Moronthuduwa/Alawathupitiya", "12Go Link")</f>
        <v>12Go Link</v>
      </c>
      <c r="E15890" s="2" t="s">
        <v>286</v>
      </c>
    </row>
    <row r="15891">
      <c r="A15891" s="2" t="s">
        <v>5031</v>
      </c>
      <c r="B15891" s="2" t="s">
        <v>4978</v>
      </c>
      <c r="C15891" s="2" t="s">
        <v>7739</v>
      </c>
      <c r="D15891" s="3" t="str">
        <f t="shared" si="4041"/>
        <v>12Go Link</v>
      </c>
      <c r="E15891" s="2" t="s">
        <v>4139</v>
      </c>
    </row>
    <row r="15892">
      <c r="A15892" s="2" t="s">
        <v>5031</v>
      </c>
      <c r="B15892" s="2" t="s">
        <v>4978</v>
      </c>
      <c r="C15892" s="2" t="s">
        <v>7739</v>
      </c>
      <c r="D15892" s="3" t="str">
        <f t="shared" si="4041"/>
        <v>12Go Link</v>
      </c>
      <c r="E15892" s="2" t="s">
        <v>3409</v>
      </c>
    </row>
    <row r="15893">
      <c r="A15893" s="2" t="s">
        <v>5031</v>
      </c>
      <c r="B15893" s="2" t="s">
        <v>4978</v>
      </c>
      <c r="C15893" s="2" t="s">
        <v>7740</v>
      </c>
      <c r="D15893" s="3" t="str">
        <f t="shared" ref="D15893:D15895" si="4042">HYPERLINK("https://12go.asia/en/travel/Waskaduwa/Alawathupitiya", "12Go Link")</f>
        <v>12Go Link</v>
      </c>
      <c r="E15893" s="2" t="s">
        <v>286</v>
      </c>
    </row>
    <row r="15894">
      <c r="A15894" s="2" t="s">
        <v>5031</v>
      </c>
      <c r="B15894" s="2" t="s">
        <v>4978</v>
      </c>
      <c r="C15894" s="2" t="s">
        <v>7740</v>
      </c>
      <c r="D15894" s="3" t="str">
        <f t="shared" si="4042"/>
        <v>12Go Link</v>
      </c>
      <c r="E15894" s="2" t="s">
        <v>4139</v>
      </c>
    </row>
    <row r="15895">
      <c r="A15895" s="2" t="s">
        <v>5031</v>
      </c>
      <c r="B15895" s="2" t="s">
        <v>4978</v>
      </c>
      <c r="C15895" s="2" t="s">
        <v>7740</v>
      </c>
      <c r="D15895" s="3" t="str">
        <f t="shared" si="4042"/>
        <v>12Go Link</v>
      </c>
      <c r="E15895" s="2" t="s">
        <v>3409</v>
      </c>
    </row>
    <row r="15896">
      <c r="A15896" s="2" t="s">
        <v>5031</v>
      </c>
      <c r="B15896" s="2" t="s">
        <v>4980</v>
      </c>
      <c r="C15896" s="2" t="s">
        <v>7741</v>
      </c>
      <c r="D15896" s="3" t="str">
        <f t="shared" ref="D15896:D15898" si="4043">HYPERLINK("https://12go.asia/en/travel/Moronthuduwa/Pinnawala", "12Go Link")</f>
        <v>12Go Link</v>
      </c>
      <c r="E15896" s="2" t="s">
        <v>286</v>
      </c>
    </row>
    <row r="15897">
      <c r="A15897" s="2" t="s">
        <v>5031</v>
      </c>
      <c r="B15897" s="2" t="s">
        <v>4980</v>
      </c>
      <c r="C15897" s="2" t="s">
        <v>7741</v>
      </c>
      <c r="D15897" s="3" t="str">
        <f t="shared" si="4043"/>
        <v>12Go Link</v>
      </c>
      <c r="E15897" s="2" t="s">
        <v>4139</v>
      </c>
    </row>
    <row r="15898">
      <c r="A15898" s="2" t="s">
        <v>5031</v>
      </c>
      <c r="B15898" s="2" t="s">
        <v>4980</v>
      </c>
      <c r="C15898" s="2" t="s">
        <v>7741</v>
      </c>
      <c r="D15898" s="3" t="str">
        <f t="shared" si="4043"/>
        <v>12Go Link</v>
      </c>
      <c r="E15898" s="2" t="s">
        <v>3409</v>
      </c>
    </row>
    <row r="15899">
      <c r="A15899" s="2" t="s">
        <v>5031</v>
      </c>
      <c r="B15899" s="2" t="s">
        <v>4980</v>
      </c>
      <c r="C15899" s="2" t="s">
        <v>7742</v>
      </c>
      <c r="D15899" s="3" t="str">
        <f t="shared" ref="D15899:D15901" si="4044">HYPERLINK("https://12go.asia/en/travel/Waskaduwa/Pinnawala", "12Go Link")</f>
        <v>12Go Link</v>
      </c>
      <c r="E15899" s="2" t="s">
        <v>286</v>
      </c>
    </row>
    <row r="15900">
      <c r="A15900" s="2" t="s">
        <v>5031</v>
      </c>
      <c r="B15900" s="2" t="s">
        <v>4980</v>
      </c>
      <c r="C15900" s="2" t="s">
        <v>7742</v>
      </c>
      <c r="D15900" s="3" t="str">
        <f t="shared" si="4044"/>
        <v>12Go Link</v>
      </c>
      <c r="E15900" s="2" t="s">
        <v>4139</v>
      </c>
    </row>
    <row r="15901">
      <c r="A15901" s="2" t="s">
        <v>5031</v>
      </c>
      <c r="B15901" s="2" t="s">
        <v>4980</v>
      </c>
      <c r="C15901" s="2" t="s">
        <v>7742</v>
      </c>
      <c r="D15901" s="3" t="str">
        <f t="shared" si="4044"/>
        <v>12Go Link</v>
      </c>
      <c r="E15901" s="2" t="s">
        <v>3409</v>
      </c>
    </row>
    <row r="15902">
      <c r="A15902" s="2" t="s">
        <v>5031</v>
      </c>
      <c r="B15902" s="2" t="s">
        <v>4982</v>
      </c>
      <c r="C15902" s="2" t="s">
        <v>7743</v>
      </c>
      <c r="D15902" s="3" t="str">
        <f t="shared" ref="D15902:D15904" si="4045">HYPERLINK("https://12go.asia/en/travel/Moronthuduwa/Kitulgala", "12Go Link")</f>
        <v>12Go Link</v>
      </c>
      <c r="E15902" s="2" t="s">
        <v>286</v>
      </c>
    </row>
    <row r="15903">
      <c r="A15903" s="2" t="s">
        <v>5031</v>
      </c>
      <c r="B15903" s="2" t="s">
        <v>4982</v>
      </c>
      <c r="C15903" s="2" t="s">
        <v>7743</v>
      </c>
      <c r="D15903" s="3" t="str">
        <f t="shared" si="4045"/>
        <v>12Go Link</v>
      </c>
      <c r="E15903" s="2" t="s">
        <v>4139</v>
      </c>
    </row>
    <row r="15904">
      <c r="A15904" s="2" t="s">
        <v>5031</v>
      </c>
      <c r="B15904" s="2" t="s">
        <v>4982</v>
      </c>
      <c r="C15904" s="2" t="s">
        <v>7743</v>
      </c>
      <c r="D15904" s="3" t="str">
        <f t="shared" si="4045"/>
        <v>12Go Link</v>
      </c>
      <c r="E15904" s="2" t="s">
        <v>3409</v>
      </c>
    </row>
    <row r="15905">
      <c r="A15905" s="2" t="s">
        <v>5031</v>
      </c>
      <c r="B15905" s="2" t="s">
        <v>4982</v>
      </c>
      <c r="C15905" s="2" t="s">
        <v>7744</v>
      </c>
      <c r="D15905" s="3" t="str">
        <f t="shared" ref="D15905:D15907" si="4046">HYPERLINK("https://12go.asia/en/travel/Waskaduwa/Kitulgala", "12Go Link")</f>
        <v>12Go Link</v>
      </c>
      <c r="E15905" s="2" t="s">
        <v>286</v>
      </c>
    </row>
    <row r="15906">
      <c r="A15906" s="2" t="s">
        <v>5031</v>
      </c>
      <c r="B15906" s="2" t="s">
        <v>4982</v>
      </c>
      <c r="C15906" s="2" t="s">
        <v>7744</v>
      </c>
      <c r="D15906" s="3" t="str">
        <f t="shared" si="4046"/>
        <v>12Go Link</v>
      </c>
      <c r="E15906" s="2" t="s">
        <v>4139</v>
      </c>
    </row>
    <row r="15907">
      <c r="A15907" s="2" t="s">
        <v>5031</v>
      </c>
      <c r="B15907" s="2" t="s">
        <v>4982</v>
      </c>
      <c r="C15907" s="2" t="s">
        <v>7744</v>
      </c>
      <c r="D15907" s="3" t="str">
        <f t="shared" si="4046"/>
        <v>12Go Link</v>
      </c>
      <c r="E15907" s="2" t="s">
        <v>3409</v>
      </c>
    </row>
    <row r="15908">
      <c r="A15908" s="2" t="s">
        <v>5031</v>
      </c>
      <c r="B15908" s="2" t="s">
        <v>4984</v>
      </c>
      <c r="C15908" s="2" t="s">
        <v>7745</v>
      </c>
      <c r="D15908" s="3" t="str">
        <f t="shared" ref="D15908:D15910" si="4047">HYPERLINK("https://12go.asia/en/travel/Moronthuduwa/Habaraduwa", "12Go Link")</f>
        <v>12Go Link</v>
      </c>
      <c r="E15908" s="2" t="s">
        <v>286</v>
      </c>
    </row>
    <row r="15909">
      <c r="A15909" s="2" t="s">
        <v>5031</v>
      </c>
      <c r="B15909" s="2" t="s">
        <v>4984</v>
      </c>
      <c r="C15909" s="2" t="s">
        <v>7745</v>
      </c>
      <c r="D15909" s="3" t="str">
        <f t="shared" si="4047"/>
        <v>12Go Link</v>
      </c>
      <c r="E15909" s="2" t="s">
        <v>4139</v>
      </c>
    </row>
    <row r="15910">
      <c r="A15910" s="2" t="s">
        <v>5031</v>
      </c>
      <c r="B15910" s="2" t="s">
        <v>4984</v>
      </c>
      <c r="C15910" s="2" t="s">
        <v>7745</v>
      </c>
      <c r="D15910" s="3" t="str">
        <f t="shared" si="4047"/>
        <v>12Go Link</v>
      </c>
      <c r="E15910" s="2" t="s">
        <v>3409</v>
      </c>
    </row>
    <row r="15911">
      <c r="A15911" s="2" t="s">
        <v>5031</v>
      </c>
      <c r="B15911" s="2" t="s">
        <v>4984</v>
      </c>
      <c r="C15911" s="2" t="s">
        <v>7746</v>
      </c>
      <c r="D15911" s="3" t="str">
        <f t="shared" ref="D15911:D15913" si="4048">HYPERLINK("https://12go.asia/en/travel/Waskaduwa/Habaraduwa", "12Go Link")</f>
        <v>12Go Link</v>
      </c>
      <c r="E15911" s="2" t="s">
        <v>286</v>
      </c>
    </row>
    <row r="15912">
      <c r="A15912" s="2" t="s">
        <v>5031</v>
      </c>
      <c r="B15912" s="2" t="s">
        <v>4984</v>
      </c>
      <c r="C15912" s="2" t="s">
        <v>7746</v>
      </c>
      <c r="D15912" s="3" t="str">
        <f t="shared" si="4048"/>
        <v>12Go Link</v>
      </c>
      <c r="E15912" s="2" t="s">
        <v>4139</v>
      </c>
    </row>
    <row r="15913">
      <c r="A15913" s="2" t="s">
        <v>5031</v>
      </c>
      <c r="B15913" s="2" t="s">
        <v>4984</v>
      </c>
      <c r="C15913" s="2" t="s">
        <v>7746</v>
      </c>
      <c r="D15913" s="3" t="str">
        <f t="shared" si="4048"/>
        <v>12Go Link</v>
      </c>
      <c r="E15913" s="2" t="s">
        <v>3409</v>
      </c>
    </row>
    <row r="15914">
      <c r="A15914" s="2" t="s">
        <v>5031</v>
      </c>
      <c r="B15914" s="2" t="s">
        <v>4986</v>
      </c>
      <c r="C15914" s="2" t="s">
        <v>7747</v>
      </c>
      <c r="D15914" s="3" t="str">
        <f t="shared" ref="D15914:D15916" si="4049">HYPERLINK("https://12go.asia/en/travel/Moronthuduwa/Kosgoda", "12Go Link")</f>
        <v>12Go Link</v>
      </c>
      <c r="E15914" s="2" t="s">
        <v>286</v>
      </c>
    </row>
    <row r="15915">
      <c r="A15915" s="2" t="s">
        <v>5031</v>
      </c>
      <c r="B15915" s="2" t="s">
        <v>4986</v>
      </c>
      <c r="C15915" s="2" t="s">
        <v>7747</v>
      </c>
      <c r="D15915" s="3" t="str">
        <f t="shared" si="4049"/>
        <v>12Go Link</v>
      </c>
      <c r="E15915" s="2" t="s">
        <v>4139</v>
      </c>
    </row>
    <row r="15916">
      <c r="A15916" s="2" t="s">
        <v>5031</v>
      </c>
      <c r="B15916" s="2" t="s">
        <v>4986</v>
      </c>
      <c r="C15916" s="2" t="s">
        <v>7747</v>
      </c>
      <c r="D15916" s="3" t="str">
        <f t="shared" si="4049"/>
        <v>12Go Link</v>
      </c>
      <c r="E15916" s="2" t="s">
        <v>3409</v>
      </c>
    </row>
    <row r="15917">
      <c r="A15917" s="2" t="s">
        <v>5031</v>
      </c>
      <c r="B15917" s="2" t="s">
        <v>4986</v>
      </c>
      <c r="C15917" s="2" t="s">
        <v>7748</v>
      </c>
      <c r="D15917" s="3" t="str">
        <f t="shared" ref="D15917:D15919" si="4050">HYPERLINK("https://12go.asia/en/travel/Waskaduwa/Kosgoda", "12Go Link")</f>
        <v>12Go Link</v>
      </c>
      <c r="E15917" s="2" t="s">
        <v>286</v>
      </c>
    </row>
    <row r="15918">
      <c r="A15918" s="2" t="s">
        <v>5031</v>
      </c>
      <c r="B15918" s="2" t="s">
        <v>4986</v>
      </c>
      <c r="C15918" s="2" t="s">
        <v>7748</v>
      </c>
      <c r="D15918" s="3" t="str">
        <f t="shared" si="4050"/>
        <v>12Go Link</v>
      </c>
      <c r="E15918" s="2" t="s">
        <v>4139</v>
      </c>
    </row>
    <row r="15919">
      <c r="A15919" s="2" t="s">
        <v>5031</v>
      </c>
      <c r="B15919" s="2" t="s">
        <v>4986</v>
      </c>
      <c r="C15919" s="2" t="s">
        <v>7748</v>
      </c>
      <c r="D15919" s="3" t="str">
        <f t="shared" si="4050"/>
        <v>12Go Link</v>
      </c>
      <c r="E15919" s="2" t="s">
        <v>3409</v>
      </c>
    </row>
    <row r="15920">
      <c r="A15920" s="2" t="s">
        <v>5031</v>
      </c>
      <c r="B15920" s="2" t="s">
        <v>4988</v>
      </c>
      <c r="C15920" s="2" t="s">
        <v>7749</v>
      </c>
      <c r="D15920" s="3" t="str">
        <f t="shared" ref="D15920:D15922" si="4051">HYPERLINK("https://12go.asia/en/travel/Moronthuduwa/Kuchchaveli", "12Go Link")</f>
        <v>12Go Link</v>
      </c>
      <c r="E15920" s="2" t="s">
        <v>286</v>
      </c>
    </row>
    <row r="15921">
      <c r="A15921" s="2" t="s">
        <v>5031</v>
      </c>
      <c r="B15921" s="2" t="s">
        <v>4988</v>
      </c>
      <c r="C15921" s="2" t="s">
        <v>7749</v>
      </c>
      <c r="D15921" s="3" t="str">
        <f t="shared" si="4051"/>
        <v>12Go Link</v>
      </c>
      <c r="E15921" s="2" t="s">
        <v>4139</v>
      </c>
    </row>
    <row r="15922">
      <c r="A15922" s="2" t="s">
        <v>5031</v>
      </c>
      <c r="B15922" s="2" t="s">
        <v>4988</v>
      </c>
      <c r="C15922" s="2" t="s">
        <v>7749</v>
      </c>
      <c r="D15922" s="3" t="str">
        <f t="shared" si="4051"/>
        <v>12Go Link</v>
      </c>
      <c r="E15922" s="2" t="s">
        <v>3409</v>
      </c>
    </row>
    <row r="15923">
      <c r="A15923" s="2" t="s">
        <v>5031</v>
      </c>
      <c r="B15923" s="2" t="s">
        <v>4988</v>
      </c>
      <c r="C15923" s="2" t="s">
        <v>7750</v>
      </c>
      <c r="D15923" s="3" t="str">
        <f t="shared" ref="D15923:D15925" si="4052">HYPERLINK("https://12go.asia/en/travel/Waskaduwa/Kuchchaveli", "12Go Link")</f>
        <v>12Go Link</v>
      </c>
      <c r="E15923" s="2" t="s">
        <v>286</v>
      </c>
    </row>
    <row r="15924">
      <c r="A15924" s="2" t="s">
        <v>5031</v>
      </c>
      <c r="B15924" s="2" t="s">
        <v>4988</v>
      </c>
      <c r="C15924" s="2" t="s">
        <v>7750</v>
      </c>
      <c r="D15924" s="3" t="str">
        <f t="shared" si="4052"/>
        <v>12Go Link</v>
      </c>
      <c r="E15924" s="2" t="s">
        <v>4139</v>
      </c>
    </row>
    <row r="15925">
      <c r="A15925" s="2" t="s">
        <v>5031</v>
      </c>
      <c r="B15925" s="2" t="s">
        <v>4988</v>
      </c>
      <c r="C15925" s="2" t="s">
        <v>7750</v>
      </c>
      <c r="D15925" s="3" t="str">
        <f t="shared" si="4052"/>
        <v>12Go Link</v>
      </c>
      <c r="E15925" s="2" t="s">
        <v>3409</v>
      </c>
    </row>
    <row r="15926">
      <c r="A15926" s="2" t="s">
        <v>5031</v>
      </c>
      <c r="B15926" s="2" t="s">
        <v>4990</v>
      </c>
      <c r="C15926" s="2" t="s">
        <v>7751</v>
      </c>
      <c r="D15926" s="3" t="str">
        <f t="shared" ref="D15926:D15928" si="4053">HYPERLINK("https://12go.asia/en/travel/Moronthuduwa/Mannar", "12Go Link")</f>
        <v>12Go Link</v>
      </c>
      <c r="E15926" s="2" t="s">
        <v>286</v>
      </c>
    </row>
    <row r="15927">
      <c r="A15927" s="2" t="s">
        <v>5031</v>
      </c>
      <c r="B15927" s="2" t="s">
        <v>4990</v>
      </c>
      <c r="C15927" s="2" t="s">
        <v>7751</v>
      </c>
      <c r="D15927" s="3" t="str">
        <f t="shared" si="4053"/>
        <v>12Go Link</v>
      </c>
      <c r="E15927" s="2" t="s">
        <v>4139</v>
      </c>
    </row>
    <row r="15928">
      <c r="A15928" s="2" t="s">
        <v>5031</v>
      </c>
      <c r="B15928" s="2" t="s">
        <v>4990</v>
      </c>
      <c r="C15928" s="2" t="s">
        <v>7751</v>
      </c>
      <c r="D15928" s="3" t="str">
        <f t="shared" si="4053"/>
        <v>12Go Link</v>
      </c>
      <c r="E15928" s="2" t="s">
        <v>3409</v>
      </c>
    </row>
    <row r="15929">
      <c r="A15929" s="2" t="s">
        <v>5031</v>
      </c>
      <c r="B15929" s="2" t="s">
        <v>4990</v>
      </c>
      <c r="C15929" s="2" t="s">
        <v>7752</v>
      </c>
      <c r="D15929" s="3" t="str">
        <f t="shared" ref="D15929:D15931" si="4054">HYPERLINK("https://12go.asia/en/travel/Waskaduwa/Mannar", "12Go Link")</f>
        <v>12Go Link</v>
      </c>
      <c r="E15929" s="2" t="s">
        <v>286</v>
      </c>
    </row>
    <row r="15930">
      <c r="A15930" s="2" t="s">
        <v>5031</v>
      </c>
      <c r="B15930" s="2" t="s">
        <v>4990</v>
      </c>
      <c r="C15930" s="2" t="s">
        <v>7752</v>
      </c>
      <c r="D15930" s="3" t="str">
        <f t="shared" si="4054"/>
        <v>12Go Link</v>
      </c>
      <c r="E15930" s="2" t="s">
        <v>4139</v>
      </c>
    </row>
    <row r="15931">
      <c r="A15931" s="2" t="s">
        <v>5031</v>
      </c>
      <c r="B15931" s="2" t="s">
        <v>4990</v>
      </c>
      <c r="C15931" s="2" t="s">
        <v>7752</v>
      </c>
      <c r="D15931" s="3" t="str">
        <f t="shared" si="4054"/>
        <v>12Go Link</v>
      </c>
      <c r="E15931" s="2" t="s">
        <v>3409</v>
      </c>
    </row>
    <row r="15932">
      <c r="A15932" s="2" t="s">
        <v>5031</v>
      </c>
      <c r="B15932" s="2" t="s">
        <v>4992</v>
      </c>
      <c r="C15932" s="2" t="s">
        <v>7753</v>
      </c>
      <c r="D15932" s="3" t="str">
        <f t="shared" ref="D15932:D15934" si="4055">HYPERLINK("https://12go.asia/en/travel/Moronthuduwa/Kinigama", "12Go Link")</f>
        <v>12Go Link</v>
      </c>
      <c r="E15932" s="2" t="s">
        <v>286</v>
      </c>
    </row>
    <row r="15933">
      <c r="A15933" s="2" t="s">
        <v>5031</v>
      </c>
      <c r="B15933" s="2" t="s">
        <v>4992</v>
      </c>
      <c r="C15933" s="2" t="s">
        <v>7753</v>
      </c>
      <c r="D15933" s="3" t="str">
        <f t="shared" si="4055"/>
        <v>12Go Link</v>
      </c>
      <c r="E15933" s="2" t="s">
        <v>4139</v>
      </c>
    </row>
    <row r="15934">
      <c r="A15934" s="2" t="s">
        <v>5031</v>
      </c>
      <c r="B15934" s="2" t="s">
        <v>4992</v>
      </c>
      <c r="C15934" s="2" t="s">
        <v>7753</v>
      </c>
      <c r="D15934" s="3" t="str">
        <f t="shared" si="4055"/>
        <v>12Go Link</v>
      </c>
      <c r="E15934" s="2" t="s">
        <v>3409</v>
      </c>
    </row>
    <row r="15935">
      <c r="A15935" s="2" t="s">
        <v>5031</v>
      </c>
      <c r="B15935" s="2" t="s">
        <v>4992</v>
      </c>
      <c r="C15935" s="2" t="s">
        <v>7754</v>
      </c>
      <c r="D15935" s="3" t="str">
        <f t="shared" ref="D15935:D15937" si="4056">HYPERLINK("https://12go.asia/en/travel/Waskaduwa/Kinigama", "12Go Link")</f>
        <v>12Go Link</v>
      </c>
      <c r="E15935" s="2" t="s">
        <v>286</v>
      </c>
    </row>
    <row r="15936">
      <c r="A15936" s="2" t="s">
        <v>5031</v>
      </c>
      <c r="B15936" s="2" t="s">
        <v>4992</v>
      </c>
      <c r="C15936" s="2" t="s">
        <v>7754</v>
      </c>
      <c r="D15936" s="3" t="str">
        <f t="shared" si="4056"/>
        <v>12Go Link</v>
      </c>
      <c r="E15936" s="2" t="s">
        <v>4139</v>
      </c>
    </row>
    <row r="15937">
      <c r="A15937" s="2" t="s">
        <v>5031</v>
      </c>
      <c r="B15937" s="2" t="s">
        <v>4992</v>
      </c>
      <c r="C15937" s="2" t="s">
        <v>7754</v>
      </c>
      <c r="D15937" s="3" t="str">
        <f t="shared" si="4056"/>
        <v>12Go Link</v>
      </c>
      <c r="E15937" s="2" t="s">
        <v>3409</v>
      </c>
    </row>
    <row r="15938">
      <c r="A15938" s="2" t="s">
        <v>5031</v>
      </c>
      <c r="B15938" s="2" t="s">
        <v>4994</v>
      </c>
      <c r="C15938" s="2" t="s">
        <v>7755</v>
      </c>
      <c r="D15938" s="3" t="str">
        <f t="shared" ref="D15938:D15940" si="4057">HYPERLINK("https://12go.asia/en/travel/Moronthuduwa/Kalamatiya", "12Go Link")</f>
        <v>12Go Link</v>
      </c>
      <c r="E15938" s="2" t="s">
        <v>286</v>
      </c>
    </row>
    <row r="15939">
      <c r="A15939" s="2" t="s">
        <v>5031</v>
      </c>
      <c r="B15939" s="2" t="s">
        <v>4994</v>
      </c>
      <c r="C15939" s="2" t="s">
        <v>7755</v>
      </c>
      <c r="D15939" s="3" t="str">
        <f t="shared" si="4057"/>
        <v>12Go Link</v>
      </c>
      <c r="E15939" s="2" t="s">
        <v>4139</v>
      </c>
    </row>
    <row r="15940">
      <c r="A15940" s="2" t="s">
        <v>5031</v>
      </c>
      <c r="B15940" s="2" t="s">
        <v>4994</v>
      </c>
      <c r="C15940" s="2" t="s">
        <v>7755</v>
      </c>
      <c r="D15940" s="3" t="str">
        <f t="shared" si="4057"/>
        <v>12Go Link</v>
      </c>
      <c r="E15940" s="2" t="s">
        <v>3409</v>
      </c>
    </row>
    <row r="15941">
      <c r="A15941" s="2" t="s">
        <v>5031</v>
      </c>
      <c r="B15941" s="2" t="s">
        <v>4994</v>
      </c>
      <c r="C15941" s="2" t="s">
        <v>7756</v>
      </c>
      <c r="D15941" s="3" t="str">
        <f>HYPERLINK("https://12go.asia/en/travel/Wadduwa/Matara", "12Go Link")</f>
        <v>12Go Link</v>
      </c>
      <c r="E15941" s="2" t="s">
        <v>5080</v>
      </c>
    </row>
    <row r="15942">
      <c r="A15942" s="2" t="s">
        <v>5031</v>
      </c>
      <c r="B15942" s="2" t="s">
        <v>4994</v>
      </c>
      <c r="C15942" s="2" t="s">
        <v>7757</v>
      </c>
      <c r="D15942" s="3" t="str">
        <f t="shared" ref="D15942:D15944" si="4058">HYPERLINK("https://12go.asia/en/travel/Waskaduwa/Kalamatiya", "12Go Link")</f>
        <v>12Go Link</v>
      </c>
      <c r="E15942" s="2" t="s">
        <v>286</v>
      </c>
    </row>
    <row r="15943">
      <c r="A15943" s="2" t="s">
        <v>5031</v>
      </c>
      <c r="B15943" s="2" t="s">
        <v>4994</v>
      </c>
      <c r="C15943" s="2" t="s">
        <v>7757</v>
      </c>
      <c r="D15943" s="3" t="str">
        <f t="shared" si="4058"/>
        <v>12Go Link</v>
      </c>
      <c r="E15943" s="2" t="s">
        <v>4139</v>
      </c>
    </row>
    <row r="15944">
      <c r="A15944" s="2" t="s">
        <v>5031</v>
      </c>
      <c r="B15944" s="2" t="s">
        <v>4994</v>
      </c>
      <c r="C15944" s="2" t="s">
        <v>7757</v>
      </c>
      <c r="D15944" s="3" t="str">
        <f t="shared" si="4058"/>
        <v>12Go Link</v>
      </c>
      <c r="E15944" s="2" t="s">
        <v>3409</v>
      </c>
    </row>
    <row r="15945">
      <c r="A15945" s="2" t="s">
        <v>5031</v>
      </c>
      <c r="B15945" s="2" t="s">
        <v>4996</v>
      </c>
      <c r="C15945" s="2" t="s">
        <v>7758</v>
      </c>
      <c r="D15945" s="3" t="str">
        <f t="shared" ref="D15945:D15947" si="4059">HYPERLINK("https://12go.asia/en/travel/Moronthuduwa/mirissa", "12Go Link")</f>
        <v>12Go Link</v>
      </c>
      <c r="E15945" s="2" t="s">
        <v>286</v>
      </c>
    </row>
    <row r="15946">
      <c r="A15946" s="2" t="s">
        <v>5031</v>
      </c>
      <c r="B15946" s="2" t="s">
        <v>4996</v>
      </c>
      <c r="C15946" s="2" t="s">
        <v>7758</v>
      </c>
      <c r="D15946" s="3" t="str">
        <f t="shared" si="4059"/>
        <v>12Go Link</v>
      </c>
      <c r="E15946" s="2" t="s">
        <v>4139</v>
      </c>
    </row>
    <row r="15947">
      <c r="A15947" s="2" t="s">
        <v>5031</v>
      </c>
      <c r="B15947" s="2" t="s">
        <v>4996</v>
      </c>
      <c r="C15947" s="2" t="s">
        <v>7758</v>
      </c>
      <c r="D15947" s="3" t="str">
        <f t="shared" si="4059"/>
        <v>12Go Link</v>
      </c>
      <c r="E15947" s="2" t="s">
        <v>3409</v>
      </c>
    </row>
    <row r="15948">
      <c r="A15948" s="2" t="s">
        <v>5031</v>
      </c>
      <c r="B15948" s="2" t="s">
        <v>4996</v>
      </c>
      <c r="C15948" s="2" t="s">
        <v>7759</v>
      </c>
      <c r="D15948" s="3" t="str">
        <f>HYPERLINK("https://12go.asia/en/travel/Wadduwa/Mirissa", "12Go Link")</f>
        <v>12Go Link</v>
      </c>
      <c r="E15948" s="2" t="s">
        <v>5080</v>
      </c>
    </row>
    <row r="15949">
      <c r="A15949" s="2" t="s">
        <v>5031</v>
      </c>
      <c r="B15949" s="2" t="s">
        <v>4996</v>
      </c>
      <c r="C15949" s="2" t="s">
        <v>7760</v>
      </c>
      <c r="D15949" s="3" t="str">
        <f t="shared" ref="D15949:D15951" si="4060">HYPERLINK("https://12go.asia/en/travel/Waskaduwa/mirissa", "12Go Link")</f>
        <v>12Go Link</v>
      </c>
      <c r="E15949" s="2" t="s">
        <v>286</v>
      </c>
    </row>
    <row r="15950">
      <c r="A15950" s="2" t="s">
        <v>5031</v>
      </c>
      <c r="B15950" s="2" t="s">
        <v>4996</v>
      </c>
      <c r="C15950" s="2" t="s">
        <v>7760</v>
      </c>
      <c r="D15950" s="3" t="str">
        <f t="shared" si="4060"/>
        <v>12Go Link</v>
      </c>
      <c r="E15950" s="2" t="s">
        <v>4139</v>
      </c>
    </row>
    <row r="15951">
      <c r="A15951" s="2" t="s">
        <v>5031</v>
      </c>
      <c r="B15951" s="2" t="s">
        <v>4996</v>
      </c>
      <c r="C15951" s="2" t="s">
        <v>7760</v>
      </c>
      <c r="D15951" s="3" t="str">
        <f t="shared" si="4060"/>
        <v>12Go Link</v>
      </c>
      <c r="E15951" s="2" t="s">
        <v>3409</v>
      </c>
    </row>
    <row r="15952">
      <c r="A15952" s="2" t="s">
        <v>5031</v>
      </c>
      <c r="B15952" s="2" t="s">
        <v>4998</v>
      </c>
      <c r="C15952" s="2" t="s">
        <v>7761</v>
      </c>
      <c r="D15952" s="3" t="str">
        <f t="shared" ref="D15952:D15954" si="4061">HYPERLINK("https://12go.asia/en/travel/Moronthuduwa/Nanu-Oya", "12Go Link")</f>
        <v>12Go Link</v>
      </c>
      <c r="E15952" s="2" t="s">
        <v>286</v>
      </c>
    </row>
    <row r="15953">
      <c r="A15953" s="2" t="s">
        <v>5031</v>
      </c>
      <c r="B15953" s="2" t="s">
        <v>4998</v>
      </c>
      <c r="C15953" s="2" t="s">
        <v>7761</v>
      </c>
      <c r="D15953" s="3" t="str">
        <f t="shared" si="4061"/>
        <v>12Go Link</v>
      </c>
      <c r="E15953" s="2" t="s">
        <v>4139</v>
      </c>
    </row>
    <row r="15954">
      <c r="A15954" s="2" t="s">
        <v>5031</v>
      </c>
      <c r="B15954" s="2" t="s">
        <v>4998</v>
      </c>
      <c r="C15954" s="2" t="s">
        <v>7761</v>
      </c>
      <c r="D15954" s="3" t="str">
        <f t="shared" si="4061"/>
        <v>12Go Link</v>
      </c>
      <c r="E15954" s="2" t="s">
        <v>3409</v>
      </c>
    </row>
    <row r="15955">
      <c r="A15955" s="2" t="s">
        <v>5031</v>
      </c>
      <c r="B15955" s="2" t="s">
        <v>4998</v>
      </c>
      <c r="C15955" s="2" t="s">
        <v>7762</v>
      </c>
      <c r="D15955" s="3" t="str">
        <f t="shared" ref="D15955:D15957" si="4062">HYPERLINK("https://12go.asia/en/travel/Waskaduwa/Nanu-Oya", "12Go Link")</f>
        <v>12Go Link</v>
      </c>
      <c r="E15955" s="2" t="s">
        <v>286</v>
      </c>
    </row>
    <row r="15956">
      <c r="A15956" s="2" t="s">
        <v>5031</v>
      </c>
      <c r="B15956" s="2" t="s">
        <v>4998</v>
      </c>
      <c r="C15956" s="2" t="s">
        <v>7762</v>
      </c>
      <c r="D15956" s="3" t="str">
        <f t="shared" si="4062"/>
        <v>12Go Link</v>
      </c>
      <c r="E15956" s="2" t="s">
        <v>4139</v>
      </c>
    </row>
    <row r="15957">
      <c r="A15957" s="2" t="s">
        <v>5031</v>
      </c>
      <c r="B15957" s="2" t="s">
        <v>4998</v>
      </c>
      <c r="C15957" s="2" t="s">
        <v>7762</v>
      </c>
      <c r="D15957" s="3" t="str">
        <f t="shared" si="4062"/>
        <v>12Go Link</v>
      </c>
      <c r="E15957" s="2" t="s">
        <v>3409</v>
      </c>
    </row>
    <row r="15958">
      <c r="A15958" s="2" t="s">
        <v>5031</v>
      </c>
      <c r="B15958" s="2" t="s">
        <v>5000</v>
      </c>
      <c r="C15958" s="2" t="s">
        <v>7763</v>
      </c>
      <c r="D15958" s="3" t="str">
        <f t="shared" ref="D15958:D15960" si="4063">HYPERLINK("https://12go.asia/en/travel/Moronthuduwa/Waikkal", "12Go Link")</f>
        <v>12Go Link</v>
      </c>
      <c r="E15958" s="2" t="s">
        <v>286</v>
      </c>
    </row>
    <row r="15959">
      <c r="A15959" s="2" t="s">
        <v>5031</v>
      </c>
      <c r="B15959" s="2" t="s">
        <v>5000</v>
      </c>
      <c r="C15959" s="2" t="s">
        <v>7763</v>
      </c>
      <c r="D15959" s="3" t="str">
        <f t="shared" si="4063"/>
        <v>12Go Link</v>
      </c>
      <c r="E15959" s="2" t="s">
        <v>4139</v>
      </c>
    </row>
    <row r="15960">
      <c r="A15960" s="2" t="s">
        <v>5031</v>
      </c>
      <c r="B15960" s="2" t="s">
        <v>5000</v>
      </c>
      <c r="C15960" s="2" t="s">
        <v>7763</v>
      </c>
      <c r="D15960" s="3" t="str">
        <f t="shared" si="4063"/>
        <v>12Go Link</v>
      </c>
      <c r="E15960" s="2" t="s">
        <v>3409</v>
      </c>
    </row>
    <row r="15961">
      <c r="A15961" s="2" t="s">
        <v>5031</v>
      </c>
      <c r="B15961" s="2" t="s">
        <v>5000</v>
      </c>
      <c r="C15961" s="2" t="s">
        <v>7764</v>
      </c>
      <c r="D15961" s="3" t="str">
        <f t="shared" ref="D15961:D15963" si="4064">HYPERLINK("https://12go.asia/en/travel/Waskaduwa/Dalupotha", "12Go Link")</f>
        <v>12Go Link</v>
      </c>
      <c r="E15961" s="2" t="s">
        <v>286</v>
      </c>
    </row>
    <row r="15962">
      <c r="A15962" s="2" t="s">
        <v>5031</v>
      </c>
      <c r="B15962" s="2" t="s">
        <v>5000</v>
      </c>
      <c r="C15962" s="2" t="s">
        <v>7764</v>
      </c>
      <c r="D15962" s="3" t="str">
        <f t="shared" si="4064"/>
        <v>12Go Link</v>
      </c>
      <c r="E15962" s="2" t="s">
        <v>4139</v>
      </c>
    </row>
    <row r="15963">
      <c r="A15963" s="2" t="s">
        <v>5031</v>
      </c>
      <c r="B15963" s="2" t="s">
        <v>5000</v>
      </c>
      <c r="C15963" s="2" t="s">
        <v>7764</v>
      </c>
      <c r="D15963" s="3" t="str">
        <f t="shared" si="4064"/>
        <v>12Go Link</v>
      </c>
      <c r="E15963" s="2" t="s">
        <v>3409</v>
      </c>
    </row>
    <row r="15964">
      <c r="A15964" s="2" t="s">
        <v>5031</v>
      </c>
      <c r="B15964" s="2" t="s">
        <v>5000</v>
      </c>
      <c r="C15964" s="2" t="s">
        <v>7765</v>
      </c>
      <c r="D15964" s="3" t="str">
        <f t="shared" ref="D15964:D15966" si="4065">HYPERLINK("https://12go.asia/en/travel/Waskaduwa/Waikkal", "12Go Link")</f>
        <v>12Go Link</v>
      </c>
      <c r="E15964" s="2" t="s">
        <v>286</v>
      </c>
    </row>
    <row r="15965">
      <c r="A15965" s="2" t="s">
        <v>5031</v>
      </c>
      <c r="B15965" s="2" t="s">
        <v>5000</v>
      </c>
      <c r="C15965" s="2" t="s">
        <v>7765</v>
      </c>
      <c r="D15965" s="3" t="str">
        <f t="shared" si="4065"/>
        <v>12Go Link</v>
      </c>
      <c r="E15965" s="2" t="s">
        <v>4139</v>
      </c>
    </row>
    <row r="15966">
      <c r="A15966" s="2" t="s">
        <v>5031</v>
      </c>
      <c r="B15966" s="2" t="s">
        <v>5000</v>
      </c>
      <c r="C15966" s="2" t="s">
        <v>7765</v>
      </c>
      <c r="D15966" s="3" t="str">
        <f t="shared" si="4065"/>
        <v>12Go Link</v>
      </c>
      <c r="E15966" s="2" t="s">
        <v>3409</v>
      </c>
    </row>
    <row r="15967">
      <c r="A15967" s="2" t="s">
        <v>5031</v>
      </c>
      <c r="B15967" s="2" t="s">
        <v>5003</v>
      </c>
      <c r="C15967" s="2" t="s">
        <v>7766</v>
      </c>
      <c r="D15967" s="3" t="str">
        <f t="shared" ref="D15967:D15969" si="4066">HYPERLINK("https://12go.asia/en/travel/Moronthuduwa/Nilaveli", "12Go Link")</f>
        <v>12Go Link</v>
      </c>
      <c r="E15967" s="2" t="s">
        <v>286</v>
      </c>
    </row>
    <row r="15968">
      <c r="A15968" s="2" t="s">
        <v>5031</v>
      </c>
      <c r="B15968" s="2" t="s">
        <v>5003</v>
      </c>
      <c r="C15968" s="2" t="s">
        <v>7766</v>
      </c>
      <c r="D15968" s="3" t="str">
        <f t="shared" si="4066"/>
        <v>12Go Link</v>
      </c>
      <c r="E15968" s="2" t="s">
        <v>4139</v>
      </c>
    </row>
    <row r="15969">
      <c r="A15969" s="2" t="s">
        <v>5031</v>
      </c>
      <c r="B15969" s="2" t="s">
        <v>5003</v>
      </c>
      <c r="C15969" s="2" t="s">
        <v>7766</v>
      </c>
      <c r="D15969" s="3" t="str">
        <f t="shared" si="4066"/>
        <v>12Go Link</v>
      </c>
      <c r="E15969" s="2" t="s">
        <v>3409</v>
      </c>
    </row>
    <row r="15970">
      <c r="A15970" s="2" t="s">
        <v>5031</v>
      </c>
      <c r="B15970" s="2" t="s">
        <v>5003</v>
      </c>
      <c r="C15970" s="2" t="s">
        <v>7767</v>
      </c>
      <c r="D15970" s="3" t="str">
        <f t="shared" ref="D15970:D15972" si="4067">HYPERLINK("https://12go.asia/en/travel/Waskaduwa/Nilaveli", "12Go Link")</f>
        <v>12Go Link</v>
      </c>
      <c r="E15970" s="2" t="s">
        <v>286</v>
      </c>
    </row>
    <row r="15971">
      <c r="A15971" s="2" t="s">
        <v>5031</v>
      </c>
      <c r="B15971" s="2" t="s">
        <v>5003</v>
      </c>
      <c r="C15971" s="2" t="s">
        <v>7767</v>
      </c>
      <c r="D15971" s="3" t="str">
        <f t="shared" si="4067"/>
        <v>12Go Link</v>
      </c>
      <c r="E15971" s="2" t="s">
        <v>4139</v>
      </c>
    </row>
    <row r="15972">
      <c r="A15972" s="2" t="s">
        <v>5031</v>
      </c>
      <c r="B15972" s="2" t="s">
        <v>5003</v>
      </c>
      <c r="C15972" s="2" t="s">
        <v>7767</v>
      </c>
      <c r="D15972" s="3" t="str">
        <f t="shared" si="4067"/>
        <v>12Go Link</v>
      </c>
      <c r="E15972" s="2" t="s">
        <v>3409</v>
      </c>
    </row>
    <row r="15973">
      <c r="A15973" s="2" t="s">
        <v>5031</v>
      </c>
      <c r="B15973" s="2" t="s">
        <v>5005</v>
      </c>
      <c r="C15973" s="2" t="s">
        <v>7768</v>
      </c>
      <c r="D15973" s="3" t="str">
        <f t="shared" ref="D15973:D15975" si="4068">HYPERLINK("https://12go.asia/en/travel/Waskaduwa/Kotmale", "12Go Link")</f>
        <v>12Go Link</v>
      </c>
      <c r="E15973" s="2" t="s">
        <v>286</v>
      </c>
    </row>
    <row r="15974">
      <c r="A15974" s="2" t="s">
        <v>5031</v>
      </c>
      <c r="B15974" s="2" t="s">
        <v>5005</v>
      </c>
      <c r="C15974" s="2" t="s">
        <v>7768</v>
      </c>
      <c r="D15974" s="3" t="str">
        <f t="shared" si="4068"/>
        <v>12Go Link</v>
      </c>
      <c r="E15974" s="2" t="s">
        <v>4139</v>
      </c>
    </row>
    <row r="15975">
      <c r="A15975" s="2" t="s">
        <v>5031</v>
      </c>
      <c r="B15975" s="2" t="s">
        <v>5005</v>
      </c>
      <c r="C15975" s="2" t="s">
        <v>7768</v>
      </c>
      <c r="D15975" s="3" t="str">
        <f t="shared" si="4068"/>
        <v>12Go Link</v>
      </c>
      <c r="E15975" s="2" t="s">
        <v>3409</v>
      </c>
    </row>
    <row r="15976">
      <c r="A15976" s="2" t="s">
        <v>5031</v>
      </c>
      <c r="B15976" s="2" t="s">
        <v>5007</v>
      </c>
      <c r="C15976" s="2" t="s">
        <v>7769</v>
      </c>
      <c r="D15976" s="3" t="str">
        <f t="shared" ref="D15976:D15978" si="4069">HYPERLINK("https://12go.asia/en/travel/Moronthuduwa/Pasikuda", "12Go Link")</f>
        <v>12Go Link</v>
      </c>
      <c r="E15976" s="2" t="s">
        <v>286</v>
      </c>
    </row>
    <row r="15977">
      <c r="A15977" s="2" t="s">
        <v>5031</v>
      </c>
      <c r="B15977" s="2" t="s">
        <v>5007</v>
      </c>
      <c r="C15977" s="2" t="s">
        <v>7769</v>
      </c>
      <c r="D15977" s="3" t="str">
        <f t="shared" si="4069"/>
        <v>12Go Link</v>
      </c>
      <c r="E15977" s="2" t="s">
        <v>4139</v>
      </c>
    </row>
    <row r="15978">
      <c r="A15978" s="2" t="s">
        <v>5031</v>
      </c>
      <c r="B15978" s="2" t="s">
        <v>5007</v>
      </c>
      <c r="C15978" s="2" t="s">
        <v>7769</v>
      </c>
      <c r="D15978" s="3" t="str">
        <f t="shared" si="4069"/>
        <v>12Go Link</v>
      </c>
      <c r="E15978" s="2" t="s">
        <v>3409</v>
      </c>
    </row>
    <row r="15979">
      <c r="A15979" s="2" t="s">
        <v>5031</v>
      </c>
      <c r="B15979" s="2" t="s">
        <v>5007</v>
      </c>
      <c r="C15979" s="2" t="s">
        <v>7770</v>
      </c>
      <c r="D15979" s="3" t="str">
        <f t="shared" ref="D15979:D15981" si="4070">HYPERLINK("https://12go.asia/en/travel/Waskaduwa/Pasikuda", "12Go Link")</f>
        <v>12Go Link</v>
      </c>
      <c r="E15979" s="2" t="s">
        <v>286</v>
      </c>
    </row>
    <row r="15980">
      <c r="A15980" s="2" t="s">
        <v>5031</v>
      </c>
      <c r="B15980" s="2" t="s">
        <v>5007</v>
      </c>
      <c r="C15980" s="2" t="s">
        <v>7770</v>
      </c>
      <c r="D15980" s="3" t="str">
        <f t="shared" si="4070"/>
        <v>12Go Link</v>
      </c>
      <c r="E15980" s="2" t="s">
        <v>4139</v>
      </c>
    </row>
    <row r="15981">
      <c r="A15981" s="2" t="s">
        <v>5031</v>
      </c>
      <c r="B15981" s="2" t="s">
        <v>5007</v>
      </c>
      <c r="C15981" s="2" t="s">
        <v>7770</v>
      </c>
      <c r="D15981" s="3" t="str">
        <f t="shared" si="4070"/>
        <v>12Go Link</v>
      </c>
      <c r="E15981" s="2" t="s">
        <v>3409</v>
      </c>
    </row>
    <row r="15982">
      <c r="A15982" s="2" t="s">
        <v>5031</v>
      </c>
      <c r="B15982" s="2" t="s">
        <v>5009</v>
      </c>
      <c r="C15982" s="2" t="s">
        <v>7771</v>
      </c>
      <c r="D15982" s="3" t="str">
        <f t="shared" ref="D15982:D15984" si="4071">HYPERLINK("https://12go.asia/en/travel/Moronthuduwa/Galoya", "12Go Link")</f>
        <v>12Go Link</v>
      </c>
      <c r="E15982" s="2" t="s">
        <v>286</v>
      </c>
    </row>
    <row r="15983">
      <c r="A15983" s="2" t="s">
        <v>5031</v>
      </c>
      <c r="B15983" s="2" t="s">
        <v>5009</v>
      </c>
      <c r="C15983" s="2" t="s">
        <v>7771</v>
      </c>
      <c r="D15983" s="3" t="str">
        <f t="shared" si="4071"/>
        <v>12Go Link</v>
      </c>
      <c r="E15983" s="2" t="s">
        <v>4139</v>
      </c>
    </row>
    <row r="15984">
      <c r="A15984" s="2" t="s">
        <v>5031</v>
      </c>
      <c r="B15984" s="2" t="s">
        <v>5009</v>
      </c>
      <c r="C15984" s="2" t="s">
        <v>7771</v>
      </c>
      <c r="D15984" s="3" t="str">
        <f t="shared" si="4071"/>
        <v>12Go Link</v>
      </c>
      <c r="E15984" s="2" t="s">
        <v>3409</v>
      </c>
    </row>
    <row r="15985">
      <c r="A15985" s="2" t="s">
        <v>5031</v>
      </c>
      <c r="B15985" s="2" t="s">
        <v>5009</v>
      </c>
      <c r="C15985" s="2" t="s">
        <v>7772</v>
      </c>
      <c r="D15985" s="3" t="str">
        <f t="shared" ref="D15985:D15987" si="4072">HYPERLINK("https://12go.asia/en/travel/Waskaduwa/Galoya", "12Go Link")</f>
        <v>12Go Link</v>
      </c>
      <c r="E15985" s="2" t="s">
        <v>286</v>
      </c>
    </row>
    <row r="15986">
      <c r="A15986" s="2" t="s">
        <v>5031</v>
      </c>
      <c r="B15986" s="2" t="s">
        <v>5009</v>
      </c>
      <c r="C15986" s="2" t="s">
        <v>7772</v>
      </c>
      <c r="D15986" s="3" t="str">
        <f t="shared" si="4072"/>
        <v>12Go Link</v>
      </c>
      <c r="E15986" s="2" t="s">
        <v>4139</v>
      </c>
    </row>
    <row r="15987">
      <c r="A15987" s="2" t="s">
        <v>5031</v>
      </c>
      <c r="B15987" s="2" t="s">
        <v>5009</v>
      </c>
      <c r="C15987" s="2" t="s">
        <v>7772</v>
      </c>
      <c r="D15987" s="3" t="str">
        <f t="shared" si="4072"/>
        <v>12Go Link</v>
      </c>
      <c r="E15987" s="2" t="s">
        <v>3409</v>
      </c>
    </row>
    <row r="15988">
      <c r="A15988" s="2" t="s">
        <v>5031</v>
      </c>
      <c r="B15988" s="2" t="s">
        <v>5011</v>
      </c>
      <c r="C15988" s="2" t="s">
        <v>7773</v>
      </c>
      <c r="D15988" s="3" t="str">
        <f t="shared" ref="D15988:D15990" si="4073">HYPERLINK("https://12go.asia/en/travel/Moronthuduwa/Kalpitiya", "12Go Link")</f>
        <v>12Go Link</v>
      </c>
      <c r="E15988" s="2" t="s">
        <v>286</v>
      </c>
    </row>
    <row r="15989">
      <c r="A15989" s="2" t="s">
        <v>5031</v>
      </c>
      <c r="B15989" s="2" t="s">
        <v>5011</v>
      </c>
      <c r="C15989" s="2" t="s">
        <v>7773</v>
      </c>
      <c r="D15989" s="3" t="str">
        <f t="shared" si="4073"/>
        <v>12Go Link</v>
      </c>
      <c r="E15989" s="2" t="s">
        <v>4139</v>
      </c>
    </row>
    <row r="15990">
      <c r="A15990" s="2" t="s">
        <v>5031</v>
      </c>
      <c r="B15990" s="2" t="s">
        <v>5011</v>
      </c>
      <c r="C15990" s="2" t="s">
        <v>7773</v>
      </c>
      <c r="D15990" s="3" t="str">
        <f t="shared" si="4073"/>
        <v>12Go Link</v>
      </c>
      <c r="E15990" s="2" t="s">
        <v>3409</v>
      </c>
    </row>
    <row r="15991">
      <c r="A15991" s="2" t="s">
        <v>5031</v>
      </c>
      <c r="B15991" s="2" t="s">
        <v>5011</v>
      </c>
      <c r="C15991" s="2" t="s">
        <v>7774</v>
      </c>
      <c r="D15991" s="3" t="str">
        <f t="shared" ref="D15991:D15993" si="4074">HYPERLINK("https://12go.asia/en/travel/Moronthuduwa/Marawila", "12Go Link")</f>
        <v>12Go Link</v>
      </c>
      <c r="E15991" s="2" t="s">
        <v>286</v>
      </c>
    </row>
    <row r="15992">
      <c r="A15992" s="2" t="s">
        <v>5031</v>
      </c>
      <c r="B15992" s="2" t="s">
        <v>5011</v>
      </c>
      <c r="C15992" s="2" t="s">
        <v>7774</v>
      </c>
      <c r="D15992" s="3" t="str">
        <f t="shared" si="4074"/>
        <v>12Go Link</v>
      </c>
      <c r="E15992" s="2" t="s">
        <v>4139</v>
      </c>
    </row>
    <row r="15993">
      <c r="A15993" s="2" t="s">
        <v>5031</v>
      </c>
      <c r="B15993" s="2" t="s">
        <v>5011</v>
      </c>
      <c r="C15993" s="2" t="s">
        <v>7774</v>
      </c>
      <c r="D15993" s="3" t="str">
        <f t="shared" si="4074"/>
        <v>12Go Link</v>
      </c>
      <c r="E15993" s="2" t="s">
        <v>3409</v>
      </c>
    </row>
    <row r="15994">
      <c r="A15994" s="2" t="s">
        <v>5031</v>
      </c>
      <c r="B15994" s="2" t="s">
        <v>5011</v>
      </c>
      <c r="C15994" s="2" t="s">
        <v>7775</v>
      </c>
      <c r="D15994" s="3" t="str">
        <f t="shared" ref="D15994:D15996" si="4075">HYPERLINK("https://12go.asia/en/travel/Waskaduwa/Kalpitiya", "12Go Link")</f>
        <v>12Go Link</v>
      </c>
      <c r="E15994" s="2" t="s">
        <v>286</v>
      </c>
    </row>
    <row r="15995">
      <c r="A15995" s="2" t="s">
        <v>5031</v>
      </c>
      <c r="B15995" s="2" t="s">
        <v>5011</v>
      </c>
      <c r="C15995" s="2" t="s">
        <v>7775</v>
      </c>
      <c r="D15995" s="3" t="str">
        <f t="shared" si="4075"/>
        <v>12Go Link</v>
      </c>
      <c r="E15995" s="2" t="s">
        <v>4139</v>
      </c>
    </row>
    <row r="15996">
      <c r="A15996" s="2" t="s">
        <v>5031</v>
      </c>
      <c r="B15996" s="2" t="s">
        <v>5011</v>
      </c>
      <c r="C15996" s="2" t="s">
        <v>7775</v>
      </c>
      <c r="D15996" s="3" t="str">
        <f t="shared" si="4075"/>
        <v>12Go Link</v>
      </c>
      <c r="E15996" s="2" t="s">
        <v>3409</v>
      </c>
    </row>
    <row r="15997">
      <c r="A15997" s="2" t="s">
        <v>5031</v>
      </c>
      <c r="B15997" s="2" t="s">
        <v>5011</v>
      </c>
      <c r="C15997" s="2" t="s">
        <v>7776</v>
      </c>
      <c r="D15997" s="3" t="str">
        <f t="shared" ref="D15997:D15999" si="4076">HYPERLINK("https://12go.asia/en/travel/Waskaduwa/Marawila", "12Go Link")</f>
        <v>12Go Link</v>
      </c>
      <c r="E15997" s="2" t="s">
        <v>286</v>
      </c>
    </row>
    <row r="15998">
      <c r="A15998" s="2" t="s">
        <v>5031</v>
      </c>
      <c r="B15998" s="2" t="s">
        <v>5011</v>
      </c>
      <c r="C15998" s="2" t="s">
        <v>7776</v>
      </c>
      <c r="D15998" s="3" t="str">
        <f t="shared" si="4076"/>
        <v>12Go Link</v>
      </c>
      <c r="E15998" s="2" t="s">
        <v>4139</v>
      </c>
    </row>
    <row r="15999">
      <c r="A15999" s="2" t="s">
        <v>5031</v>
      </c>
      <c r="B15999" s="2" t="s">
        <v>5011</v>
      </c>
      <c r="C15999" s="2" t="s">
        <v>7776</v>
      </c>
      <c r="D15999" s="3" t="str">
        <f t="shared" si="4076"/>
        <v>12Go Link</v>
      </c>
      <c r="E15999" s="2" t="s">
        <v>3409</v>
      </c>
    </row>
    <row r="16000">
      <c r="A16000" s="2" t="s">
        <v>5031</v>
      </c>
      <c r="B16000" s="2" t="s">
        <v>5014</v>
      </c>
      <c r="C16000" s="2" t="s">
        <v>7777</v>
      </c>
      <c r="D16000" s="3" t="str">
        <f t="shared" ref="D16000:D16002" si="4077">HYPERLINK("https://12go.asia/en/travel/Moronthuduwa/Kiriella", "12Go Link")</f>
        <v>12Go Link</v>
      </c>
      <c r="E16000" s="2" t="s">
        <v>286</v>
      </c>
    </row>
    <row r="16001">
      <c r="A16001" s="2" t="s">
        <v>5031</v>
      </c>
      <c r="B16001" s="2" t="s">
        <v>5014</v>
      </c>
      <c r="C16001" s="2" t="s">
        <v>7777</v>
      </c>
      <c r="D16001" s="3" t="str">
        <f t="shared" si="4077"/>
        <v>12Go Link</v>
      </c>
      <c r="E16001" s="2" t="s">
        <v>4139</v>
      </c>
    </row>
    <row r="16002">
      <c r="A16002" s="2" t="s">
        <v>5031</v>
      </c>
      <c r="B16002" s="2" t="s">
        <v>5014</v>
      </c>
      <c r="C16002" s="2" t="s">
        <v>7777</v>
      </c>
      <c r="D16002" s="3" t="str">
        <f t="shared" si="4077"/>
        <v>12Go Link</v>
      </c>
      <c r="E16002" s="2" t="s">
        <v>3409</v>
      </c>
    </row>
    <row r="16003">
      <c r="A16003" s="2" t="s">
        <v>5031</v>
      </c>
      <c r="B16003" s="2" t="s">
        <v>5014</v>
      </c>
      <c r="C16003" s="2" t="s">
        <v>7778</v>
      </c>
      <c r="D16003" s="3" t="str">
        <f t="shared" ref="D16003:D16005" si="4078">HYPERLINK("https://12go.asia/en/travel/Waskaduwa/Kiriella", "12Go Link")</f>
        <v>12Go Link</v>
      </c>
      <c r="E16003" s="2" t="s">
        <v>286</v>
      </c>
    </row>
    <row r="16004">
      <c r="A16004" s="2" t="s">
        <v>5031</v>
      </c>
      <c r="B16004" s="2" t="s">
        <v>5014</v>
      </c>
      <c r="C16004" s="2" t="s">
        <v>7778</v>
      </c>
      <c r="D16004" s="3" t="str">
        <f t="shared" si="4078"/>
        <v>12Go Link</v>
      </c>
      <c r="E16004" s="2" t="s">
        <v>4139</v>
      </c>
    </row>
    <row r="16005">
      <c r="A16005" s="2" t="s">
        <v>5031</v>
      </c>
      <c r="B16005" s="2" t="s">
        <v>5014</v>
      </c>
      <c r="C16005" s="2" t="s">
        <v>7778</v>
      </c>
      <c r="D16005" s="3" t="str">
        <f t="shared" si="4078"/>
        <v>12Go Link</v>
      </c>
      <c r="E16005" s="2" t="s">
        <v>3409</v>
      </c>
    </row>
    <row r="16006">
      <c r="A16006" s="2" t="s">
        <v>5031</v>
      </c>
      <c r="B16006" s="2" t="s">
        <v>5016</v>
      </c>
      <c r="C16006" s="2" t="s">
        <v>7779</v>
      </c>
      <c r="D16006" s="3" t="str">
        <f t="shared" ref="D16006:D16008" si="4079">HYPERLINK("https://12go.asia/en/travel/Waskaduwa/Pidurangala", "12Go Link")</f>
        <v>12Go Link</v>
      </c>
      <c r="E16006" s="2" t="s">
        <v>286</v>
      </c>
    </row>
    <row r="16007">
      <c r="A16007" s="2" t="s">
        <v>5031</v>
      </c>
      <c r="B16007" s="2" t="s">
        <v>5016</v>
      </c>
      <c r="C16007" s="2" t="s">
        <v>7779</v>
      </c>
      <c r="D16007" s="3" t="str">
        <f t="shared" si="4079"/>
        <v>12Go Link</v>
      </c>
      <c r="E16007" s="2" t="s">
        <v>4139</v>
      </c>
    </row>
    <row r="16008">
      <c r="A16008" s="2" t="s">
        <v>5031</v>
      </c>
      <c r="B16008" s="2" t="s">
        <v>5016</v>
      </c>
      <c r="C16008" s="2" t="s">
        <v>7779</v>
      </c>
      <c r="D16008" s="3" t="str">
        <f t="shared" si="4079"/>
        <v>12Go Link</v>
      </c>
      <c r="E16008" s="2" t="s">
        <v>3409</v>
      </c>
    </row>
    <row r="16009">
      <c r="A16009" s="2" t="s">
        <v>5031</v>
      </c>
      <c r="B16009" s="2" t="s">
        <v>5018</v>
      </c>
      <c r="C16009" s="2" t="s">
        <v>7780</v>
      </c>
      <c r="D16009" s="3" t="str">
        <f t="shared" ref="D16009:D16011" si="4080">HYPERLINK("https://12go.asia/en/travel/Moronthuduwa/Rekawa", "12Go Link")</f>
        <v>12Go Link</v>
      </c>
      <c r="E16009" s="2" t="s">
        <v>286</v>
      </c>
    </row>
    <row r="16010">
      <c r="A16010" s="2" t="s">
        <v>5031</v>
      </c>
      <c r="B16010" s="2" t="s">
        <v>5018</v>
      </c>
      <c r="C16010" s="2" t="s">
        <v>7780</v>
      </c>
      <c r="D16010" s="3" t="str">
        <f t="shared" si="4080"/>
        <v>12Go Link</v>
      </c>
      <c r="E16010" s="2" t="s">
        <v>4139</v>
      </c>
    </row>
    <row r="16011">
      <c r="A16011" s="2" t="s">
        <v>5031</v>
      </c>
      <c r="B16011" s="2" t="s">
        <v>5018</v>
      </c>
      <c r="C16011" s="2" t="s">
        <v>7780</v>
      </c>
      <c r="D16011" s="3" t="str">
        <f t="shared" si="4080"/>
        <v>12Go Link</v>
      </c>
      <c r="E16011" s="2" t="s">
        <v>3409</v>
      </c>
    </row>
    <row r="16012">
      <c r="A16012" s="2" t="s">
        <v>5031</v>
      </c>
      <c r="B16012" s="2" t="s">
        <v>5018</v>
      </c>
      <c r="C16012" s="2" t="s">
        <v>7781</v>
      </c>
      <c r="D16012" s="3" t="str">
        <f t="shared" ref="D16012:D16014" si="4081">HYPERLINK("https://12go.asia/en/travel/Waskaduwa/Rekawa", "12Go Link")</f>
        <v>12Go Link</v>
      </c>
      <c r="E16012" s="2" t="s">
        <v>286</v>
      </c>
    </row>
    <row r="16013">
      <c r="A16013" s="2" t="s">
        <v>5031</v>
      </c>
      <c r="B16013" s="2" t="s">
        <v>5018</v>
      </c>
      <c r="C16013" s="2" t="s">
        <v>7781</v>
      </c>
      <c r="D16013" s="3" t="str">
        <f t="shared" si="4081"/>
        <v>12Go Link</v>
      </c>
      <c r="E16013" s="2" t="s">
        <v>4139</v>
      </c>
    </row>
    <row r="16014">
      <c r="A16014" s="2" t="s">
        <v>5031</v>
      </c>
      <c r="B16014" s="2" t="s">
        <v>5018</v>
      </c>
      <c r="C16014" s="2" t="s">
        <v>7781</v>
      </c>
      <c r="D16014" s="3" t="str">
        <f t="shared" si="4081"/>
        <v>12Go Link</v>
      </c>
      <c r="E16014" s="2" t="s">
        <v>3409</v>
      </c>
    </row>
    <row r="16015">
      <c r="A16015" s="2" t="s">
        <v>5031</v>
      </c>
      <c r="B16015" s="2" t="s">
        <v>5020</v>
      </c>
      <c r="C16015" s="2" t="s">
        <v>7782</v>
      </c>
      <c r="D16015" s="3" t="str">
        <f t="shared" ref="D16015:D16017" si="4082">HYPERLINK("https://12go.asia/en/travel/Moronthuduwa/Tissamaharama", "12Go Link")</f>
        <v>12Go Link</v>
      </c>
      <c r="E16015" s="2" t="s">
        <v>286</v>
      </c>
    </row>
    <row r="16016">
      <c r="A16016" s="2" t="s">
        <v>5031</v>
      </c>
      <c r="B16016" s="2" t="s">
        <v>5020</v>
      </c>
      <c r="C16016" s="2" t="s">
        <v>7782</v>
      </c>
      <c r="D16016" s="3" t="str">
        <f t="shared" si="4082"/>
        <v>12Go Link</v>
      </c>
      <c r="E16016" s="2" t="s">
        <v>4139</v>
      </c>
    </row>
    <row r="16017">
      <c r="A16017" s="2" t="s">
        <v>5031</v>
      </c>
      <c r="B16017" s="2" t="s">
        <v>5020</v>
      </c>
      <c r="C16017" s="2" t="s">
        <v>7782</v>
      </c>
      <c r="D16017" s="3" t="str">
        <f t="shared" si="4082"/>
        <v>12Go Link</v>
      </c>
      <c r="E16017" s="2" t="s">
        <v>3409</v>
      </c>
    </row>
    <row r="16018">
      <c r="A16018" s="2" t="s">
        <v>5031</v>
      </c>
      <c r="B16018" s="2" t="s">
        <v>5020</v>
      </c>
      <c r="C16018" s="2" t="s">
        <v>7783</v>
      </c>
      <c r="D16018" s="3" t="str">
        <f t="shared" ref="D16018:D16020" si="4083">HYPERLINK("https://12go.asia/en/travel/Moronthuduwa/Yala-Park", "12Go Link")</f>
        <v>12Go Link</v>
      </c>
      <c r="E16018" s="2" t="s">
        <v>286</v>
      </c>
    </row>
    <row r="16019">
      <c r="A16019" s="2" t="s">
        <v>5031</v>
      </c>
      <c r="B16019" s="2" t="s">
        <v>5020</v>
      </c>
      <c r="C16019" s="2" t="s">
        <v>7783</v>
      </c>
      <c r="D16019" s="3" t="str">
        <f t="shared" si="4083"/>
        <v>12Go Link</v>
      </c>
      <c r="E16019" s="2" t="s">
        <v>4139</v>
      </c>
    </row>
    <row r="16020">
      <c r="A16020" s="2" t="s">
        <v>5031</v>
      </c>
      <c r="B16020" s="2" t="s">
        <v>5020</v>
      </c>
      <c r="C16020" s="2" t="s">
        <v>7783</v>
      </c>
      <c r="D16020" s="3" t="str">
        <f t="shared" si="4083"/>
        <v>12Go Link</v>
      </c>
      <c r="E16020" s="2" t="s">
        <v>3409</v>
      </c>
    </row>
    <row r="16021">
      <c r="A16021" s="2" t="s">
        <v>5031</v>
      </c>
      <c r="B16021" s="2" t="s">
        <v>5020</v>
      </c>
      <c r="C16021" s="2" t="s">
        <v>7784</v>
      </c>
      <c r="D16021" s="3" t="str">
        <f t="shared" ref="D16021:D16023" si="4084">HYPERLINK("https://12go.asia/en/travel/Waskaduwa/Tissamaharama", "12Go Link")</f>
        <v>12Go Link</v>
      </c>
      <c r="E16021" s="2" t="s">
        <v>286</v>
      </c>
    </row>
    <row r="16022">
      <c r="A16022" s="2" t="s">
        <v>5031</v>
      </c>
      <c r="B16022" s="2" t="s">
        <v>5020</v>
      </c>
      <c r="C16022" s="2" t="s">
        <v>7784</v>
      </c>
      <c r="D16022" s="3" t="str">
        <f t="shared" si="4084"/>
        <v>12Go Link</v>
      </c>
      <c r="E16022" s="2" t="s">
        <v>4139</v>
      </c>
    </row>
    <row r="16023">
      <c r="A16023" s="2" t="s">
        <v>5031</v>
      </c>
      <c r="B16023" s="2" t="s">
        <v>5020</v>
      </c>
      <c r="C16023" s="2" t="s">
        <v>7784</v>
      </c>
      <c r="D16023" s="3" t="str">
        <f t="shared" si="4084"/>
        <v>12Go Link</v>
      </c>
      <c r="E16023" s="2" t="s">
        <v>3409</v>
      </c>
    </row>
    <row r="16024">
      <c r="A16024" s="2" t="s">
        <v>5031</v>
      </c>
      <c r="B16024" s="2" t="s">
        <v>5020</v>
      </c>
      <c r="C16024" s="2" t="s">
        <v>7785</v>
      </c>
      <c r="D16024" s="3" t="str">
        <f t="shared" ref="D16024:D16026" si="4085">HYPERLINK("https://12go.asia/en/travel/Waskaduwa/Yala-Park", "12Go Link")</f>
        <v>12Go Link</v>
      </c>
      <c r="E16024" s="2" t="s">
        <v>286</v>
      </c>
    </row>
    <row r="16025">
      <c r="A16025" s="2" t="s">
        <v>5031</v>
      </c>
      <c r="B16025" s="2" t="s">
        <v>5020</v>
      </c>
      <c r="C16025" s="2" t="s">
        <v>7785</v>
      </c>
      <c r="D16025" s="3" t="str">
        <f t="shared" si="4085"/>
        <v>12Go Link</v>
      </c>
      <c r="E16025" s="2" t="s">
        <v>4139</v>
      </c>
    </row>
    <row r="16026">
      <c r="A16026" s="2" t="s">
        <v>5031</v>
      </c>
      <c r="B16026" s="2" t="s">
        <v>5020</v>
      </c>
      <c r="C16026" s="2" t="s">
        <v>7785</v>
      </c>
      <c r="D16026" s="3" t="str">
        <f t="shared" si="4085"/>
        <v>12Go Link</v>
      </c>
      <c r="E16026" s="2" t="s">
        <v>3409</v>
      </c>
    </row>
    <row r="16027">
      <c r="A16027" s="2" t="s">
        <v>5031</v>
      </c>
      <c r="B16027" s="2" t="s">
        <v>5023</v>
      </c>
      <c r="C16027" s="2" t="s">
        <v>7786</v>
      </c>
      <c r="D16027" s="3" t="str">
        <f t="shared" ref="D16027:D16029" si="4086">HYPERLINK("https://12go.asia/en/travel/Moronthuduwa/Nilaweli", "12Go Link")</f>
        <v>12Go Link</v>
      </c>
      <c r="E16027" s="2" t="s">
        <v>286</v>
      </c>
    </row>
    <row r="16028">
      <c r="A16028" s="2" t="s">
        <v>5031</v>
      </c>
      <c r="B16028" s="2" t="s">
        <v>5023</v>
      </c>
      <c r="C16028" s="2" t="s">
        <v>7786</v>
      </c>
      <c r="D16028" s="3" t="str">
        <f t="shared" si="4086"/>
        <v>12Go Link</v>
      </c>
      <c r="E16028" s="2" t="s">
        <v>4139</v>
      </c>
    </row>
    <row r="16029">
      <c r="A16029" s="2" t="s">
        <v>5031</v>
      </c>
      <c r="B16029" s="2" t="s">
        <v>5023</v>
      </c>
      <c r="C16029" s="2" t="s">
        <v>7786</v>
      </c>
      <c r="D16029" s="3" t="str">
        <f t="shared" si="4086"/>
        <v>12Go Link</v>
      </c>
      <c r="E16029" s="2" t="s">
        <v>3409</v>
      </c>
    </row>
    <row r="16030">
      <c r="A16030" s="2" t="s">
        <v>5031</v>
      </c>
      <c r="B16030" s="2" t="s">
        <v>5023</v>
      </c>
      <c r="C16030" s="2" t="s">
        <v>7787</v>
      </c>
      <c r="D16030" s="3" t="str">
        <f t="shared" ref="D16030:D16032" si="4087">HYPERLINK("https://12go.asia/en/travel/Waskaduwa/Nilaweli", "12Go Link")</f>
        <v>12Go Link</v>
      </c>
      <c r="E16030" s="2" t="s">
        <v>286</v>
      </c>
    </row>
    <row r="16031">
      <c r="A16031" s="2" t="s">
        <v>5031</v>
      </c>
      <c r="B16031" s="2" t="s">
        <v>5023</v>
      </c>
      <c r="C16031" s="2" t="s">
        <v>7787</v>
      </c>
      <c r="D16031" s="3" t="str">
        <f t="shared" si="4087"/>
        <v>12Go Link</v>
      </c>
      <c r="E16031" s="2" t="s">
        <v>4139</v>
      </c>
    </row>
    <row r="16032">
      <c r="A16032" s="2" t="s">
        <v>5031</v>
      </c>
      <c r="B16032" s="2" t="s">
        <v>5023</v>
      </c>
      <c r="C16032" s="2" t="s">
        <v>7787</v>
      </c>
      <c r="D16032" s="3" t="str">
        <f t="shared" si="4087"/>
        <v>12Go Link</v>
      </c>
      <c r="E16032" s="2" t="s">
        <v>3409</v>
      </c>
    </row>
    <row r="16033">
      <c r="A16033" s="2" t="s">
        <v>5031</v>
      </c>
      <c r="B16033" s="2" t="s">
        <v>5025</v>
      </c>
      <c r="C16033" s="2" t="s">
        <v>7788</v>
      </c>
      <c r="D16033" s="3" t="str">
        <f t="shared" ref="D16033:D16035" si="4088">HYPERLINK("https://12go.asia/en/travel/Moronthuduwa/Udawalawa", "12Go Link")</f>
        <v>12Go Link</v>
      </c>
      <c r="E16033" s="2" t="s">
        <v>286</v>
      </c>
    </row>
    <row r="16034">
      <c r="A16034" s="2" t="s">
        <v>5031</v>
      </c>
      <c r="B16034" s="2" t="s">
        <v>5025</v>
      </c>
      <c r="C16034" s="2" t="s">
        <v>7788</v>
      </c>
      <c r="D16034" s="3" t="str">
        <f t="shared" si="4088"/>
        <v>12Go Link</v>
      </c>
      <c r="E16034" s="2" t="s">
        <v>4139</v>
      </c>
    </row>
    <row r="16035">
      <c r="A16035" s="2" t="s">
        <v>5031</v>
      </c>
      <c r="B16035" s="2" t="s">
        <v>5025</v>
      </c>
      <c r="C16035" s="2" t="s">
        <v>7788</v>
      </c>
      <c r="D16035" s="3" t="str">
        <f t="shared" si="4088"/>
        <v>12Go Link</v>
      </c>
      <c r="E16035" s="2" t="s">
        <v>3409</v>
      </c>
    </row>
    <row r="16036">
      <c r="A16036" s="2" t="s">
        <v>5031</v>
      </c>
      <c r="B16036" s="2" t="s">
        <v>5025</v>
      </c>
      <c r="C16036" s="2" t="s">
        <v>7789</v>
      </c>
      <c r="D16036" s="3" t="str">
        <f t="shared" ref="D16036:D16038" si="4089">HYPERLINK("https://12go.asia/en/travel/Waskaduwa/Udawalawa", "12Go Link")</f>
        <v>12Go Link</v>
      </c>
      <c r="E16036" s="2" t="s">
        <v>286</v>
      </c>
    </row>
    <row r="16037">
      <c r="A16037" s="2" t="s">
        <v>5031</v>
      </c>
      <c r="B16037" s="2" t="s">
        <v>5025</v>
      </c>
      <c r="C16037" s="2" t="s">
        <v>7789</v>
      </c>
      <c r="D16037" s="3" t="str">
        <f t="shared" si="4089"/>
        <v>12Go Link</v>
      </c>
      <c r="E16037" s="2" t="s">
        <v>4139</v>
      </c>
    </row>
    <row r="16038">
      <c r="A16038" s="2" t="s">
        <v>5031</v>
      </c>
      <c r="B16038" s="2" t="s">
        <v>5025</v>
      </c>
      <c r="C16038" s="2" t="s">
        <v>7789</v>
      </c>
      <c r="D16038" s="3" t="str">
        <f t="shared" si="4089"/>
        <v>12Go Link</v>
      </c>
      <c r="E16038" s="2" t="s">
        <v>3409</v>
      </c>
    </row>
    <row r="16039">
      <c r="A16039" s="2" t="s">
        <v>5031</v>
      </c>
      <c r="B16039" s="2" t="s">
        <v>5027</v>
      </c>
      <c r="C16039" s="2" t="s">
        <v>7790</v>
      </c>
      <c r="D16039" s="3" t="str">
        <f t="shared" ref="D16039:D16041" si="4090">HYPERLINK("https://12go.asia/en/travel/Moronthuduwa/Unawatuna", "12Go Link")</f>
        <v>12Go Link</v>
      </c>
      <c r="E16039" s="2" t="s">
        <v>286</v>
      </c>
    </row>
    <row r="16040">
      <c r="A16040" s="2" t="s">
        <v>5031</v>
      </c>
      <c r="B16040" s="2" t="s">
        <v>5027</v>
      </c>
      <c r="C16040" s="2" t="s">
        <v>7790</v>
      </c>
      <c r="D16040" s="3" t="str">
        <f t="shared" si="4090"/>
        <v>12Go Link</v>
      </c>
      <c r="E16040" s="2" t="s">
        <v>4139</v>
      </c>
    </row>
    <row r="16041">
      <c r="A16041" s="2" t="s">
        <v>5031</v>
      </c>
      <c r="B16041" s="2" t="s">
        <v>5027</v>
      </c>
      <c r="C16041" s="2" t="s">
        <v>7790</v>
      </c>
      <c r="D16041" s="3" t="str">
        <f t="shared" si="4090"/>
        <v>12Go Link</v>
      </c>
      <c r="E16041" s="2" t="s">
        <v>3409</v>
      </c>
    </row>
    <row r="16042">
      <c r="A16042" s="2" t="s">
        <v>5031</v>
      </c>
      <c r="B16042" s="2" t="s">
        <v>5027</v>
      </c>
      <c r="C16042" s="2" t="s">
        <v>7791</v>
      </c>
      <c r="D16042" s="3" t="str">
        <f t="shared" ref="D16042:D16044" si="4091">HYPERLINK("https://12go.asia/en/travel/Waskaduwa/Unawatuna", "12Go Link")</f>
        <v>12Go Link</v>
      </c>
      <c r="E16042" s="2" t="s">
        <v>286</v>
      </c>
    </row>
    <row r="16043">
      <c r="A16043" s="2" t="s">
        <v>5031</v>
      </c>
      <c r="B16043" s="2" t="s">
        <v>5027</v>
      </c>
      <c r="C16043" s="2" t="s">
        <v>7791</v>
      </c>
      <c r="D16043" s="3" t="str">
        <f t="shared" si="4091"/>
        <v>12Go Link</v>
      </c>
      <c r="E16043" s="2" t="s">
        <v>4139</v>
      </c>
    </row>
    <row r="16044">
      <c r="A16044" s="2" t="s">
        <v>5031</v>
      </c>
      <c r="B16044" s="2" t="s">
        <v>5027</v>
      </c>
      <c r="C16044" s="2" t="s">
        <v>7791</v>
      </c>
      <c r="D16044" s="3" t="str">
        <f t="shared" si="4091"/>
        <v>12Go Link</v>
      </c>
      <c r="E16044" s="2" t="s">
        <v>3409</v>
      </c>
    </row>
    <row r="16045">
      <c r="A16045" s="2" t="s">
        <v>5031</v>
      </c>
      <c r="B16045" s="2" t="s">
        <v>5029</v>
      </c>
      <c r="C16045" s="2" t="s">
        <v>7792</v>
      </c>
      <c r="D16045" s="3" t="str">
        <f t="shared" ref="D16045:D16047" si="4092">HYPERLINK("https://12go.asia/en/travel/Moronthuduwa/Attanagalla", "12Go Link")</f>
        <v>12Go Link</v>
      </c>
      <c r="E16045" s="2" t="s">
        <v>286</v>
      </c>
    </row>
    <row r="16046">
      <c r="A16046" s="2" t="s">
        <v>5031</v>
      </c>
      <c r="B16046" s="2" t="s">
        <v>5029</v>
      </c>
      <c r="C16046" s="2" t="s">
        <v>7792</v>
      </c>
      <c r="D16046" s="3" t="str">
        <f t="shared" si="4092"/>
        <v>12Go Link</v>
      </c>
      <c r="E16046" s="2" t="s">
        <v>4139</v>
      </c>
    </row>
    <row r="16047">
      <c r="A16047" s="2" t="s">
        <v>5031</v>
      </c>
      <c r="B16047" s="2" t="s">
        <v>5029</v>
      </c>
      <c r="C16047" s="2" t="s">
        <v>7792</v>
      </c>
      <c r="D16047" s="3" t="str">
        <f t="shared" si="4092"/>
        <v>12Go Link</v>
      </c>
      <c r="E16047" s="2" t="s">
        <v>3409</v>
      </c>
    </row>
    <row r="16048">
      <c r="A16048" s="2" t="s">
        <v>5031</v>
      </c>
      <c r="B16048" s="2" t="s">
        <v>5029</v>
      </c>
      <c r="C16048" s="2" t="s">
        <v>7793</v>
      </c>
      <c r="D16048" s="3" t="str">
        <f t="shared" ref="D16048:D16050" si="4093">HYPERLINK("https://12go.asia/en/travel/Waskaduwa/Attanagalla", "12Go Link")</f>
        <v>12Go Link</v>
      </c>
      <c r="E16048" s="2" t="s">
        <v>286</v>
      </c>
    </row>
    <row r="16049">
      <c r="A16049" s="2" t="s">
        <v>5031</v>
      </c>
      <c r="B16049" s="2" t="s">
        <v>5029</v>
      </c>
      <c r="C16049" s="2" t="s">
        <v>7793</v>
      </c>
      <c r="D16049" s="3" t="str">
        <f t="shared" si="4093"/>
        <v>12Go Link</v>
      </c>
      <c r="E16049" s="2" t="s">
        <v>4139</v>
      </c>
    </row>
    <row r="16050">
      <c r="A16050" s="2" t="s">
        <v>5031</v>
      </c>
      <c r="B16050" s="2" t="s">
        <v>5029</v>
      </c>
      <c r="C16050" s="2" t="s">
        <v>7793</v>
      </c>
      <c r="D16050" s="3" t="str">
        <f t="shared" si="4093"/>
        <v>12Go Link</v>
      </c>
      <c r="E16050" s="2" t="s">
        <v>3409</v>
      </c>
    </row>
    <row r="16051">
      <c r="A16051" s="2" t="s">
        <v>5031</v>
      </c>
      <c r="B16051" s="2" t="s">
        <v>5031</v>
      </c>
      <c r="C16051" s="2" t="s">
        <v>7794</v>
      </c>
      <c r="D16051" s="3" t="str">
        <f t="shared" ref="D16051:D16053" si="4094">HYPERLINK("https://12go.asia/en/travel/Moronthuduwa/Waskaduwa", "12Go Link")</f>
        <v>12Go Link</v>
      </c>
      <c r="E16051" s="2" t="s">
        <v>286</v>
      </c>
    </row>
    <row r="16052">
      <c r="A16052" s="2" t="s">
        <v>5031</v>
      </c>
      <c r="B16052" s="2" t="s">
        <v>5031</v>
      </c>
      <c r="C16052" s="2" t="s">
        <v>7794</v>
      </c>
      <c r="D16052" s="3" t="str">
        <f t="shared" si="4094"/>
        <v>12Go Link</v>
      </c>
      <c r="E16052" s="2" t="s">
        <v>4139</v>
      </c>
    </row>
    <row r="16053">
      <c r="A16053" s="2" t="s">
        <v>5031</v>
      </c>
      <c r="B16053" s="2" t="s">
        <v>5031</v>
      </c>
      <c r="C16053" s="2" t="s">
        <v>7794</v>
      </c>
      <c r="D16053" s="3" t="str">
        <f t="shared" si="4094"/>
        <v>12Go Link</v>
      </c>
      <c r="E16053" s="2" t="s">
        <v>3409</v>
      </c>
    </row>
    <row r="16054">
      <c r="A16054" s="2" t="s">
        <v>5031</v>
      </c>
      <c r="B16054" s="2" t="s">
        <v>5031</v>
      </c>
      <c r="C16054" s="2" t="s">
        <v>7795</v>
      </c>
      <c r="D16054" s="3" t="str">
        <f t="shared" ref="D16054:D16056" si="4095">HYPERLINK("https://12go.asia/en/travel/Waskaduwa/Moronthuduwa", "12Go Link")</f>
        <v>12Go Link</v>
      </c>
      <c r="E16054" s="2" t="s">
        <v>286</v>
      </c>
    </row>
    <row r="16055">
      <c r="A16055" s="2" t="s">
        <v>5031</v>
      </c>
      <c r="B16055" s="2" t="s">
        <v>5031</v>
      </c>
      <c r="C16055" s="2" t="s">
        <v>7795</v>
      </c>
      <c r="D16055" s="3" t="str">
        <f t="shared" si="4095"/>
        <v>12Go Link</v>
      </c>
      <c r="E16055" s="2" t="s">
        <v>4139</v>
      </c>
    </row>
    <row r="16056">
      <c r="A16056" s="2" t="s">
        <v>5031</v>
      </c>
      <c r="B16056" s="2" t="s">
        <v>5031</v>
      </c>
      <c r="C16056" s="2" t="s">
        <v>7795</v>
      </c>
      <c r="D16056" s="3" t="str">
        <f t="shared" si="4095"/>
        <v>12Go Link</v>
      </c>
      <c r="E16056" s="2" t="s">
        <v>3409</v>
      </c>
    </row>
    <row r="16057">
      <c r="A16057" s="2" t="s">
        <v>5031</v>
      </c>
      <c r="B16057" s="2" t="s">
        <v>5034</v>
      </c>
      <c r="C16057" s="2" t="s">
        <v>7796</v>
      </c>
      <c r="D16057" s="3" t="str">
        <f t="shared" ref="D16057:D16059" si="4096">HYPERLINK("https://12go.asia/en/travel/Moronthuduwa/Weddagala", "12Go Link")</f>
        <v>12Go Link</v>
      </c>
      <c r="E16057" s="2" t="s">
        <v>286</v>
      </c>
    </row>
    <row r="16058">
      <c r="A16058" s="2" t="s">
        <v>5031</v>
      </c>
      <c r="B16058" s="2" t="s">
        <v>5034</v>
      </c>
      <c r="C16058" s="2" t="s">
        <v>7796</v>
      </c>
      <c r="D16058" s="3" t="str">
        <f t="shared" si="4096"/>
        <v>12Go Link</v>
      </c>
      <c r="E16058" s="2" t="s">
        <v>4139</v>
      </c>
    </row>
    <row r="16059">
      <c r="A16059" s="2" t="s">
        <v>5031</v>
      </c>
      <c r="B16059" s="2" t="s">
        <v>5034</v>
      </c>
      <c r="C16059" s="2" t="s">
        <v>7796</v>
      </c>
      <c r="D16059" s="3" t="str">
        <f t="shared" si="4096"/>
        <v>12Go Link</v>
      </c>
      <c r="E16059" s="2" t="s">
        <v>3409</v>
      </c>
    </row>
    <row r="16060">
      <c r="A16060" s="2" t="s">
        <v>5031</v>
      </c>
      <c r="B16060" s="2" t="s">
        <v>5034</v>
      </c>
      <c r="C16060" s="2" t="s">
        <v>7797</v>
      </c>
      <c r="D16060" s="3" t="str">
        <f t="shared" ref="D16060:D16062" si="4097">HYPERLINK("https://12go.asia/en/travel/Waskaduwa/Weddagala", "12Go Link")</f>
        <v>12Go Link</v>
      </c>
      <c r="E16060" s="2" t="s">
        <v>286</v>
      </c>
    </row>
    <row r="16061">
      <c r="A16061" s="2" t="s">
        <v>5031</v>
      </c>
      <c r="B16061" s="2" t="s">
        <v>5034</v>
      </c>
      <c r="C16061" s="2" t="s">
        <v>7797</v>
      </c>
      <c r="D16061" s="3" t="str">
        <f t="shared" si="4097"/>
        <v>12Go Link</v>
      </c>
      <c r="E16061" s="2" t="s">
        <v>4139</v>
      </c>
    </row>
    <row r="16062">
      <c r="A16062" s="2" t="s">
        <v>5031</v>
      </c>
      <c r="B16062" s="2" t="s">
        <v>5034</v>
      </c>
      <c r="C16062" s="2" t="s">
        <v>7797</v>
      </c>
      <c r="D16062" s="3" t="str">
        <f t="shared" si="4097"/>
        <v>12Go Link</v>
      </c>
      <c r="E16062" s="2" t="s">
        <v>3409</v>
      </c>
    </row>
    <row r="16063">
      <c r="A16063" s="2" t="s">
        <v>5031</v>
      </c>
      <c r="B16063" s="2" t="s">
        <v>5036</v>
      </c>
      <c r="C16063" s="2" t="s">
        <v>7798</v>
      </c>
      <c r="D16063" s="3" t="str">
        <f t="shared" ref="D16063:D16065" si="4098">HYPERLINK("https://12go.asia/en/travel/Moronthuduwa/Weligatta", "12Go Link")</f>
        <v>12Go Link</v>
      </c>
      <c r="E16063" s="2" t="s">
        <v>286</v>
      </c>
    </row>
    <row r="16064">
      <c r="A16064" s="2" t="s">
        <v>5031</v>
      </c>
      <c r="B16064" s="2" t="s">
        <v>5036</v>
      </c>
      <c r="C16064" s="2" t="s">
        <v>7798</v>
      </c>
      <c r="D16064" s="3" t="str">
        <f t="shared" si="4098"/>
        <v>12Go Link</v>
      </c>
      <c r="E16064" s="2" t="s">
        <v>4139</v>
      </c>
    </row>
    <row r="16065">
      <c r="A16065" s="2" t="s">
        <v>5031</v>
      </c>
      <c r="B16065" s="2" t="s">
        <v>5036</v>
      </c>
      <c r="C16065" s="2" t="s">
        <v>7798</v>
      </c>
      <c r="D16065" s="3" t="str">
        <f t="shared" si="4098"/>
        <v>12Go Link</v>
      </c>
      <c r="E16065" s="2" t="s">
        <v>3409</v>
      </c>
    </row>
    <row r="16066">
      <c r="A16066" s="2" t="s">
        <v>5031</v>
      </c>
      <c r="B16066" s="2" t="s">
        <v>5036</v>
      </c>
      <c r="C16066" s="2" t="s">
        <v>7799</v>
      </c>
      <c r="D16066" s="3" t="str">
        <f t="shared" ref="D16066:D16068" si="4099">HYPERLINK("https://12go.asia/en/travel/Waskaduwa/Weligatta", "12Go Link")</f>
        <v>12Go Link</v>
      </c>
      <c r="E16066" s="2" t="s">
        <v>286</v>
      </c>
    </row>
    <row r="16067">
      <c r="A16067" s="2" t="s">
        <v>5031</v>
      </c>
      <c r="B16067" s="2" t="s">
        <v>5036</v>
      </c>
      <c r="C16067" s="2" t="s">
        <v>7799</v>
      </c>
      <c r="D16067" s="3" t="str">
        <f t="shared" si="4099"/>
        <v>12Go Link</v>
      </c>
      <c r="E16067" s="2" t="s">
        <v>4139</v>
      </c>
    </row>
    <row r="16068">
      <c r="A16068" s="2" t="s">
        <v>5031</v>
      </c>
      <c r="B16068" s="2" t="s">
        <v>5036</v>
      </c>
      <c r="C16068" s="2" t="s">
        <v>7799</v>
      </c>
      <c r="D16068" s="3" t="str">
        <f t="shared" si="4099"/>
        <v>12Go Link</v>
      </c>
      <c r="E16068" s="2" t="s">
        <v>3409</v>
      </c>
    </row>
    <row r="16069">
      <c r="A16069" s="2" t="s">
        <v>5031</v>
      </c>
      <c r="B16069" s="2" t="s">
        <v>5038</v>
      </c>
      <c r="C16069" s="2" t="s">
        <v>7800</v>
      </c>
      <c r="D16069" s="3" t="str">
        <f t="shared" ref="D16069:D16071" si="4100">HYPERLINK("https://12go.asia/en/travel/Moronthuduwa/Akuressa", "12Go Link")</f>
        <v>12Go Link</v>
      </c>
      <c r="E16069" s="2" t="s">
        <v>286</v>
      </c>
    </row>
    <row r="16070">
      <c r="A16070" s="2" t="s">
        <v>5031</v>
      </c>
      <c r="B16070" s="2" t="s">
        <v>5038</v>
      </c>
      <c r="C16070" s="2" t="s">
        <v>7800</v>
      </c>
      <c r="D16070" s="3" t="str">
        <f t="shared" si="4100"/>
        <v>12Go Link</v>
      </c>
      <c r="E16070" s="2" t="s">
        <v>4139</v>
      </c>
    </row>
    <row r="16071">
      <c r="A16071" s="2" t="s">
        <v>5031</v>
      </c>
      <c r="B16071" s="2" t="s">
        <v>5038</v>
      </c>
      <c r="C16071" s="2" t="s">
        <v>7800</v>
      </c>
      <c r="D16071" s="3" t="str">
        <f t="shared" si="4100"/>
        <v>12Go Link</v>
      </c>
      <c r="E16071" s="2" t="s">
        <v>3409</v>
      </c>
    </row>
    <row r="16072">
      <c r="A16072" s="2" t="s">
        <v>5031</v>
      </c>
      <c r="B16072" s="2" t="s">
        <v>5038</v>
      </c>
      <c r="C16072" s="2" t="s">
        <v>7801</v>
      </c>
      <c r="D16072" s="3" t="str">
        <f t="shared" ref="D16072:D16074" si="4101">HYPERLINK("https://12go.asia/en/travel/Waskaduwa/Akuressa", "12Go Link")</f>
        <v>12Go Link</v>
      </c>
      <c r="E16072" s="2" t="s">
        <v>286</v>
      </c>
    </row>
    <row r="16073">
      <c r="A16073" s="2" t="s">
        <v>5031</v>
      </c>
      <c r="B16073" s="2" t="s">
        <v>5038</v>
      </c>
      <c r="C16073" s="2" t="s">
        <v>7801</v>
      </c>
      <c r="D16073" s="3" t="str">
        <f t="shared" si="4101"/>
        <v>12Go Link</v>
      </c>
      <c r="E16073" s="2" t="s">
        <v>4139</v>
      </c>
    </row>
    <row r="16074">
      <c r="A16074" s="2" t="s">
        <v>5031</v>
      </c>
      <c r="B16074" s="2" t="s">
        <v>5038</v>
      </c>
      <c r="C16074" s="2" t="s">
        <v>7801</v>
      </c>
      <c r="D16074" s="3" t="str">
        <f t="shared" si="4101"/>
        <v>12Go Link</v>
      </c>
      <c r="E16074" s="2" t="s">
        <v>3409</v>
      </c>
    </row>
    <row r="16075">
      <c r="A16075" s="2" t="s">
        <v>5031</v>
      </c>
      <c r="B16075" s="2" t="s">
        <v>5040</v>
      </c>
      <c r="C16075" s="2" t="s">
        <v>7802</v>
      </c>
      <c r="D16075" s="3" t="str">
        <f t="shared" ref="D16075:D16077" si="4102">HYPERLINK("https://12go.asia/en/travel/Moronthuduwa/Wilpattu", "12Go Link")</f>
        <v>12Go Link</v>
      </c>
      <c r="E16075" s="2" t="s">
        <v>286</v>
      </c>
    </row>
    <row r="16076">
      <c r="A16076" s="2" t="s">
        <v>5031</v>
      </c>
      <c r="B16076" s="2" t="s">
        <v>5040</v>
      </c>
      <c r="C16076" s="2" t="s">
        <v>7802</v>
      </c>
      <c r="D16076" s="3" t="str">
        <f t="shared" si="4102"/>
        <v>12Go Link</v>
      </c>
      <c r="E16076" s="2" t="s">
        <v>4139</v>
      </c>
    </row>
    <row r="16077">
      <c r="A16077" s="2" t="s">
        <v>5031</v>
      </c>
      <c r="B16077" s="2" t="s">
        <v>5040</v>
      </c>
      <c r="C16077" s="2" t="s">
        <v>7802</v>
      </c>
      <c r="D16077" s="3" t="str">
        <f t="shared" si="4102"/>
        <v>12Go Link</v>
      </c>
      <c r="E16077" s="2" t="s">
        <v>3409</v>
      </c>
    </row>
    <row r="16078">
      <c r="A16078" s="2" t="s">
        <v>5031</v>
      </c>
      <c r="B16078" s="2" t="s">
        <v>5040</v>
      </c>
      <c r="C16078" s="2" t="s">
        <v>7803</v>
      </c>
      <c r="D16078" s="3" t="str">
        <f t="shared" ref="D16078:D16080" si="4103">HYPERLINK("https://12go.asia/en/travel/Waskaduwa/Wilpattu", "12Go Link")</f>
        <v>12Go Link</v>
      </c>
      <c r="E16078" s="2" t="s">
        <v>286</v>
      </c>
    </row>
    <row r="16079">
      <c r="A16079" s="2" t="s">
        <v>5031</v>
      </c>
      <c r="B16079" s="2" t="s">
        <v>5040</v>
      </c>
      <c r="C16079" s="2" t="s">
        <v>7803</v>
      </c>
      <c r="D16079" s="3" t="str">
        <f t="shared" si="4103"/>
        <v>12Go Link</v>
      </c>
      <c r="E16079" s="2" t="s">
        <v>4139</v>
      </c>
    </row>
    <row r="16080">
      <c r="A16080" s="2" t="s">
        <v>5031</v>
      </c>
      <c r="B16080" s="2" t="s">
        <v>5040</v>
      </c>
      <c r="C16080" s="2" t="s">
        <v>7803</v>
      </c>
      <c r="D16080" s="3" t="str">
        <f t="shared" si="4103"/>
        <v>12Go Link</v>
      </c>
      <c r="E16080" s="2" t="s">
        <v>3409</v>
      </c>
    </row>
    <row r="16081">
      <c r="A16081" s="2" t="s">
        <v>5034</v>
      </c>
      <c r="B16081" s="2" t="s">
        <v>4918</v>
      </c>
      <c r="C16081" s="2" t="s">
        <v>7804</v>
      </c>
      <c r="D16081" s="3" t="str">
        <f t="shared" ref="D16081:D16083" si="4104">HYPERLINK("https://12go.asia/en/travel/Weddagala/Adams-Peak", "12Go Link")</f>
        <v>12Go Link</v>
      </c>
      <c r="E16081" s="2" t="s">
        <v>286</v>
      </c>
    </row>
    <row r="16082">
      <c r="A16082" s="2" t="s">
        <v>5034</v>
      </c>
      <c r="B16082" s="2" t="s">
        <v>4918</v>
      </c>
      <c r="C16082" s="2" t="s">
        <v>7804</v>
      </c>
      <c r="D16082" s="3" t="str">
        <f t="shared" si="4104"/>
        <v>12Go Link</v>
      </c>
      <c r="E16082" s="2" t="s">
        <v>4139</v>
      </c>
    </row>
    <row r="16083">
      <c r="A16083" s="2" t="s">
        <v>5034</v>
      </c>
      <c r="B16083" s="2" t="s">
        <v>4918</v>
      </c>
      <c r="C16083" s="2" t="s">
        <v>7804</v>
      </c>
      <c r="D16083" s="3" t="str">
        <f t="shared" si="4104"/>
        <v>12Go Link</v>
      </c>
      <c r="E16083" s="2" t="s">
        <v>3409</v>
      </c>
    </row>
    <row r="16084">
      <c r="A16084" s="2" t="s">
        <v>5034</v>
      </c>
      <c r="B16084" s="2" t="s">
        <v>4919</v>
      </c>
      <c r="C16084" s="2" t="s">
        <v>7805</v>
      </c>
      <c r="D16084" s="3" t="str">
        <f t="shared" ref="D16084:D16086" si="4105">HYPERLINK("https://12go.asia/en/travel/Weddagala/Ahangama", "12Go Link")</f>
        <v>12Go Link</v>
      </c>
      <c r="E16084" s="2" t="s">
        <v>286</v>
      </c>
    </row>
    <row r="16085">
      <c r="A16085" s="2" t="s">
        <v>5034</v>
      </c>
      <c r="B16085" s="2" t="s">
        <v>4919</v>
      </c>
      <c r="C16085" s="2" t="s">
        <v>7805</v>
      </c>
      <c r="D16085" s="3" t="str">
        <f t="shared" si="4105"/>
        <v>12Go Link</v>
      </c>
      <c r="E16085" s="2" t="s">
        <v>4139</v>
      </c>
    </row>
    <row r="16086">
      <c r="A16086" s="2" t="s">
        <v>5034</v>
      </c>
      <c r="B16086" s="2" t="s">
        <v>4919</v>
      </c>
      <c r="C16086" s="2" t="s">
        <v>7805</v>
      </c>
      <c r="D16086" s="3" t="str">
        <f t="shared" si="4105"/>
        <v>12Go Link</v>
      </c>
      <c r="E16086" s="2" t="s">
        <v>3409</v>
      </c>
    </row>
    <row r="16087">
      <c r="A16087" s="2" t="s">
        <v>5034</v>
      </c>
      <c r="B16087" s="2" t="s">
        <v>4921</v>
      </c>
      <c r="C16087" s="2" t="s">
        <v>7806</v>
      </c>
      <c r="D16087" s="3" t="str">
        <f t="shared" ref="D16087:D16089" si="4106">HYPERLINK("https://12go.asia/en/travel/Weddagala/Ahungalla", "12Go Link")</f>
        <v>12Go Link</v>
      </c>
      <c r="E16087" s="2" t="s">
        <v>286</v>
      </c>
    </row>
    <row r="16088">
      <c r="A16088" s="2" t="s">
        <v>5034</v>
      </c>
      <c r="B16088" s="2" t="s">
        <v>4921</v>
      </c>
      <c r="C16088" s="2" t="s">
        <v>7806</v>
      </c>
      <c r="D16088" s="3" t="str">
        <f t="shared" si="4106"/>
        <v>12Go Link</v>
      </c>
      <c r="E16088" s="2" t="s">
        <v>4139</v>
      </c>
    </row>
    <row r="16089">
      <c r="A16089" s="2" t="s">
        <v>5034</v>
      </c>
      <c r="B16089" s="2" t="s">
        <v>4921</v>
      </c>
      <c r="C16089" s="2" t="s">
        <v>7806</v>
      </c>
      <c r="D16089" s="3" t="str">
        <f t="shared" si="4106"/>
        <v>12Go Link</v>
      </c>
      <c r="E16089" s="2" t="s">
        <v>3409</v>
      </c>
    </row>
    <row r="16090">
      <c r="A16090" s="2" t="s">
        <v>5034</v>
      </c>
      <c r="B16090" s="2" t="s">
        <v>4923</v>
      </c>
      <c r="C16090" s="2" t="s">
        <v>7807</v>
      </c>
      <c r="D16090" s="3" t="str">
        <f t="shared" ref="D16090:D16092" si="4107">HYPERLINK("https://12go.asia/en/travel/Weddagala/Aluthgama", "12Go Link")</f>
        <v>12Go Link</v>
      </c>
      <c r="E16090" s="2" t="s">
        <v>286</v>
      </c>
    </row>
    <row r="16091">
      <c r="A16091" s="2" t="s">
        <v>5034</v>
      </c>
      <c r="B16091" s="2" t="s">
        <v>4923</v>
      </c>
      <c r="C16091" s="2" t="s">
        <v>7807</v>
      </c>
      <c r="D16091" s="3" t="str">
        <f t="shared" si="4107"/>
        <v>12Go Link</v>
      </c>
      <c r="E16091" s="2" t="s">
        <v>4139</v>
      </c>
    </row>
    <row r="16092">
      <c r="A16092" s="2" t="s">
        <v>5034</v>
      </c>
      <c r="B16092" s="2" t="s">
        <v>4923</v>
      </c>
      <c r="C16092" s="2" t="s">
        <v>7807</v>
      </c>
      <c r="D16092" s="3" t="str">
        <f t="shared" si="4107"/>
        <v>12Go Link</v>
      </c>
      <c r="E16092" s="2" t="s">
        <v>3409</v>
      </c>
    </row>
    <row r="16093">
      <c r="A16093" s="2" t="s">
        <v>5034</v>
      </c>
      <c r="B16093" s="2" t="s">
        <v>4925</v>
      </c>
      <c r="C16093" s="2" t="s">
        <v>7808</v>
      </c>
      <c r="D16093" s="3" t="str">
        <f t="shared" ref="D16093:D16095" si="4108">HYPERLINK("https://12go.asia/en/travel/Weddagala/Ambalangoda", "12Go Link")</f>
        <v>12Go Link</v>
      </c>
      <c r="E16093" s="2" t="s">
        <v>286</v>
      </c>
    </row>
    <row r="16094">
      <c r="A16094" s="2" t="s">
        <v>5034</v>
      </c>
      <c r="B16094" s="2" t="s">
        <v>4925</v>
      </c>
      <c r="C16094" s="2" t="s">
        <v>7808</v>
      </c>
      <c r="D16094" s="3" t="str">
        <f t="shared" si="4108"/>
        <v>12Go Link</v>
      </c>
      <c r="E16094" s="2" t="s">
        <v>4139</v>
      </c>
    </row>
    <row r="16095">
      <c r="A16095" s="2" t="s">
        <v>5034</v>
      </c>
      <c r="B16095" s="2" t="s">
        <v>4925</v>
      </c>
      <c r="C16095" s="2" t="s">
        <v>7808</v>
      </c>
      <c r="D16095" s="3" t="str">
        <f t="shared" si="4108"/>
        <v>12Go Link</v>
      </c>
      <c r="E16095" s="2" t="s">
        <v>3409</v>
      </c>
    </row>
    <row r="16096">
      <c r="A16096" s="2" t="s">
        <v>5034</v>
      </c>
      <c r="B16096" s="2" t="s">
        <v>4927</v>
      </c>
      <c r="C16096" s="2" t="s">
        <v>7809</v>
      </c>
      <c r="D16096" s="3" t="str">
        <f t="shared" ref="D16096:D16098" si="4109">HYPERLINK("https://12go.asia/en/travel/Weddagala/Ambalantota", "12Go Link")</f>
        <v>12Go Link</v>
      </c>
      <c r="E16096" s="2" t="s">
        <v>286</v>
      </c>
    </row>
    <row r="16097">
      <c r="A16097" s="2" t="s">
        <v>5034</v>
      </c>
      <c r="B16097" s="2" t="s">
        <v>4927</v>
      </c>
      <c r="C16097" s="2" t="s">
        <v>7809</v>
      </c>
      <c r="D16097" s="3" t="str">
        <f t="shared" si="4109"/>
        <v>12Go Link</v>
      </c>
      <c r="E16097" s="2" t="s">
        <v>4139</v>
      </c>
    </row>
    <row r="16098">
      <c r="A16098" s="2" t="s">
        <v>5034</v>
      </c>
      <c r="B16098" s="2" t="s">
        <v>4927</v>
      </c>
      <c r="C16098" s="2" t="s">
        <v>7809</v>
      </c>
      <c r="D16098" s="3" t="str">
        <f t="shared" si="4109"/>
        <v>12Go Link</v>
      </c>
      <c r="E16098" s="2" t="s">
        <v>3409</v>
      </c>
    </row>
    <row r="16099">
      <c r="A16099" s="2" t="s">
        <v>5034</v>
      </c>
      <c r="B16099" s="2" t="s">
        <v>4929</v>
      </c>
      <c r="C16099" s="2" t="s">
        <v>7810</v>
      </c>
      <c r="D16099" s="3" t="str">
        <f t="shared" ref="D16099:D16101" si="4110">HYPERLINK("https://12go.asia/en/travel/Weddagala/Anuradhapura", "12Go Link")</f>
        <v>12Go Link</v>
      </c>
      <c r="E16099" s="2" t="s">
        <v>286</v>
      </c>
    </row>
    <row r="16100">
      <c r="A16100" s="2" t="s">
        <v>5034</v>
      </c>
      <c r="B16100" s="2" t="s">
        <v>4929</v>
      </c>
      <c r="C16100" s="2" t="s">
        <v>7810</v>
      </c>
      <c r="D16100" s="3" t="str">
        <f t="shared" si="4110"/>
        <v>12Go Link</v>
      </c>
      <c r="E16100" s="2" t="s">
        <v>4139</v>
      </c>
    </row>
    <row r="16101">
      <c r="A16101" s="2" t="s">
        <v>5034</v>
      </c>
      <c r="B16101" s="2" t="s">
        <v>4929</v>
      </c>
      <c r="C16101" s="2" t="s">
        <v>7810</v>
      </c>
      <c r="D16101" s="3" t="str">
        <f t="shared" si="4110"/>
        <v>12Go Link</v>
      </c>
      <c r="E16101" s="2" t="s">
        <v>3409</v>
      </c>
    </row>
    <row r="16102">
      <c r="A16102" s="2" t="s">
        <v>5034</v>
      </c>
      <c r="B16102" s="2" t="s">
        <v>4931</v>
      </c>
      <c r="C16102" s="2" t="s">
        <v>7811</v>
      </c>
      <c r="D16102" s="3" t="str">
        <f t="shared" ref="D16102:D16104" si="4111">HYPERLINK("https://12go.asia/en/travel/Weddagala/Arugam-bay", "12Go Link")</f>
        <v>12Go Link</v>
      </c>
      <c r="E16102" s="2" t="s">
        <v>286</v>
      </c>
    </row>
    <row r="16103">
      <c r="A16103" s="2" t="s">
        <v>5034</v>
      </c>
      <c r="B16103" s="2" t="s">
        <v>4931</v>
      </c>
      <c r="C16103" s="2" t="s">
        <v>7811</v>
      </c>
      <c r="D16103" s="3" t="str">
        <f t="shared" si="4111"/>
        <v>12Go Link</v>
      </c>
      <c r="E16103" s="2" t="s">
        <v>4139</v>
      </c>
    </row>
    <row r="16104">
      <c r="A16104" s="2" t="s">
        <v>5034</v>
      </c>
      <c r="B16104" s="2" t="s">
        <v>4931</v>
      </c>
      <c r="C16104" s="2" t="s">
        <v>7811</v>
      </c>
      <c r="D16104" s="3" t="str">
        <f t="shared" si="4111"/>
        <v>12Go Link</v>
      </c>
      <c r="E16104" s="2" t="s">
        <v>3409</v>
      </c>
    </row>
    <row r="16105">
      <c r="A16105" s="2" t="s">
        <v>5034</v>
      </c>
      <c r="B16105" s="2" t="s">
        <v>4933</v>
      </c>
      <c r="C16105" s="2" t="s">
        <v>7812</v>
      </c>
      <c r="D16105" s="3" t="str">
        <f t="shared" ref="D16105:D16107" si="4112">HYPERLINK("https://12go.asia/en/travel/Weddagala/balapitiya", "12Go Link")</f>
        <v>12Go Link</v>
      </c>
      <c r="E16105" s="2" t="s">
        <v>286</v>
      </c>
    </row>
    <row r="16106">
      <c r="A16106" s="2" t="s">
        <v>5034</v>
      </c>
      <c r="B16106" s="2" t="s">
        <v>4933</v>
      </c>
      <c r="C16106" s="2" t="s">
        <v>7812</v>
      </c>
      <c r="D16106" s="3" t="str">
        <f t="shared" si="4112"/>
        <v>12Go Link</v>
      </c>
      <c r="E16106" s="2" t="s">
        <v>4139</v>
      </c>
    </row>
    <row r="16107">
      <c r="A16107" s="2" t="s">
        <v>5034</v>
      </c>
      <c r="B16107" s="2" t="s">
        <v>4933</v>
      </c>
      <c r="C16107" s="2" t="s">
        <v>7812</v>
      </c>
      <c r="D16107" s="3" t="str">
        <f t="shared" si="4112"/>
        <v>12Go Link</v>
      </c>
      <c r="E16107" s="2" t="s">
        <v>3409</v>
      </c>
    </row>
    <row r="16108">
      <c r="A16108" s="2" t="s">
        <v>5034</v>
      </c>
      <c r="B16108" s="2" t="s">
        <v>4935</v>
      </c>
      <c r="C16108" s="2" t="s">
        <v>7813</v>
      </c>
      <c r="D16108" s="3" t="str">
        <f t="shared" ref="D16108:D16110" si="4113">HYPERLINK("https://12go.asia/en/travel/Weddagala/Batticaloa", "12Go Link")</f>
        <v>12Go Link</v>
      </c>
      <c r="E16108" s="2" t="s">
        <v>286</v>
      </c>
    </row>
    <row r="16109">
      <c r="A16109" s="2" t="s">
        <v>5034</v>
      </c>
      <c r="B16109" s="2" t="s">
        <v>4935</v>
      </c>
      <c r="C16109" s="2" t="s">
        <v>7813</v>
      </c>
      <c r="D16109" s="3" t="str">
        <f t="shared" si="4113"/>
        <v>12Go Link</v>
      </c>
      <c r="E16109" s="2" t="s">
        <v>4139</v>
      </c>
    </row>
    <row r="16110">
      <c r="A16110" s="2" t="s">
        <v>5034</v>
      </c>
      <c r="B16110" s="2" t="s">
        <v>4935</v>
      </c>
      <c r="C16110" s="2" t="s">
        <v>7813</v>
      </c>
      <c r="D16110" s="3" t="str">
        <f t="shared" si="4113"/>
        <v>12Go Link</v>
      </c>
      <c r="E16110" s="2" t="s">
        <v>3409</v>
      </c>
    </row>
    <row r="16111">
      <c r="A16111" s="2" t="s">
        <v>5034</v>
      </c>
      <c r="B16111" s="2" t="s">
        <v>4937</v>
      </c>
      <c r="C16111" s="2" t="s">
        <v>7814</v>
      </c>
      <c r="D16111" s="3" t="str">
        <f t="shared" ref="D16111:D16113" si="4114">HYPERLINK("https://12go.asia/en/travel/Weddagala/Bentota", "12Go Link")</f>
        <v>12Go Link</v>
      </c>
      <c r="E16111" s="2" t="s">
        <v>286</v>
      </c>
    </row>
    <row r="16112">
      <c r="A16112" s="2" t="s">
        <v>5034</v>
      </c>
      <c r="B16112" s="2" t="s">
        <v>4937</v>
      </c>
      <c r="C16112" s="2" t="s">
        <v>7814</v>
      </c>
      <c r="D16112" s="3" t="str">
        <f t="shared" si="4114"/>
        <v>12Go Link</v>
      </c>
      <c r="E16112" s="2" t="s">
        <v>4139</v>
      </c>
    </row>
    <row r="16113">
      <c r="A16113" s="2" t="s">
        <v>5034</v>
      </c>
      <c r="B16113" s="2" t="s">
        <v>4937</v>
      </c>
      <c r="C16113" s="2" t="s">
        <v>7814</v>
      </c>
      <c r="D16113" s="3" t="str">
        <f t="shared" si="4114"/>
        <v>12Go Link</v>
      </c>
      <c r="E16113" s="2" t="s">
        <v>3409</v>
      </c>
    </row>
    <row r="16114">
      <c r="A16114" s="2" t="s">
        <v>5034</v>
      </c>
      <c r="B16114" s="2" t="s">
        <v>4939</v>
      </c>
      <c r="C16114" s="2" t="s">
        <v>7815</v>
      </c>
      <c r="D16114" s="3" t="str">
        <f t="shared" ref="D16114:D16116" si="4115">HYPERLINK("https://12go.asia/en/travel/Weddagala/Beruwala", "12Go Link")</f>
        <v>12Go Link</v>
      </c>
      <c r="E16114" s="2" t="s">
        <v>286</v>
      </c>
    </row>
    <row r="16115">
      <c r="A16115" s="2" t="s">
        <v>5034</v>
      </c>
      <c r="B16115" s="2" t="s">
        <v>4939</v>
      </c>
      <c r="C16115" s="2" t="s">
        <v>7815</v>
      </c>
      <c r="D16115" s="3" t="str">
        <f t="shared" si="4115"/>
        <v>12Go Link</v>
      </c>
      <c r="E16115" s="2" t="s">
        <v>4139</v>
      </c>
    </row>
    <row r="16116">
      <c r="A16116" s="2" t="s">
        <v>5034</v>
      </c>
      <c r="B16116" s="2" t="s">
        <v>4939</v>
      </c>
      <c r="C16116" s="2" t="s">
        <v>7815</v>
      </c>
      <c r="D16116" s="3" t="str">
        <f t="shared" si="4115"/>
        <v>12Go Link</v>
      </c>
      <c r="E16116" s="2" t="s">
        <v>3409</v>
      </c>
    </row>
    <row r="16117">
      <c r="A16117" s="2" t="s">
        <v>5034</v>
      </c>
      <c r="B16117" s="2" t="s">
        <v>4941</v>
      </c>
      <c r="C16117" s="2" t="s">
        <v>7816</v>
      </c>
      <c r="D16117" s="3" t="str">
        <f t="shared" ref="D16117:D16119" si="4116">HYPERLINK("https://12go.asia/en/travel/Weddagala/Bundala", "12Go Link")</f>
        <v>12Go Link</v>
      </c>
      <c r="E16117" s="2" t="s">
        <v>286</v>
      </c>
    </row>
    <row r="16118">
      <c r="A16118" s="2" t="s">
        <v>5034</v>
      </c>
      <c r="B16118" s="2" t="s">
        <v>4941</v>
      </c>
      <c r="C16118" s="2" t="s">
        <v>7816</v>
      </c>
      <c r="D16118" s="3" t="str">
        <f t="shared" si="4116"/>
        <v>12Go Link</v>
      </c>
      <c r="E16118" s="2" t="s">
        <v>4139</v>
      </c>
    </row>
    <row r="16119">
      <c r="A16119" s="2" t="s">
        <v>5034</v>
      </c>
      <c r="B16119" s="2" t="s">
        <v>4941</v>
      </c>
      <c r="C16119" s="2" t="s">
        <v>7816</v>
      </c>
      <c r="D16119" s="3" t="str">
        <f t="shared" si="4116"/>
        <v>12Go Link</v>
      </c>
      <c r="E16119" s="2" t="s">
        <v>3409</v>
      </c>
    </row>
    <row r="16120">
      <c r="A16120" s="2" t="s">
        <v>5034</v>
      </c>
      <c r="B16120" s="2" t="s">
        <v>4943</v>
      </c>
      <c r="C16120" s="2" t="s">
        <v>7817</v>
      </c>
      <c r="D16120" s="3" t="str">
        <f t="shared" ref="D16120:D16122" si="4117">HYPERLINK("https://12go.asia/en/travel/Weddagala/Bambalapitiya", "12Go Link")</f>
        <v>12Go Link</v>
      </c>
      <c r="E16120" s="2" t="s">
        <v>286</v>
      </c>
    </row>
    <row r="16121">
      <c r="A16121" s="2" t="s">
        <v>5034</v>
      </c>
      <c r="B16121" s="2" t="s">
        <v>4943</v>
      </c>
      <c r="C16121" s="2" t="s">
        <v>7817</v>
      </c>
      <c r="D16121" s="3" t="str">
        <f t="shared" si="4117"/>
        <v>12Go Link</v>
      </c>
      <c r="E16121" s="2" t="s">
        <v>4139</v>
      </c>
    </row>
    <row r="16122">
      <c r="A16122" s="2" t="s">
        <v>5034</v>
      </c>
      <c r="B16122" s="2" t="s">
        <v>4943</v>
      </c>
      <c r="C16122" s="2" t="s">
        <v>7817</v>
      </c>
      <c r="D16122" s="3" t="str">
        <f t="shared" si="4117"/>
        <v>12Go Link</v>
      </c>
      <c r="E16122" s="2" t="s">
        <v>3409</v>
      </c>
    </row>
    <row r="16123">
      <c r="A16123" s="2" t="s">
        <v>5034</v>
      </c>
      <c r="B16123" s="2" t="s">
        <v>4945</v>
      </c>
      <c r="C16123" s="2" t="s">
        <v>7818</v>
      </c>
      <c r="D16123" s="3" t="str">
        <f t="shared" ref="D16123:D16125" si="4118">HYPERLINK("https://12go.asia/en/travel/Weddagala/Bandaranaike-Airport", "12Go Link")</f>
        <v>12Go Link</v>
      </c>
      <c r="E16123" s="2" t="s">
        <v>286</v>
      </c>
    </row>
    <row r="16124">
      <c r="A16124" s="2" t="s">
        <v>5034</v>
      </c>
      <c r="B16124" s="2" t="s">
        <v>4945</v>
      </c>
      <c r="C16124" s="2" t="s">
        <v>7818</v>
      </c>
      <c r="D16124" s="3" t="str">
        <f t="shared" si="4118"/>
        <v>12Go Link</v>
      </c>
      <c r="E16124" s="2" t="s">
        <v>4139</v>
      </c>
    </row>
    <row r="16125">
      <c r="A16125" s="2" t="s">
        <v>5034</v>
      </c>
      <c r="B16125" s="2" t="s">
        <v>4945</v>
      </c>
      <c r="C16125" s="2" t="s">
        <v>7818</v>
      </c>
      <c r="D16125" s="3" t="str">
        <f t="shared" si="4118"/>
        <v>12Go Link</v>
      </c>
      <c r="E16125" s="2" t="s">
        <v>3409</v>
      </c>
    </row>
    <row r="16126">
      <c r="A16126" s="2" t="s">
        <v>5034</v>
      </c>
      <c r="B16126" s="2" t="s">
        <v>4947</v>
      </c>
      <c r="C16126" s="2" t="s">
        <v>7819</v>
      </c>
      <c r="D16126" s="3" t="str">
        <f t="shared" ref="D16126:D16128" si="4119">HYPERLINK("https://12go.asia/en/travel/Weddagala/Dambulla", "12Go Link")</f>
        <v>12Go Link</v>
      </c>
      <c r="E16126" s="2" t="s">
        <v>286</v>
      </c>
    </row>
    <row r="16127">
      <c r="A16127" s="2" t="s">
        <v>5034</v>
      </c>
      <c r="B16127" s="2" t="s">
        <v>4947</v>
      </c>
      <c r="C16127" s="2" t="s">
        <v>7819</v>
      </c>
      <c r="D16127" s="3" t="str">
        <f t="shared" si="4119"/>
        <v>12Go Link</v>
      </c>
      <c r="E16127" s="2" t="s">
        <v>4139</v>
      </c>
    </row>
    <row r="16128">
      <c r="A16128" s="2" t="s">
        <v>5034</v>
      </c>
      <c r="B16128" s="2" t="s">
        <v>4947</v>
      </c>
      <c r="C16128" s="2" t="s">
        <v>7819</v>
      </c>
      <c r="D16128" s="3" t="str">
        <f t="shared" si="4119"/>
        <v>12Go Link</v>
      </c>
      <c r="E16128" s="2" t="s">
        <v>3409</v>
      </c>
    </row>
    <row r="16129">
      <c r="A16129" s="2" t="s">
        <v>5034</v>
      </c>
      <c r="B16129" s="2" t="s">
        <v>4949</v>
      </c>
      <c r="C16129" s="2" t="s">
        <v>7820</v>
      </c>
      <c r="D16129" s="3" t="str">
        <f t="shared" ref="D16129:D16131" si="4120">HYPERLINK("https://12go.asia/en/travel/Weddagala/Deniyaya", "12Go Link")</f>
        <v>12Go Link</v>
      </c>
      <c r="E16129" s="2" t="s">
        <v>286</v>
      </c>
    </row>
    <row r="16130">
      <c r="A16130" s="2" t="s">
        <v>5034</v>
      </c>
      <c r="B16130" s="2" t="s">
        <v>4949</v>
      </c>
      <c r="C16130" s="2" t="s">
        <v>7820</v>
      </c>
      <c r="D16130" s="3" t="str">
        <f t="shared" si="4120"/>
        <v>12Go Link</v>
      </c>
      <c r="E16130" s="2" t="s">
        <v>4139</v>
      </c>
    </row>
    <row r="16131">
      <c r="A16131" s="2" t="s">
        <v>5034</v>
      </c>
      <c r="B16131" s="2" t="s">
        <v>4949</v>
      </c>
      <c r="C16131" s="2" t="s">
        <v>7820</v>
      </c>
      <c r="D16131" s="3" t="str">
        <f t="shared" si="4120"/>
        <v>12Go Link</v>
      </c>
      <c r="E16131" s="2" t="s">
        <v>3409</v>
      </c>
    </row>
    <row r="16132">
      <c r="A16132" s="2" t="s">
        <v>5034</v>
      </c>
      <c r="B16132" s="2" t="s">
        <v>4951</v>
      </c>
      <c r="C16132" s="2" t="s">
        <v>7821</v>
      </c>
      <c r="D16132" s="3" t="str">
        <f t="shared" ref="D16132:D16134" si="4121">HYPERLINK("https://12go.asia/en/travel/Weddagala/Dickwella", "12Go Link")</f>
        <v>12Go Link</v>
      </c>
      <c r="E16132" s="2" t="s">
        <v>286</v>
      </c>
    </row>
    <row r="16133">
      <c r="A16133" s="2" t="s">
        <v>5034</v>
      </c>
      <c r="B16133" s="2" t="s">
        <v>4951</v>
      </c>
      <c r="C16133" s="2" t="s">
        <v>7821</v>
      </c>
      <c r="D16133" s="3" t="str">
        <f t="shared" si="4121"/>
        <v>12Go Link</v>
      </c>
      <c r="E16133" s="2" t="s">
        <v>4139</v>
      </c>
    </row>
    <row r="16134">
      <c r="A16134" s="2" t="s">
        <v>5034</v>
      </c>
      <c r="B16134" s="2" t="s">
        <v>4951</v>
      </c>
      <c r="C16134" s="2" t="s">
        <v>7821</v>
      </c>
      <c r="D16134" s="3" t="str">
        <f t="shared" si="4121"/>
        <v>12Go Link</v>
      </c>
      <c r="E16134" s="2" t="s">
        <v>3409</v>
      </c>
    </row>
    <row r="16135">
      <c r="A16135" s="2" t="s">
        <v>5034</v>
      </c>
      <c r="B16135" s="2" t="s">
        <v>4951</v>
      </c>
      <c r="C16135" s="2" t="s">
        <v>7822</v>
      </c>
      <c r="D16135" s="3" t="str">
        <f t="shared" ref="D16135:D16137" si="4122">HYPERLINK("https://12go.asia/en/travel/Weddagala/Hiriketiya-beach", "12Go Link")</f>
        <v>12Go Link</v>
      </c>
      <c r="E16135" s="2" t="s">
        <v>286</v>
      </c>
    </row>
    <row r="16136">
      <c r="A16136" s="2" t="s">
        <v>5034</v>
      </c>
      <c r="B16136" s="2" t="s">
        <v>4951</v>
      </c>
      <c r="C16136" s="2" t="s">
        <v>7822</v>
      </c>
      <c r="D16136" s="3" t="str">
        <f t="shared" si="4122"/>
        <v>12Go Link</v>
      </c>
      <c r="E16136" s="2" t="s">
        <v>4139</v>
      </c>
    </row>
    <row r="16137">
      <c r="A16137" s="2" t="s">
        <v>5034</v>
      </c>
      <c r="B16137" s="2" t="s">
        <v>4951</v>
      </c>
      <c r="C16137" s="2" t="s">
        <v>7822</v>
      </c>
      <c r="D16137" s="3" t="str">
        <f t="shared" si="4122"/>
        <v>12Go Link</v>
      </c>
      <c r="E16137" s="2" t="s">
        <v>3409</v>
      </c>
    </row>
    <row r="16138">
      <c r="A16138" s="2" t="s">
        <v>5034</v>
      </c>
      <c r="B16138" s="2" t="s">
        <v>4954</v>
      </c>
      <c r="C16138" s="2" t="s">
        <v>7823</v>
      </c>
      <c r="D16138" s="3" t="str">
        <f t="shared" ref="D16138:D16140" si="4123">HYPERLINK("https://12go.asia/en/travel/Weddagala/Galle", "12Go Link")</f>
        <v>12Go Link</v>
      </c>
      <c r="E16138" s="2" t="s">
        <v>286</v>
      </c>
    </row>
    <row r="16139">
      <c r="A16139" s="2" t="s">
        <v>5034</v>
      </c>
      <c r="B16139" s="2" t="s">
        <v>4954</v>
      </c>
      <c r="C16139" s="2" t="s">
        <v>7823</v>
      </c>
      <c r="D16139" s="3" t="str">
        <f t="shared" si="4123"/>
        <v>12Go Link</v>
      </c>
      <c r="E16139" s="2" t="s">
        <v>4139</v>
      </c>
    </row>
    <row r="16140">
      <c r="A16140" s="2" t="s">
        <v>5034</v>
      </c>
      <c r="B16140" s="2" t="s">
        <v>4954</v>
      </c>
      <c r="C16140" s="2" t="s">
        <v>7823</v>
      </c>
      <c r="D16140" s="3" t="str">
        <f t="shared" si="4123"/>
        <v>12Go Link</v>
      </c>
      <c r="E16140" s="2" t="s">
        <v>3409</v>
      </c>
    </row>
    <row r="16141">
      <c r="A16141" s="2" t="s">
        <v>5034</v>
      </c>
      <c r="B16141" s="2" t="s">
        <v>4954</v>
      </c>
      <c r="C16141" s="2" t="s">
        <v>7824</v>
      </c>
      <c r="D16141" s="3" t="str">
        <f t="shared" ref="D16141:D16143" si="4124">HYPERLINK("https://12go.asia/en/travel/Weddagala/Talpe", "12Go Link")</f>
        <v>12Go Link</v>
      </c>
      <c r="E16141" s="2" t="s">
        <v>286</v>
      </c>
    </row>
    <row r="16142">
      <c r="A16142" s="2" t="s">
        <v>5034</v>
      </c>
      <c r="B16142" s="2" t="s">
        <v>4954</v>
      </c>
      <c r="C16142" s="2" t="s">
        <v>7824</v>
      </c>
      <c r="D16142" s="3" t="str">
        <f t="shared" si="4124"/>
        <v>12Go Link</v>
      </c>
      <c r="E16142" s="2" t="s">
        <v>4139</v>
      </c>
    </row>
    <row r="16143">
      <c r="A16143" s="2" t="s">
        <v>5034</v>
      </c>
      <c r="B16143" s="2" t="s">
        <v>4954</v>
      </c>
      <c r="C16143" s="2" t="s">
        <v>7824</v>
      </c>
      <c r="D16143" s="3" t="str">
        <f t="shared" si="4124"/>
        <v>12Go Link</v>
      </c>
      <c r="E16143" s="2" t="s">
        <v>3409</v>
      </c>
    </row>
    <row r="16144">
      <c r="A16144" s="2" t="s">
        <v>5034</v>
      </c>
      <c r="B16144" s="2" t="s">
        <v>4957</v>
      </c>
      <c r="C16144" s="2" t="s">
        <v>7825</v>
      </c>
      <c r="D16144" s="3" t="str">
        <f t="shared" ref="D16144:D16146" si="4125">HYPERLINK("https://12go.asia/en/travel/Weddagala/Habarana", "12Go Link")</f>
        <v>12Go Link</v>
      </c>
      <c r="E16144" s="2" t="s">
        <v>286</v>
      </c>
    </row>
    <row r="16145">
      <c r="A16145" s="2" t="s">
        <v>5034</v>
      </c>
      <c r="B16145" s="2" t="s">
        <v>4957</v>
      </c>
      <c r="C16145" s="2" t="s">
        <v>7825</v>
      </c>
      <c r="D16145" s="3" t="str">
        <f t="shared" si="4125"/>
        <v>12Go Link</v>
      </c>
      <c r="E16145" s="2" t="s">
        <v>4139</v>
      </c>
    </row>
    <row r="16146">
      <c r="A16146" s="2" t="s">
        <v>5034</v>
      </c>
      <c r="B16146" s="2" t="s">
        <v>4957</v>
      </c>
      <c r="C16146" s="2" t="s">
        <v>7825</v>
      </c>
      <c r="D16146" s="3" t="str">
        <f t="shared" si="4125"/>
        <v>12Go Link</v>
      </c>
      <c r="E16146" s="2" t="s">
        <v>3409</v>
      </c>
    </row>
    <row r="16147">
      <c r="A16147" s="2" t="s">
        <v>5034</v>
      </c>
      <c r="B16147" s="2" t="s">
        <v>4959</v>
      </c>
      <c r="C16147" s="2" t="s">
        <v>7826</v>
      </c>
      <c r="D16147" s="3" t="str">
        <f t="shared" ref="D16147:D16149" si="4126">HYPERLINK("https://12go.asia/en/travel/Weddagala/Ella", "12Go Link")</f>
        <v>12Go Link</v>
      </c>
      <c r="E16147" s="2" t="s">
        <v>286</v>
      </c>
    </row>
    <row r="16148">
      <c r="A16148" s="2" t="s">
        <v>5034</v>
      </c>
      <c r="B16148" s="2" t="s">
        <v>4959</v>
      </c>
      <c r="C16148" s="2" t="s">
        <v>7826</v>
      </c>
      <c r="D16148" s="3" t="str">
        <f t="shared" si="4126"/>
        <v>12Go Link</v>
      </c>
      <c r="E16148" s="2" t="s">
        <v>4139</v>
      </c>
    </row>
    <row r="16149">
      <c r="A16149" s="2" t="s">
        <v>5034</v>
      </c>
      <c r="B16149" s="2" t="s">
        <v>4959</v>
      </c>
      <c r="C16149" s="2" t="s">
        <v>7826</v>
      </c>
      <c r="D16149" s="3" t="str">
        <f t="shared" si="4126"/>
        <v>12Go Link</v>
      </c>
      <c r="E16149" s="2" t="s">
        <v>3409</v>
      </c>
    </row>
    <row r="16150">
      <c r="A16150" s="2" t="s">
        <v>5034</v>
      </c>
      <c r="B16150" s="2" t="s">
        <v>4961</v>
      </c>
      <c r="C16150" s="2" t="s">
        <v>7827</v>
      </c>
      <c r="D16150" s="3" t="str">
        <f t="shared" ref="D16150:D16152" si="4127">HYPERLINK("https://12go.asia/en/travel/Weddagala/Beragala", "12Go Link")</f>
        <v>12Go Link</v>
      </c>
      <c r="E16150" s="2" t="s">
        <v>286</v>
      </c>
    </row>
    <row r="16151">
      <c r="A16151" s="2" t="s">
        <v>5034</v>
      </c>
      <c r="B16151" s="2" t="s">
        <v>4961</v>
      </c>
      <c r="C16151" s="2" t="s">
        <v>7827</v>
      </c>
      <c r="D16151" s="3" t="str">
        <f t="shared" si="4127"/>
        <v>12Go Link</v>
      </c>
      <c r="E16151" s="2" t="s">
        <v>4139</v>
      </c>
    </row>
    <row r="16152">
      <c r="A16152" s="2" t="s">
        <v>5034</v>
      </c>
      <c r="B16152" s="2" t="s">
        <v>4961</v>
      </c>
      <c r="C16152" s="2" t="s">
        <v>7827</v>
      </c>
      <c r="D16152" s="3" t="str">
        <f t="shared" si="4127"/>
        <v>12Go Link</v>
      </c>
      <c r="E16152" s="2" t="s">
        <v>3409</v>
      </c>
    </row>
    <row r="16153">
      <c r="A16153" s="2" t="s">
        <v>5034</v>
      </c>
      <c r="B16153" s="2" t="s">
        <v>4963</v>
      </c>
      <c r="C16153" s="2" t="s">
        <v>7828</v>
      </c>
      <c r="D16153" s="3" t="str">
        <f t="shared" ref="D16153:D16155" si="4128">HYPERLINK("https://12go.asia/en/travel/Weddagala/Dick-oya", "12Go Link")</f>
        <v>12Go Link</v>
      </c>
      <c r="E16153" s="2" t="s">
        <v>286</v>
      </c>
    </row>
    <row r="16154">
      <c r="A16154" s="2" t="s">
        <v>5034</v>
      </c>
      <c r="B16154" s="2" t="s">
        <v>4963</v>
      </c>
      <c r="C16154" s="2" t="s">
        <v>7828</v>
      </c>
      <c r="D16154" s="3" t="str">
        <f t="shared" si="4128"/>
        <v>12Go Link</v>
      </c>
      <c r="E16154" s="2" t="s">
        <v>4139</v>
      </c>
    </row>
    <row r="16155">
      <c r="A16155" s="2" t="s">
        <v>5034</v>
      </c>
      <c r="B16155" s="2" t="s">
        <v>4963</v>
      </c>
      <c r="C16155" s="2" t="s">
        <v>7828</v>
      </c>
      <c r="D16155" s="3" t="str">
        <f t="shared" si="4128"/>
        <v>12Go Link</v>
      </c>
      <c r="E16155" s="2" t="s">
        <v>3409</v>
      </c>
    </row>
    <row r="16156">
      <c r="A16156" s="2" t="s">
        <v>5034</v>
      </c>
      <c r="B16156" s="2" t="s">
        <v>4965</v>
      </c>
      <c r="C16156" s="2" t="s">
        <v>7829</v>
      </c>
      <c r="D16156" s="3" t="str">
        <f t="shared" ref="D16156:D16158" si="4129">HYPERLINK("https://12go.asia/en/travel/Weddagala/Dodanduwa", "12Go Link")</f>
        <v>12Go Link</v>
      </c>
      <c r="E16156" s="2" t="s">
        <v>286</v>
      </c>
    </row>
    <row r="16157">
      <c r="A16157" s="2" t="s">
        <v>5034</v>
      </c>
      <c r="B16157" s="2" t="s">
        <v>4965</v>
      </c>
      <c r="C16157" s="2" t="s">
        <v>7829</v>
      </c>
      <c r="D16157" s="3" t="str">
        <f t="shared" si="4129"/>
        <v>12Go Link</v>
      </c>
      <c r="E16157" s="2" t="s">
        <v>4139</v>
      </c>
    </row>
    <row r="16158">
      <c r="A16158" s="2" t="s">
        <v>5034</v>
      </c>
      <c r="B16158" s="2" t="s">
        <v>4965</v>
      </c>
      <c r="C16158" s="2" t="s">
        <v>7829</v>
      </c>
      <c r="D16158" s="3" t="str">
        <f t="shared" si="4129"/>
        <v>12Go Link</v>
      </c>
      <c r="E16158" s="2" t="s">
        <v>3409</v>
      </c>
    </row>
    <row r="16159">
      <c r="A16159" s="2" t="s">
        <v>5034</v>
      </c>
      <c r="B16159" s="2" t="s">
        <v>4967</v>
      </c>
      <c r="C16159" s="2" t="s">
        <v>7830</v>
      </c>
      <c r="D16159" s="3" t="str">
        <f t="shared" ref="D16159:D16161" si="4130">HYPERLINK("https://12go.asia/en/travel/Weddagala/Induruwa", "12Go Link")</f>
        <v>12Go Link</v>
      </c>
      <c r="E16159" s="2" t="s">
        <v>286</v>
      </c>
    </row>
    <row r="16160">
      <c r="A16160" s="2" t="s">
        <v>5034</v>
      </c>
      <c r="B16160" s="2" t="s">
        <v>4967</v>
      </c>
      <c r="C16160" s="2" t="s">
        <v>7830</v>
      </c>
      <c r="D16160" s="3" t="str">
        <f t="shared" si="4130"/>
        <v>12Go Link</v>
      </c>
      <c r="E16160" s="2" t="s">
        <v>4139</v>
      </c>
    </row>
    <row r="16161">
      <c r="A16161" s="2" t="s">
        <v>5034</v>
      </c>
      <c r="B16161" s="2" t="s">
        <v>4967</v>
      </c>
      <c r="C16161" s="2" t="s">
        <v>7830</v>
      </c>
      <c r="D16161" s="3" t="str">
        <f t="shared" si="4130"/>
        <v>12Go Link</v>
      </c>
      <c r="E16161" s="2" t="s">
        <v>3409</v>
      </c>
    </row>
    <row r="16162">
      <c r="A16162" s="2" t="s">
        <v>5034</v>
      </c>
      <c r="B16162" s="2" t="s">
        <v>4969</v>
      </c>
      <c r="C16162" s="2" t="s">
        <v>7831</v>
      </c>
      <c r="D16162" s="3" t="str">
        <f t="shared" ref="D16162:D16164" si="4131">HYPERLINK("https://12go.asia/en/travel/Weddagala/Jaffna", "12Go Link")</f>
        <v>12Go Link</v>
      </c>
      <c r="E16162" s="2" t="s">
        <v>286</v>
      </c>
    </row>
    <row r="16163">
      <c r="A16163" s="2" t="s">
        <v>5034</v>
      </c>
      <c r="B16163" s="2" t="s">
        <v>4969</v>
      </c>
      <c r="C16163" s="2" t="s">
        <v>7831</v>
      </c>
      <c r="D16163" s="3" t="str">
        <f t="shared" si="4131"/>
        <v>12Go Link</v>
      </c>
      <c r="E16163" s="2" t="s">
        <v>4139</v>
      </c>
    </row>
    <row r="16164">
      <c r="A16164" s="2" t="s">
        <v>5034</v>
      </c>
      <c r="B16164" s="2" t="s">
        <v>4969</v>
      </c>
      <c r="C16164" s="2" t="s">
        <v>7831</v>
      </c>
      <c r="D16164" s="3" t="str">
        <f t="shared" si="4131"/>
        <v>12Go Link</v>
      </c>
      <c r="E16164" s="2" t="s">
        <v>3409</v>
      </c>
    </row>
    <row r="16165">
      <c r="A16165" s="2" t="s">
        <v>5034</v>
      </c>
      <c r="B16165" s="2" t="s">
        <v>4971</v>
      </c>
      <c r="C16165" s="2" t="s">
        <v>7832</v>
      </c>
      <c r="D16165" s="3" t="str">
        <f t="shared" ref="D16165:D16167" si="4132">HYPERLINK("https://12go.asia/en/travel/Weddagala/Kalapuwa", "12Go Link")</f>
        <v>12Go Link</v>
      </c>
      <c r="E16165" s="2" t="s">
        <v>286</v>
      </c>
    </row>
    <row r="16166">
      <c r="A16166" s="2" t="s">
        <v>5034</v>
      </c>
      <c r="B16166" s="2" t="s">
        <v>4971</v>
      </c>
      <c r="C16166" s="2" t="s">
        <v>7832</v>
      </c>
      <c r="D16166" s="3" t="str">
        <f t="shared" si="4132"/>
        <v>12Go Link</v>
      </c>
      <c r="E16166" s="2" t="s">
        <v>4139</v>
      </c>
    </row>
    <row r="16167">
      <c r="A16167" s="2" t="s">
        <v>5034</v>
      </c>
      <c r="B16167" s="2" t="s">
        <v>4971</v>
      </c>
      <c r="C16167" s="2" t="s">
        <v>7832</v>
      </c>
      <c r="D16167" s="3" t="str">
        <f t="shared" si="4132"/>
        <v>12Go Link</v>
      </c>
      <c r="E16167" s="2" t="s">
        <v>3409</v>
      </c>
    </row>
    <row r="16168">
      <c r="A16168" s="2" t="s">
        <v>5034</v>
      </c>
      <c r="B16168" s="2" t="s">
        <v>4973</v>
      </c>
      <c r="C16168" s="2" t="s">
        <v>7833</v>
      </c>
      <c r="D16168" s="3" t="str">
        <f t="shared" ref="D16168:D16170" si="4133">HYPERLINK("https://12go.asia/en/travel/Weddagala/Ampitiya", "12Go Link")</f>
        <v>12Go Link</v>
      </c>
      <c r="E16168" s="2" t="s">
        <v>286</v>
      </c>
    </row>
    <row r="16169">
      <c r="A16169" s="2" t="s">
        <v>5034</v>
      </c>
      <c r="B16169" s="2" t="s">
        <v>4973</v>
      </c>
      <c r="C16169" s="2" t="s">
        <v>7833</v>
      </c>
      <c r="D16169" s="3" t="str">
        <f t="shared" si="4133"/>
        <v>12Go Link</v>
      </c>
      <c r="E16169" s="2" t="s">
        <v>4139</v>
      </c>
    </row>
    <row r="16170">
      <c r="A16170" s="2" t="s">
        <v>5034</v>
      </c>
      <c r="B16170" s="2" t="s">
        <v>4973</v>
      </c>
      <c r="C16170" s="2" t="s">
        <v>7833</v>
      </c>
      <c r="D16170" s="3" t="str">
        <f t="shared" si="4133"/>
        <v>12Go Link</v>
      </c>
      <c r="E16170" s="2" t="s">
        <v>3409</v>
      </c>
    </row>
    <row r="16171">
      <c r="A16171" s="2" t="s">
        <v>5034</v>
      </c>
      <c r="B16171" s="2" t="s">
        <v>4973</v>
      </c>
      <c r="C16171" s="2" t="s">
        <v>7834</v>
      </c>
      <c r="D16171" s="3" t="str">
        <f t="shared" ref="D16171:D16173" si="4134">HYPERLINK("https://12go.asia/en/travel/Weddagala/Digana", "12Go Link")</f>
        <v>12Go Link</v>
      </c>
      <c r="E16171" s="2" t="s">
        <v>286</v>
      </c>
    </row>
    <row r="16172">
      <c r="A16172" s="2" t="s">
        <v>5034</v>
      </c>
      <c r="B16172" s="2" t="s">
        <v>4973</v>
      </c>
      <c r="C16172" s="2" t="s">
        <v>7834</v>
      </c>
      <c r="D16172" s="3" t="str">
        <f t="shared" si="4134"/>
        <v>12Go Link</v>
      </c>
      <c r="E16172" s="2" t="s">
        <v>4139</v>
      </c>
    </row>
    <row r="16173">
      <c r="A16173" s="2" t="s">
        <v>5034</v>
      </c>
      <c r="B16173" s="2" t="s">
        <v>4973</v>
      </c>
      <c r="C16173" s="2" t="s">
        <v>7834</v>
      </c>
      <c r="D16173" s="3" t="str">
        <f t="shared" si="4134"/>
        <v>12Go Link</v>
      </c>
      <c r="E16173" s="2" t="s">
        <v>3409</v>
      </c>
    </row>
    <row r="16174">
      <c r="A16174" s="2" t="s">
        <v>5034</v>
      </c>
      <c r="B16174" s="2" t="s">
        <v>4976</v>
      </c>
      <c r="C16174" s="2" t="s">
        <v>7835</v>
      </c>
      <c r="D16174" s="3" t="str">
        <f t="shared" ref="D16174:D16176" si="4135">HYPERLINK("https://12go.asia/en/travel/Weddagala/Kataragama", "12Go Link")</f>
        <v>12Go Link</v>
      </c>
      <c r="E16174" s="2" t="s">
        <v>286</v>
      </c>
    </row>
    <row r="16175">
      <c r="A16175" s="2" t="s">
        <v>5034</v>
      </c>
      <c r="B16175" s="2" t="s">
        <v>4976</v>
      </c>
      <c r="C16175" s="2" t="s">
        <v>7835</v>
      </c>
      <c r="D16175" s="3" t="str">
        <f t="shared" si="4135"/>
        <v>12Go Link</v>
      </c>
      <c r="E16175" s="2" t="s">
        <v>4139</v>
      </c>
    </row>
    <row r="16176">
      <c r="A16176" s="2" t="s">
        <v>5034</v>
      </c>
      <c r="B16176" s="2" t="s">
        <v>4976</v>
      </c>
      <c r="C16176" s="2" t="s">
        <v>7835</v>
      </c>
      <c r="D16176" s="3" t="str">
        <f t="shared" si="4135"/>
        <v>12Go Link</v>
      </c>
      <c r="E16176" s="2" t="s">
        <v>3409</v>
      </c>
    </row>
    <row r="16177">
      <c r="A16177" s="2" t="s">
        <v>5034</v>
      </c>
      <c r="B16177" s="2" t="s">
        <v>4978</v>
      </c>
      <c r="C16177" s="2" t="s">
        <v>7836</v>
      </c>
      <c r="D16177" s="3" t="str">
        <f t="shared" ref="D16177:D16179" si="4136">HYPERLINK("https://12go.asia/en/travel/Weddagala/Alawathupitiya", "12Go Link")</f>
        <v>12Go Link</v>
      </c>
      <c r="E16177" s="2" t="s">
        <v>286</v>
      </c>
    </row>
    <row r="16178">
      <c r="A16178" s="2" t="s">
        <v>5034</v>
      </c>
      <c r="B16178" s="2" t="s">
        <v>4978</v>
      </c>
      <c r="C16178" s="2" t="s">
        <v>7836</v>
      </c>
      <c r="D16178" s="3" t="str">
        <f t="shared" si="4136"/>
        <v>12Go Link</v>
      </c>
      <c r="E16178" s="2" t="s">
        <v>4139</v>
      </c>
    </row>
    <row r="16179">
      <c r="A16179" s="2" t="s">
        <v>5034</v>
      </c>
      <c r="B16179" s="2" t="s">
        <v>4978</v>
      </c>
      <c r="C16179" s="2" t="s">
        <v>7836</v>
      </c>
      <c r="D16179" s="3" t="str">
        <f t="shared" si="4136"/>
        <v>12Go Link</v>
      </c>
      <c r="E16179" s="2" t="s">
        <v>3409</v>
      </c>
    </row>
    <row r="16180">
      <c r="A16180" s="2" t="s">
        <v>5034</v>
      </c>
      <c r="B16180" s="2" t="s">
        <v>4980</v>
      </c>
      <c r="C16180" s="2" t="s">
        <v>7837</v>
      </c>
      <c r="D16180" s="3" t="str">
        <f t="shared" ref="D16180:D16182" si="4137">HYPERLINK("https://12go.asia/en/travel/Weddagala/Pinnawala", "12Go Link")</f>
        <v>12Go Link</v>
      </c>
      <c r="E16180" s="2" t="s">
        <v>286</v>
      </c>
    </row>
    <row r="16181">
      <c r="A16181" s="2" t="s">
        <v>5034</v>
      </c>
      <c r="B16181" s="2" t="s">
        <v>4980</v>
      </c>
      <c r="C16181" s="2" t="s">
        <v>7837</v>
      </c>
      <c r="D16181" s="3" t="str">
        <f t="shared" si="4137"/>
        <v>12Go Link</v>
      </c>
      <c r="E16181" s="2" t="s">
        <v>4139</v>
      </c>
    </row>
    <row r="16182">
      <c r="A16182" s="2" t="s">
        <v>5034</v>
      </c>
      <c r="B16182" s="2" t="s">
        <v>4980</v>
      </c>
      <c r="C16182" s="2" t="s">
        <v>7837</v>
      </c>
      <c r="D16182" s="3" t="str">
        <f t="shared" si="4137"/>
        <v>12Go Link</v>
      </c>
      <c r="E16182" s="2" t="s">
        <v>3409</v>
      </c>
    </row>
    <row r="16183">
      <c r="A16183" s="2" t="s">
        <v>5034</v>
      </c>
      <c r="B16183" s="2" t="s">
        <v>4982</v>
      </c>
      <c r="C16183" s="2" t="s">
        <v>7838</v>
      </c>
      <c r="D16183" s="3" t="str">
        <f t="shared" ref="D16183:D16185" si="4138">HYPERLINK("https://12go.asia/en/travel/Weddagala/Kitulgala", "12Go Link")</f>
        <v>12Go Link</v>
      </c>
      <c r="E16183" s="2" t="s">
        <v>286</v>
      </c>
    </row>
    <row r="16184">
      <c r="A16184" s="2" t="s">
        <v>5034</v>
      </c>
      <c r="B16184" s="2" t="s">
        <v>4982</v>
      </c>
      <c r="C16184" s="2" t="s">
        <v>7838</v>
      </c>
      <c r="D16184" s="3" t="str">
        <f t="shared" si="4138"/>
        <v>12Go Link</v>
      </c>
      <c r="E16184" s="2" t="s">
        <v>4139</v>
      </c>
    </row>
    <row r="16185">
      <c r="A16185" s="2" t="s">
        <v>5034</v>
      </c>
      <c r="B16185" s="2" t="s">
        <v>4982</v>
      </c>
      <c r="C16185" s="2" t="s">
        <v>7838</v>
      </c>
      <c r="D16185" s="3" t="str">
        <f t="shared" si="4138"/>
        <v>12Go Link</v>
      </c>
      <c r="E16185" s="2" t="s">
        <v>3409</v>
      </c>
    </row>
    <row r="16186">
      <c r="A16186" s="2" t="s">
        <v>5034</v>
      </c>
      <c r="B16186" s="2" t="s">
        <v>4984</v>
      </c>
      <c r="C16186" s="2" t="s">
        <v>7839</v>
      </c>
      <c r="D16186" s="3" t="str">
        <f t="shared" ref="D16186:D16188" si="4139">HYPERLINK("https://12go.asia/en/travel/Weddagala/Habaraduwa", "12Go Link")</f>
        <v>12Go Link</v>
      </c>
      <c r="E16186" s="2" t="s">
        <v>286</v>
      </c>
    </row>
    <row r="16187">
      <c r="A16187" s="2" t="s">
        <v>5034</v>
      </c>
      <c r="B16187" s="2" t="s">
        <v>4984</v>
      </c>
      <c r="C16187" s="2" t="s">
        <v>7839</v>
      </c>
      <c r="D16187" s="3" t="str">
        <f t="shared" si="4139"/>
        <v>12Go Link</v>
      </c>
      <c r="E16187" s="2" t="s">
        <v>4139</v>
      </c>
    </row>
    <row r="16188">
      <c r="A16188" s="2" t="s">
        <v>5034</v>
      </c>
      <c r="B16188" s="2" t="s">
        <v>4984</v>
      </c>
      <c r="C16188" s="2" t="s">
        <v>7839</v>
      </c>
      <c r="D16188" s="3" t="str">
        <f t="shared" si="4139"/>
        <v>12Go Link</v>
      </c>
      <c r="E16188" s="2" t="s">
        <v>3409</v>
      </c>
    </row>
    <row r="16189">
      <c r="A16189" s="2" t="s">
        <v>5034</v>
      </c>
      <c r="B16189" s="2" t="s">
        <v>4986</v>
      </c>
      <c r="C16189" s="2" t="s">
        <v>7840</v>
      </c>
      <c r="D16189" s="3" t="str">
        <f t="shared" ref="D16189:D16191" si="4140">HYPERLINK("https://12go.asia/en/travel/Weddagala/Kosgoda", "12Go Link")</f>
        <v>12Go Link</v>
      </c>
      <c r="E16189" s="2" t="s">
        <v>286</v>
      </c>
    </row>
    <row r="16190">
      <c r="A16190" s="2" t="s">
        <v>5034</v>
      </c>
      <c r="B16190" s="2" t="s">
        <v>4986</v>
      </c>
      <c r="C16190" s="2" t="s">
        <v>7840</v>
      </c>
      <c r="D16190" s="3" t="str">
        <f t="shared" si="4140"/>
        <v>12Go Link</v>
      </c>
      <c r="E16190" s="2" t="s">
        <v>4139</v>
      </c>
    </row>
    <row r="16191">
      <c r="A16191" s="2" t="s">
        <v>5034</v>
      </c>
      <c r="B16191" s="2" t="s">
        <v>4986</v>
      </c>
      <c r="C16191" s="2" t="s">
        <v>7840</v>
      </c>
      <c r="D16191" s="3" t="str">
        <f t="shared" si="4140"/>
        <v>12Go Link</v>
      </c>
      <c r="E16191" s="2" t="s">
        <v>3409</v>
      </c>
    </row>
    <row r="16192">
      <c r="A16192" s="2" t="s">
        <v>5034</v>
      </c>
      <c r="B16192" s="2" t="s">
        <v>4988</v>
      </c>
      <c r="C16192" s="2" t="s">
        <v>7841</v>
      </c>
      <c r="D16192" s="3" t="str">
        <f t="shared" ref="D16192:D16194" si="4141">HYPERLINK("https://12go.asia/en/travel/Weddagala/Kuchchaveli", "12Go Link")</f>
        <v>12Go Link</v>
      </c>
      <c r="E16192" s="2" t="s">
        <v>286</v>
      </c>
    </row>
    <row r="16193">
      <c r="A16193" s="2" t="s">
        <v>5034</v>
      </c>
      <c r="B16193" s="2" t="s">
        <v>4988</v>
      </c>
      <c r="C16193" s="2" t="s">
        <v>7841</v>
      </c>
      <c r="D16193" s="3" t="str">
        <f t="shared" si="4141"/>
        <v>12Go Link</v>
      </c>
      <c r="E16193" s="2" t="s">
        <v>4139</v>
      </c>
    </row>
    <row r="16194">
      <c r="A16194" s="2" t="s">
        <v>5034</v>
      </c>
      <c r="B16194" s="2" t="s">
        <v>4988</v>
      </c>
      <c r="C16194" s="2" t="s">
        <v>7841</v>
      </c>
      <c r="D16194" s="3" t="str">
        <f t="shared" si="4141"/>
        <v>12Go Link</v>
      </c>
      <c r="E16194" s="2" t="s">
        <v>3409</v>
      </c>
    </row>
    <row r="16195">
      <c r="A16195" s="2" t="s">
        <v>5034</v>
      </c>
      <c r="B16195" s="2" t="s">
        <v>4990</v>
      </c>
      <c r="C16195" s="2" t="s">
        <v>7842</v>
      </c>
      <c r="D16195" s="3" t="str">
        <f t="shared" ref="D16195:D16197" si="4142">HYPERLINK("https://12go.asia/en/travel/Weddagala/Mannar", "12Go Link")</f>
        <v>12Go Link</v>
      </c>
      <c r="E16195" s="2" t="s">
        <v>286</v>
      </c>
    </row>
    <row r="16196">
      <c r="A16196" s="2" t="s">
        <v>5034</v>
      </c>
      <c r="B16196" s="2" t="s">
        <v>4990</v>
      </c>
      <c r="C16196" s="2" t="s">
        <v>7842</v>
      </c>
      <c r="D16196" s="3" t="str">
        <f t="shared" si="4142"/>
        <v>12Go Link</v>
      </c>
      <c r="E16196" s="2" t="s">
        <v>4139</v>
      </c>
    </row>
    <row r="16197">
      <c r="A16197" s="2" t="s">
        <v>5034</v>
      </c>
      <c r="B16197" s="2" t="s">
        <v>4990</v>
      </c>
      <c r="C16197" s="2" t="s">
        <v>7842</v>
      </c>
      <c r="D16197" s="3" t="str">
        <f t="shared" si="4142"/>
        <v>12Go Link</v>
      </c>
      <c r="E16197" s="2" t="s">
        <v>3409</v>
      </c>
    </row>
    <row r="16198">
      <c r="A16198" s="2" t="s">
        <v>5034</v>
      </c>
      <c r="B16198" s="2" t="s">
        <v>4992</v>
      </c>
      <c r="C16198" s="2" t="s">
        <v>7843</v>
      </c>
      <c r="D16198" s="3" t="str">
        <f t="shared" ref="D16198:D16200" si="4143">HYPERLINK("https://12go.asia/en/travel/Weddagala/Kinigama", "12Go Link")</f>
        <v>12Go Link</v>
      </c>
      <c r="E16198" s="2" t="s">
        <v>286</v>
      </c>
    </row>
    <row r="16199">
      <c r="A16199" s="2" t="s">
        <v>5034</v>
      </c>
      <c r="B16199" s="2" t="s">
        <v>4992</v>
      </c>
      <c r="C16199" s="2" t="s">
        <v>7843</v>
      </c>
      <c r="D16199" s="3" t="str">
        <f t="shared" si="4143"/>
        <v>12Go Link</v>
      </c>
      <c r="E16199" s="2" t="s">
        <v>4139</v>
      </c>
    </row>
    <row r="16200">
      <c r="A16200" s="2" t="s">
        <v>5034</v>
      </c>
      <c r="B16200" s="2" t="s">
        <v>4992</v>
      </c>
      <c r="C16200" s="2" t="s">
        <v>7843</v>
      </c>
      <c r="D16200" s="3" t="str">
        <f t="shared" si="4143"/>
        <v>12Go Link</v>
      </c>
      <c r="E16200" s="2" t="s">
        <v>3409</v>
      </c>
    </row>
    <row r="16201">
      <c r="A16201" s="2" t="s">
        <v>5034</v>
      </c>
      <c r="B16201" s="2" t="s">
        <v>4994</v>
      </c>
      <c r="C16201" s="2" t="s">
        <v>7844</v>
      </c>
      <c r="D16201" s="3" t="str">
        <f t="shared" ref="D16201:D16203" si="4144">HYPERLINK("https://12go.asia/en/travel/Weddagala/Kalamatiya", "12Go Link")</f>
        <v>12Go Link</v>
      </c>
      <c r="E16201" s="2" t="s">
        <v>286</v>
      </c>
    </row>
    <row r="16202">
      <c r="A16202" s="2" t="s">
        <v>5034</v>
      </c>
      <c r="B16202" s="2" t="s">
        <v>4994</v>
      </c>
      <c r="C16202" s="2" t="s">
        <v>7844</v>
      </c>
      <c r="D16202" s="3" t="str">
        <f t="shared" si="4144"/>
        <v>12Go Link</v>
      </c>
      <c r="E16202" s="2" t="s">
        <v>4139</v>
      </c>
    </row>
    <row r="16203">
      <c r="A16203" s="2" t="s">
        <v>5034</v>
      </c>
      <c r="B16203" s="2" t="s">
        <v>4994</v>
      </c>
      <c r="C16203" s="2" t="s">
        <v>7844</v>
      </c>
      <c r="D16203" s="3" t="str">
        <f t="shared" si="4144"/>
        <v>12Go Link</v>
      </c>
      <c r="E16203" s="2" t="s">
        <v>3409</v>
      </c>
    </row>
    <row r="16204">
      <c r="A16204" s="2" t="s">
        <v>5034</v>
      </c>
      <c r="B16204" s="2" t="s">
        <v>4996</v>
      </c>
      <c r="C16204" s="2" t="s">
        <v>7845</v>
      </c>
      <c r="D16204" s="3" t="str">
        <f t="shared" ref="D16204:D16206" si="4145">HYPERLINK("https://12go.asia/en/travel/Weddagala/mirissa", "12Go Link")</f>
        <v>12Go Link</v>
      </c>
      <c r="E16204" s="2" t="s">
        <v>286</v>
      </c>
    </row>
    <row r="16205">
      <c r="A16205" s="2" t="s">
        <v>5034</v>
      </c>
      <c r="B16205" s="2" t="s">
        <v>4996</v>
      </c>
      <c r="C16205" s="2" t="s">
        <v>7845</v>
      </c>
      <c r="D16205" s="3" t="str">
        <f t="shared" si="4145"/>
        <v>12Go Link</v>
      </c>
      <c r="E16205" s="2" t="s">
        <v>4139</v>
      </c>
    </row>
    <row r="16206">
      <c r="A16206" s="2" t="s">
        <v>5034</v>
      </c>
      <c r="B16206" s="2" t="s">
        <v>4996</v>
      </c>
      <c r="C16206" s="2" t="s">
        <v>7845</v>
      </c>
      <c r="D16206" s="3" t="str">
        <f t="shared" si="4145"/>
        <v>12Go Link</v>
      </c>
      <c r="E16206" s="2" t="s">
        <v>3409</v>
      </c>
    </row>
    <row r="16207">
      <c r="A16207" s="2" t="s">
        <v>5034</v>
      </c>
      <c r="B16207" s="2" t="s">
        <v>4998</v>
      </c>
      <c r="C16207" s="2" t="s">
        <v>7846</v>
      </c>
      <c r="D16207" s="3" t="str">
        <f t="shared" ref="D16207:D16209" si="4146">HYPERLINK("https://12go.asia/en/travel/Weddagala/Nanu-Oya", "12Go Link")</f>
        <v>12Go Link</v>
      </c>
      <c r="E16207" s="2" t="s">
        <v>286</v>
      </c>
    </row>
    <row r="16208">
      <c r="A16208" s="2" t="s">
        <v>5034</v>
      </c>
      <c r="B16208" s="2" t="s">
        <v>4998</v>
      </c>
      <c r="C16208" s="2" t="s">
        <v>7846</v>
      </c>
      <c r="D16208" s="3" t="str">
        <f t="shared" si="4146"/>
        <v>12Go Link</v>
      </c>
      <c r="E16208" s="2" t="s">
        <v>4139</v>
      </c>
    </row>
    <row r="16209">
      <c r="A16209" s="2" t="s">
        <v>5034</v>
      </c>
      <c r="B16209" s="2" t="s">
        <v>4998</v>
      </c>
      <c r="C16209" s="2" t="s">
        <v>7846</v>
      </c>
      <c r="D16209" s="3" t="str">
        <f t="shared" si="4146"/>
        <v>12Go Link</v>
      </c>
      <c r="E16209" s="2" t="s">
        <v>3409</v>
      </c>
    </row>
    <row r="16210">
      <c r="A16210" s="2" t="s">
        <v>5034</v>
      </c>
      <c r="B16210" s="2" t="s">
        <v>5000</v>
      </c>
      <c r="C16210" s="2" t="s">
        <v>7847</v>
      </c>
      <c r="D16210" s="3" t="str">
        <f t="shared" ref="D16210:D16212" si="4147">HYPERLINK("https://12go.asia/en/travel/Weddagala/Dalupotha", "12Go Link")</f>
        <v>12Go Link</v>
      </c>
      <c r="E16210" s="2" t="s">
        <v>286</v>
      </c>
    </row>
    <row r="16211">
      <c r="A16211" s="2" t="s">
        <v>5034</v>
      </c>
      <c r="B16211" s="2" t="s">
        <v>5000</v>
      </c>
      <c r="C16211" s="2" t="s">
        <v>7847</v>
      </c>
      <c r="D16211" s="3" t="str">
        <f t="shared" si="4147"/>
        <v>12Go Link</v>
      </c>
      <c r="E16211" s="2" t="s">
        <v>4139</v>
      </c>
    </row>
    <row r="16212">
      <c r="A16212" s="2" t="s">
        <v>5034</v>
      </c>
      <c r="B16212" s="2" t="s">
        <v>5000</v>
      </c>
      <c r="C16212" s="2" t="s">
        <v>7847</v>
      </c>
      <c r="D16212" s="3" t="str">
        <f t="shared" si="4147"/>
        <v>12Go Link</v>
      </c>
      <c r="E16212" s="2" t="s">
        <v>3409</v>
      </c>
    </row>
    <row r="16213">
      <c r="A16213" s="2" t="s">
        <v>5034</v>
      </c>
      <c r="B16213" s="2" t="s">
        <v>5000</v>
      </c>
      <c r="C16213" s="2" t="s">
        <v>7848</v>
      </c>
      <c r="D16213" s="3" t="str">
        <f t="shared" ref="D16213:D16215" si="4148">HYPERLINK("https://12go.asia/en/travel/Weddagala/Waikkal", "12Go Link")</f>
        <v>12Go Link</v>
      </c>
      <c r="E16213" s="2" t="s">
        <v>286</v>
      </c>
    </row>
    <row r="16214">
      <c r="A16214" s="2" t="s">
        <v>5034</v>
      </c>
      <c r="B16214" s="2" t="s">
        <v>5000</v>
      </c>
      <c r="C16214" s="2" t="s">
        <v>7848</v>
      </c>
      <c r="D16214" s="3" t="str">
        <f t="shared" si="4148"/>
        <v>12Go Link</v>
      </c>
      <c r="E16214" s="2" t="s">
        <v>4139</v>
      </c>
    </row>
    <row r="16215">
      <c r="A16215" s="2" t="s">
        <v>5034</v>
      </c>
      <c r="B16215" s="2" t="s">
        <v>5000</v>
      </c>
      <c r="C16215" s="2" t="s">
        <v>7848</v>
      </c>
      <c r="D16215" s="3" t="str">
        <f t="shared" si="4148"/>
        <v>12Go Link</v>
      </c>
      <c r="E16215" s="2" t="s">
        <v>3409</v>
      </c>
    </row>
    <row r="16216">
      <c r="A16216" s="2" t="s">
        <v>5034</v>
      </c>
      <c r="B16216" s="2" t="s">
        <v>5003</v>
      </c>
      <c r="C16216" s="2" t="s">
        <v>7849</v>
      </c>
      <c r="D16216" s="3" t="str">
        <f t="shared" ref="D16216:D16218" si="4149">HYPERLINK("https://12go.asia/en/travel/Weddagala/Nilaveli", "12Go Link")</f>
        <v>12Go Link</v>
      </c>
      <c r="E16216" s="2" t="s">
        <v>286</v>
      </c>
    </row>
    <row r="16217">
      <c r="A16217" s="2" t="s">
        <v>5034</v>
      </c>
      <c r="B16217" s="2" t="s">
        <v>5003</v>
      </c>
      <c r="C16217" s="2" t="s">
        <v>7849</v>
      </c>
      <c r="D16217" s="3" t="str">
        <f t="shared" si="4149"/>
        <v>12Go Link</v>
      </c>
      <c r="E16217" s="2" t="s">
        <v>4139</v>
      </c>
    </row>
    <row r="16218">
      <c r="A16218" s="2" t="s">
        <v>5034</v>
      </c>
      <c r="B16218" s="2" t="s">
        <v>5003</v>
      </c>
      <c r="C16218" s="2" t="s">
        <v>7849</v>
      </c>
      <c r="D16218" s="3" t="str">
        <f t="shared" si="4149"/>
        <v>12Go Link</v>
      </c>
      <c r="E16218" s="2" t="s">
        <v>3409</v>
      </c>
    </row>
    <row r="16219">
      <c r="A16219" s="2" t="s">
        <v>5034</v>
      </c>
      <c r="B16219" s="2" t="s">
        <v>5005</v>
      </c>
      <c r="C16219" s="2" t="s">
        <v>7850</v>
      </c>
      <c r="D16219" s="3" t="str">
        <f t="shared" ref="D16219:D16221" si="4150">HYPERLINK("https://12go.asia/en/travel/Weddagala/Kotmale", "12Go Link")</f>
        <v>12Go Link</v>
      </c>
      <c r="E16219" s="2" t="s">
        <v>286</v>
      </c>
    </row>
    <row r="16220">
      <c r="A16220" s="2" t="s">
        <v>5034</v>
      </c>
      <c r="B16220" s="2" t="s">
        <v>5005</v>
      </c>
      <c r="C16220" s="2" t="s">
        <v>7850</v>
      </c>
      <c r="D16220" s="3" t="str">
        <f t="shared" si="4150"/>
        <v>12Go Link</v>
      </c>
      <c r="E16220" s="2" t="s">
        <v>4139</v>
      </c>
    </row>
    <row r="16221">
      <c r="A16221" s="2" t="s">
        <v>5034</v>
      </c>
      <c r="B16221" s="2" t="s">
        <v>5005</v>
      </c>
      <c r="C16221" s="2" t="s">
        <v>7850</v>
      </c>
      <c r="D16221" s="3" t="str">
        <f t="shared" si="4150"/>
        <v>12Go Link</v>
      </c>
      <c r="E16221" s="2" t="s">
        <v>3409</v>
      </c>
    </row>
    <row r="16222">
      <c r="A16222" s="2" t="s">
        <v>5034</v>
      </c>
      <c r="B16222" s="2" t="s">
        <v>5007</v>
      </c>
      <c r="C16222" s="2" t="s">
        <v>7851</v>
      </c>
      <c r="D16222" s="3" t="str">
        <f t="shared" ref="D16222:D16224" si="4151">HYPERLINK("https://12go.asia/en/travel/Weddagala/Pasikuda", "12Go Link")</f>
        <v>12Go Link</v>
      </c>
      <c r="E16222" s="2" t="s">
        <v>286</v>
      </c>
    </row>
    <row r="16223">
      <c r="A16223" s="2" t="s">
        <v>5034</v>
      </c>
      <c r="B16223" s="2" t="s">
        <v>5007</v>
      </c>
      <c r="C16223" s="2" t="s">
        <v>7851</v>
      </c>
      <c r="D16223" s="3" t="str">
        <f t="shared" si="4151"/>
        <v>12Go Link</v>
      </c>
      <c r="E16223" s="2" t="s">
        <v>4139</v>
      </c>
    </row>
    <row r="16224">
      <c r="A16224" s="2" t="s">
        <v>5034</v>
      </c>
      <c r="B16224" s="2" t="s">
        <v>5007</v>
      </c>
      <c r="C16224" s="2" t="s">
        <v>7851</v>
      </c>
      <c r="D16224" s="3" t="str">
        <f t="shared" si="4151"/>
        <v>12Go Link</v>
      </c>
      <c r="E16224" s="2" t="s">
        <v>3409</v>
      </c>
    </row>
    <row r="16225">
      <c r="A16225" s="2" t="s">
        <v>5034</v>
      </c>
      <c r="B16225" s="2" t="s">
        <v>5009</v>
      </c>
      <c r="C16225" s="2" t="s">
        <v>7852</v>
      </c>
      <c r="D16225" s="3" t="str">
        <f t="shared" ref="D16225:D16227" si="4152">HYPERLINK("https://12go.asia/en/travel/Weddagala/Galoya", "12Go Link")</f>
        <v>12Go Link</v>
      </c>
      <c r="E16225" s="2" t="s">
        <v>286</v>
      </c>
    </row>
    <row r="16226">
      <c r="A16226" s="2" t="s">
        <v>5034</v>
      </c>
      <c r="B16226" s="2" t="s">
        <v>5009</v>
      </c>
      <c r="C16226" s="2" t="s">
        <v>7852</v>
      </c>
      <c r="D16226" s="3" t="str">
        <f t="shared" si="4152"/>
        <v>12Go Link</v>
      </c>
      <c r="E16226" s="2" t="s">
        <v>4139</v>
      </c>
    </row>
    <row r="16227">
      <c r="A16227" s="2" t="s">
        <v>5034</v>
      </c>
      <c r="B16227" s="2" t="s">
        <v>5009</v>
      </c>
      <c r="C16227" s="2" t="s">
        <v>7852</v>
      </c>
      <c r="D16227" s="3" t="str">
        <f t="shared" si="4152"/>
        <v>12Go Link</v>
      </c>
      <c r="E16227" s="2" t="s">
        <v>3409</v>
      </c>
    </row>
    <row r="16228">
      <c r="A16228" s="2" t="s">
        <v>5034</v>
      </c>
      <c r="B16228" s="2" t="s">
        <v>5011</v>
      </c>
      <c r="C16228" s="2" t="s">
        <v>7853</v>
      </c>
      <c r="D16228" s="3" t="str">
        <f t="shared" ref="D16228:D16230" si="4153">HYPERLINK("https://12go.asia/en/travel/Weddagala/Kalpitiya", "12Go Link")</f>
        <v>12Go Link</v>
      </c>
      <c r="E16228" s="2" t="s">
        <v>286</v>
      </c>
    </row>
    <row r="16229">
      <c r="A16229" s="2" t="s">
        <v>5034</v>
      </c>
      <c r="B16229" s="2" t="s">
        <v>5011</v>
      </c>
      <c r="C16229" s="2" t="s">
        <v>7853</v>
      </c>
      <c r="D16229" s="3" t="str">
        <f t="shared" si="4153"/>
        <v>12Go Link</v>
      </c>
      <c r="E16229" s="2" t="s">
        <v>4139</v>
      </c>
    </row>
    <row r="16230">
      <c r="A16230" s="2" t="s">
        <v>5034</v>
      </c>
      <c r="B16230" s="2" t="s">
        <v>5011</v>
      </c>
      <c r="C16230" s="2" t="s">
        <v>7853</v>
      </c>
      <c r="D16230" s="3" t="str">
        <f t="shared" si="4153"/>
        <v>12Go Link</v>
      </c>
      <c r="E16230" s="2" t="s">
        <v>3409</v>
      </c>
    </row>
    <row r="16231">
      <c r="A16231" s="2" t="s">
        <v>5034</v>
      </c>
      <c r="B16231" s="2" t="s">
        <v>5011</v>
      </c>
      <c r="C16231" s="2" t="s">
        <v>7854</v>
      </c>
      <c r="D16231" s="3" t="str">
        <f t="shared" ref="D16231:D16233" si="4154">HYPERLINK("https://12go.asia/en/travel/Weddagala/Marawila", "12Go Link")</f>
        <v>12Go Link</v>
      </c>
      <c r="E16231" s="2" t="s">
        <v>286</v>
      </c>
    </row>
    <row r="16232">
      <c r="A16232" s="2" t="s">
        <v>5034</v>
      </c>
      <c r="B16232" s="2" t="s">
        <v>5011</v>
      </c>
      <c r="C16232" s="2" t="s">
        <v>7854</v>
      </c>
      <c r="D16232" s="3" t="str">
        <f t="shared" si="4154"/>
        <v>12Go Link</v>
      </c>
      <c r="E16232" s="2" t="s">
        <v>4139</v>
      </c>
    </row>
    <row r="16233">
      <c r="A16233" s="2" t="s">
        <v>5034</v>
      </c>
      <c r="B16233" s="2" t="s">
        <v>5011</v>
      </c>
      <c r="C16233" s="2" t="s">
        <v>7854</v>
      </c>
      <c r="D16233" s="3" t="str">
        <f t="shared" si="4154"/>
        <v>12Go Link</v>
      </c>
      <c r="E16233" s="2" t="s">
        <v>3409</v>
      </c>
    </row>
    <row r="16234">
      <c r="A16234" s="2" t="s">
        <v>5034</v>
      </c>
      <c r="B16234" s="2" t="s">
        <v>5014</v>
      </c>
      <c r="C16234" s="2" t="s">
        <v>7855</v>
      </c>
      <c r="D16234" s="3" t="str">
        <f t="shared" ref="D16234:D16236" si="4155">HYPERLINK("https://12go.asia/en/travel/Weddagala/Kiriella", "12Go Link")</f>
        <v>12Go Link</v>
      </c>
      <c r="E16234" s="2" t="s">
        <v>286</v>
      </c>
    </row>
    <row r="16235">
      <c r="A16235" s="2" t="s">
        <v>5034</v>
      </c>
      <c r="B16235" s="2" t="s">
        <v>5014</v>
      </c>
      <c r="C16235" s="2" t="s">
        <v>7855</v>
      </c>
      <c r="D16235" s="3" t="str">
        <f t="shared" si="4155"/>
        <v>12Go Link</v>
      </c>
      <c r="E16235" s="2" t="s">
        <v>4139</v>
      </c>
    </row>
    <row r="16236">
      <c r="A16236" s="2" t="s">
        <v>5034</v>
      </c>
      <c r="B16236" s="2" t="s">
        <v>5014</v>
      </c>
      <c r="C16236" s="2" t="s">
        <v>7855</v>
      </c>
      <c r="D16236" s="3" t="str">
        <f t="shared" si="4155"/>
        <v>12Go Link</v>
      </c>
      <c r="E16236" s="2" t="s">
        <v>3409</v>
      </c>
    </row>
    <row r="16237">
      <c r="A16237" s="2" t="s">
        <v>5034</v>
      </c>
      <c r="B16237" s="2" t="s">
        <v>5016</v>
      </c>
      <c r="C16237" s="2" t="s">
        <v>7856</v>
      </c>
      <c r="D16237" s="3" t="str">
        <f t="shared" ref="D16237:D16239" si="4156">HYPERLINK("https://12go.asia/en/travel/Weddagala/Pidurangala", "12Go Link")</f>
        <v>12Go Link</v>
      </c>
      <c r="E16237" s="2" t="s">
        <v>286</v>
      </c>
    </row>
    <row r="16238">
      <c r="A16238" s="2" t="s">
        <v>5034</v>
      </c>
      <c r="B16238" s="2" t="s">
        <v>5016</v>
      </c>
      <c r="C16238" s="2" t="s">
        <v>7856</v>
      </c>
      <c r="D16238" s="3" t="str">
        <f t="shared" si="4156"/>
        <v>12Go Link</v>
      </c>
      <c r="E16238" s="2" t="s">
        <v>4139</v>
      </c>
    </row>
    <row r="16239">
      <c r="A16239" s="2" t="s">
        <v>5034</v>
      </c>
      <c r="B16239" s="2" t="s">
        <v>5016</v>
      </c>
      <c r="C16239" s="2" t="s">
        <v>7856</v>
      </c>
      <c r="D16239" s="3" t="str">
        <f t="shared" si="4156"/>
        <v>12Go Link</v>
      </c>
      <c r="E16239" s="2" t="s">
        <v>3409</v>
      </c>
    </row>
    <row r="16240">
      <c r="A16240" s="2" t="s">
        <v>5034</v>
      </c>
      <c r="B16240" s="2" t="s">
        <v>5018</v>
      </c>
      <c r="C16240" s="2" t="s">
        <v>7857</v>
      </c>
      <c r="D16240" s="3" t="str">
        <f t="shared" ref="D16240:D16242" si="4157">HYPERLINK("https://12go.asia/en/travel/Weddagala/Rekawa", "12Go Link")</f>
        <v>12Go Link</v>
      </c>
      <c r="E16240" s="2" t="s">
        <v>286</v>
      </c>
    </row>
    <row r="16241">
      <c r="A16241" s="2" t="s">
        <v>5034</v>
      </c>
      <c r="B16241" s="2" t="s">
        <v>5018</v>
      </c>
      <c r="C16241" s="2" t="s">
        <v>7857</v>
      </c>
      <c r="D16241" s="3" t="str">
        <f t="shared" si="4157"/>
        <v>12Go Link</v>
      </c>
      <c r="E16241" s="2" t="s">
        <v>4139</v>
      </c>
    </row>
    <row r="16242">
      <c r="A16242" s="2" t="s">
        <v>5034</v>
      </c>
      <c r="B16242" s="2" t="s">
        <v>5018</v>
      </c>
      <c r="C16242" s="2" t="s">
        <v>7857</v>
      </c>
      <c r="D16242" s="3" t="str">
        <f t="shared" si="4157"/>
        <v>12Go Link</v>
      </c>
      <c r="E16242" s="2" t="s">
        <v>3409</v>
      </c>
    </row>
    <row r="16243">
      <c r="A16243" s="2" t="s">
        <v>5034</v>
      </c>
      <c r="B16243" s="2" t="s">
        <v>5020</v>
      </c>
      <c r="C16243" s="2" t="s">
        <v>7858</v>
      </c>
      <c r="D16243" s="3" t="str">
        <f t="shared" ref="D16243:D16245" si="4158">HYPERLINK("https://12go.asia/en/travel/Weddagala/Tissamaharama", "12Go Link")</f>
        <v>12Go Link</v>
      </c>
      <c r="E16243" s="2" t="s">
        <v>286</v>
      </c>
    </row>
    <row r="16244">
      <c r="A16244" s="2" t="s">
        <v>5034</v>
      </c>
      <c r="B16244" s="2" t="s">
        <v>5020</v>
      </c>
      <c r="C16244" s="2" t="s">
        <v>7858</v>
      </c>
      <c r="D16244" s="3" t="str">
        <f t="shared" si="4158"/>
        <v>12Go Link</v>
      </c>
      <c r="E16244" s="2" t="s">
        <v>4139</v>
      </c>
    </row>
    <row r="16245">
      <c r="A16245" s="2" t="s">
        <v>5034</v>
      </c>
      <c r="B16245" s="2" t="s">
        <v>5020</v>
      </c>
      <c r="C16245" s="2" t="s">
        <v>7858</v>
      </c>
      <c r="D16245" s="3" t="str">
        <f t="shared" si="4158"/>
        <v>12Go Link</v>
      </c>
      <c r="E16245" s="2" t="s">
        <v>3409</v>
      </c>
    </row>
    <row r="16246">
      <c r="A16246" s="2" t="s">
        <v>5034</v>
      </c>
      <c r="B16246" s="2" t="s">
        <v>5020</v>
      </c>
      <c r="C16246" s="2" t="s">
        <v>7859</v>
      </c>
      <c r="D16246" s="3" t="str">
        <f t="shared" ref="D16246:D16248" si="4159">HYPERLINK("https://12go.asia/en/travel/Weddagala/Yala-Park", "12Go Link")</f>
        <v>12Go Link</v>
      </c>
      <c r="E16246" s="2" t="s">
        <v>286</v>
      </c>
    </row>
    <row r="16247">
      <c r="A16247" s="2" t="s">
        <v>5034</v>
      </c>
      <c r="B16247" s="2" t="s">
        <v>5020</v>
      </c>
      <c r="C16247" s="2" t="s">
        <v>7859</v>
      </c>
      <c r="D16247" s="3" t="str">
        <f t="shared" si="4159"/>
        <v>12Go Link</v>
      </c>
      <c r="E16247" s="2" t="s">
        <v>4139</v>
      </c>
    </row>
    <row r="16248">
      <c r="A16248" s="2" t="s">
        <v>5034</v>
      </c>
      <c r="B16248" s="2" t="s">
        <v>5020</v>
      </c>
      <c r="C16248" s="2" t="s">
        <v>7859</v>
      </c>
      <c r="D16248" s="3" t="str">
        <f t="shared" si="4159"/>
        <v>12Go Link</v>
      </c>
      <c r="E16248" s="2" t="s">
        <v>3409</v>
      </c>
    </row>
    <row r="16249">
      <c r="A16249" s="2" t="s">
        <v>5034</v>
      </c>
      <c r="B16249" s="2" t="s">
        <v>5023</v>
      </c>
      <c r="C16249" s="2" t="s">
        <v>7860</v>
      </c>
      <c r="D16249" s="3" t="str">
        <f t="shared" ref="D16249:D16251" si="4160">HYPERLINK("https://12go.asia/en/travel/Weddagala/Nilaweli", "12Go Link")</f>
        <v>12Go Link</v>
      </c>
      <c r="E16249" s="2" t="s">
        <v>286</v>
      </c>
    </row>
    <row r="16250">
      <c r="A16250" s="2" t="s">
        <v>5034</v>
      </c>
      <c r="B16250" s="2" t="s">
        <v>5023</v>
      </c>
      <c r="C16250" s="2" t="s">
        <v>7860</v>
      </c>
      <c r="D16250" s="3" t="str">
        <f t="shared" si="4160"/>
        <v>12Go Link</v>
      </c>
      <c r="E16250" s="2" t="s">
        <v>4139</v>
      </c>
    </row>
    <row r="16251">
      <c r="A16251" s="2" t="s">
        <v>5034</v>
      </c>
      <c r="B16251" s="2" t="s">
        <v>5023</v>
      </c>
      <c r="C16251" s="2" t="s">
        <v>7860</v>
      </c>
      <c r="D16251" s="3" t="str">
        <f t="shared" si="4160"/>
        <v>12Go Link</v>
      </c>
      <c r="E16251" s="2" t="s">
        <v>3409</v>
      </c>
    </row>
    <row r="16252">
      <c r="A16252" s="2" t="s">
        <v>5034</v>
      </c>
      <c r="B16252" s="2" t="s">
        <v>5025</v>
      </c>
      <c r="C16252" s="2" t="s">
        <v>7861</v>
      </c>
      <c r="D16252" s="3" t="str">
        <f t="shared" ref="D16252:D16254" si="4161">HYPERLINK("https://12go.asia/en/travel/Weddagala/Udawalawa", "12Go Link")</f>
        <v>12Go Link</v>
      </c>
      <c r="E16252" s="2" t="s">
        <v>286</v>
      </c>
    </row>
    <row r="16253">
      <c r="A16253" s="2" t="s">
        <v>5034</v>
      </c>
      <c r="B16253" s="2" t="s">
        <v>5025</v>
      </c>
      <c r="C16253" s="2" t="s">
        <v>7861</v>
      </c>
      <c r="D16253" s="3" t="str">
        <f t="shared" si="4161"/>
        <v>12Go Link</v>
      </c>
      <c r="E16253" s="2" t="s">
        <v>4139</v>
      </c>
    </row>
    <row r="16254">
      <c r="A16254" s="2" t="s">
        <v>5034</v>
      </c>
      <c r="B16254" s="2" t="s">
        <v>5025</v>
      </c>
      <c r="C16254" s="2" t="s">
        <v>7861</v>
      </c>
      <c r="D16254" s="3" t="str">
        <f t="shared" si="4161"/>
        <v>12Go Link</v>
      </c>
      <c r="E16254" s="2" t="s">
        <v>3409</v>
      </c>
    </row>
    <row r="16255">
      <c r="A16255" s="2" t="s">
        <v>5034</v>
      </c>
      <c r="B16255" s="2" t="s">
        <v>5027</v>
      </c>
      <c r="C16255" s="2" t="s">
        <v>7862</v>
      </c>
      <c r="D16255" s="3" t="str">
        <f t="shared" ref="D16255:D16257" si="4162">HYPERLINK("https://12go.asia/en/travel/Weddagala/Unawatuna", "12Go Link")</f>
        <v>12Go Link</v>
      </c>
      <c r="E16255" s="2" t="s">
        <v>286</v>
      </c>
    </row>
    <row r="16256">
      <c r="A16256" s="2" t="s">
        <v>5034</v>
      </c>
      <c r="B16256" s="2" t="s">
        <v>5027</v>
      </c>
      <c r="C16256" s="2" t="s">
        <v>7862</v>
      </c>
      <c r="D16256" s="3" t="str">
        <f t="shared" si="4162"/>
        <v>12Go Link</v>
      </c>
      <c r="E16256" s="2" t="s">
        <v>4139</v>
      </c>
    </row>
    <row r="16257">
      <c r="A16257" s="2" t="s">
        <v>5034</v>
      </c>
      <c r="B16257" s="2" t="s">
        <v>5027</v>
      </c>
      <c r="C16257" s="2" t="s">
        <v>7862</v>
      </c>
      <c r="D16257" s="3" t="str">
        <f t="shared" si="4162"/>
        <v>12Go Link</v>
      </c>
      <c r="E16257" s="2" t="s">
        <v>3409</v>
      </c>
    </row>
    <row r="16258">
      <c r="A16258" s="2" t="s">
        <v>5034</v>
      </c>
      <c r="B16258" s="2" t="s">
        <v>5029</v>
      </c>
      <c r="C16258" s="2" t="s">
        <v>7863</v>
      </c>
      <c r="D16258" s="3" t="str">
        <f t="shared" ref="D16258:D16260" si="4163">HYPERLINK("https://12go.asia/en/travel/Weddagala/Attanagalla", "12Go Link")</f>
        <v>12Go Link</v>
      </c>
      <c r="E16258" s="2" t="s">
        <v>286</v>
      </c>
    </row>
    <row r="16259">
      <c r="A16259" s="2" t="s">
        <v>5034</v>
      </c>
      <c r="B16259" s="2" t="s">
        <v>5029</v>
      </c>
      <c r="C16259" s="2" t="s">
        <v>7863</v>
      </c>
      <c r="D16259" s="3" t="str">
        <f t="shared" si="4163"/>
        <v>12Go Link</v>
      </c>
      <c r="E16259" s="2" t="s">
        <v>4139</v>
      </c>
    </row>
    <row r="16260">
      <c r="A16260" s="2" t="s">
        <v>5034</v>
      </c>
      <c r="B16260" s="2" t="s">
        <v>5029</v>
      </c>
      <c r="C16260" s="2" t="s">
        <v>7863</v>
      </c>
      <c r="D16260" s="3" t="str">
        <f t="shared" si="4163"/>
        <v>12Go Link</v>
      </c>
      <c r="E16260" s="2" t="s">
        <v>3409</v>
      </c>
    </row>
    <row r="16261">
      <c r="A16261" s="2" t="s">
        <v>5034</v>
      </c>
      <c r="B16261" s="2" t="s">
        <v>5031</v>
      </c>
      <c r="C16261" s="2" t="s">
        <v>7864</v>
      </c>
      <c r="D16261" s="3" t="str">
        <f t="shared" ref="D16261:D16263" si="4164">HYPERLINK("https://12go.asia/en/travel/Weddagala/Moronthuduwa", "12Go Link")</f>
        <v>12Go Link</v>
      </c>
      <c r="E16261" s="2" t="s">
        <v>286</v>
      </c>
    </row>
    <row r="16262">
      <c r="A16262" s="2" t="s">
        <v>5034</v>
      </c>
      <c r="B16262" s="2" t="s">
        <v>5031</v>
      </c>
      <c r="C16262" s="2" t="s">
        <v>7864</v>
      </c>
      <c r="D16262" s="3" t="str">
        <f t="shared" si="4164"/>
        <v>12Go Link</v>
      </c>
      <c r="E16262" s="2" t="s">
        <v>4139</v>
      </c>
    </row>
    <row r="16263">
      <c r="A16263" s="2" t="s">
        <v>5034</v>
      </c>
      <c r="B16263" s="2" t="s">
        <v>5031</v>
      </c>
      <c r="C16263" s="2" t="s">
        <v>7864</v>
      </c>
      <c r="D16263" s="3" t="str">
        <f t="shared" si="4164"/>
        <v>12Go Link</v>
      </c>
      <c r="E16263" s="2" t="s">
        <v>3409</v>
      </c>
    </row>
    <row r="16264">
      <c r="A16264" s="2" t="s">
        <v>5034</v>
      </c>
      <c r="B16264" s="2" t="s">
        <v>5031</v>
      </c>
      <c r="C16264" s="2" t="s">
        <v>7865</v>
      </c>
      <c r="D16264" s="3" t="str">
        <f t="shared" ref="D16264:D16266" si="4165">HYPERLINK("https://12go.asia/en/travel/Weddagala/Waskaduwa", "12Go Link")</f>
        <v>12Go Link</v>
      </c>
      <c r="E16264" s="2" t="s">
        <v>286</v>
      </c>
    </row>
    <row r="16265">
      <c r="A16265" s="2" t="s">
        <v>5034</v>
      </c>
      <c r="B16265" s="2" t="s">
        <v>5031</v>
      </c>
      <c r="C16265" s="2" t="s">
        <v>7865</v>
      </c>
      <c r="D16265" s="3" t="str">
        <f t="shared" si="4165"/>
        <v>12Go Link</v>
      </c>
      <c r="E16265" s="2" t="s">
        <v>4139</v>
      </c>
    </row>
    <row r="16266">
      <c r="A16266" s="2" t="s">
        <v>5034</v>
      </c>
      <c r="B16266" s="2" t="s">
        <v>5031</v>
      </c>
      <c r="C16266" s="2" t="s">
        <v>7865</v>
      </c>
      <c r="D16266" s="3" t="str">
        <f t="shared" si="4165"/>
        <v>12Go Link</v>
      </c>
      <c r="E16266" s="2" t="s">
        <v>3409</v>
      </c>
    </row>
    <row r="16267">
      <c r="A16267" s="2" t="s">
        <v>5034</v>
      </c>
      <c r="B16267" s="2" t="s">
        <v>5036</v>
      </c>
      <c r="C16267" s="2" t="s">
        <v>7866</v>
      </c>
      <c r="D16267" s="3" t="str">
        <f t="shared" ref="D16267:D16269" si="4166">HYPERLINK("https://12go.asia/en/travel/Weddagala/Weligatta", "12Go Link")</f>
        <v>12Go Link</v>
      </c>
      <c r="E16267" s="2" t="s">
        <v>286</v>
      </c>
    </row>
    <row r="16268">
      <c r="A16268" s="2" t="s">
        <v>5034</v>
      </c>
      <c r="B16268" s="2" t="s">
        <v>5036</v>
      </c>
      <c r="C16268" s="2" t="s">
        <v>7866</v>
      </c>
      <c r="D16268" s="3" t="str">
        <f t="shared" si="4166"/>
        <v>12Go Link</v>
      </c>
      <c r="E16268" s="2" t="s">
        <v>4139</v>
      </c>
    </row>
    <row r="16269">
      <c r="A16269" s="2" t="s">
        <v>5034</v>
      </c>
      <c r="B16269" s="2" t="s">
        <v>5036</v>
      </c>
      <c r="C16269" s="2" t="s">
        <v>7866</v>
      </c>
      <c r="D16269" s="3" t="str">
        <f t="shared" si="4166"/>
        <v>12Go Link</v>
      </c>
      <c r="E16269" s="2" t="s">
        <v>3409</v>
      </c>
    </row>
    <row r="16270">
      <c r="A16270" s="2" t="s">
        <v>5034</v>
      </c>
      <c r="B16270" s="2" t="s">
        <v>5038</v>
      </c>
      <c r="C16270" s="2" t="s">
        <v>7867</v>
      </c>
      <c r="D16270" s="3" t="str">
        <f t="shared" ref="D16270:D16272" si="4167">HYPERLINK("https://12go.asia/en/travel/Weddagala/Akuressa", "12Go Link")</f>
        <v>12Go Link</v>
      </c>
      <c r="E16270" s="2" t="s">
        <v>286</v>
      </c>
    </row>
    <row r="16271">
      <c r="A16271" s="2" t="s">
        <v>5034</v>
      </c>
      <c r="B16271" s="2" t="s">
        <v>5038</v>
      </c>
      <c r="C16271" s="2" t="s">
        <v>7867</v>
      </c>
      <c r="D16271" s="3" t="str">
        <f t="shared" si="4167"/>
        <v>12Go Link</v>
      </c>
      <c r="E16271" s="2" t="s">
        <v>4139</v>
      </c>
    </row>
    <row r="16272">
      <c r="A16272" s="2" t="s">
        <v>5034</v>
      </c>
      <c r="B16272" s="2" t="s">
        <v>5038</v>
      </c>
      <c r="C16272" s="2" t="s">
        <v>7867</v>
      </c>
      <c r="D16272" s="3" t="str">
        <f t="shared" si="4167"/>
        <v>12Go Link</v>
      </c>
      <c r="E16272" s="2" t="s">
        <v>3409</v>
      </c>
    </row>
    <row r="16273">
      <c r="A16273" s="2" t="s">
        <v>5034</v>
      </c>
      <c r="B16273" s="2" t="s">
        <v>5040</v>
      </c>
      <c r="C16273" s="2" t="s">
        <v>7868</v>
      </c>
      <c r="D16273" s="3" t="str">
        <f t="shared" ref="D16273:D16275" si="4168">HYPERLINK("https://12go.asia/en/travel/Weddagala/Wilpattu", "12Go Link")</f>
        <v>12Go Link</v>
      </c>
      <c r="E16273" s="2" t="s">
        <v>286</v>
      </c>
    </row>
    <row r="16274">
      <c r="A16274" s="2" t="s">
        <v>5034</v>
      </c>
      <c r="B16274" s="2" t="s">
        <v>5040</v>
      </c>
      <c r="C16274" s="2" t="s">
        <v>7868</v>
      </c>
      <c r="D16274" s="3" t="str">
        <f t="shared" si="4168"/>
        <v>12Go Link</v>
      </c>
      <c r="E16274" s="2" t="s">
        <v>4139</v>
      </c>
    </row>
    <row r="16275">
      <c r="A16275" s="2" t="s">
        <v>5034</v>
      </c>
      <c r="B16275" s="2" t="s">
        <v>5040</v>
      </c>
      <c r="C16275" s="2" t="s">
        <v>7868</v>
      </c>
      <c r="D16275" s="3" t="str">
        <f t="shared" si="4168"/>
        <v>12Go Link</v>
      </c>
      <c r="E16275" s="2" t="s">
        <v>3409</v>
      </c>
    </row>
    <row r="16276">
      <c r="A16276" s="2" t="s">
        <v>5038</v>
      </c>
      <c r="B16276" s="2" t="s">
        <v>4918</v>
      </c>
      <c r="C16276" s="2" t="s">
        <v>7869</v>
      </c>
      <c r="D16276" s="3" t="str">
        <f t="shared" ref="D16276:D16278" si="4169">HYPERLINK("https://12go.asia/en/travel/Akuressa/Adams-Peak", "12Go Link")</f>
        <v>12Go Link</v>
      </c>
      <c r="E16276" s="2" t="s">
        <v>286</v>
      </c>
    </row>
    <row r="16277">
      <c r="A16277" s="2" t="s">
        <v>5038</v>
      </c>
      <c r="B16277" s="2" t="s">
        <v>4918</v>
      </c>
      <c r="C16277" s="2" t="s">
        <v>7869</v>
      </c>
      <c r="D16277" s="3" t="str">
        <f t="shared" si="4169"/>
        <v>12Go Link</v>
      </c>
      <c r="E16277" s="2" t="s">
        <v>4139</v>
      </c>
    </row>
    <row r="16278">
      <c r="A16278" s="2" t="s">
        <v>5038</v>
      </c>
      <c r="B16278" s="2" t="s">
        <v>4918</v>
      </c>
      <c r="C16278" s="2" t="s">
        <v>7869</v>
      </c>
      <c r="D16278" s="3" t="str">
        <f t="shared" si="4169"/>
        <v>12Go Link</v>
      </c>
      <c r="E16278" s="2" t="s">
        <v>3409</v>
      </c>
    </row>
    <row r="16279">
      <c r="A16279" s="2" t="s">
        <v>5038</v>
      </c>
      <c r="B16279" s="2" t="s">
        <v>4919</v>
      </c>
      <c r="C16279" s="2" t="s">
        <v>7870</v>
      </c>
      <c r="D16279" s="3" t="str">
        <f t="shared" ref="D16279:D16281" si="4170">HYPERLINK("https://12go.asia/en/travel/Akuressa/Ahangama", "12Go Link")</f>
        <v>12Go Link</v>
      </c>
      <c r="E16279" s="2" t="s">
        <v>286</v>
      </c>
    </row>
    <row r="16280">
      <c r="A16280" s="2" t="s">
        <v>5038</v>
      </c>
      <c r="B16280" s="2" t="s">
        <v>4919</v>
      </c>
      <c r="C16280" s="2" t="s">
        <v>7870</v>
      </c>
      <c r="D16280" s="3" t="str">
        <f t="shared" si="4170"/>
        <v>12Go Link</v>
      </c>
      <c r="E16280" s="2" t="s">
        <v>4139</v>
      </c>
    </row>
    <row r="16281">
      <c r="A16281" s="2" t="s">
        <v>5038</v>
      </c>
      <c r="B16281" s="2" t="s">
        <v>4919</v>
      </c>
      <c r="C16281" s="2" t="s">
        <v>7870</v>
      </c>
      <c r="D16281" s="3" t="str">
        <f t="shared" si="4170"/>
        <v>12Go Link</v>
      </c>
      <c r="E16281" s="2" t="s">
        <v>3409</v>
      </c>
    </row>
    <row r="16282">
      <c r="A16282" s="2" t="s">
        <v>5038</v>
      </c>
      <c r="B16282" s="2" t="s">
        <v>4921</v>
      </c>
      <c r="C16282" s="2" t="s">
        <v>7871</v>
      </c>
      <c r="D16282" s="3" t="str">
        <f t="shared" ref="D16282:D16284" si="4171">HYPERLINK("https://12go.asia/en/travel/Akuressa/Ahungalla", "12Go Link")</f>
        <v>12Go Link</v>
      </c>
      <c r="E16282" s="2" t="s">
        <v>286</v>
      </c>
    </row>
    <row r="16283">
      <c r="A16283" s="2" t="s">
        <v>5038</v>
      </c>
      <c r="B16283" s="2" t="s">
        <v>4921</v>
      </c>
      <c r="C16283" s="2" t="s">
        <v>7871</v>
      </c>
      <c r="D16283" s="3" t="str">
        <f t="shared" si="4171"/>
        <v>12Go Link</v>
      </c>
      <c r="E16283" s="2" t="s">
        <v>4139</v>
      </c>
    </row>
    <row r="16284">
      <c r="A16284" s="2" t="s">
        <v>5038</v>
      </c>
      <c r="B16284" s="2" t="s">
        <v>4921</v>
      </c>
      <c r="C16284" s="2" t="s">
        <v>7871</v>
      </c>
      <c r="D16284" s="3" t="str">
        <f t="shared" si="4171"/>
        <v>12Go Link</v>
      </c>
      <c r="E16284" s="2" t="s">
        <v>3409</v>
      </c>
    </row>
    <row r="16285">
      <c r="A16285" s="2" t="s">
        <v>5038</v>
      </c>
      <c r="B16285" s="2" t="s">
        <v>4923</v>
      </c>
      <c r="C16285" s="2" t="s">
        <v>7872</v>
      </c>
      <c r="D16285" s="3" t="str">
        <f t="shared" ref="D16285:D16287" si="4172">HYPERLINK("https://12go.asia/en/travel/Akuressa/Aluthgama", "12Go Link")</f>
        <v>12Go Link</v>
      </c>
      <c r="E16285" s="2" t="s">
        <v>286</v>
      </c>
    </row>
    <row r="16286">
      <c r="A16286" s="2" t="s">
        <v>5038</v>
      </c>
      <c r="B16286" s="2" t="s">
        <v>4923</v>
      </c>
      <c r="C16286" s="2" t="s">
        <v>7872</v>
      </c>
      <c r="D16286" s="3" t="str">
        <f t="shared" si="4172"/>
        <v>12Go Link</v>
      </c>
      <c r="E16286" s="2" t="s">
        <v>4139</v>
      </c>
    </row>
    <row r="16287">
      <c r="A16287" s="2" t="s">
        <v>5038</v>
      </c>
      <c r="B16287" s="2" t="s">
        <v>4923</v>
      </c>
      <c r="C16287" s="2" t="s">
        <v>7872</v>
      </c>
      <c r="D16287" s="3" t="str">
        <f t="shared" si="4172"/>
        <v>12Go Link</v>
      </c>
      <c r="E16287" s="2" t="s">
        <v>3409</v>
      </c>
    </row>
    <row r="16288">
      <c r="A16288" s="2" t="s">
        <v>5038</v>
      </c>
      <c r="B16288" s="2" t="s">
        <v>4925</v>
      </c>
      <c r="C16288" s="2" t="s">
        <v>7873</v>
      </c>
      <c r="D16288" s="3" t="str">
        <f t="shared" ref="D16288:D16290" si="4173">HYPERLINK("https://12go.asia/en/travel/Akuressa/Ambalangoda", "12Go Link")</f>
        <v>12Go Link</v>
      </c>
      <c r="E16288" s="2" t="s">
        <v>286</v>
      </c>
    </row>
    <row r="16289">
      <c r="A16289" s="2" t="s">
        <v>5038</v>
      </c>
      <c r="B16289" s="2" t="s">
        <v>4925</v>
      </c>
      <c r="C16289" s="2" t="s">
        <v>7873</v>
      </c>
      <c r="D16289" s="3" t="str">
        <f t="shared" si="4173"/>
        <v>12Go Link</v>
      </c>
      <c r="E16289" s="2" t="s">
        <v>4139</v>
      </c>
    </row>
    <row r="16290">
      <c r="A16290" s="2" t="s">
        <v>5038</v>
      </c>
      <c r="B16290" s="2" t="s">
        <v>4925</v>
      </c>
      <c r="C16290" s="2" t="s">
        <v>7873</v>
      </c>
      <c r="D16290" s="3" t="str">
        <f t="shared" si="4173"/>
        <v>12Go Link</v>
      </c>
      <c r="E16290" s="2" t="s">
        <v>3409</v>
      </c>
    </row>
    <row r="16291">
      <c r="A16291" s="2" t="s">
        <v>5038</v>
      </c>
      <c r="B16291" s="2" t="s">
        <v>4927</v>
      </c>
      <c r="C16291" s="2" t="s">
        <v>7874</v>
      </c>
      <c r="D16291" s="3" t="str">
        <f t="shared" ref="D16291:D16293" si="4174">HYPERLINK("https://12go.asia/en/travel/Akuressa/Ambalantota", "12Go Link")</f>
        <v>12Go Link</v>
      </c>
      <c r="E16291" s="2" t="s">
        <v>286</v>
      </c>
    </row>
    <row r="16292">
      <c r="A16292" s="2" t="s">
        <v>5038</v>
      </c>
      <c r="B16292" s="2" t="s">
        <v>4927</v>
      </c>
      <c r="C16292" s="2" t="s">
        <v>7874</v>
      </c>
      <c r="D16292" s="3" t="str">
        <f t="shared" si="4174"/>
        <v>12Go Link</v>
      </c>
      <c r="E16292" s="2" t="s">
        <v>4139</v>
      </c>
    </row>
    <row r="16293">
      <c r="A16293" s="2" t="s">
        <v>5038</v>
      </c>
      <c r="B16293" s="2" t="s">
        <v>4927</v>
      </c>
      <c r="C16293" s="2" t="s">
        <v>7874</v>
      </c>
      <c r="D16293" s="3" t="str">
        <f t="shared" si="4174"/>
        <v>12Go Link</v>
      </c>
      <c r="E16293" s="2" t="s">
        <v>3409</v>
      </c>
    </row>
    <row r="16294">
      <c r="A16294" s="2" t="s">
        <v>5038</v>
      </c>
      <c r="B16294" s="2" t="s">
        <v>4929</v>
      </c>
      <c r="C16294" s="2" t="s">
        <v>7875</v>
      </c>
      <c r="D16294" s="3" t="str">
        <f t="shared" ref="D16294:D16296" si="4175">HYPERLINK("https://12go.asia/en/travel/Akuressa/Anuradhapura", "12Go Link")</f>
        <v>12Go Link</v>
      </c>
      <c r="E16294" s="2" t="s">
        <v>286</v>
      </c>
    </row>
    <row r="16295">
      <c r="A16295" s="2" t="s">
        <v>5038</v>
      </c>
      <c r="B16295" s="2" t="s">
        <v>4929</v>
      </c>
      <c r="C16295" s="2" t="s">
        <v>7875</v>
      </c>
      <c r="D16295" s="3" t="str">
        <f t="shared" si="4175"/>
        <v>12Go Link</v>
      </c>
      <c r="E16295" s="2" t="s">
        <v>4139</v>
      </c>
    </row>
    <row r="16296">
      <c r="A16296" s="2" t="s">
        <v>5038</v>
      </c>
      <c r="B16296" s="2" t="s">
        <v>4929</v>
      </c>
      <c r="C16296" s="2" t="s">
        <v>7875</v>
      </c>
      <c r="D16296" s="3" t="str">
        <f t="shared" si="4175"/>
        <v>12Go Link</v>
      </c>
      <c r="E16296" s="2" t="s">
        <v>3409</v>
      </c>
    </row>
    <row r="16297">
      <c r="A16297" s="2" t="s">
        <v>5038</v>
      </c>
      <c r="B16297" s="2" t="s">
        <v>4931</v>
      </c>
      <c r="C16297" s="2" t="s">
        <v>7876</v>
      </c>
      <c r="D16297" s="3" t="str">
        <f t="shared" ref="D16297:D16299" si="4176">HYPERLINK("https://12go.asia/en/travel/Akuressa/Arugam-bay", "12Go Link")</f>
        <v>12Go Link</v>
      </c>
      <c r="E16297" s="2" t="s">
        <v>286</v>
      </c>
    </row>
    <row r="16298">
      <c r="A16298" s="2" t="s">
        <v>5038</v>
      </c>
      <c r="B16298" s="2" t="s">
        <v>4931</v>
      </c>
      <c r="C16298" s="2" t="s">
        <v>7876</v>
      </c>
      <c r="D16298" s="3" t="str">
        <f t="shared" si="4176"/>
        <v>12Go Link</v>
      </c>
      <c r="E16298" s="2" t="s">
        <v>4139</v>
      </c>
    </row>
    <row r="16299">
      <c r="A16299" s="2" t="s">
        <v>5038</v>
      </c>
      <c r="B16299" s="2" t="s">
        <v>4931</v>
      </c>
      <c r="C16299" s="2" t="s">
        <v>7876</v>
      </c>
      <c r="D16299" s="3" t="str">
        <f t="shared" si="4176"/>
        <v>12Go Link</v>
      </c>
      <c r="E16299" s="2" t="s">
        <v>3409</v>
      </c>
    </row>
    <row r="16300">
      <c r="A16300" s="2" t="s">
        <v>5038</v>
      </c>
      <c r="B16300" s="2" t="s">
        <v>4933</v>
      </c>
      <c r="C16300" s="2" t="s">
        <v>7877</v>
      </c>
      <c r="D16300" s="3" t="str">
        <f t="shared" ref="D16300:D16302" si="4177">HYPERLINK("https://12go.asia/en/travel/Akuressa/balapitiya", "12Go Link")</f>
        <v>12Go Link</v>
      </c>
      <c r="E16300" s="2" t="s">
        <v>286</v>
      </c>
    </row>
    <row r="16301">
      <c r="A16301" s="2" t="s">
        <v>5038</v>
      </c>
      <c r="B16301" s="2" t="s">
        <v>4933</v>
      </c>
      <c r="C16301" s="2" t="s">
        <v>7877</v>
      </c>
      <c r="D16301" s="3" t="str">
        <f t="shared" si="4177"/>
        <v>12Go Link</v>
      </c>
      <c r="E16301" s="2" t="s">
        <v>4139</v>
      </c>
    </row>
    <row r="16302">
      <c r="A16302" s="2" t="s">
        <v>5038</v>
      </c>
      <c r="B16302" s="2" t="s">
        <v>4933</v>
      </c>
      <c r="C16302" s="2" t="s">
        <v>7877</v>
      </c>
      <c r="D16302" s="3" t="str">
        <f t="shared" si="4177"/>
        <v>12Go Link</v>
      </c>
      <c r="E16302" s="2" t="s">
        <v>3409</v>
      </c>
    </row>
    <row r="16303">
      <c r="A16303" s="2" t="s">
        <v>5038</v>
      </c>
      <c r="B16303" s="2" t="s">
        <v>4935</v>
      </c>
      <c r="C16303" s="2" t="s">
        <v>7878</v>
      </c>
      <c r="D16303" s="3" t="str">
        <f t="shared" ref="D16303:D16305" si="4178">HYPERLINK("https://12go.asia/en/travel/Akuressa/Batticaloa", "12Go Link")</f>
        <v>12Go Link</v>
      </c>
      <c r="E16303" s="2" t="s">
        <v>286</v>
      </c>
    </row>
    <row r="16304">
      <c r="A16304" s="2" t="s">
        <v>5038</v>
      </c>
      <c r="B16304" s="2" t="s">
        <v>4935</v>
      </c>
      <c r="C16304" s="2" t="s">
        <v>7878</v>
      </c>
      <c r="D16304" s="3" t="str">
        <f t="shared" si="4178"/>
        <v>12Go Link</v>
      </c>
      <c r="E16304" s="2" t="s">
        <v>4139</v>
      </c>
    </row>
    <row r="16305">
      <c r="A16305" s="2" t="s">
        <v>5038</v>
      </c>
      <c r="B16305" s="2" t="s">
        <v>4935</v>
      </c>
      <c r="C16305" s="2" t="s">
        <v>7878</v>
      </c>
      <c r="D16305" s="3" t="str">
        <f t="shared" si="4178"/>
        <v>12Go Link</v>
      </c>
      <c r="E16305" s="2" t="s">
        <v>3409</v>
      </c>
    </row>
    <row r="16306">
      <c r="A16306" s="2" t="s">
        <v>5038</v>
      </c>
      <c r="B16306" s="2" t="s">
        <v>4937</v>
      </c>
      <c r="C16306" s="2" t="s">
        <v>7879</v>
      </c>
      <c r="D16306" s="3" t="str">
        <f t="shared" ref="D16306:D16308" si="4179">HYPERLINK("https://12go.asia/en/travel/Akuressa/Bentota", "12Go Link")</f>
        <v>12Go Link</v>
      </c>
      <c r="E16306" s="2" t="s">
        <v>286</v>
      </c>
    </row>
    <row r="16307">
      <c r="A16307" s="2" t="s">
        <v>5038</v>
      </c>
      <c r="B16307" s="2" t="s">
        <v>4937</v>
      </c>
      <c r="C16307" s="2" t="s">
        <v>7879</v>
      </c>
      <c r="D16307" s="3" t="str">
        <f t="shared" si="4179"/>
        <v>12Go Link</v>
      </c>
      <c r="E16307" s="2" t="s">
        <v>4139</v>
      </c>
    </row>
    <row r="16308">
      <c r="A16308" s="2" t="s">
        <v>5038</v>
      </c>
      <c r="B16308" s="2" t="s">
        <v>4937</v>
      </c>
      <c r="C16308" s="2" t="s">
        <v>7879</v>
      </c>
      <c r="D16308" s="3" t="str">
        <f t="shared" si="4179"/>
        <v>12Go Link</v>
      </c>
      <c r="E16308" s="2" t="s">
        <v>3409</v>
      </c>
    </row>
    <row r="16309">
      <c r="A16309" s="2" t="s">
        <v>5038</v>
      </c>
      <c r="B16309" s="2" t="s">
        <v>4939</v>
      </c>
      <c r="C16309" s="2" t="s">
        <v>7880</v>
      </c>
      <c r="D16309" s="3" t="str">
        <f t="shared" ref="D16309:D16311" si="4180">HYPERLINK("https://12go.asia/en/travel/Akuressa/Beruwala", "12Go Link")</f>
        <v>12Go Link</v>
      </c>
      <c r="E16309" s="2" t="s">
        <v>286</v>
      </c>
    </row>
    <row r="16310">
      <c r="A16310" s="2" t="s">
        <v>5038</v>
      </c>
      <c r="B16310" s="2" t="s">
        <v>4939</v>
      </c>
      <c r="C16310" s="2" t="s">
        <v>7880</v>
      </c>
      <c r="D16310" s="3" t="str">
        <f t="shared" si="4180"/>
        <v>12Go Link</v>
      </c>
      <c r="E16310" s="2" t="s">
        <v>4139</v>
      </c>
    </row>
    <row r="16311">
      <c r="A16311" s="2" t="s">
        <v>5038</v>
      </c>
      <c r="B16311" s="2" t="s">
        <v>4939</v>
      </c>
      <c r="C16311" s="2" t="s">
        <v>7880</v>
      </c>
      <c r="D16311" s="3" t="str">
        <f t="shared" si="4180"/>
        <v>12Go Link</v>
      </c>
      <c r="E16311" s="2" t="s">
        <v>3409</v>
      </c>
    </row>
    <row r="16312">
      <c r="A16312" s="2" t="s">
        <v>5038</v>
      </c>
      <c r="B16312" s="2" t="s">
        <v>4941</v>
      </c>
      <c r="C16312" s="2" t="s">
        <v>7881</v>
      </c>
      <c r="D16312" s="3" t="str">
        <f t="shared" ref="D16312:D16314" si="4181">HYPERLINK("https://12go.asia/en/travel/Akuressa/Bundala", "12Go Link")</f>
        <v>12Go Link</v>
      </c>
      <c r="E16312" s="2" t="s">
        <v>286</v>
      </c>
    </row>
    <row r="16313">
      <c r="A16313" s="2" t="s">
        <v>5038</v>
      </c>
      <c r="B16313" s="2" t="s">
        <v>4941</v>
      </c>
      <c r="C16313" s="2" t="s">
        <v>7881</v>
      </c>
      <c r="D16313" s="3" t="str">
        <f t="shared" si="4181"/>
        <v>12Go Link</v>
      </c>
      <c r="E16313" s="2" t="s">
        <v>4139</v>
      </c>
    </row>
    <row r="16314">
      <c r="A16314" s="2" t="s">
        <v>5038</v>
      </c>
      <c r="B16314" s="2" t="s">
        <v>4941</v>
      </c>
      <c r="C16314" s="2" t="s">
        <v>7881</v>
      </c>
      <c r="D16314" s="3" t="str">
        <f t="shared" si="4181"/>
        <v>12Go Link</v>
      </c>
      <c r="E16314" s="2" t="s">
        <v>3409</v>
      </c>
    </row>
    <row r="16315">
      <c r="A16315" s="2" t="s">
        <v>5038</v>
      </c>
      <c r="B16315" s="2" t="s">
        <v>4943</v>
      </c>
      <c r="C16315" s="2" t="s">
        <v>7882</v>
      </c>
      <c r="D16315" s="3" t="str">
        <f t="shared" ref="D16315:D16317" si="4182">HYPERLINK("https://12go.asia/en/travel/Akuressa/Bambalapitiya", "12Go Link")</f>
        <v>12Go Link</v>
      </c>
      <c r="E16315" s="2" t="s">
        <v>286</v>
      </c>
    </row>
    <row r="16316">
      <c r="A16316" s="2" t="s">
        <v>5038</v>
      </c>
      <c r="B16316" s="2" t="s">
        <v>4943</v>
      </c>
      <c r="C16316" s="2" t="s">
        <v>7882</v>
      </c>
      <c r="D16316" s="3" t="str">
        <f t="shared" si="4182"/>
        <v>12Go Link</v>
      </c>
      <c r="E16316" s="2" t="s">
        <v>4139</v>
      </c>
    </row>
    <row r="16317">
      <c r="A16317" s="2" t="s">
        <v>5038</v>
      </c>
      <c r="B16317" s="2" t="s">
        <v>4943</v>
      </c>
      <c r="C16317" s="2" t="s">
        <v>7882</v>
      </c>
      <c r="D16317" s="3" t="str">
        <f t="shared" si="4182"/>
        <v>12Go Link</v>
      </c>
      <c r="E16317" s="2" t="s">
        <v>3409</v>
      </c>
    </row>
    <row r="16318">
      <c r="A16318" s="2" t="s">
        <v>5038</v>
      </c>
      <c r="B16318" s="2" t="s">
        <v>4945</v>
      </c>
      <c r="C16318" s="2" t="s">
        <v>7883</v>
      </c>
      <c r="D16318" s="3" t="str">
        <f t="shared" ref="D16318:D16320" si="4183">HYPERLINK("https://12go.asia/en/travel/Akuressa/Bandaranaike-Airport", "12Go Link")</f>
        <v>12Go Link</v>
      </c>
      <c r="E16318" s="2" t="s">
        <v>286</v>
      </c>
    </row>
    <row r="16319">
      <c r="A16319" s="2" t="s">
        <v>5038</v>
      </c>
      <c r="B16319" s="2" t="s">
        <v>4945</v>
      </c>
      <c r="C16319" s="2" t="s">
        <v>7883</v>
      </c>
      <c r="D16319" s="3" t="str">
        <f t="shared" si="4183"/>
        <v>12Go Link</v>
      </c>
      <c r="E16319" s="2" t="s">
        <v>4139</v>
      </c>
    </row>
    <row r="16320">
      <c r="A16320" s="2" t="s">
        <v>5038</v>
      </c>
      <c r="B16320" s="2" t="s">
        <v>4945</v>
      </c>
      <c r="C16320" s="2" t="s">
        <v>7883</v>
      </c>
      <c r="D16320" s="3" t="str">
        <f t="shared" si="4183"/>
        <v>12Go Link</v>
      </c>
      <c r="E16320" s="2" t="s">
        <v>3409</v>
      </c>
    </row>
    <row r="16321">
      <c r="A16321" s="2" t="s">
        <v>5038</v>
      </c>
      <c r="B16321" s="2" t="s">
        <v>4947</v>
      </c>
      <c r="C16321" s="2" t="s">
        <v>7884</v>
      </c>
      <c r="D16321" s="3" t="str">
        <f t="shared" ref="D16321:D16323" si="4184">HYPERLINK("https://12go.asia/en/travel/Akuressa/Dambulla", "12Go Link")</f>
        <v>12Go Link</v>
      </c>
      <c r="E16321" s="2" t="s">
        <v>286</v>
      </c>
    </row>
    <row r="16322">
      <c r="A16322" s="2" t="s">
        <v>5038</v>
      </c>
      <c r="B16322" s="2" t="s">
        <v>4947</v>
      </c>
      <c r="C16322" s="2" t="s">
        <v>7884</v>
      </c>
      <c r="D16322" s="3" t="str">
        <f t="shared" si="4184"/>
        <v>12Go Link</v>
      </c>
      <c r="E16322" s="2" t="s">
        <v>4139</v>
      </c>
    </row>
    <row r="16323">
      <c r="A16323" s="2" t="s">
        <v>5038</v>
      </c>
      <c r="B16323" s="2" t="s">
        <v>4947</v>
      </c>
      <c r="C16323" s="2" t="s">
        <v>7884</v>
      </c>
      <c r="D16323" s="3" t="str">
        <f t="shared" si="4184"/>
        <v>12Go Link</v>
      </c>
      <c r="E16323" s="2" t="s">
        <v>3409</v>
      </c>
    </row>
    <row r="16324">
      <c r="A16324" s="2" t="s">
        <v>5038</v>
      </c>
      <c r="B16324" s="2" t="s">
        <v>4949</v>
      </c>
      <c r="C16324" s="2" t="s">
        <v>7885</v>
      </c>
      <c r="D16324" s="3" t="str">
        <f t="shared" ref="D16324:D16326" si="4185">HYPERLINK("https://12go.asia/en/travel/Akuressa/Deniyaya", "12Go Link")</f>
        <v>12Go Link</v>
      </c>
      <c r="E16324" s="2" t="s">
        <v>286</v>
      </c>
    </row>
    <row r="16325">
      <c r="A16325" s="2" t="s">
        <v>5038</v>
      </c>
      <c r="B16325" s="2" t="s">
        <v>4949</v>
      </c>
      <c r="C16325" s="2" t="s">
        <v>7885</v>
      </c>
      <c r="D16325" s="3" t="str">
        <f t="shared" si="4185"/>
        <v>12Go Link</v>
      </c>
      <c r="E16325" s="2" t="s">
        <v>4139</v>
      </c>
    </row>
    <row r="16326">
      <c r="A16326" s="2" t="s">
        <v>5038</v>
      </c>
      <c r="B16326" s="2" t="s">
        <v>4949</v>
      </c>
      <c r="C16326" s="2" t="s">
        <v>7885</v>
      </c>
      <c r="D16326" s="3" t="str">
        <f t="shared" si="4185"/>
        <v>12Go Link</v>
      </c>
      <c r="E16326" s="2" t="s">
        <v>3409</v>
      </c>
    </row>
    <row r="16327">
      <c r="A16327" s="2" t="s">
        <v>5038</v>
      </c>
      <c r="B16327" s="2" t="s">
        <v>4951</v>
      </c>
      <c r="C16327" s="2" t="s">
        <v>7886</v>
      </c>
      <c r="D16327" s="3" t="str">
        <f t="shared" ref="D16327:D16329" si="4186">HYPERLINK("https://12go.asia/en/travel/Akuressa/Dickwella", "12Go Link")</f>
        <v>12Go Link</v>
      </c>
      <c r="E16327" s="2" t="s">
        <v>286</v>
      </c>
    </row>
    <row r="16328">
      <c r="A16328" s="2" t="s">
        <v>5038</v>
      </c>
      <c r="B16328" s="2" t="s">
        <v>4951</v>
      </c>
      <c r="C16328" s="2" t="s">
        <v>7886</v>
      </c>
      <c r="D16328" s="3" t="str">
        <f t="shared" si="4186"/>
        <v>12Go Link</v>
      </c>
      <c r="E16328" s="2" t="s">
        <v>4139</v>
      </c>
    </row>
    <row r="16329">
      <c r="A16329" s="2" t="s">
        <v>5038</v>
      </c>
      <c r="B16329" s="2" t="s">
        <v>4951</v>
      </c>
      <c r="C16329" s="2" t="s">
        <v>7886</v>
      </c>
      <c r="D16329" s="3" t="str">
        <f t="shared" si="4186"/>
        <v>12Go Link</v>
      </c>
      <c r="E16329" s="2" t="s">
        <v>3409</v>
      </c>
    </row>
    <row r="16330">
      <c r="A16330" s="2" t="s">
        <v>5038</v>
      </c>
      <c r="B16330" s="2" t="s">
        <v>4951</v>
      </c>
      <c r="C16330" s="2" t="s">
        <v>7887</v>
      </c>
      <c r="D16330" s="3" t="str">
        <f t="shared" ref="D16330:D16332" si="4187">HYPERLINK("https://12go.asia/en/travel/Akuressa/Hiriketiya-beach", "12Go Link")</f>
        <v>12Go Link</v>
      </c>
      <c r="E16330" s="2" t="s">
        <v>286</v>
      </c>
    </row>
    <row r="16331">
      <c r="A16331" s="2" t="s">
        <v>5038</v>
      </c>
      <c r="B16331" s="2" t="s">
        <v>4951</v>
      </c>
      <c r="C16331" s="2" t="s">
        <v>7887</v>
      </c>
      <c r="D16331" s="3" t="str">
        <f t="shared" si="4187"/>
        <v>12Go Link</v>
      </c>
      <c r="E16331" s="2" t="s">
        <v>4139</v>
      </c>
    </row>
    <row r="16332">
      <c r="A16332" s="2" t="s">
        <v>5038</v>
      </c>
      <c r="B16332" s="2" t="s">
        <v>4951</v>
      </c>
      <c r="C16332" s="2" t="s">
        <v>7887</v>
      </c>
      <c r="D16332" s="3" t="str">
        <f t="shared" si="4187"/>
        <v>12Go Link</v>
      </c>
      <c r="E16332" s="2" t="s">
        <v>3409</v>
      </c>
    </row>
    <row r="16333">
      <c r="A16333" s="2" t="s">
        <v>5038</v>
      </c>
      <c r="B16333" s="2" t="s">
        <v>4954</v>
      </c>
      <c r="C16333" s="2" t="s">
        <v>7888</v>
      </c>
      <c r="D16333" s="3" t="str">
        <f t="shared" ref="D16333:D16335" si="4188">HYPERLINK("https://12go.asia/en/travel/Akuressa/Galle", "12Go Link")</f>
        <v>12Go Link</v>
      </c>
      <c r="E16333" s="2" t="s">
        <v>286</v>
      </c>
    </row>
    <row r="16334">
      <c r="A16334" s="2" t="s">
        <v>5038</v>
      </c>
      <c r="B16334" s="2" t="s">
        <v>4954</v>
      </c>
      <c r="C16334" s="2" t="s">
        <v>7888</v>
      </c>
      <c r="D16334" s="3" t="str">
        <f t="shared" si="4188"/>
        <v>12Go Link</v>
      </c>
      <c r="E16334" s="2" t="s">
        <v>4139</v>
      </c>
    </row>
    <row r="16335">
      <c r="A16335" s="2" t="s">
        <v>5038</v>
      </c>
      <c r="B16335" s="2" t="s">
        <v>4954</v>
      </c>
      <c r="C16335" s="2" t="s">
        <v>7888</v>
      </c>
      <c r="D16335" s="3" t="str">
        <f t="shared" si="4188"/>
        <v>12Go Link</v>
      </c>
      <c r="E16335" s="2" t="s">
        <v>3409</v>
      </c>
    </row>
    <row r="16336">
      <c r="A16336" s="2" t="s">
        <v>5038</v>
      </c>
      <c r="B16336" s="2" t="s">
        <v>4954</v>
      </c>
      <c r="C16336" s="2" t="s">
        <v>7889</v>
      </c>
      <c r="D16336" s="3" t="str">
        <f t="shared" ref="D16336:D16338" si="4189">HYPERLINK("https://12go.asia/en/travel/Akuressa/Talpe", "12Go Link")</f>
        <v>12Go Link</v>
      </c>
      <c r="E16336" s="2" t="s">
        <v>286</v>
      </c>
    </row>
    <row r="16337">
      <c r="A16337" s="2" t="s">
        <v>5038</v>
      </c>
      <c r="B16337" s="2" t="s">
        <v>4954</v>
      </c>
      <c r="C16337" s="2" t="s">
        <v>7889</v>
      </c>
      <c r="D16337" s="3" t="str">
        <f t="shared" si="4189"/>
        <v>12Go Link</v>
      </c>
      <c r="E16337" s="2" t="s">
        <v>4139</v>
      </c>
    </row>
    <row r="16338">
      <c r="A16338" s="2" t="s">
        <v>5038</v>
      </c>
      <c r="B16338" s="2" t="s">
        <v>4954</v>
      </c>
      <c r="C16338" s="2" t="s">
        <v>7889</v>
      </c>
      <c r="D16338" s="3" t="str">
        <f t="shared" si="4189"/>
        <v>12Go Link</v>
      </c>
      <c r="E16338" s="2" t="s">
        <v>3409</v>
      </c>
    </row>
    <row r="16339">
      <c r="A16339" s="2" t="s">
        <v>5038</v>
      </c>
      <c r="B16339" s="2" t="s">
        <v>4954</v>
      </c>
      <c r="C16339" s="2" t="s">
        <v>7890</v>
      </c>
      <c r="D16339" s="3" t="str">
        <f>HYPERLINK("https://12go.asia/en/travel/Weligama/Galle", "12Go Link")</f>
        <v>12Go Link</v>
      </c>
      <c r="E16339" s="2" t="s">
        <v>5206</v>
      </c>
    </row>
    <row r="16340">
      <c r="A16340" s="2" t="s">
        <v>5038</v>
      </c>
      <c r="B16340" s="2" t="s">
        <v>4957</v>
      </c>
      <c r="C16340" s="2" t="s">
        <v>7891</v>
      </c>
      <c r="D16340" s="3" t="str">
        <f t="shared" ref="D16340:D16342" si="4190">HYPERLINK("https://12go.asia/en/travel/Akuressa/Habarana", "12Go Link")</f>
        <v>12Go Link</v>
      </c>
      <c r="E16340" s="2" t="s">
        <v>286</v>
      </c>
    </row>
    <row r="16341">
      <c r="A16341" s="2" t="s">
        <v>5038</v>
      </c>
      <c r="B16341" s="2" t="s">
        <v>4957</v>
      </c>
      <c r="C16341" s="2" t="s">
        <v>7891</v>
      </c>
      <c r="D16341" s="3" t="str">
        <f t="shared" si="4190"/>
        <v>12Go Link</v>
      </c>
      <c r="E16341" s="2" t="s">
        <v>4139</v>
      </c>
    </row>
    <row r="16342">
      <c r="A16342" s="2" t="s">
        <v>5038</v>
      </c>
      <c r="B16342" s="2" t="s">
        <v>4957</v>
      </c>
      <c r="C16342" s="2" t="s">
        <v>7891</v>
      </c>
      <c r="D16342" s="3" t="str">
        <f t="shared" si="4190"/>
        <v>12Go Link</v>
      </c>
      <c r="E16342" s="2" t="s">
        <v>3409</v>
      </c>
    </row>
    <row r="16343">
      <c r="A16343" s="2" t="s">
        <v>5038</v>
      </c>
      <c r="B16343" s="2" t="s">
        <v>4959</v>
      </c>
      <c r="C16343" s="2" t="s">
        <v>7892</v>
      </c>
      <c r="D16343" s="3" t="str">
        <f t="shared" ref="D16343:D16345" si="4191">HYPERLINK("https://12go.asia/en/travel/Akuressa/Ella", "12Go Link")</f>
        <v>12Go Link</v>
      </c>
      <c r="E16343" s="2" t="s">
        <v>286</v>
      </c>
    </row>
    <row r="16344">
      <c r="A16344" s="2" t="s">
        <v>5038</v>
      </c>
      <c r="B16344" s="2" t="s">
        <v>4959</v>
      </c>
      <c r="C16344" s="2" t="s">
        <v>7892</v>
      </c>
      <c r="D16344" s="3" t="str">
        <f t="shared" si="4191"/>
        <v>12Go Link</v>
      </c>
      <c r="E16344" s="2" t="s">
        <v>4139</v>
      </c>
    </row>
    <row r="16345">
      <c r="A16345" s="2" t="s">
        <v>5038</v>
      </c>
      <c r="B16345" s="2" t="s">
        <v>4959</v>
      </c>
      <c r="C16345" s="2" t="s">
        <v>7892</v>
      </c>
      <c r="D16345" s="3" t="str">
        <f t="shared" si="4191"/>
        <v>12Go Link</v>
      </c>
      <c r="E16345" s="2" t="s">
        <v>3409</v>
      </c>
    </row>
    <row r="16346">
      <c r="A16346" s="2" t="s">
        <v>5038</v>
      </c>
      <c r="B16346" s="2" t="s">
        <v>4961</v>
      </c>
      <c r="C16346" s="2" t="s">
        <v>7893</v>
      </c>
      <c r="D16346" s="3" t="str">
        <f t="shared" ref="D16346:D16348" si="4192">HYPERLINK("https://12go.asia/en/travel/Akuressa/Beragala", "12Go Link")</f>
        <v>12Go Link</v>
      </c>
      <c r="E16346" s="2" t="s">
        <v>286</v>
      </c>
    </row>
    <row r="16347">
      <c r="A16347" s="2" t="s">
        <v>5038</v>
      </c>
      <c r="B16347" s="2" t="s">
        <v>4961</v>
      </c>
      <c r="C16347" s="2" t="s">
        <v>7893</v>
      </c>
      <c r="D16347" s="3" t="str">
        <f t="shared" si="4192"/>
        <v>12Go Link</v>
      </c>
      <c r="E16347" s="2" t="s">
        <v>4139</v>
      </c>
    </row>
    <row r="16348">
      <c r="A16348" s="2" t="s">
        <v>5038</v>
      </c>
      <c r="B16348" s="2" t="s">
        <v>4961</v>
      </c>
      <c r="C16348" s="2" t="s">
        <v>7893</v>
      </c>
      <c r="D16348" s="3" t="str">
        <f t="shared" si="4192"/>
        <v>12Go Link</v>
      </c>
      <c r="E16348" s="2" t="s">
        <v>3409</v>
      </c>
    </row>
    <row r="16349">
      <c r="A16349" s="2" t="s">
        <v>5038</v>
      </c>
      <c r="B16349" s="2" t="s">
        <v>4963</v>
      </c>
      <c r="C16349" s="2" t="s">
        <v>7894</v>
      </c>
      <c r="D16349" s="3" t="str">
        <f t="shared" ref="D16349:D16351" si="4193">HYPERLINK("https://12go.asia/en/travel/Akuressa/Dick-oya", "12Go Link")</f>
        <v>12Go Link</v>
      </c>
      <c r="E16349" s="2" t="s">
        <v>286</v>
      </c>
    </row>
    <row r="16350">
      <c r="A16350" s="2" t="s">
        <v>5038</v>
      </c>
      <c r="B16350" s="2" t="s">
        <v>4963</v>
      </c>
      <c r="C16350" s="2" t="s">
        <v>7894</v>
      </c>
      <c r="D16350" s="3" t="str">
        <f t="shared" si="4193"/>
        <v>12Go Link</v>
      </c>
      <c r="E16350" s="2" t="s">
        <v>4139</v>
      </c>
    </row>
    <row r="16351">
      <c r="A16351" s="2" t="s">
        <v>5038</v>
      </c>
      <c r="B16351" s="2" t="s">
        <v>4963</v>
      </c>
      <c r="C16351" s="2" t="s">
        <v>7894</v>
      </c>
      <c r="D16351" s="3" t="str">
        <f t="shared" si="4193"/>
        <v>12Go Link</v>
      </c>
      <c r="E16351" s="2" t="s">
        <v>3409</v>
      </c>
    </row>
    <row r="16352">
      <c r="A16352" s="2" t="s">
        <v>5038</v>
      </c>
      <c r="B16352" s="2" t="s">
        <v>4965</v>
      </c>
      <c r="C16352" s="2" t="s">
        <v>7895</v>
      </c>
      <c r="D16352" s="3" t="str">
        <f t="shared" ref="D16352:D16354" si="4194">HYPERLINK("https://12go.asia/en/travel/Akuressa/Dodanduwa", "12Go Link")</f>
        <v>12Go Link</v>
      </c>
      <c r="E16352" s="2" t="s">
        <v>286</v>
      </c>
    </row>
    <row r="16353">
      <c r="A16353" s="2" t="s">
        <v>5038</v>
      </c>
      <c r="B16353" s="2" t="s">
        <v>4965</v>
      </c>
      <c r="C16353" s="2" t="s">
        <v>7895</v>
      </c>
      <c r="D16353" s="3" t="str">
        <f t="shared" si="4194"/>
        <v>12Go Link</v>
      </c>
      <c r="E16353" s="2" t="s">
        <v>4139</v>
      </c>
    </row>
    <row r="16354">
      <c r="A16354" s="2" t="s">
        <v>5038</v>
      </c>
      <c r="B16354" s="2" t="s">
        <v>4965</v>
      </c>
      <c r="C16354" s="2" t="s">
        <v>7895</v>
      </c>
      <c r="D16354" s="3" t="str">
        <f t="shared" si="4194"/>
        <v>12Go Link</v>
      </c>
      <c r="E16354" s="2" t="s">
        <v>3409</v>
      </c>
    </row>
    <row r="16355">
      <c r="A16355" s="2" t="s">
        <v>5038</v>
      </c>
      <c r="B16355" s="2" t="s">
        <v>4967</v>
      </c>
      <c r="C16355" s="2" t="s">
        <v>7896</v>
      </c>
      <c r="D16355" s="3" t="str">
        <f t="shared" ref="D16355:D16357" si="4195">HYPERLINK("https://12go.asia/en/travel/Akuressa/Induruwa", "12Go Link")</f>
        <v>12Go Link</v>
      </c>
      <c r="E16355" s="2" t="s">
        <v>286</v>
      </c>
    </row>
    <row r="16356">
      <c r="A16356" s="2" t="s">
        <v>5038</v>
      </c>
      <c r="B16356" s="2" t="s">
        <v>4967</v>
      </c>
      <c r="C16356" s="2" t="s">
        <v>7896</v>
      </c>
      <c r="D16356" s="3" t="str">
        <f t="shared" si="4195"/>
        <v>12Go Link</v>
      </c>
      <c r="E16356" s="2" t="s">
        <v>4139</v>
      </c>
    </row>
    <row r="16357">
      <c r="A16357" s="2" t="s">
        <v>5038</v>
      </c>
      <c r="B16357" s="2" t="s">
        <v>4967</v>
      </c>
      <c r="C16357" s="2" t="s">
        <v>7896</v>
      </c>
      <c r="D16357" s="3" t="str">
        <f t="shared" si="4195"/>
        <v>12Go Link</v>
      </c>
      <c r="E16357" s="2" t="s">
        <v>3409</v>
      </c>
    </row>
    <row r="16358">
      <c r="A16358" s="2" t="s">
        <v>5038</v>
      </c>
      <c r="B16358" s="2" t="s">
        <v>4969</v>
      </c>
      <c r="C16358" s="2" t="s">
        <v>7897</v>
      </c>
      <c r="D16358" s="3" t="str">
        <f t="shared" ref="D16358:D16360" si="4196">HYPERLINK("https://12go.asia/en/travel/Akuressa/Jaffna", "12Go Link")</f>
        <v>12Go Link</v>
      </c>
      <c r="E16358" s="2" t="s">
        <v>286</v>
      </c>
    </row>
    <row r="16359">
      <c r="A16359" s="2" t="s">
        <v>5038</v>
      </c>
      <c r="B16359" s="2" t="s">
        <v>4969</v>
      </c>
      <c r="C16359" s="2" t="s">
        <v>7897</v>
      </c>
      <c r="D16359" s="3" t="str">
        <f t="shared" si="4196"/>
        <v>12Go Link</v>
      </c>
      <c r="E16359" s="2" t="s">
        <v>4139</v>
      </c>
    </row>
    <row r="16360">
      <c r="A16360" s="2" t="s">
        <v>5038</v>
      </c>
      <c r="B16360" s="2" t="s">
        <v>4969</v>
      </c>
      <c r="C16360" s="2" t="s">
        <v>7897</v>
      </c>
      <c r="D16360" s="3" t="str">
        <f t="shared" si="4196"/>
        <v>12Go Link</v>
      </c>
      <c r="E16360" s="2" t="s">
        <v>3409</v>
      </c>
    </row>
    <row r="16361">
      <c r="A16361" s="2" t="s">
        <v>5038</v>
      </c>
      <c r="B16361" s="2" t="s">
        <v>4971</v>
      </c>
      <c r="C16361" s="2" t="s">
        <v>7898</v>
      </c>
      <c r="D16361" s="3" t="str">
        <f t="shared" ref="D16361:D16363" si="4197">HYPERLINK("https://12go.asia/en/travel/Akuressa/Kalapuwa", "12Go Link")</f>
        <v>12Go Link</v>
      </c>
      <c r="E16361" s="2" t="s">
        <v>286</v>
      </c>
    </row>
    <row r="16362">
      <c r="A16362" s="2" t="s">
        <v>5038</v>
      </c>
      <c r="B16362" s="2" t="s">
        <v>4971</v>
      </c>
      <c r="C16362" s="2" t="s">
        <v>7898</v>
      </c>
      <c r="D16362" s="3" t="str">
        <f t="shared" si="4197"/>
        <v>12Go Link</v>
      </c>
      <c r="E16362" s="2" t="s">
        <v>4139</v>
      </c>
    </row>
    <row r="16363">
      <c r="A16363" s="2" t="s">
        <v>5038</v>
      </c>
      <c r="B16363" s="2" t="s">
        <v>4971</v>
      </c>
      <c r="C16363" s="2" t="s">
        <v>7898</v>
      </c>
      <c r="D16363" s="3" t="str">
        <f t="shared" si="4197"/>
        <v>12Go Link</v>
      </c>
      <c r="E16363" s="2" t="s">
        <v>3409</v>
      </c>
    </row>
    <row r="16364">
      <c r="A16364" s="2" t="s">
        <v>5038</v>
      </c>
      <c r="B16364" s="2" t="s">
        <v>4973</v>
      </c>
      <c r="C16364" s="2" t="s">
        <v>7899</v>
      </c>
      <c r="D16364" s="3" t="str">
        <f t="shared" ref="D16364:D16366" si="4198">HYPERLINK("https://12go.asia/en/travel/Akuressa/Ampitiya", "12Go Link")</f>
        <v>12Go Link</v>
      </c>
      <c r="E16364" s="2" t="s">
        <v>286</v>
      </c>
    </row>
    <row r="16365">
      <c r="A16365" s="2" t="s">
        <v>5038</v>
      </c>
      <c r="B16365" s="2" t="s">
        <v>4973</v>
      </c>
      <c r="C16365" s="2" t="s">
        <v>7899</v>
      </c>
      <c r="D16365" s="3" t="str">
        <f t="shared" si="4198"/>
        <v>12Go Link</v>
      </c>
      <c r="E16365" s="2" t="s">
        <v>4139</v>
      </c>
    </row>
    <row r="16366">
      <c r="A16366" s="2" t="s">
        <v>5038</v>
      </c>
      <c r="B16366" s="2" t="s">
        <v>4973</v>
      </c>
      <c r="C16366" s="2" t="s">
        <v>7899</v>
      </c>
      <c r="D16366" s="3" t="str">
        <f t="shared" si="4198"/>
        <v>12Go Link</v>
      </c>
      <c r="E16366" s="2" t="s">
        <v>3409</v>
      </c>
    </row>
    <row r="16367">
      <c r="A16367" s="2" t="s">
        <v>5038</v>
      </c>
      <c r="B16367" s="2" t="s">
        <v>4973</v>
      </c>
      <c r="C16367" s="2" t="s">
        <v>7900</v>
      </c>
      <c r="D16367" s="3" t="str">
        <f t="shared" ref="D16367:D16369" si="4199">HYPERLINK("https://12go.asia/en/travel/Akuressa/Digana", "12Go Link")</f>
        <v>12Go Link</v>
      </c>
      <c r="E16367" s="2" t="s">
        <v>286</v>
      </c>
    </row>
    <row r="16368">
      <c r="A16368" s="2" t="s">
        <v>5038</v>
      </c>
      <c r="B16368" s="2" t="s">
        <v>4973</v>
      </c>
      <c r="C16368" s="2" t="s">
        <v>7900</v>
      </c>
      <c r="D16368" s="3" t="str">
        <f t="shared" si="4199"/>
        <v>12Go Link</v>
      </c>
      <c r="E16368" s="2" t="s">
        <v>4139</v>
      </c>
    </row>
    <row r="16369">
      <c r="A16369" s="2" t="s">
        <v>5038</v>
      </c>
      <c r="B16369" s="2" t="s">
        <v>4973</v>
      </c>
      <c r="C16369" s="2" t="s">
        <v>7900</v>
      </c>
      <c r="D16369" s="3" t="str">
        <f t="shared" si="4199"/>
        <v>12Go Link</v>
      </c>
      <c r="E16369" s="2" t="s">
        <v>3409</v>
      </c>
    </row>
    <row r="16370">
      <c r="A16370" s="2" t="s">
        <v>5038</v>
      </c>
      <c r="B16370" s="2" t="s">
        <v>4976</v>
      </c>
      <c r="C16370" s="2" t="s">
        <v>7901</v>
      </c>
      <c r="D16370" s="3" t="str">
        <f t="shared" ref="D16370:D16372" si="4200">HYPERLINK("https://12go.asia/en/travel/Akuressa/Kataragama", "12Go Link")</f>
        <v>12Go Link</v>
      </c>
      <c r="E16370" s="2" t="s">
        <v>286</v>
      </c>
    </row>
    <row r="16371">
      <c r="A16371" s="2" t="s">
        <v>5038</v>
      </c>
      <c r="B16371" s="2" t="s">
        <v>4976</v>
      </c>
      <c r="C16371" s="2" t="s">
        <v>7901</v>
      </c>
      <c r="D16371" s="3" t="str">
        <f t="shared" si="4200"/>
        <v>12Go Link</v>
      </c>
      <c r="E16371" s="2" t="s">
        <v>4139</v>
      </c>
    </row>
    <row r="16372">
      <c r="A16372" s="2" t="s">
        <v>5038</v>
      </c>
      <c r="B16372" s="2" t="s">
        <v>4976</v>
      </c>
      <c r="C16372" s="2" t="s">
        <v>7901</v>
      </c>
      <c r="D16372" s="3" t="str">
        <f t="shared" si="4200"/>
        <v>12Go Link</v>
      </c>
      <c r="E16372" s="2" t="s">
        <v>3409</v>
      </c>
    </row>
    <row r="16373">
      <c r="A16373" s="2" t="s">
        <v>5038</v>
      </c>
      <c r="B16373" s="2" t="s">
        <v>4978</v>
      </c>
      <c r="C16373" s="2" t="s">
        <v>7902</v>
      </c>
      <c r="D16373" s="3" t="str">
        <f t="shared" ref="D16373:D16375" si="4201">HYPERLINK("https://12go.asia/en/travel/Akuressa/Alawathupitiya", "12Go Link")</f>
        <v>12Go Link</v>
      </c>
      <c r="E16373" s="2" t="s">
        <v>286</v>
      </c>
    </row>
    <row r="16374">
      <c r="A16374" s="2" t="s">
        <v>5038</v>
      </c>
      <c r="B16374" s="2" t="s">
        <v>4978</v>
      </c>
      <c r="C16374" s="2" t="s">
        <v>7902</v>
      </c>
      <c r="D16374" s="3" t="str">
        <f t="shared" si="4201"/>
        <v>12Go Link</v>
      </c>
      <c r="E16374" s="2" t="s">
        <v>4139</v>
      </c>
    </row>
    <row r="16375">
      <c r="A16375" s="2" t="s">
        <v>5038</v>
      </c>
      <c r="B16375" s="2" t="s">
        <v>4978</v>
      </c>
      <c r="C16375" s="2" t="s">
        <v>7902</v>
      </c>
      <c r="D16375" s="3" t="str">
        <f t="shared" si="4201"/>
        <v>12Go Link</v>
      </c>
      <c r="E16375" s="2" t="s">
        <v>3409</v>
      </c>
    </row>
    <row r="16376">
      <c r="A16376" s="2" t="s">
        <v>5038</v>
      </c>
      <c r="B16376" s="2" t="s">
        <v>4980</v>
      </c>
      <c r="C16376" s="2" t="s">
        <v>7903</v>
      </c>
      <c r="D16376" s="3" t="str">
        <f t="shared" ref="D16376:D16378" si="4202">HYPERLINK("https://12go.asia/en/travel/Akuressa/Pinnawala", "12Go Link")</f>
        <v>12Go Link</v>
      </c>
      <c r="E16376" s="2" t="s">
        <v>286</v>
      </c>
    </row>
    <row r="16377">
      <c r="A16377" s="2" t="s">
        <v>5038</v>
      </c>
      <c r="B16377" s="2" t="s">
        <v>4980</v>
      </c>
      <c r="C16377" s="2" t="s">
        <v>7903</v>
      </c>
      <c r="D16377" s="3" t="str">
        <f t="shared" si="4202"/>
        <v>12Go Link</v>
      </c>
      <c r="E16377" s="2" t="s">
        <v>4139</v>
      </c>
    </row>
    <row r="16378">
      <c r="A16378" s="2" t="s">
        <v>5038</v>
      </c>
      <c r="B16378" s="2" t="s">
        <v>4980</v>
      </c>
      <c r="C16378" s="2" t="s">
        <v>7903</v>
      </c>
      <c r="D16378" s="3" t="str">
        <f t="shared" si="4202"/>
        <v>12Go Link</v>
      </c>
      <c r="E16378" s="2" t="s">
        <v>3409</v>
      </c>
    </row>
    <row r="16379">
      <c r="A16379" s="2" t="s">
        <v>5038</v>
      </c>
      <c r="B16379" s="2" t="s">
        <v>4982</v>
      </c>
      <c r="C16379" s="2" t="s">
        <v>7904</v>
      </c>
      <c r="D16379" s="3" t="str">
        <f t="shared" ref="D16379:D16381" si="4203">HYPERLINK("https://12go.asia/en/travel/Akuressa/Kitulgala", "12Go Link")</f>
        <v>12Go Link</v>
      </c>
      <c r="E16379" s="2" t="s">
        <v>286</v>
      </c>
    </row>
    <row r="16380">
      <c r="A16380" s="2" t="s">
        <v>5038</v>
      </c>
      <c r="B16380" s="2" t="s">
        <v>4982</v>
      </c>
      <c r="C16380" s="2" t="s">
        <v>7904</v>
      </c>
      <c r="D16380" s="3" t="str">
        <f t="shared" si="4203"/>
        <v>12Go Link</v>
      </c>
      <c r="E16380" s="2" t="s">
        <v>4139</v>
      </c>
    </row>
    <row r="16381">
      <c r="A16381" s="2" t="s">
        <v>5038</v>
      </c>
      <c r="B16381" s="2" t="s">
        <v>4982</v>
      </c>
      <c r="C16381" s="2" t="s">
        <v>7904</v>
      </c>
      <c r="D16381" s="3" t="str">
        <f t="shared" si="4203"/>
        <v>12Go Link</v>
      </c>
      <c r="E16381" s="2" t="s">
        <v>3409</v>
      </c>
    </row>
    <row r="16382">
      <c r="A16382" s="2" t="s">
        <v>5038</v>
      </c>
      <c r="B16382" s="2" t="s">
        <v>4984</v>
      </c>
      <c r="C16382" s="2" t="s">
        <v>7905</v>
      </c>
      <c r="D16382" s="3" t="str">
        <f t="shared" ref="D16382:D16384" si="4204">HYPERLINK("https://12go.asia/en/travel/Akuressa/Habaraduwa", "12Go Link")</f>
        <v>12Go Link</v>
      </c>
      <c r="E16382" s="2" t="s">
        <v>286</v>
      </c>
    </row>
    <row r="16383">
      <c r="A16383" s="2" t="s">
        <v>5038</v>
      </c>
      <c r="B16383" s="2" t="s">
        <v>4984</v>
      </c>
      <c r="C16383" s="2" t="s">
        <v>7905</v>
      </c>
      <c r="D16383" s="3" t="str">
        <f t="shared" si="4204"/>
        <v>12Go Link</v>
      </c>
      <c r="E16383" s="2" t="s">
        <v>4139</v>
      </c>
    </row>
    <row r="16384">
      <c r="A16384" s="2" t="s">
        <v>5038</v>
      </c>
      <c r="B16384" s="2" t="s">
        <v>4984</v>
      </c>
      <c r="C16384" s="2" t="s">
        <v>7905</v>
      </c>
      <c r="D16384" s="3" t="str">
        <f t="shared" si="4204"/>
        <v>12Go Link</v>
      </c>
      <c r="E16384" s="2" t="s">
        <v>3409</v>
      </c>
    </row>
    <row r="16385">
      <c r="A16385" s="2" t="s">
        <v>5038</v>
      </c>
      <c r="B16385" s="2" t="s">
        <v>4986</v>
      </c>
      <c r="C16385" s="2" t="s">
        <v>7906</v>
      </c>
      <c r="D16385" s="3" t="str">
        <f t="shared" ref="D16385:D16387" si="4205">HYPERLINK("https://12go.asia/en/travel/Akuressa/Kosgoda", "12Go Link")</f>
        <v>12Go Link</v>
      </c>
      <c r="E16385" s="2" t="s">
        <v>286</v>
      </c>
    </row>
    <row r="16386">
      <c r="A16386" s="2" t="s">
        <v>5038</v>
      </c>
      <c r="B16386" s="2" t="s">
        <v>4986</v>
      </c>
      <c r="C16386" s="2" t="s">
        <v>7906</v>
      </c>
      <c r="D16386" s="3" t="str">
        <f t="shared" si="4205"/>
        <v>12Go Link</v>
      </c>
      <c r="E16386" s="2" t="s">
        <v>4139</v>
      </c>
    </row>
    <row r="16387">
      <c r="A16387" s="2" t="s">
        <v>5038</v>
      </c>
      <c r="B16387" s="2" t="s">
        <v>4986</v>
      </c>
      <c r="C16387" s="2" t="s">
        <v>7906</v>
      </c>
      <c r="D16387" s="3" t="str">
        <f t="shared" si="4205"/>
        <v>12Go Link</v>
      </c>
      <c r="E16387" s="2" t="s">
        <v>3409</v>
      </c>
    </row>
    <row r="16388">
      <c r="A16388" s="2" t="s">
        <v>5038</v>
      </c>
      <c r="B16388" s="2" t="s">
        <v>4988</v>
      </c>
      <c r="C16388" s="2" t="s">
        <v>7907</v>
      </c>
      <c r="D16388" s="3" t="str">
        <f t="shared" ref="D16388:D16390" si="4206">HYPERLINK("https://12go.asia/en/travel/Akuressa/Kuchchaveli", "12Go Link")</f>
        <v>12Go Link</v>
      </c>
      <c r="E16388" s="2" t="s">
        <v>286</v>
      </c>
    </row>
    <row r="16389">
      <c r="A16389" s="2" t="s">
        <v>5038</v>
      </c>
      <c r="B16389" s="2" t="s">
        <v>4988</v>
      </c>
      <c r="C16389" s="2" t="s">
        <v>7907</v>
      </c>
      <c r="D16389" s="3" t="str">
        <f t="shared" si="4206"/>
        <v>12Go Link</v>
      </c>
      <c r="E16389" s="2" t="s">
        <v>4139</v>
      </c>
    </row>
    <row r="16390">
      <c r="A16390" s="2" t="s">
        <v>5038</v>
      </c>
      <c r="B16390" s="2" t="s">
        <v>4988</v>
      </c>
      <c r="C16390" s="2" t="s">
        <v>7907</v>
      </c>
      <c r="D16390" s="3" t="str">
        <f t="shared" si="4206"/>
        <v>12Go Link</v>
      </c>
      <c r="E16390" s="2" t="s">
        <v>3409</v>
      </c>
    </row>
    <row r="16391">
      <c r="A16391" s="2" t="s">
        <v>5038</v>
      </c>
      <c r="B16391" s="2" t="s">
        <v>4990</v>
      </c>
      <c r="C16391" s="2" t="s">
        <v>7908</v>
      </c>
      <c r="D16391" s="3" t="str">
        <f t="shared" ref="D16391:D16393" si="4207">HYPERLINK("https://12go.asia/en/travel/Akuressa/Mannar", "12Go Link")</f>
        <v>12Go Link</v>
      </c>
      <c r="E16391" s="2" t="s">
        <v>286</v>
      </c>
    </row>
    <row r="16392">
      <c r="A16392" s="2" t="s">
        <v>5038</v>
      </c>
      <c r="B16392" s="2" t="s">
        <v>4990</v>
      </c>
      <c r="C16392" s="2" t="s">
        <v>7908</v>
      </c>
      <c r="D16392" s="3" t="str">
        <f t="shared" si="4207"/>
        <v>12Go Link</v>
      </c>
      <c r="E16392" s="2" t="s">
        <v>4139</v>
      </c>
    </row>
    <row r="16393">
      <c r="A16393" s="2" t="s">
        <v>5038</v>
      </c>
      <c r="B16393" s="2" t="s">
        <v>4990</v>
      </c>
      <c r="C16393" s="2" t="s">
        <v>7908</v>
      </c>
      <c r="D16393" s="3" t="str">
        <f t="shared" si="4207"/>
        <v>12Go Link</v>
      </c>
      <c r="E16393" s="2" t="s">
        <v>3409</v>
      </c>
    </row>
    <row r="16394">
      <c r="A16394" s="2" t="s">
        <v>5038</v>
      </c>
      <c r="B16394" s="2" t="s">
        <v>4992</v>
      </c>
      <c r="C16394" s="2" t="s">
        <v>7909</v>
      </c>
      <c r="D16394" s="3" t="str">
        <f t="shared" ref="D16394:D16396" si="4208">HYPERLINK("https://12go.asia/en/travel/Akuressa/Kinigama", "12Go Link")</f>
        <v>12Go Link</v>
      </c>
      <c r="E16394" s="2" t="s">
        <v>286</v>
      </c>
    </row>
    <row r="16395">
      <c r="A16395" s="2" t="s">
        <v>5038</v>
      </c>
      <c r="B16395" s="2" t="s">
        <v>4992</v>
      </c>
      <c r="C16395" s="2" t="s">
        <v>7909</v>
      </c>
      <c r="D16395" s="3" t="str">
        <f t="shared" si="4208"/>
        <v>12Go Link</v>
      </c>
      <c r="E16395" s="2" t="s">
        <v>4139</v>
      </c>
    </row>
    <row r="16396">
      <c r="A16396" s="2" t="s">
        <v>5038</v>
      </c>
      <c r="B16396" s="2" t="s">
        <v>4992</v>
      </c>
      <c r="C16396" s="2" t="s">
        <v>7909</v>
      </c>
      <c r="D16396" s="3" t="str">
        <f t="shared" si="4208"/>
        <v>12Go Link</v>
      </c>
      <c r="E16396" s="2" t="s">
        <v>3409</v>
      </c>
    </row>
    <row r="16397">
      <c r="A16397" s="2" t="s">
        <v>5038</v>
      </c>
      <c r="B16397" s="2" t="s">
        <v>4994</v>
      </c>
      <c r="C16397" s="2" t="s">
        <v>7910</v>
      </c>
      <c r="D16397" s="3" t="str">
        <f t="shared" ref="D16397:D16399" si="4209">HYPERLINK("https://12go.asia/en/travel/Akuressa/Kalamatiya", "12Go Link")</f>
        <v>12Go Link</v>
      </c>
      <c r="E16397" s="2" t="s">
        <v>286</v>
      </c>
    </row>
    <row r="16398">
      <c r="A16398" s="2" t="s">
        <v>5038</v>
      </c>
      <c r="B16398" s="2" t="s">
        <v>4994</v>
      </c>
      <c r="C16398" s="2" t="s">
        <v>7910</v>
      </c>
      <c r="D16398" s="3" t="str">
        <f t="shared" si="4209"/>
        <v>12Go Link</v>
      </c>
      <c r="E16398" s="2" t="s">
        <v>4139</v>
      </c>
    </row>
    <row r="16399">
      <c r="A16399" s="2" t="s">
        <v>5038</v>
      </c>
      <c r="B16399" s="2" t="s">
        <v>4994</v>
      </c>
      <c r="C16399" s="2" t="s">
        <v>7910</v>
      </c>
      <c r="D16399" s="3" t="str">
        <f t="shared" si="4209"/>
        <v>12Go Link</v>
      </c>
      <c r="E16399" s="2" t="s">
        <v>3409</v>
      </c>
    </row>
    <row r="16400">
      <c r="A16400" s="2" t="s">
        <v>5038</v>
      </c>
      <c r="B16400" s="2" t="s">
        <v>4994</v>
      </c>
      <c r="C16400" s="2" t="s">
        <v>7911</v>
      </c>
      <c r="D16400" s="3" t="str">
        <f t="shared" ref="D16400:D16401" si="4210">HYPERLINK("https://12go.asia/en/travel/Weligama/Matara", "12Go Link")</f>
        <v>12Go Link</v>
      </c>
      <c r="E16400" s="2" t="s">
        <v>5080</v>
      </c>
    </row>
    <row r="16401">
      <c r="A16401" s="2" t="s">
        <v>5038</v>
      </c>
      <c r="B16401" s="2" t="s">
        <v>4994</v>
      </c>
      <c r="C16401" s="2" t="s">
        <v>7911</v>
      </c>
      <c r="D16401" s="3" t="str">
        <f t="shared" si="4210"/>
        <v>12Go Link</v>
      </c>
      <c r="E16401" s="2" t="s">
        <v>5081</v>
      </c>
    </row>
    <row r="16402">
      <c r="A16402" s="2" t="s">
        <v>5038</v>
      </c>
      <c r="B16402" s="2" t="s">
        <v>4996</v>
      </c>
      <c r="C16402" s="2" t="s">
        <v>7912</v>
      </c>
      <c r="D16402" s="3" t="str">
        <f t="shared" ref="D16402:D16404" si="4211">HYPERLINK("https://12go.asia/en/travel/Akuressa/mirissa", "12Go Link")</f>
        <v>12Go Link</v>
      </c>
      <c r="E16402" s="2" t="s">
        <v>286</v>
      </c>
    </row>
    <row r="16403">
      <c r="A16403" s="2" t="s">
        <v>5038</v>
      </c>
      <c r="B16403" s="2" t="s">
        <v>4996</v>
      </c>
      <c r="C16403" s="2" t="s">
        <v>7912</v>
      </c>
      <c r="D16403" s="3" t="str">
        <f t="shared" si="4211"/>
        <v>12Go Link</v>
      </c>
      <c r="E16403" s="2" t="s">
        <v>4139</v>
      </c>
    </row>
    <row r="16404">
      <c r="A16404" s="2" t="s">
        <v>5038</v>
      </c>
      <c r="B16404" s="2" t="s">
        <v>4996</v>
      </c>
      <c r="C16404" s="2" t="s">
        <v>7912</v>
      </c>
      <c r="D16404" s="3" t="str">
        <f t="shared" si="4211"/>
        <v>12Go Link</v>
      </c>
      <c r="E16404" s="2" t="s">
        <v>3409</v>
      </c>
    </row>
    <row r="16405">
      <c r="A16405" s="2" t="s">
        <v>5038</v>
      </c>
      <c r="B16405" s="2" t="s">
        <v>4996</v>
      </c>
      <c r="C16405" s="2" t="s">
        <v>7913</v>
      </c>
      <c r="D16405" s="3" t="str">
        <f t="shared" ref="D16405:D16406" si="4212">HYPERLINK("https://12go.asia/en/travel/Weligama/Mirissa", "12Go Link")</f>
        <v>12Go Link</v>
      </c>
      <c r="E16405" s="2" t="s">
        <v>5080</v>
      </c>
    </row>
    <row r="16406">
      <c r="A16406" s="2" t="s">
        <v>5038</v>
      </c>
      <c r="B16406" s="2" t="s">
        <v>4996</v>
      </c>
      <c r="C16406" s="2" t="s">
        <v>7913</v>
      </c>
      <c r="D16406" s="3" t="str">
        <f t="shared" si="4212"/>
        <v>12Go Link</v>
      </c>
      <c r="E16406" s="2" t="s">
        <v>5081</v>
      </c>
    </row>
    <row r="16407">
      <c r="A16407" s="2" t="s">
        <v>5038</v>
      </c>
      <c r="B16407" s="2" t="s">
        <v>5204</v>
      </c>
      <c r="C16407" s="2" t="s">
        <v>7914</v>
      </c>
      <c r="D16407" s="3" t="str">
        <f>HYPERLINK("https://12go.asia/en/travel/Weligama/Moratuwa", "12Go Link")</f>
        <v>12Go Link</v>
      </c>
      <c r="E16407" s="2" t="s">
        <v>5206</v>
      </c>
    </row>
    <row r="16408">
      <c r="A16408" s="2" t="s">
        <v>5038</v>
      </c>
      <c r="B16408" s="2" t="s">
        <v>4998</v>
      </c>
      <c r="C16408" s="2" t="s">
        <v>7915</v>
      </c>
      <c r="D16408" s="3" t="str">
        <f t="shared" ref="D16408:D16410" si="4213">HYPERLINK("https://12go.asia/en/travel/Akuressa/Nanu-Oya", "12Go Link")</f>
        <v>12Go Link</v>
      </c>
      <c r="E16408" s="2" t="s">
        <v>286</v>
      </c>
    </row>
    <row r="16409">
      <c r="A16409" s="2" t="s">
        <v>5038</v>
      </c>
      <c r="B16409" s="2" t="s">
        <v>4998</v>
      </c>
      <c r="C16409" s="2" t="s">
        <v>7915</v>
      </c>
      <c r="D16409" s="3" t="str">
        <f t="shared" si="4213"/>
        <v>12Go Link</v>
      </c>
      <c r="E16409" s="2" t="s">
        <v>4139</v>
      </c>
    </row>
    <row r="16410">
      <c r="A16410" s="2" t="s">
        <v>5038</v>
      </c>
      <c r="B16410" s="2" t="s">
        <v>4998</v>
      </c>
      <c r="C16410" s="2" t="s">
        <v>7915</v>
      </c>
      <c r="D16410" s="3" t="str">
        <f t="shared" si="4213"/>
        <v>12Go Link</v>
      </c>
      <c r="E16410" s="2" t="s">
        <v>3409</v>
      </c>
    </row>
    <row r="16411">
      <c r="A16411" s="2" t="s">
        <v>5038</v>
      </c>
      <c r="B16411" s="2" t="s">
        <v>5000</v>
      </c>
      <c r="C16411" s="2" t="s">
        <v>7916</v>
      </c>
      <c r="D16411" s="3" t="str">
        <f t="shared" ref="D16411:D16413" si="4214">HYPERLINK("https://12go.asia/en/travel/Akuressa/Dalupotha", "12Go Link")</f>
        <v>12Go Link</v>
      </c>
      <c r="E16411" s="2" t="s">
        <v>286</v>
      </c>
    </row>
    <row r="16412">
      <c r="A16412" s="2" t="s">
        <v>5038</v>
      </c>
      <c r="B16412" s="2" t="s">
        <v>5000</v>
      </c>
      <c r="C16412" s="2" t="s">
        <v>7916</v>
      </c>
      <c r="D16412" s="3" t="str">
        <f t="shared" si="4214"/>
        <v>12Go Link</v>
      </c>
      <c r="E16412" s="2" t="s">
        <v>4139</v>
      </c>
    </row>
    <row r="16413">
      <c r="A16413" s="2" t="s">
        <v>5038</v>
      </c>
      <c r="B16413" s="2" t="s">
        <v>5000</v>
      </c>
      <c r="C16413" s="2" t="s">
        <v>7916</v>
      </c>
      <c r="D16413" s="3" t="str">
        <f t="shared" si="4214"/>
        <v>12Go Link</v>
      </c>
      <c r="E16413" s="2" t="s">
        <v>3409</v>
      </c>
    </row>
    <row r="16414">
      <c r="A16414" s="2" t="s">
        <v>5038</v>
      </c>
      <c r="B16414" s="2" t="s">
        <v>5000</v>
      </c>
      <c r="C16414" s="2" t="s">
        <v>7917</v>
      </c>
      <c r="D16414" s="3" t="str">
        <f t="shared" ref="D16414:D16416" si="4215">HYPERLINK("https://12go.asia/en/travel/Akuressa/Waikkal", "12Go Link")</f>
        <v>12Go Link</v>
      </c>
      <c r="E16414" s="2" t="s">
        <v>286</v>
      </c>
    </row>
    <row r="16415">
      <c r="A16415" s="2" t="s">
        <v>5038</v>
      </c>
      <c r="B16415" s="2" t="s">
        <v>5000</v>
      </c>
      <c r="C16415" s="2" t="s">
        <v>7917</v>
      </c>
      <c r="D16415" s="3" t="str">
        <f t="shared" si="4215"/>
        <v>12Go Link</v>
      </c>
      <c r="E16415" s="2" t="s">
        <v>4139</v>
      </c>
    </row>
    <row r="16416">
      <c r="A16416" s="2" t="s">
        <v>5038</v>
      </c>
      <c r="B16416" s="2" t="s">
        <v>5000</v>
      </c>
      <c r="C16416" s="2" t="s">
        <v>7917</v>
      </c>
      <c r="D16416" s="3" t="str">
        <f t="shared" si="4215"/>
        <v>12Go Link</v>
      </c>
      <c r="E16416" s="2" t="s">
        <v>3409</v>
      </c>
    </row>
    <row r="16417">
      <c r="A16417" s="2" t="s">
        <v>5038</v>
      </c>
      <c r="B16417" s="2" t="s">
        <v>5003</v>
      </c>
      <c r="C16417" s="2" t="s">
        <v>7918</v>
      </c>
      <c r="D16417" s="3" t="str">
        <f t="shared" ref="D16417:D16419" si="4216">HYPERLINK("https://12go.asia/en/travel/Akuressa/Nilaveli", "12Go Link")</f>
        <v>12Go Link</v>
      </c>
      <c r="E16417" s="2" t="s">
        <v>286</v>
      </c>
    </row>
    <row r="16418">
      <c r="A16418" s="2" t="s">
        <v>5038</v>
      </c>
      <c r="B16418" s="2" t="s">
        <v>5003</v>
      </c>
      <c r="C16418" s="2" t="s">
        <v>7918</v>
      </c>
      <c r="D16418" s="3" t="str">
        <f t="shared" si="4216"/>
        <v>12Go Link</v>
      </c>
      <c r="E16418" s="2" t="s">
        <v>4139</v>
      </c>
    </row>
    <row r="16419">
      <c r="A16419" s="2" t="s">
        <v>5038</v>
      </c>
      <c r="B16419" s="2" t="s">
        <v>5003</v>
      </c>
      <c r="C16419" s="2" t="s">
        <v>7918</v>
      </c>
      <c r="D16419" s="3" t="str">
        <f t="shared" si="4216"/>
        <v>12Go Link</v>
      </c>
      <c r="E16419" s="2" t="s">
        <v>3409</v>
      </c>
    </row>
    <row r="16420">
      <c r="A16420" s="2" t="s">
        <v>5038</v>
      </c>
      <c r="B16420" s="2" t="s">
        <v>5005</v>
      </c>
      <c r="C16420" s="2" t="s">
        <v>7919</v>
      </c>
      <c r="D16420" s="3" t="str">
        <f t="shared" ref="D16420:D16422" si="4217">HYPERLINK("https://12go.asia/en/travel/Akuressa/Kotmale", "12Go Link")</f>
        <v>12Go Link</v>
      </c>
      <c r="E16420" s="2" t="s">
        <v>286</v>
      </c>
    </row>
    <row r="16421">
      <c r="A16421" s="2" t="s">
        <v>5038</v>
      </c>
      <c r="B16421" s="2" t="s">
        <v>5005</v>
      </c>
      <c r="C16421" s="2" t="s">
        <v>7919</v>
      </c>
      <c r="D16421" s="3" t="str">
        <f t="shared" si="4217"/>
        <v>12Go Link</v>
      </c>
      <c r="E16421" s="2" t="s">
        <v>4139</v>
      </c>
    </row>
    <row r="16422">
      <c r="A16422" s="2" t="s">
        <v>5038</v>
      </c>
      <c r="B16422" s="2" t="s">
        <v>5005</v>
      </c>
      <c r="C16422" s="2" t="s">
        <v>7919</v>
      </c>
      <c r="D16422" s="3" t="str">
        <f t="shared" si="4217"/>
        <v>12Go Link</v>
      </c>
      <c r="E16422" s="2" t="s">
        <v>3409</v>
      </c>
    </row>
    <row r="16423">
      <c r="A16423" s="2" t="s">
        <v>5038</v>
      </c>
      <c r="B16423" s="2" t="s">
        <v>5007</v>
      </c>
      <c r="C16423" s="2" t="s">
        <v>7920</v>
      </c>
      <c r="D16423" s="3" t="str">
        <f t="shared" ref="D16423:D16425" si="4218">HYPERLINK("https://12go.asia/en/travel/Akuressa/Pasikuda", "12Go Link")</f>
        <v>12Go Link</v>
      </c>
      <c r="E16423" s="2" t="s">
        <v>286</v>
      </c>
    </row>
    <row r="16424">
      <c r="A16424" s="2" t="s">
        <v>5038</v>
      </c>
      <c r="B16424" s="2" t="s">
        <v>5007</v>
      </c>
      <c r="C16424" s="2" t="s">
        <v>7920</v>
      </c>
      <c r="D16424" s="3" t="str">
        <f t="shared" si="4218"/>
        <v>12Go Link</v>
      </c>
      <c r="E16424" s="2" t="s">
        <v>4139</v>
      </c>
    </row>
    <row r="16425">
      <c r="A16425" s="2" t="s">
        <v>5038</v>
      </c>
      <c r="B16425" s="2" t="s">
        <v>5007</v>
      </c>
      <c r="C16425" s="2" t="s">
        <v>7920</v>
      </c>
      <c r="D16425" s="3" t="str">
        <f t="shared" si="4218"/>
        <v>12Go Link</v>
      </c>
      <c r="E16425" s="2" t="s">
        <v>3409</v>
      </c>
    </row>
    <row r="16426">
      <c r="A16426" s="2" t="s">
        <v>5038</v>
      </c>
      <c r="B16426" s="2" t="s">
        <v>5009</v>
      </c>
      <c r="C16426" s="2" t="s">
        <v>7921</v>
      </c>
      <c r="D16426" s="3" t="str">
        <f t="shared" ref="D16426:D16428" si="4219">HYPERLINK("https://12go.asia/en/travel/Akuressa/Galoya", "12Go Link")</f>
        <v>12Go Link</v>
      </c>
      <c r="E16426" s="2" t="s">
        <v>286</v>
      </c>
    </row>
    <row r="16427">
      <c r="A16427" s="2" t="s">
        <v>5038</v>
      </c>
      <c r="B16427" s="2" t="s">
        <v>5009</v>
      </c>
      <c r="C16427" s="2" t="s">
        <v>7921</v>
      </c>
      <c r="D16427" s="3" t="str">
        <f t="shared" si="4219"/>
        <v>12Go Link</v>
      </c>
      <c r="E16427" s="2" t="s">
        <v>4139</v>
      </c>
    </row>
    <row r="16428">
      <c r="A16428" s="2" t="s">
        <v>5038</v>
      </c>
      <c r="B16428" s="2" t="s">
        <v>5009</v>
      </c>
      <c r="C16428" s="2" t="s">
        <v>7921</v>
      </c>
      <c r="D16428" s="3" t="str">
        <f t="shared" si="4219"/>
        <v>12Go Link</v>
      </c>
      <c r="E16428" s="2" t="s">
        <v>3409</v>
      </c>
    </row>
    <row r="16429">
      <c r="A16429" s="2" t="s">
        <v>5038</v>
      </c>
      <c r="B16429" s="2" t="s">
        <v>5011</v>
      </c>
      <c r="C16429" s="2" t="s">
        <v>7922</v>
      </c>
      <c r="D16429" s="3" t="str">
        <f t="shared" ref="D16429:D16431" si="4220">HYPERLINK("https://12go.asia/en/travel/Akuressa/Kalpitiya", "12Go Link")</f>
        <v>12Go Link</v>
      </c>
      <c r="E16429" s="2" t="s">
        <v>286</v>
      </c>
    </row>
    <row r="16430">
      <c r="A16430" s="2" t="s">
        <v>5038</v>
      </c>
      <c r="B16430" s="2" t="s">
        <v>5011</v>
      </c>
      <c r="C16430" s="2" t="s">
        <v>7922</v>
      </c>
      <c r="D16430" s="3" t="str">
        <f t="shared" si="4220"/>
        <v>12Go Link</v>
      </c>
      <c r="E16430" s="2" t="s">
        <v>4139</v>
      </c>
    </row>
    <row r="16431">
      <c r="A16431" s="2" t="s">
        <v>5038</v>
      </c>
      <c r="B16431" s="2" t="s">
        <v>5011</v>
      </c>
      <c r="C16431" s="2" t="s">
        <v>7922</v>
      </c>
      <c r="D16431" s="3" t="str">
        <f t="shared" si="4220"/>
        <v>12Go Link</v>
      </c>
      <c r="E16431" s="2" t="s">
        <v>3409</v>
      </c>
    </row>
    <row r="16432">
      <c r="A16432" s="2" t="s">
        <v>5038</v>
      </c>
      <c r="B16432" s="2" t="s">
        <v>5011</v>
      </c>
      <c r="C16432" s="2" t="s">
        <v>7923</v>
      </c>
      <c r="D16432" s="3" t="str">
        <f t="shared" ref="D16432:D16434" si="4221">HYPERLINK("https://12go.asia/en/travel/Akuressa/Marawila", "12Go Link")</f>
        <v>12Go Link</v>
      </c>
      <c r="E16432" s="2" t="s">
        <v>286</v>
      </c>
    </row>
    <row r="16433">
      <c r="A16433" s="2" t="s">
        <v>5038</v>
      </c>
      <c r="B16433" s="2" t="s">
        <v>5011</v>
      </c>
      <c r="C16433" s="2" t="s">
        <v>7923</v>
      </c>
      <c r="D16433" s="3" t="str">
        <f t="shared" si="4221"/>
        <v>12Go Link</v>
      </c>
      <c r="E16433" s="2" t="s">
        <v>4139</v>
      </c>
    </row>
    <row r="16434">
      <c r="A16434" s="2" t="s">
        <v>5038</v>
      </c>
      <c r="B16434" s="2" t="s">
        <v>5011</v>
      </c>
      <c r="C16434" s="2" t="s">
        <v>7923</v>
      </c>
      <c r="D16434" s="3" t="str">
        <f t="shared" si="4221"/>
        <v>12Go Link</v>
      </c>
      <c r="E16434" s="2" t="s">
        <v>3409</v>
      </c>
    </row>
    <row r="16435">
      <c r="A16435" s="2" t="s">
        <v>5038</v>
      </c>
      <c r="B16435" s="2" t="s">
        <v>5014</v>
      </c>
      <c r="C16435" s="2" t="s">
        <v>7924</v>
      </c>
      <c r="D16435" s="3" t="str">
        <f t="shared" ref="D16435:D16437" si="4222">HYPERLINK("https://12go.asia/en/travel/Akuressa/Kiriella", "12Go Link")</f>
        <v>12Go Link</v>
      </c>
      <c r="E16435" s="2" t="s">
        <v>286</v>
      </c>
    </row>
    <row r="16436">
      <c r="A16436" s="2" t="s">
        <v>5038</v>
      </c>
      <c r="B16436" s="2" t="s">
        <v>5014</v>
      </c>
      <c r="C16436" s="2" t="s">
        <v>7924</v>
      </c>
      <c r="D16436" s="3" t="str">
        <f t="shared" si="4222"/>
        <v>12Go Link</v>
      </c>
      <c r="E16436" s="2" t="s">
        <v>4139</v>
      </c>
    </row>
    <row r="16437">
      <c r="A16437" s="2" t="s">
        <v>5038</v>
      </c>
      <c r="B16437" s="2" t="s">
        <v>5014</v>
      </c>
      <c r="C16437" s="2" t="s">
        <v>7924</v>
      </c>
      <c r="D16437" s="3" t="str">
        <f t="shared" si="4222"/>
        <v>12Go Link</v>
      </c>
      <c r="E16437" s="2" t="s">
        <v>3409</v>
      </c>
    </row>
    <row r="16438">
      <c r="A16438" s="2" t="s">
        <v>5038</v>
      </c>
      <c r="B16438" s="2" t="s">
        <v>5016</v>
      </c>
      <c r="C16438" s="2" t="s">
        <v>7925</v>
      </c>
      <c r="D16438" s="3" t="str">
        <f t="shared" ref="D16438:D16440" si="4223">HYPERLINK("https://12go.asia/en/travel/Akuressa/Pidurangala", "12Go Link")</f>
        <v>12Go Link</v>
      </c>
      <c r="E16438" s="2" t="s">
        <v>286</v>
      </c>
    </row>
    <row r="16439">
      <c r="A16439" s="2" t="s">
        <v>5038</v>
      </c>
      <c r="B16439" s="2" t="s">
        <v>5016</v>
      </c>
      <c r="C16439" s="2" t="s">
        <v>7925</v>
      </c>
      <c r="D16439" s="3" t="str">
        <f t="shared" si="4223"/>
        <v>12Go Link</v>
      </c>
      <c r="E16439" s="2" t="s">
        <v>4139</v>
      </c>
    </row>
    <row r="16440">
      <c r="A16440" s="2" t="s">
        <v>5038</v>
      </c>
      <c r="B16440" s="2" t="s">
        <v>5016</v>
      </c>
      <c r="C16440" s="2" t="s">
        <v>7925</v>
      </c>
      <c r="D16440" s="3" t="str">
        <f t="shared" si="4223"/>
        <v>12Go Link</v>
      </c>
      <c r="E16440" s="2" t="s">
        <v>3409</v>
      </c>
    </row>
    <row r="16441">
      <c r="A16441" s="2" t="s">
        <v>5038</v>
      </c>
      <c r="B16441" s="2" t="s">
        <v>5018</v>
      </c>
      <c r="C16441" s="2" t="s">
        <v>7926</v>
      </c>
      <c r="D16441" s="3" t="str">
        <f t="shared" ref="D16441:D16443" si="4224">HYPERLINK("https://12go.asia/en/travel/Akuressa/Rekawa", "12Go Link")</f>
        <v>12Go Link</v>
      </c>
      <c r="E16441" s="2" t="s">
        <v>286</v>
      </c>
    </row>
    <row r="16442">
      <c r="A16442" s="2" t="s">
        <v>5038</v>
      </c>
      <c r="B16442" s="2" t="s">
        <v>5018</v>
      </c>
      <c r="C16442" s="2" t="s">
        <v>7926</v>
      </c>
      <c r="D16442" s="3" t="str">
        <f t="shared" si="4224"/>
        <v>12Go Link</v>
      </c>
      <c r="E16442" s="2" t="s">
        <v>4139</v>
      </c>
    </row>
    <row r="16443">
      <c r="A16443" s="2" t="s">
        <v>5038</v>
      </c>
      <c r="B16443" s="2" t="s">
        <v>5018</v>
      </c>
      <c r="C16443" s="2" t="s">
        <v>7926</v>
      </c>
      <c r="D16443" s="3" t="str">
        <f t="shared" si="4224"/>
        <v>12Go Link</v>
      </c>
      <c r="E16443" s="2" t="s">
        <v>3409</v>
      </c>
    </row>
    <row r="16444">
      <c r="A16444" s="2" t="s">
        <v>5038</v>
      </c>
      <c r="B16444" s="2" t="s">
        <v>5020</v>
      </c>
      <c r="C16444" s="2" t="s">
        <v>7927</v>
      </c>
      <c r="D16444" s="3" t="str">
        <f t="shared" ref="D16444:D16446" si="4225">HYPERLINK("https://12go.asia/en/travel/Akuressa/Tissamaharama", "12Go Link")</f>
        <v>12Go Link</v>
      </c>
      <c r="E16444" s="2" t="s">
        <v>286</v>
      </c>
    </row>
    <row r="16445">
      <c r="A16445" s="2" t="s">
        <v>5038</v>
      </c>
      <c r="B16445" s="2" t="s">
        <v>5020</v>
      </c>
      <c r="C16445" s="2" t="s">
        <v>7927</v>
      </c>
      <c r="D16445" s="3" t="str">
        <f t="shared" si="4225"/>
        <v>12Go Link</v>
      </c>
      <c r="E16445" s="2" t="s">
        <v>4139</v>
      </c>
    </row>
    <row r="16446">
      <c r="A16446" s="2" t="s">
        <v>5038</v>
      </c>
      <c r="B16446" s="2" t="s">
        <v>5020</v>
      </c>
      <c r="C16446" s="2" t="s">
        <v>7927</v>
      </c>
      <c r="D16446" s="3" t="str">
        <f t="shared" si="4225"/>
        <v>12Go Link</v>
      </c>
      <c r="E16446" s="2" t="s">
        <v>3409</v>
      </c>
    </row>
    <row r="16447">
      <c r="A16447" s="2" t="s">
        <v>5038</v>
      </c>
      <c r="B16447" s="2" t="s">
        <v>5020</v>
      </c>
      <c r="C16447" s="2" t="s">
        <v>7928</v>
      </c>
      <c r="D16447" s="3" t="str">
        <f t="shared" ref="D16447:D16449" si="4226">HYPERLINK("https://12go.asia/en/travel/Akuressa/Yala-Park", "12Go Link")</f>
        <v>12Go Link</v>
      </c>
      <c r="E16447" s="2" t="s">
        <v>286</v>
      </c>
    </row>
    <row r="16448">
      <c r="A16448" s="2" t="s">
        <v>5038</v>
      </c>
      <c r="B16448" s="2" t="s">
        <v>5020</v>
      </c>
      <c r="C16448" s="2" t="s">
        <v>7928</v>
      </c>
      <c r="D16448" s="3" t="str">
        <f t="shared" si="4226"/>
        <v>12Go Link</v>
      </c>
      <c r="E16448" s="2" t="s">
        <v>4139</v>
      </c>
    </row>
    <row r="16449">
      <c r="A16449" s="2" t="s">
        <v>5038</v>
      </c>
      <c r="B16449" s="2" t="s">
        <v>5020</v>
      </c>
      <c r="C16449" s="2" t="s">
        <v>7928</v>
      </c>
      <c r="D16449" s="3" t="str">
        <f t="shared" si="4226"/>
        <v>12Go Link</v>
      </c>
      <c r="E16449" s="2" t="s">
        <v>3409</v>
      </c>
    </row>
    <row r="16450">
      <c r="A16450" s="2" t="s">
        <v>5038</v>
      </c>
      <c r="B16450" s="2" t="s">
        <v>5023</v>
      </c>
      <c r="C16450" s="2" t="s">
        <v>7929</v>
      </c>
      <c r="D16450" s="3" t="str">
        <f t="shared" ref="D16450:D16452" si="4227">HYPERLINK("https://12go.asia/en/travel/Akuressa/Nilaweli", "12Go Link")</f>
        <v>12Go Link</v>
      </c>
      <c r="E16450" s="2" t="s">
        <v>286</v>
      </c>
    </row>
    <row r="16451">
      <c r="A16451" s="2" t="s">
        <v>5038</v>
      </c>
      <c r="B16451" s="2" t="s">
        <v>5023</v>
      </c>
      <c r="C16451" s="2" t="s">
        <v>7929</v>
      </c>
      <c r="D16451" s="3" t="str">
        <f t="shared" si="4227"/>
        <v>12Go Link</v>
      </c>
      <c r="E16451" s="2" t="s">
        <v>4139</v>
      </c>
    </row>
    <row r="16452">
      <c r="A16452" s="2" t="s">
        <v>5038</v>
      </c>
      <c r="B16452" s="2" t="s">
        <v>5023</v>
      </c>
      <c r="C16452" s="2" t="s">
        <v>7929</v>
      </c>
      <c r="D16452" s="3" t="str">
        <f t="shared" si="4227"/>
        <v>12Go Link</v>
      </c>
      <c r="E16452" s="2" t="s">
        <v>3409</v>
      </c>
    </row>
    <row r="16453">
      <c r="A16453" s="2" t="s">
        <v>5038</v>
      </c>
      <c r="B16453" s="2" t="s">
        <v>5025</v>
      </c>
      <c r="C16453" s="2" t="s">
        <v>7930</v>
      </c>
      <c r="D16453" s="3" t="str">
        <f t="shared" ref="D16453:D16455" si="4228">HYPERLINK("https://12go.asia/en/travel/Akuressa/Udawalawa", "12Go Link")</f>
        <v>12Go Link</v>
      </c>
      <c r="E16453" s="2" t="s">
        <v>286</v>
      </c>
    </row>
    <row r="16454">
      <c r="A16454" s="2" t="s">
        <v>5038</v>
      </c>
      <c r="B16454" s="2" t="s">
        <v>5025</v>
      </c>
      <c r="C16454" s="2" t="s">
        <v>7930</v>
      </c>
      <c r="D16454" s="3" t="str">
        <f t="shared" si="4228"/>
        <v>12Go Link</v>
      </c>
      <c r="E16454" s="2" t="s">
        <v>4139</v>
      </c>
    </row>
    <row r="16455">
      <c r="A16455" s="2" t="s">
        <v>5038</v>
      </c>
      <c r="B16455" s="2" t="s">
        <v>5025</v>
      </c>
      <c r="C16455" s="2" t="s">
        <v>7930</v>
      </c>
      <c r="D16455" s="3" t="str">
        <f t="shared" si="4228"/>
        <v>12Go Link</v>
      </c>
      <c r="E16455" s="2" t="s">
        <v>3409</v>
      </c>
    </row>
    <row r="16456">
      <c r="A16456" s="2" t="s">
        <v>5038</v>
      </c>
      <c r="B16456" s="2" t="s">
        <v>5027</v>
      </c>
      <c r="C16456" s="2" t="s">
        <v>7931</v>
      </c>
      <c r="D16456" s="3" t="str">
        <f t="shared" ref="D16456:D16458" si="4229">HYPERLINK("https://12go.asia/en/travel/Akuressa/Unawatuna", "12Go Link")</f>
        <v>12Go Link</v>
      </c>
      <c r="E16456" s="2" t="s">
        <v>286</v>
      </c>
    </row>
    <row r="16457">
      <c r="A16457" s="2" t="s">
        <v>5038</v>
      </c>
      <c r="B16457" s="2" t="s">
        <v>5027</v>
      </c>
      <c r="C16457" s="2" t="s">
        <v>7931</v>
      </c>
      <c r="D16457" s="3" t="str">
        <f t="shared" si="4229"/>
        <v>12Go Link</v>
      </c>
      <c r="E16457" s="2" t="s">
        <v>4139</v>
      </c>
    </row>
    <row r="16458">
      <c r="A16458" s="2" t="s">
        <v>5038</v>
      </c>
      <c r="B16458" s="2" t="s">
        <v>5027</v>
      </c>
      <c r="C16458" s="2" t="s">
        <v>7931</v>
      </c>
      <c r="D16458" s="3" t="str">
        <f t="shared" si="4229"/>
        <v>12Go Link</v>
      </c>
      <c r="E16458" s="2" t="s">
        <v>3409</v>
      </c>
    </row>
    <row r="16459">
      <c r="A16459" s="2" t="s">
        <v>5038</v>
      </c>
      <c r="B16459" s="2" t="s">
        <v>5029</v>
      </c>
      <c r="C16459" s="2" t="s">
        <v>7932</v>
      </c>
      <c r="D16459" s="3" t="str">
        <f t="shared" ref="D16459:D16461" si="4230">HYPERLINK("https://12go.asia/en/travel/Akuressa/Attanagalla", "12Go Link")</f>
        <v>12Go Link</v>
      </c>
      <c r="E16459" s="2" t="s">
        <v>286</v>
      </c>
    </row>
    <row r="16460">
      <c r="A16460" s="2" t="s">
        <v>5038</v>
      </c>
      <c r="B16460" s="2" t="s">
        <v>5029</v>
      </c>
      <c r="C16460" s="2" t="s">
        <v>7932</v>
      </c>
      <c r="D16460" s="3" t="str">
        <f t="shared" si="4230"/>
        <v>12Go Link</v>
      </c>
      <c r="E16460" s="2" t="s">
        <v>4139</v>
      </c>
    </row>
    <row r="16461">
      <c r="A16461" s="2" t="s">
        <v>5038</v>
      </c>
      <c r="B16461" s="2" t="s">
        <v>5029</v>
      </c>
      <c r="C16461" s="2" t="s">
        <v>7932</v>
      </c>
      <c r="D16461" s="3" t="str">
        <f t="shared" si="4230"/>
        <v>12Go Link</v>
      </c>
      <c r="E16461" s="2" t="s">
        <v>3409</v>
      </c>
    </row>
    <row r="16462">
      <c r="A16462" s="2" t="s">
        <v>5038</v>
      </c>
      <c r="B16462" s="2" t="s">
        <v>5031</v>
      </c>
      <c r="C16462" s="2" t="s">
        <v>7933</v>
      </c>
      <c r="D16462" s="3" t="str">
        <f t="shared" ref="D16462:D16464" si="4231">HYPERLINK("https://12go.asia/en/travel/Akuressa/Moronthuduwa", "12Go Link")</f>
        <v>12Go Link</v>
      </c>
      <c r="E16462" s="2" t="s">
        <v>286</v>
      </c>
    </row>
    <row r="16463">
      <c r="A16463" s="2" t="s">
        <v>5038</v>
      </c>
      <c r="B16463" s="2" t="s">
        <v>5031</v>
      </c>
      <c r="C16463" s="2" t="s">
        <v>7933</v>
      </c>
      <c r="D16463" s="3" t="str">
        <f t="shared" si="4231"/>
        <v>12Go Link</v>
      </c>
      <c r="E16463" s="2" t="s">
        <v>4139</v>
      </c>
    </row>
    <row r="16464">
      <c r="A16464" s="2" t="s">
        <v>5038</v>
      </c>
      <c r="B16464" s="2" t="s">
        <v>5031</v>
      </c>
      <c r="C16464" s="2" t="s">
        <v>7933</v>
      </c>
      <c r="D16464" s="3" t="str">
        <f t="shared" si="4231"/>
        <v>12Go Link</v>
      </c>
      <c r="E16464" s="2" t="s">
        <v>3409</v>
      </c>
    </row>
    <row r="16465">
      <c r="A16465" s="2" t="s">
        <v>5038</v>
      </c>
      <c r="B16465" s="2" t="s">
        <v>5031</v>
      </c>
      <c r="C16465" s="2" t="s">
        <v>7934</v>
      </c>
      <c r="D16465" s="3" t="str">
        <f t="shared" ref="D16465:D16467" si="4232">HYPERLINK("https://12go.asia/en/travel/Akuressa/Waskaduwa", "12Go Link")</f>
        <v>12Go Link</v>
      </c>
      <c r="E16465" s="2" t="s">
        <v>286</v>
      </c>
    </row>
    <row r="16466">
      <c r="A16466" s="2" t="s">
        <v>5038</v>
      </c>
      <c r="B16466" s="2" t="s">
        <v>5031</v>
      </c>
      <c r="C16466" s="2" t="s">
        <v>7934</v>
      </c>
      <c r="D16466" s="3" t="str">
        <f t="shared" si="4232"/>
        <v>12Go Link</v>
      </c>
      <c r="E16466" s="2" t="s">
        <v>4139</v>
      </c>
    </row>
    <row r="16467">
      <c r="A16467" s="2" t="s">
        <v>5038</v>
      </c>
      <c r="B16467" s="2" t="s">
        <v>5031</v>
      </c>
      <c r="C16467" s="2" t="s">
        <v>7934</v>
      </c>
      <c r="D16467" s="3" t="str">
        <f t="shared" si="4232"/>
        <v>12Go Link</v>
      </c>
      <c r="E16467" s="2" t="s">
        <v>3409</v>
      </c>
    </row>
    <row r="16468">
      <c r="A16468" s="2" t="s">
        <v>5038</v>
      </c>
      <c r="B16468" s="2" t="s">
        <v>5034</v>
      </c>
      <c r="C16468" s="2" t="s">
        <v>7935</v>
      </c>
      <c r="D16468" s="3" t="str">
        <f t="shared" ref="D16468:D16470" si="4233">HYPERLINK("https://12go.asia/en/travel/Akuressa/Weddagala", "12Go Link")</f>
        <v>12Go Link</v>
      </c>
      <c r="E16468" s="2" t="s">
        <v>286</v>
      </c>
    </row>
    <row r="16469">
      <c r="A16469" s="2" t="s">
        <v>5038</v>
      </c>
      <c r="B16469" s="2" t="s">
        <v>5034</v>
      </c>
      <c r="C16469" s="2" t="s">
        <v>7935</v>
      </c>
      <c r="D16469" s="3" t="str">
        <f t="shared" si="4233"/>
        <v>12Go Link</v>
      </c>
      <c r="E16469" s="2" t="s">
        <v>4139</v>
      </c>
    </row>
    <row r="16470">
      <c r="A16470" s="2" t="s">
        <v>5038</v>
      </c>
      <c r="B16470" s="2" t="s">
        <v>5034</v>
      </c>
      <c r="C16470" s="2" t="s">
        <v>7935</v>
      </c>
      <c r="D16470" s="3" t="str">
        <f t="shared" si="4233"/>
        <v>12Go Link</v>
      </c>
      <c r="E16470" s="2" t="s">
        <v>3409</v>
      </c>
    </row>
    <row r="16471">
      <c r="A16471" s="2" t="s">
        <v>5038</v>
      </c>
      <c r="B16471" s="2" t="s">
        <v>5036</v>
      </c>
      <c r="C16471" s="2" t="s">
        <v>7936</v>
      </c>
      <c r="D16471" s="3" t="str">
        <f t="shared" ref="D16471:D16473" si="4234">HYPERLINK("https://12go.asia/en/travel/Akuressa/Weligatta", "12Go Link")</f>
        <v>12Go Link</v>
      </c>
      <c r="E16471" s="2" t="s">
        <v>286</v>
      </c>
    </row>
    <row r="16472">
      <c r="A16472" s="2" t="s">
        <v>5038</v>
      </c>
      <c r="B16472" s="2" t="s">
        <v>5036</v>
      </c>
      <c r="C16472" s="2" t="s">
        <v>7936</v>
      </c>
      <c r="D16472" s="3" t="str">
        <f t="shared" si="4234"/>
        <v>12Go Link</v>
      </c>
      <c r="E16472" s="2" t="s">
        <v>4139</v>
      </c>
    </row>
    <row r="16473">
      <c r="A16473" s="2" t="s">
        <v>5038</v>
      </c>
      <c r="B16473" s="2" t="s">
        <v>5036</v>
      </c>
      <c r="C16473" s="2" t="s">
        <v>7936</v>
      </c>
      <c r="D16473" s="3" t="str">
        <f t="shared" si="4234"/>
        <v>12Go Link</v>
      </c>
      <c r="E16473" s="2" t="s">
        <v>3409</v>
      </c>
    </row>
    <row r="16474">
      <c r="A16474" s="2" t="s">
        <v>5038</v>
      </c>
      <c r="B16474" s="2" t="s">
        <v>5040</v>
      </c>
      <c r="C16474" s="2" t="s">
        <v>7937</v>
      </c>
      <c r="D16474" s="3" t="str">
        <f t="shared" ref="D16474:D16476" si="4235">HYPERLINK("https://12go.asia/en/travel/Akuressa/Wilpattu", "12Go Link")</f>
        <v>12Go Link</v>
      </c>
      <c r="E16474" s="2" t="s">
        <v>286</v>
      </c>
    </row>
    <row r="16475">
      <c r="A16475" s="2" t="s">
        <v>5038</v>
      </c>
      <c r="B16475" s="2" t="s">
        <v>5040</v>
      </c>
      <c r="C16475" s="2" t="s">
        <v>7937</v>
      </c>
      <c r="D16475" s="3" t="str">
        <f t="shared" si="4235"/>
        <v>12Go Link</v>
      </c>
      <c r="E16475" s="2" t="s">
        <v>4139</v>
      </c>
    </row>
    <row r="16476">
      <c r="A16476" s="2" t="s">
        <v>5038</v>
      </c>
      <c r="B16476" s="2" t="s">
        <v>5040</v>
      </c>
      <c r="C16476" s="2" t="s">
        <v>7937</v>
      </c>
      <c r="D16476" s="3" t="str">
        <f t="shared" si="4235"/>
        <v>12Go Link</v>
      </c>
      <c r="E16476" s="2" t="s">
        <v>3409</v>
      </c>
    </row>
    <row r="16477">
      <c r="A16477" s="2" t="s">
        <v>5040</v>
      </c>
      <c r="B16477" s="2" t="s">
        <v>4918</v>
      </c>
      <c r="C16477" s="2" t="s">
        <v>7938</v>
      </c>
      <c r="D16477" s="3" t="str">
        <f t="shared" ref="D16477:D16479" si="4236">HYPERLINK("https://12go.asia/en/travel/Wilpattu/Adams-Peak", "12Go Link")</f>
        <v>12Go Link</v>
      </c>
      <c r="E16477" s="2" t="s">
        <v>286</v>
      </c>
    </row>
    <row r="16478">
      <c r="A16478" s="2" t="s">
        <v>5040</v>
      </c>
      <c r="B16478" s="2" t="s">
        <v>4918</v>
      </c>
      <c r="C16478" s="2" t="s">
        <v>7938</v>
      </c>
      <c r="D16478" s="3" t="str">
        <f t="shared" si="4236"/>
        <v>12Go Link</v>
      </c>
      <c r="E16478" s="2" t="s">
        <v>4139</v>
      </c>
    </row>
    <row r="16479">
      <c r="A16479" s="2" t="s">
        <v>5040</v>
      </c>
      <c r="B16479" s="2" t="s">
        <v>4918</v>
      </c>
      <c r="C16479" s="2" t="s">
        <v>7938</v>
      </c>
      <c r="D16479" s="3" t="str">
        <f t="shared" si="4236"/>
        <v>12Go Link</v>
      </c>
      <c r="E16479" s="2" t="s">
        <v>3409</v>
      </c>
    </row>
    <row r="16480">
      <c r="A16480" s="2" t="s">
        <v>5040</v>
      </c>
      <c r="B16480" s="2" t="s">
        <v>4919</v>
      </c>
      <c r="C16480" s="2" t="s">
        <v>7939</v>
      </c>
      <c r="D16480" s="3" t="str">
        <f t="shared" ref="D16480:D16482" si="4237">HYPERLINK("https://12go.asia/en/travel/Wilpattu/Ahangama", "12Go Link")</f>
        <v>12Go Link</v>
      </c>
      <c r="E16480" s="2" t="s">
        <v>286</v>
      </c>
    </row>
    <row r="16481">
      <c r="A16481" s="2" t="s">
        <v>5040</v>
      </c>
      <c r="B16481" s="2" t="s">
        <v>4919</v>
      </c>
      <c r="C16481" s="2" t="s">
        <v>7939</v>
      </c>
      <c r="D16481" s="3" t="str">
        <f t="shared" si="4237"/>
        <v>12Go Link</v>
      </c>
      <c r="E16481" s="2" t="s">
        <v>4139</v>
      </c>
    </row>
    <row r="16482">
      <c r="A16482" s="2" t="s">
        <v>5040</v>
      </c>
      <c r="B16482" s="2" t="s">
        <v>4919</v>
      </c>
      <c r="C16482" s="2" t="s">
        <v>7939</v>
      </c>
      <c r="D16482" s="3" t="str">
        <f t="shared" si="4237"/>
        <v>12Go Link</v>
      </c>
      <c r="E16482" s="2" t="s">
        <v>3409</v>
      </c>
    </row>
    <row r="16483">
      <c r="A16483" s="2" t="s">
        <v>5040</v>
      </c>
      <c r="B16483" s="2" t="s">
        <v>4921</v>
      </c>
      <c r="C16483" s="2" t="s">
        <v>7940</v>
      </c>
      <c r="D16483" s="3" t="str">
        <f t="shared" ref="D16483:D16485" si="4238">HYPERLINK("https://12go.asia/en/travel/Wilpattu/Ahungalla", "12Go Link")</f>
        <v>12Go Link</v>
      </c>
      <c r="E16483" s="2" t="s">
        <v>286</v>
      </c>
    </row>
    <row r="16484">
      <c r="A16484" s="2" t="s">
        <v>5040</v>
      </c>
      <c r="B16484" s="2" t="s">
        <v>4921</v>
      </c>
      <c r="C16484" s="2" t="s">
        <v>7940</v>
      </c>
      <c r="D16484" s="3" t="str">
        <f t="shared" si="4238"/>
        <v>12Go Link</v>
      </c>
      <c r="E16484" s="2" t="s">
        <v>4139</v>
      </c>
    </row>
    <row r="16485">
      <c r="A16485" s="2" t="s">
        <v>5040</v>
      </c>
      <c r="B16485" s="2" t="s">
        <v>4921</v>
      </c>
      <c r="C16485" s="2" t="s">
        <v>7940</v>
      </c>
      <c r="D16485" s="3" t="str">
        <f t="shared" si="4238"/>
        <v>12Go Link</v>
      </c>
      <c r="E16485" s="2" t="s">
        <v>3409</v>
      </c>
    </row>
    <row r="16486">
      <c r="A16486" s="2" t="s">
        <v>5040</v>
      </c>
      <c r="B16486" s="2" t="s">
        <v>4923</v>
      </c>
      <c r="C16486" s="2" t="s">
        <v>7941</v>
      </c>
      <c r="D16486" s="3" t="str">
        <f t="shared" ref="D16486:D16488" si="4239">HYPERLINK("https://12go.asia/en/travel/Wilpattu/Aluthgama", "12Go Link")</f>
        <v>12Go Link</v>
      </c>
      <c r="E16486" s="2" t="s">
        <v>286</v>
      </c>
    </row>
    <row r="16487">
      <c r="A16487" s="2" t="s">
        <v>5040</v>
      </c>
      <c r="B16487" s="2" t="s">
        <v>4923</v>
      </c>
      <c r="C16487" s="2" t="s">
        <v>7941</v>
      </c>
      <c r="D16487" s="3" t="str">
        <f t="shared" si="4239"/>
        <v>12Go Link</v>
      </c>
      <c r="E16487" s="2" t="s">
        <v>4139</v>
      </c>
    </row>
    <row r="16488">
      <c r="A16488" s="2" t="s">
        <v>5040</v>
      </c>
      <c r="B16488" s="2" t="s">
        <v>4923</v>
      </c>
      <c r="C16488" s="2" t="s">
        <v>7941</v>
      </c>
      <c r="D16488" s="3" t="str">
        <f t="shared" si="4239"/>
        <v>12Go Link</v>
      </c>
      <c r="E16488" s="2" t="s">
        <v>3409</v>
      </c>
    </row>
    <row r="16489">
      <c r="A16489" s="2" t="s">
        <v>5040</v>
      </c>
      <c r="B16489" s="2" t="s">
        <v>4925</v>
      </c>
      <c r="C16489" s="2" t="s">
        <v>7942</v>
      </c>
      <c r="D16489" s="3" t="str">
        <f t="shared" ref="D16489:D16491" si="4240">HYPERLINK("https://12go.asia/en/travel/Wilpattu/Ambalangoda", "12Go Link")</f>
        <v>12Go Link</v>
      </c>
      <c r="E16489" s="2" t="s">
        <v>286</v>
      </c>
    </row>
    <row r="16490">
      <c r="A16490" s="2" t="s">
        <v>5040</v>
      </c>
      <c r="B16490" s="2" t="s">
        <v>4925</v>
      </c>
      <c r="C16490" s="2" t="s">
        <v>7942</v>
      </c>
      <c r="D16490" s="3" t="str">
        <f t="shared" si="4240"/>
        <v>12Go Link</v>
      </c>
      <c r="E16490" s="2" t="s">
        <v>4139</v>
      </c>
    </row>
    <row r="16491">
      <c r="A16491" s="2" t="s">
        <v>5040</v>
      </c>
      <c r="B16491" s="2" t="s">
        <v>4925</v>
      </c>
      <c r="C16491" s="2" t="s">
        <v>7942</v>
      </c>
      <c r="D16491" s="3" t="str">
        <f t="shared" si="4240"/>
        <v>12Go Link</v>
      </c>
      <c r="E16491" s="2" t="s">
        <v>3409</v>
      </c>
    </row>
    <row r="16492">
      <c r="A16492" s="2" t="s">
        <v>5040</v>
      </c>
      <c r="B16492" s="2" t="s">
        <v>4927</v>
      </c>
      <c r="C16492" s="2" t="s">
        <v>7943</v>
      </c>
      <c r="D16492" s="3" t="str">
        <f t="shared" ref="D16492:D16494" si="4241">HYPERLINK("https://12go.asia/en/travel/Wilpattu/Ambalantota", "12Go Link")</f>
        <v>12Go Link</v>
      </c>
      <c r="E16492" s="2" t="s">
        <v>286</v>
      </c>
    </row>
    <row r="16493">
      <c r="A16493" s="2" t="s">
        <v>5040</v>
      </c>
      <c r="B16493" s="2" t="s">
        <v>4927</v>
      </c>
      <c r="C16493" s="2" t="s">
        <v>7943</v>
      </c>
      <c r="D16493" s="3" t="str">
        <f t="shared" si="4241"/>
        <v>12Go Link</v>
      </c>
      <c r="E16493" s="2" t="s">
        <v>4139</v>
      </c>
    </row>
    <row r="16494">
      <c r="A16494" s="2" t="s">
        <v>5040</v>
      </c>
      <c r="B16494" s="2" t="s">
        <v>4927</v>
      </c>
      <c r="C16494" s="2" t="s">
        <v>7943</v>
      </c>
      <c r="D16494" s="3" t="str">
        <f t="shared" si="4241"/>
        <v>12Go Link</v>
      </c>
      <c r="E16494" s="2" t="s">
        <v>3409</v>
      </c>
    </row>
    <row r="16495">
      <c r="A16495" s="2" t="s">
        <v>5040</v>
      </c>
      <c r="B16495" s="2" t="s">
        <v>4929</v>
      </c>
      <c r="C16495" s="2" t="s">
        <v>7944</v>
      </c>
      <c r="D16495" s="3" t="str">
        <f t="shared" ref="D16495:D16497" si="4242">HYPERLINK("https://12go.asia/en/travel/Wilpattu/Anuradhapura", "12Go Link")</f>
        <v>12Go Link</v>
      </c>
      <c r="E16495" s="2" t="s">
        <v>286</v>
      </c>
    </row>
    <row r="16496">
      <c r="A16496" s="2" t="s">
        <v>5040</v>
      </c>
      <c r="B16496" s="2" t="s">
        <v>4929</v>
      </c>
      <c r="C16496" s="2" t="s">
        <v>7944</v>
      </c>
      <c r="D16496" s="3" t="str">
        <f t="shared" si="4242"/>
        <v>12Go Link</v>
      </c>
      <c r="E16496" s="2" t="s">
        <v>4139</v>
      </c>
    </row>
    <row r="16497">
      <c r="A16497" s="2" t="s">
        <v>5040</v>
      </c>
      <c r="B16497" s="2" t="s">
        <v>4929</v>
      </c>
      <c r="C16497" s="2" t="s">
        <v>7944</v>
      </c>
      <c r="D16497" s="3" t="str">
        <f t="shared" si="4242"/>
        <v>12Go Link</v>
      </c>
      <c r="E16497" s="2" t="s">
        <v>3409</v>
      </c>
    </row>
    <row r="16498">
      <c r="A16498" s="2" t="s">
        <v>5040</v>
      </c>
      <c r="B16498" s="2" t="s">
        <v>4931</v>
      </c>
      <c r="C16498" s="2" t="s">
        <v>7945</v>
      </c>
      <c r="D16498" s="3" t="str">
        <f t="shared" ref="D16498:D16500" si="4243">HYPERLINK("https://12go.asia/en/travel/Wilpattu/Arugam-bay", "12Go Link")</f>
        <v>12Go Link</v>
      </c>
      <c r="E16498" s="2" t="s">
        <v>286</v>
      </c>
    </row>
    <row r="16499">
      <c r="A16499" s="2" t="s">
        <v>5040</v>
      </c>
      <c r="B16499" s="2" t="s">
        <v>4931</v>
      </c>
      <c r="C16499" s="2" t="s">
        <v>7945</v>
      </c>
      <c r="D16499" s="3" t="str">
        <f t="shared" si="4243"/>
        <v>12Go Link</v>
      </c>
      <c r="E16499" s="2" t="s">
        <v>4139</v>
      </c>
    </row>
    <row r="16500">
      <c r="A16500" s="2" t="s">
        <v>5040</v>
      </c>
      <c r="B16500" s="2" t="s">
        <v>4931</v>
      </c>
      <c r="C16500" s="2" t="s">
        <v>7945</v>
      </c>
      <c r="D16500" s="3" t="str">
        <f t="shared" si="4243"/>
        <v>12Go Link</v>
      </c>
      <c r="E16500" s="2" t="s">
        <v>3409</v>
      </c>
    </row>
    <row r="16501">
      <c r="A16501" s="2" t="s">
        <v>5040</v>
      </c>
      <c r="B16501" s="2" t="s">
        <v>4933</v>
      </c>
      <c r="C16501" s="2" t="s">
        <v>7946</v>
      </c>
      <c r="D16501" s="3" t="str">
        <f t="shared" ref="D16501:D16503" si="4244">HYPERLINK("https://12go.asia/en/travel/Wilpattu/balapitiya", "12Go Link")</f>
        <v>12Go Link</v>
      </c>
      <c r="E16501" s="2" t="s">
        <v>286</v>
      </c>
    </row>
    <row r="16502">
      <c r="A16502" s="2" t="s">
        <v>5040</v>
      </c>
      <c r="B16502" s="2" t="s">
        <v>4933</v>
      </c>
      <c r="C16502" s="2" t="s">
        <v>7946</v>
      </c>
      <c r="D16502" s="3" t="str">
        <f t="shared" si="4244"/>
        <v>12Go Link</v>
      </c>
      <c r="E16502" s="2" t="s">
        <v>4139</v>
      </c>
    </row>
    <row r="16503">
      <c r="A16503" s="2" t="s">
        <v>5040</v>
      </c>
      <c r="B16503" s="2" t="s">
        <v>4933</v>
      </c>
      <c r="C16503" s="2" t="s">
        <v>7946</v>
      </c>
      <c r="D16503" s="3" t="str">
        <f t="shared" si="4244"/>
        <v>12Go Link</v>
      </c>
      <c r="E16503" s="2" t="s">
        <v>3409</v>
      </c>
    </row>
    <row r="16504">
      <c r="A16504" s="2" t="s">
        <v>5040</v>
      </c>
      <c r="B16504" s="2" t="s">
        <v>4935</v>
      </c>
      <c r="C16504" s="2" t="s">
        <v>7947</v>
      </c>
      <c r="D16504" s="3" t="str">
        <f t="shared" ref="D16504:D16506" si="4245">HYPERLINK("https://12go.asia/en/travel/Wilpattu/Batticaloa", "12Go Link")</f>
        <v>12Go Link</v>
      </c>
      <c r="E16504" s="2" t="s">
        <v>286</v>
      </c>
    </row>
    <row r="16505">
      <c r="A16505" s="2" t="s">
        <v>5040</v>
      </c>
      <c r="B16505" s="2" t="s">
        <v>4935</v>
      </c>
      <c r="C16505" s="2" t="s">
        <v>7947</v>
      </c>
      <c r="D16505" s="3" t="str">
        <f t="shared" si="4245"/>
        <v>12Go Link</v>
      </c>
      <c r="E16505" s="2" t="s">
        <v>4139</v>
      </c>
    </row>
    <row r="16506">
      <c r="A16506" s="2" t="s">
        <v>5040</v>
      </c>
      <c r="B16506" s="2" t="s">
        <v>4935</v>
      </c>
      <c r="C16506" s="2" t="s">
        <v>7947</v>
      </c>
      <c r="D16506" s="3" t="str">
        <f t="shared" si="4245"/>
        <v>12Go Link</v>
      </c>
      <c r="E16506" s="2" t="s">
        <v>3409</v>
      </c>
    </row>
    <row r="16507">
      <c r="A16507" s="2" t="s">
        <v>5040</v>
      </c>
      <c r="B16507" s="2" t="s">
        <v>4937</v>
      </c>
      <c r="C16507" s="2" t="s">
        <v>7948</v>
      </c>
      <c r="D16507" s="3" t="str">
        <f t="shared" ref="D16507:D16509" si="4246">HYPERLINK("https://12go.asia/en/travel/Wilpattu/Bentota", "12Go Link")</f>
        <v>12Go Link</v>
      </c>
      <c r="E16507" s="2" t="s">
        <v>286</v>
      </c>
    </row>
    <row r="16508">
      <c r="A16508" s="2" t="s">
        <v>5040</v>
      </c>
      <c r="B16508" s="2" t="s">
        <v>4937</v>
      </c>
      <c r="C16508" s="2" t="s">
        <v>7948</v>
      </c>
      <c r="D16508" s="3" t="str">
        <f t="shared" si="4246"/>
        <v>12Go Link</v>
      </c>
      <c r="E16508" s="2" t="s">
        <v>4139</v>
      </c>
    </row>
    <row r="16509">
      <c r="A16509" s="2" t="s">
        <v>5040</v>
      </c>
      <c r="B16509" s="2" t="s">
        <v>4937</v>
      </c>
      <c r="C16509" s="2" t="s">
        <v>7948</v>
      </c>
      <c r="D16509" s="3" t="str">
        <f t="shared" si="4246"/>
        <v>12Go Link</v>
      </c>
      <c r="E16509" s="2" t="s">
        <v>3409</v>
      </c>
    </row>
    <row r="16510">
      <c r="A16510" s="2" t="s">
        <v>5040</v>
      </c>
      <c r="B16510" s="2" t="s">
        <v>4939</v>
      </c>
      <c r="C16510" s="2" t="s">
        <v>7949</v>
      </c>
      <c r="D16510" s="3" t="str">
        <f t="shared" ref="D16510:D16512" si="4247">HYPERLINK("https://12go.asia/en/travel/Wilpattu/Beruwala", "12Go Link")</f>
        <v>12Go Link</v>
      </c>
      <c r="E16510" s="2" t="s">
        <v>286</v>
      </c>
    </row>
    <row r="16511">
      <c r="A16511" s="2" t="s">
        <v>5040</v>
      </c>
      <c r="B16511" s="2" t="s">
        <v>4939</v>
      </c>
      <c r="C16511" s="2" t="s">
        <v>7949</v>
      </c>
      <c r="D16511" s="3" t="str">
        <f t="shared" si="4247"/>
        <v>12Go Link</v>
      </c>
      <c r="E16511" s="2" t="s">
        <v>4139</v>
      </c>
    </row>
    <row r="16512">
      <c r="A16512" s="2" t="s">
        <v>5040</v>
      </c>
      <c r="B16512" s="2" t="s">
        <v>4939</v>
      </c>
      <c r="C16512" s="2" t="s">
        <v>7949</v>
      </c>
      <c r="D16512" s="3" t="str">
        <f t="shared" si="4247"/>
        <v>12Go Link</v>
      </c>
      <c r="E16512" s="2" t="s">
        <v>3409</v>
      </c>
    </row>
    <row r="16513">
      <c r="A16513" s="2" t="s">
        <v>5040</v>
      </c>
      <c r="B16513" s="2" t="s">
        <v>4941</v>
      </c>
      <c r="C16513" s="2" t="s">
        <v>7950</v>
      </c>
      <c r="D16513" s="3" t="str">
        <f t="shared" ref="D16513:D16515" si="4248">HYPERLINK("https://12go.asia/en/travel/Wilpattu/Bundala", "12Go Link")</f>
        <v>12Go Link</v>
      </c>
      <c r="E16513" s="2" t="s">
        <v>286</v>
      </c>
    </row>
    <row r="16514">
      <c r="A16514" s="2" t="s">
        <v>5040</v>
      </c>
      <c r="B16514" s="2" t="s">
        <v>4941</v>
      </c>
      <c r="C16514" s="2" t="s">
        <v>7950</v>
      </c>
      <c r="D16514" s="3" t="str">
        <f t="shared" si="4248"/>
        <v>12Go Link</v>
      </c>
      <c r="E16514" s="2" t="s">
        <v>4139</v>
      </c>
    </row>
    <row r="16515">
      <c r="A16515" s="2" t="s">
        <v>5040</v>
      </c>
      <c r="B16515" s="2" t="s">
        <v>4941</v>
      </c>
      <c r="C16515" s="2" t="s">
        <v>7950</v>
      </c>
      <c r="D16515" s="3" t="str">
        <f t="shared" si="4248"/>
        <v>12Go Link</v>
      </c>
      <c r="E16515" s="2" t="s">
        <v>3409</v>
      </c>
    </row>
    <row r="16516">
      <c r="A16516" s="2" t="s">
        <v>5040</v>
      </c>
      <c r="B16516" s="2" t="s">
        <v>4943</v>
      </c>
      <c r="C16516" s="2" t="s">
        <v>7951</v>
      </c>
      <c r="D16516" s="3" t="str">
        <f t="shared" ref="D16516:D16518" si="4249">HYPERLINK("https://12go.asia/en/travel/Wilpattu/Bambalapitiya", "12Go Link")</f>
        <v>12Go Link</v>
      </c>
      <c r="E16516" s="2" t="s">
        <v>286</v>
      </c>
    </row>
    <row r="16517">
      <c r="A16517" s="2" t="s">
        <v>5040</v>
      </c>
      <c r="B16517" s="2" t="s">
        <v>4943</v>
      </c>
      <c r="C16517" s="2" t="s">
        <v>7951</v>
      </c>
      <c r="D16517" s="3" t="str">
        <f t="shared" si="4249"/>
        <v>12Go Link</v>
      </c>
      <c r="E16517" s="2" t="s">
        <v>4139</v>
      </c>
    </row>
    <row r="16518">
      <c r="A16518" s="2" t="s">
        <v>5040</v>
      </c>
      <c r="B16518" s="2" t="s">
        <v>4943</v>
      </c>
      <c r="C16518" s="2" t="s">
        <v>7951</v>
      </c>
      <c r="D16518" s="3" t="str">
        <f t="shared" si="4249"/>
        <v>12Go Link</v>
      </c>
      <c r="E16518" s="2" t="s">
        <v>3409</v>
      </c>
    </row>
    <row r="16519">
      <c r="A16519" s="2" t="s">
        <v>5040</v>
      </c>
      <c r="B16519" s="2" t="s">
        <v>4945</v>
      </c>
      <c r="C16519" s="2" t="s">
        <v>7952</v>
      </c>
      <c r="D16519" s="3" t="str">
        <f t="shared" ref="D16519:D16521" si="4250">HYPERLINK("https://12go.asia/en/travel/Wilpattu/Bandaranaike-Airport", "12Go Link")</f>
        <v>12Go Link</v>
      </c>
      <c r="E16519" s="2" t="s">
        <v>286</v>
      </c>
    </row>
    <row r="16520">
      <c r="A16520" s="2" t="s">
        <v>5040</v>
      </c>
      <c r="B16520" s="2" t="s">
        <v>4945</v>
      </c>
      <c r="C16520" s="2" t="s">
        <v>7952</v>
      </c>
      <c r="D16520" s="3" t="str">
        <f t="shared" si="4250"/>
        <v>12Go Link</v>
      </c>
      <c r="E16520" s="2" t="s">
        <v>4139</v>
      </c>
    </row>
    <row r="16521">
      <c r="A16521" s="2" t="s">
        <v>5040</v>
      </c>
      <c r="B16521" s="2" t="s">
        <v>4945</v>
      </c>
      <c r="C16521" s="2" t="s">
        <v>7952</v>
      </c>
      <c r="D16521" s="3" t="str">
        <f t="shared" si="4250"/>
        <v>12Go Link</v>
      </c>
      <c r="E16521" s="2" t="s">
        <v>3409</v>
      </c>
    </row>
    <row r="16522">
      <c r="A16522" s="2" t="s">
        <v>5040</v>
      </c>
      <c r="B16522" s="2" t="s">
        <v>4947</v>
      </c>
      <c r="C16522" s="2" t="s">
        <v>7953</v>
      </c>
      <c r="D16522" s="3" t="str">
        <f t="shared" ref="D16522:D16524" si="4251">HYPERLINK("https://12go.asia/en/travel/Wilpattu/Dambulla", "12Go Link")</f>
        <v>12Go Link</v>
      </c>
      <c r="E16522" s="2" t="s">
        <v>286</v>
      </c>
    </row>
    <row r="16523">
      <c r="A16523" s="2" t="s">
        <v>5040</v>
      </c>
      <c r="B16523" s="2" t="s">
        <v>4947</v>
      </c>
      <c r="C16523" s="2" t="s">
        <v>7953</v>
      </c>
      <c r="D16523" s="3" t="str">
        <f t="shared" si="4251"/>
        <v>12Go Link</v>
      </c>
      <c r="E16523" s="2" t="s">
        <v>4139</v>
      </c>
    </row>
    <row r="16524">
      <c r="A16524" s="2" t="s">
        <v>5040</v>
      </c>
      <c r="B16524" s="2" t="s">
        <v>4947</v>
      </c>
      <c r="C16524" s="2" t="s">
        <v>7953</v>
      </c>
      <c r="D16524" s="3" t="str">
        <f t="shared" si="4251"/>
        <v>12Go Link</v>
      </c>
      <c r="E16524" s="2" t="s">
        <v>3409</v>
      </c>
    </row>
    <row r="16525">
      <c r="A16525" s="2" t="s">
        <v>5040</v>
      </c>
      <c r="B16525" s="2" t="s">
        <v>4949</v>
      </c>
      <c r="C16525" s="2" t="s">
        <v>7954</v>
      </c>
      <c r="D16525" s="3" t="str">
        <f t="shared" ref="D16525:D16527" si="4252">HYPERLINK("https://12go.asia/en/travel/Wilpattu/Deniyaya", "12Go Link")</f>
        <v>12Go Link</v>
      </c>
      <c r="E16525" s="2" t="s">
        <v>286</v>
      </c>
    </row>
    <row r="16526">
      <c r="A16526" s="2" t="s">
        <v>5040</v>
      </c>
      <c r="B16526" s="2" t="s">
        <v>4949</v>
      </c>
      <c r="C16526" s="2" t="s">
        <v>7954</v>
      </c>
      <c r="D16526" s="3" t="str">
        <f t="shared" si="4252"/>
        <v>12Go Link</v>
      </c>
      <c r="E16526" s="2" t="s">
        <v>4139</v>
      </c>
    </row>
    <row r="16527">
      <c r="A16527" s="2" t="s">
        <v>5040</v>
      </c>
      <c r="B16527" s="2" t="s">
        <v>4949</v>
      </c>
      <c r="C16527" s="2" t="s">
        <v>7954</v>
      </c>
      <c r="D16527" s="3" t="str">
        <f t="shared" si="4252"/>
        <v>12Go Link</v>
      </c>
      <c r="E16527" s="2" t="s">
        <v>3409</v>
      </c>
    </row>
    <row r="16528">
      <c r="A16528" s="2" t="s">
        <v>5040</v>
      </c>
      <c r="B16528" s="2" t="s">
        <v>4951</v>
      </c>
      <c r="C16528" s="2" t="s">
        <v>7955</v>
      </c>
      <c r="D16528" s="3" t="str">
        <f t="shared" ref="D16528:D16530" si="4253">HYPERLINK("https://12go.asia/en/travel/Wilpattu/Dickwella", "12Go Link")</f>
        <v>12Go Link</v>
      </c>
      <c r="E16528" s="2" t="s">
        <v>286</v>
      </c>
    </row>
    <row r="16529">
      <c r="A16529" s="2" t="s">
        <v>5040</v>
      </c>
      <c r="B16529" s="2" t="s">
        <v>4951</v>
      </c>
      <c r="C16529" s="2" t="s">
        <v>7955</v>
      </c>
      <c r="D16529" s="3" t="str">
        <f t="shared" si="4253"/>
        <v>12Go Link</v>
      </c>
      <c r="E16529" s="2" t="s">
        <v>4139</v>
      </c>
    </row>
    <row r="16530">
      <c r="A16530" s="2" t="s">
        <v>5040</v>
      </c>
      <c r="B16530" s="2" t="s">
        <v>4951</v>
      </c>
      <c r="C16530" s="2" t="s">
        <v>7955</v>
      </c>
      <c r="D16530" s="3" t="str">
        <f t="shared" si="4253"/>
        <v>12Go Link</v>
      </c>
      <c r="E16530" s="2" t="s">
        <v>3409</v>
      </c>
    </row>
    <row r="16531">
      <c r="A16531" s="2" t="s">
        <v>5040</v>
      </c>
      <c r="B16531" s="2" t="s">
        <v>4951</v>
      </c>
      <c r="C16531" s="2" t="s">
        <v>7956</v>
      </c>
      <c r="D16531" s="3" t="str">
        <f t="shared" ref="D16531:D16533" si="4254">HYPERLINK("https://12go.asia/en/travel/Wilpattu/Hiriketiya-beach", "12Go Link")</f>
        <v>12Go Link</v>
      </c>
      <c r="E16531" s="2" t="s">
        <v>286</v>
      </c>
    </row>
    <row r="16532">
      <c r="A16532" s="2" t="s">
        <v>5040</v>
      </c>
      <c r="B16532" s="2" t="s">
        <v>4951</v>
      </c>
      <c r="C16532" s="2" t="s">
        <v>7956</v>
      </c>
      <c r="D16532" s="3" t="str">
        <f t="shared" si="4254"/>
        <v>12Go Link</v>
      </c>
      <c r="E16532" s="2" t="s">
        <v>4139</v>
      </c>
    </row>
    <row r="16533">
      <c r="A16533" s="2" t="s">
        <v>5040</v>
      </c>
      <c r="B16533" s="2" t="s">
        <v>4951</v>
      </c>
      <c r="C16533" s="2" t="s">
        <v>7956</v>
      </c>
      <c r="D16533" s="3" t="str">
        <f t="shared" si="4254"/>
        <v>12Go Link</v>
      </c>
      <c r="E16533" s="2" t="s">
        <v>3409</v>
      </c>
    </row>
    <row r="16534">
      <c r="A16534" s="2" t="s">
        <v>5040</v>
      </c>
      <c r="B16534" s="2" t="s">
        <v>4954</v>
      </c>
      <c r="C16534" s="2" t="s">
        <v>7957</v>
      </c>
      <c r="D16534" s="3" t="str">
        <f t="shared" ref="D16534:D16536" si="4255">HYPERLINK("https://12go.asia/en/travel/Wilpattu/Galle", "12Go Link")</f>
        <v>12Go Link</v>
      </c>
      <c r="E16534" s="2" t="s">
        <v>286</v>
      </c>
    </row>
    <row r="16535">
      <c r="A16535" s="2" t="s">
        <v>5040</v>
      </c>
      <c r="B16535" s="2" t="s">
        <v>4954</v>
      </c>
      <c r="C16535" s="2" t="s">
        <v>7957</v>
      </c>
      <c r="D16535" s="3" t="str">
        <f t="shared" si="4255"/>
        <v>12Go Link</v>
      </c>
      <c r="E16535" s="2" t="s">
        <v>4139</v>
      </c>
    </row>
    <row r="16536">
      <c r="A16536" s="2" t="s">
        <v>5040</v>
      </c>
      <c r="B16536" s="2" t="s">
        <v>4954</v>
      </c>
      <c r="C16536" s="2" t="s">
        <v>7957</v>
      </c>
      <c r="D16536" s="3" t="str">
        <f t="shared" si="4255"/>
        <v>12Go Link</v>
      </c>
      <c r="E16536" s="2" t="s">
        <v>3409</v>
      </c>
    </row>
    <row r="16537">
      <c r="A16537" s="2" t="s">
        <v>5040</v>
      </c>
      <c r="B16537" s="2" t="s">
        <v>4954</v>
      </c>
      <c r="C16537" s="2" t="s">
        <v>7958</v>
      </c>
      <c r="D16537" s="3" t="str">
        <f t="shared" ref="D16537:D16539" si="4256">HYPERLINK("https://12go.asia/en/travel/Wilpattu/Talpe", "12Go Link")</f>
        <v>12Go Link</v>
      </c>
      <c r="E16537" s="2" t="s">
        <v>286</v>
      </c>
    </row>
    <row r="16538">
      <c r="A16538" s="2" t="s">
        <v>5040</v>
      </c>
      <c r="B16538" s="2" t="s">
        <v>4954</v>
      </c>
      <c r="C16538" s="2" t="s">
        <v>7958</v>
      </c>
      <c r="D16538" s="3" t="str">
        <f t="shared" si="4256"/>
        <v>12Go Link</v>
      </c>
      <c r="E16538" s="2" t="s">
        <v>4139</v>
      </c>
    </row>
    <row r="16539">
      <c r="A16539" s="2" t="s">
        <v>5040</v>
      </c>
      <c r="B16539" s="2" t="s">
        <v>4954</v>
      </c>
      <c r="C16539" s="2" t="s">
        <v>7958</v>
      </c>
      <c r="D16539" s="3" t="str">
        <f t="shared" si="4256"/>
        <v>12Go Link</v>
      </c>
      <c r="E16539" s="2" t="s">
        <v>3409</v>
      </c>
    </row>
    <row r="16540">
      <c r="A16540" s="2" t="s">
        <v>5040</v>
      </c>
      <c r="B16540" s="2" t="s">
        <v>4957</v>
      </c>
      <c r="C16540" s="2" t="s">
        <v>7959</v>
      </c>
      <c r="D16540" s="3" t="str">
        <f t="shared" ref="D16540:D16542" si="4257">HYPERLINK("https://12go.asia/en/travel/Wilpattu/Habarana", "12Go Link")</f>
        <v>12Go Link</v>
      </c>
      <c r="E16540" s="2" t="s">
        <v>286</v>
      </c>
    </row>
    <row r="16541">
      <c r="A16541" s="2" t="s">
        <v>5040</v>
      </c>
      <c r="B16541" s="2" t="s">
        <v>4957</v>
      </c>
      <c r="C16541" s="2" t="s">
        <v>7959</v>
      </c>
      <c r="D16541" s="3" t="str">
        <f t="shared" si="4257"/>
        <v>12Go Link</v>
      </c>
      <c r="E16541" s="2" t="s">
        <v>4139</v>
      </c>
    </row>
    <row r="16542">
      <c r="A16542" s="2" t="s">
        <v>5040</v>
      </c>
      <c r="B16542" s="2" t="s">
        <v>4957</v>
      </c>
      <c r="C16542" s="2" t="s">
        <v>7959</v>
      </c>
      <c r="D16542" s="3" t="str">
        <f t="shared" si="4257"/>
        <v>12Go Link</v>
      </c>
      <c r="E16542" s="2" t="s">
        <v>3409</v>
      </c>
    </row>
    <row r="16543">
      <c r="A16543" s="2" t="s">
        <v>5040</v>
      </c>
      <c r="B16543" s="2" t="s">
        <v>4959</v>
      </c>
      <c r="C16543" s="2" t="s">
        <v>7960</v>
      </c>
      <c r="D16543" s="3" t="str">
        <f t="shared" ref="D16543:D16545" si="4258">HYPERLINK("https://12go.asia/en/travel/Wilpattu/Ella", "12Go Link")</f>
        <v>12Go Link</v>
      </c>
      <c r="E16543" s="2" t="s">
        <v>286</v>
      </c>
    </row>
    <row r="16544">
      <c r="A16544" s="2" t="s">
        <v>5040</v>
      </c>
      <c r="B16544" s="2" t="s">
        <v>4959</v>
      </c>
      <c r="C16544" s="2" t="s">
        <v>7960</v>
      </c>
      <c r="D16544" s="3" t="str">
        <f t="shared" si="4258"/>
        <v>12Go Link</v>
      </c>
      <c r="E16544" s="2" t="s">
        <v>4139</v>
      </c>
    </row>
    <row r="16545">
      <c r="A16545" s="2" t="s">
        <v>5040</v>
      </c>
      <c r="B16545" s="2" t="s">
        <v>4959</v>
      </c>
      <c r="C16545" s="2" t="s">
        <v>7960</v>
      </c>
      <c r="D16545" s="3" t="str">
        <f t="shared" si="4258"/>
        <v>12Go Link</v>
      </c>
      <c r="E16545" s="2" t="s">
        <v>3409</v>
      </c>
    </row>
    <row r="16546">
      <c r="A16546" s="2" t="s">
        <v>5040</v>
      </c>
      <c r="B16546" s="2" t="s">
        <v>4961</v>
      </c>
      <c r="C16546" s="2" t="s">
        <v>7961</v>
      </c>
      <c r="D16546" s="3" t="str">
        <f t="shared" ref="D16546:D16548" si="4259">HYPERLINK("https://12go.asia/en/travel/Wilpattu/Beragala", "12Go Link")</f>
        <v>12Go Link</v>
      </c>
      <c r="E16546" s="2" t="s">
        <v>286</v>
      </c>
    </row>
    <row r="16547">
      <c r="A16547" s="2" t="s">
        <v>5040</v>
      </c>
      <c r="B16547" s="2" t="s">
        <v>4961</v>
      </c>
      <c r="C16547" s="2" t="s">
        <v>7961</v>
      </c>
      <c r="D16547" s="3" t="str">
        <f t="shared" si="4259"/>
        <v>12Go Link</v>
      </c>
      <c r="E16547" s="2" t="s">
        <v>4139</v>
      </c>
    </row>
    <row r="16548">
      <c r="A16548" s="2" t="s">
        <v>5040</v>
      </c>
      <c r="B16548" s="2" t="s">
        <v>4961</v>
      </c>
      <c r="C16548" s="2" t="s">
        <v>7961</v>
      </c>
      <c r="D16548" s="3" t="str">
        <f t="shared" si="4259"/>
        <v>12Go Link</v>
      </c>
      <c r="E16548" s="2" t="s">
        <v>3409</v>
      </c>
    </row>
    <row r="16549">
      <c r="A16549" s="2" t="s">
        <v>5040</v>
      </c>
      <c r="B16549" s="2" t="s">
        <v>4963</v>
      </c>
      <c r="C16549" s="2" t="s">
        <v>7962</v>
      </c>
      <c r="D16549" s="3" t="str">
        <f t="shared" ref="D16549:D16551" si="4260">HYPERLINK("https://12go.asia/en/travel/Wilpattu/Dick-oya", "12Go Link")</f>
        <v>12Go Link</v>
      </c>
      <c r="E16549" s="2" t="s">
        <v>286</v>
      </c>
    </row>
    <row r="16550">
      <c r="A16550" s="2" t="s">
        <v>5040</v>
      </c>
      <c r="B16550" s="2" t="s">
        <v>4963</v>
      </c>
      <c r="C16550" s="2" t="s">
        <v>7962</v>
      </c>
      <c r="D16550" s="3" t="str">
        <f t="shared" si="4260"/>
        <v>12Go Link</v>
      </c>
      <c r="E16550" s="2" t="s">
        <v>4139</v>
      </c>
    </row>
    <row r="16551">
      <c r="A16551" s="2" t="s">
        <v>5040</v>
      </c>
      <c r="B16551" s="2" t="s">
        <v>4963</v>
      </c>
      <c r="C16551" s="2" t="s">
        <v>7962</v>
      </c>
      <c r="D16551" s="3" t="str">
        <f t="shared" si="4260"/>
        <v>12Go Link</v>
      </c>
      <c r="E16551" s="2" t="s">
        <v>3409</v>
      </c>
    </row>
    <row r="16552">
      <c r="A16552" s="2" t="s">
        <v>5040</v>
      </c>
      <c r="B16552" s="2" t="s">
        <v>4965</v>
      </c>
      <c r="C16552" s="2" t="s">
        <v>7963</v>
      </c>
      <c r="D16552" s="3" t="str">
        <f t="shared" ref="D16552:D16554" si="4261">HYPERLINK("https://12go.asia/en/travel/Wilpattu/Dodanduwa", "12Go Link")</f>
        <v>12Go Link</v>
      </c>
      <c r="E16552" s="2" t="s">
        <v>286</v>
      </c>
    </row>
    <row r="16553">
      <c r="A16553" s="2" t="s">
        <v>5040</v>
      </c>
      <c r="B16553" s="2" t="s">
        <v>4965</v>
      </c>
      <c r="C16553" s="2" t="s">
        <v>7963</v>
      </c>
      <c r="D16553" s="3" t="str">
        <f t="shared" si="4261"/>
        <v>12Go Link</v>
      </c>
      <c r="E16553" s="2" t="s">
        <v>4139</v>
      </c>
    </row>
    <row r="16554">
      <c r="A16554" s="2" t="s">
        <v>5040</v>
      </c>
      <c r="B16554" s="2" t="s">
        <v>4965</v>
      </c>
      <c r="C16554" s="2" t="s">
        <v>7963</v>
      </c>
      <c r="D16554" s="3" t="str">
        <f t="shared" si="4261"/>
        <v>12Go Link</v>
      </c>
      <c r="E16554" s="2" t="s">
        <v>3409</v>
      </c>
    </row>
    <row r="16555">
      <c r="A16555" s="2" t="s">
        <v>5040</v>
      </c>
      <c r="B16555" s="2" t="s">
        <v>4967</v>
      </c>
      <c r="C16555" s="2" t="s">
        <v>7964</v>
      </c>
      <c r="D16555" s="3" t="str">
        <f t="shared" ref="D16555:D16557" si="4262">HYPERLINK("https://12go.asia/en/travel/Wilpattu/Induruwa", "12Go Link")</f>
        <v>12Go Link</v>
      </c>
      <c r="E16555" s="2" t="s">
        <v>286</v>
      </c>
    </row>
    <row r="16556">
      <c r="A16556" s="2" t="s">
        <v>5040</v>
      </c>
      <c r="B16556" s="2" t="s">
        <v>4967</v>
      </c>
      <c r="C16556" s="2" t="s">
        <v>7964</v>
      </c>
      <c r="D16556" s="3" t="str">
        <f t="shared" si="4262"/>
        <v>12Go Link</v>
      </c>
      <c r="E16556" s="2" t="s">
        <v>4139</v>
      </c>
    </row>
    <row r="16557">
      <c r="A16557" s="2" t="s">
        <v>5040</v>
      </c>
      <c r="B16557" s="2" t="s">
        <v>4967</v>
      </c>
      <c r="C16557" s="2" t="s">
        <v>7964</v>
      </c>
      <c r="D16557" s="3" t="str">
        <f t="shared" si="4262"/>
        <v>12Go Link</v>
      </c>
      <c r="E16557" s="2" t="s">
        <v>3409</v>
      </c>
    </row>
    <row r="16558">
      <c r="A16558" s="2" t="s">
        <v>5040</v>
      </c>
      <c r="B16558" s="2" t="s">
        <v>4969</v>
      </c>
      <c r="C16558" s="2" t="s">
        <v>7965</v>
      </c>
      <c r="D16558" s="3" t="str">
        <f t="shared" ref="D16558:D16560" si="4263">HYPERLINK("https://12go.asia/en/travel/Wilpattu/Jaffna", "12Go Link")</f>
        <v>12Go Link</v>
      </c>
      <c r="E16558" s="2" t="s">
        <v>286</v>
      </c>
    </row>
    <row r="16559">
      <c r="A16559" s="2" t="s">
        <v>5040</v>
      </c>
      <c r="B16559" s="2" t="s">
        <v>4969</v>
      </c>
      <c r="C16559" s="2" t="s">
        <v>7965</v>
      </c>
      <c r="D16559" s="3" t="str">
        <f t="shared" si="4263"/>
        <v>12Go Link</v>
      </c>
      <c r="E16559" s="2" t="s">
        <v>4139</v>
      </c>
    </row>
    <row r="16560">
      <c r="A16560" s="2" t="s">
        <v>5040</v>
      </c>
      <c r="B16560" s="2" t="s">
        <v>4969</v>
      </c>
      <c r="C16560" s="2" t="s">
        <v>7965</v>
      </c>
      <c r="D16560" s="3" t="str">
        <f t="shared" si="4263"/>
        <v>12Go Link</v>
      </c>
      <c r="E16560" s="2" t="s">
        <v>3409</v>
      </c>
    </row>
    <row r="16561">
      <c r="A16561" s="2" t="s">
        <v>5040</v>
      </c>
      <c r="B16561" s="2" t="s">
        <v>4971</v>
      </c>
      <c r="C16561" s="2" t="s">
        <v>7966</v>
      </c>
      <c r="D16561" s="3" t="str">
        <f t="shared" ref="D16561:D16563" si="4264">HYPERLINK("https://12go.asia/en/travel/Wilpattu/Kalapuwa", "12Go Link")</f>
        <v>12Go Link</v>
      </c>
      <c r="E16561" s="2" t="s">
        <v>286</v>
      </c>
    </row>
    <row r="16562">
      <c r="A16562" s="2" t="s">
        <v>5040</v>
      </c>
      <c r="B16562" s="2" t="s">
        <v>4971</v>
      </c>
      <c r="C16562" s="2" t="s">
        <v>7966</v>
      </c>
      <c r="D16562" s="3" t="str">
        <f t="shared" si="4264"/>
        <v>12Go Link</v>
      </c>
      <c r="E16562" s="2" t="s">
        <v>4139</v>
      </c>
    </row>
    <row r="16563">
      <c r="A16563" s="2" t="s">
        <v>5040</v>
      </c>
      <c r="B16563" s="2" t="s">
        <v>4971</v>
      </c>
      <c r="C16563" s="2" t="s">
        <v>7966</v>
      </c>
      <c r="D16563" s="3" t="str">
        <f t="shared" si="4264"/>
        <v>12Go Link</v>
      </c>
      <c r="E16563" s="2" t="s">
        <v>3409</v>
      </c>
    </row>
    <row r="16564">
      <c r="A16564" s="2" t="s">
        <v>5040</v>
      </c>
      <c r="B16564" s="2" t="s">
        <v>4973</v>
      </c>
      <c r="C16564" s="2" t="s">
        <v>7967</v>
      </c>
      <c r="D16564" s="3" t="str">
        <f t="shared" ref="D16564:D16566" si="4265">HYPERLINK("https://12go.asia/en/travel/Wilpattu/Ampitiya", "12Go Link")</f>
        <v>12Go Link</v>
      </c>
      <c r="E16564" s="2" t="s">
        <v>286</v>
      </c>
    </row>
    <row r="16565">
      <c r="A16565" s="2" t="s">
        <v>5040</v>
      </c>
      <c r="B16565" s="2" t="s">
        <v>4973</v>
      </c>
      <c r="C16565" s="2" t="s">
        <v>7967</v>
      </c>
      <c r="D16565" s="3" t="str">
        <f t="shared" si="4265"/>
        <v>12Go Link</v>
      </c>
      <c r="E16565" s="2" t="s">
        <v>4139</v>
      </c>
    </row>
    <row r="16566">
      <c r="A16566" s="2" t="s">
        <v>5040</v>
      </c>
      <c r="B16566" s="2" t="s">
        <v>4973</v>
      </c>
      <c r="C16566" s="2" t="s">
        <v>7967</v>
      </c>
      <c r="D16566" s="3" t="str">
        <f t="shared" si="4265"/>
        <v>12Go Link</v>
      </c>
      <c r="E16566" s="2" t="s">
        <v>3409</v>
      </c>
    </row>
    <row r="16567">
      <c r="A16567" s="2" t="s">
        <v>5040</v>
      </c>
      <c r="B16567" s="2" t="s">
        <v>4973</v>
      </c>
      <c r="C16567" s="2" t="s">
        <v>7968</v>
      </c>
      <c r="D16567" s="3" t="str">
        <f t="shared" ref="D16567:D16569" si="4266">HYPERLINK("https://12go.asia/en/travel/Wilpattu/Digana", "12Go Link")</f>
        <v>12Go Link</v>
      </c>
      <c r="E16567" s="2" t="s">
        <v>286</v>
      </c>
    </row>
    <row r="16568">
      <c r="A16568" s="2" t="s">
        <v>5040</v>
      </c>
      <c r="B16568" s="2" t="s">
        <v>4973</v>
      </c>
      <c r="C16568" s="2" t="s">
        <v>7968</v>
      </c>
      <c r="D16568" s="3" t="str">
        <f t="shared" si="4266"/>
        <v>12Go Link</v>
      </c>
      <c r="E16568" s="2" t="s">
        <v>4139</v>
      </c>
    </row>
    <row r="16569">
      <c r="A16569" s="2" t="s">
        <v>5040</v>
      </c>
      <c r="B16569" s="2" t="s">
        <v>4973</v>
      </c>
      <c r="C16569" s="2" t="s">
        <v>7968</v>
      </c>
      <c r="D16569" s="3" t="str">
        <f t="shared" si="4266"/>
        <v>12Go Link</v>
      </c>
      <c r="E16569" s="2" t="s">
        <v>3409</v>
      </c>
    </row>
    <row r="16570">
      <c r="A16570" s="2" t="s">
        <v>5040</v>
      </c>
      <c r="B16570" s="2" t="s">
        <v>4976</v>
      </c>
      <c r="C16570" s="2" t="s">
        <v>7969</v>
      </c>
      <c r="D16570" s="3" t="str">
        <f t="shared" ref="D16570:D16572" si="4267">HYPERLINK("https://12go.asia/en/travel/Wilpattu/Kataragama", "12Go Link")</f>
        <v>12Go Link</v>
      </c>
      <c r="E16570" s="2" t="s">
        <v>286</v>
      </c>
    </row>
    <row r="16571">
      <c r="A16571" s="2" t="s">
        <v>5040</v>
      </c>
      <c r="B16571" s="2" t="s">
        <v>4976</v>
      </c>
      <c r="C16571" s="2" t="s">
        <v>7969</v>
      </c>
      <c r="D16571" s="3" t="str">
        <f t="shared" si="4267"/>
        <v>12Go Link</v>
      </c>
      <c r="E16571" s="2" t="s">
        <v>4139</v>
      </c>
    </row>
    <row r="16572">
      <c r="A16572" s="2" t="s">
        <v>5040</v>
      </c>
      <c r="B16572" s="2" t="s">
        <v>4976</v>
      </c>
      <c r="C16572" s="2" t="s">
        <v>7969</v>
      </c>
      <c r="D16572" s="3" t="str">
        <f t="shared" si="4267"/>
        <v>12Go Link</v>
      </c>
      <c r="E16572" s="2" t="s">
        <v>3409</v>
      </c>
    </row>
    <row r="16573">
      <c r="A16573" s="2" t="s">
        <v>5040</v>
      </c>
      <c r="B16573" s="2" t="s">
        <v>4978</v>
      </c>
      <c r="C16573" s="2" t="s">
        <v>7970</v>
      </c>
      <c r="D16573" s="3" t="str">
        <f t="shared" ref="D16573:D16575" si="4268">HYPERLINK("https://12go.asia/en/travel/Wilpattu/Alawathupitiya", "12Go Link")</f>
        <v>12Go Link</v>
      </c>
      <c r="E16573" s="2" t="s">
        <v>286</v>
      </c>
    </row>
    <row r="16574">
      <c r="A16574" s="2" t="s">
        <v>5040</v>
      </c>
      <c r="B16574" s="2" t="s">
        <v>4978</v>
      </c>
      <c r="C16574" s="2" t="s">
        <v>7970</v>
      </c>
      <c r="D16574" s="3" t="str">
        <f t="shared" si="4268"/>
        <v>12Go Link</v>
      </c>
      <c r="E16574" s="2" t="s">
        <v>4139</v>
      </c>
    </row>
    <row r="16575">
      <c r="A16575" s="2" t="s">
        <v>5040</v>
      </c>
      <c r="B16575" s="2" t="s">
        <v>4978</v>
      </c>
      <c r="C16575" s="2" t="s">
        <v>7970</v>
      </c>
      <c r="D16575" s="3" t="str">
        <f t="shared" si="4268"/>
        <v>12Go Link</v>
      </c>
      <c r="E16575" s="2" t="s">
        <v>3409</v>
      </c>
    </row>
    <row r="16576">
      <c r="A16576" s="2" t="s">
        <v>5040</v>
      </c>
      <c r="B16576" s="2" t="s">
        <v>4980</v>
      </c>
      <c r="C16576" s="2" t="s">
        <v>7971</v>
      </c>
      <c r="D16576" s="3" t="str">
        <f t="shared" ref="D16576:D16578" si="4269">HYPERLINK("https://12go.asia/en/travel/Wilpattu/Pinnawala", "12Go Link")</f>
        <v>12Go Link</v>
      </c>
      <c r="E16576" s="2" t="s">
        <v>286</v>
      </c>
    </row>
    <row r="16577">
      <c r="A16577" s="2" t="s">
        <v>5040</v>
      </c>
      <c r="B16577" s="2" t="s">
        <v>4980</v>
      </c>
      <c r="C16577" s="2" t="s">
        <v>7971</v>
      </c>
      <c r="D16577" s="3" t="str">
        <f t="shared" si="4269"/>
        <v>12Go Link</v>
      </c>
      <c r="E16577" s="2" t="s">
        <v>4139</v>
      </c>
    </row>
    <row r="16578">
      <c r="A16578" s="2" t="s">
        <v>5040</v>
      </c>
      <c r="B16578" s="2" t="s">
        <v>4980</v>
      </c>
      <c r="C16578" s="2" t="s">
        <v>7971</v>
      </c>
      <c r="D16578" s="3" t="str">
        <f t="shared" si="4269"/>
        <v>12Go Link</v>
      </c>
      <c r="E16578" s="2" t="s">
        <v>3409</v>
      </c>
    </row>
    <row r="16579">
      <c r="A16579" s="2" t="s">
        <v>5040</v>
      </c>
      <c r="B16579" s="2" t="s">
        <v>4982</v>
      </c>
      <c r="C16579" s="2" t="s">
        <v>7972</v>
      </c>
      <c r="D16579" s="3" t="str">
        <f t="shared" ref="D16579:D16581" si="4270">HYPERLINK("https://12go.asia/en/travel/Wilpattu/Kitulgala", "12Go Link")</f>
        <v>12Go Link</v>
      </c>
      <c r="E16579" s="2" t="s">
        <v>286</v>
      </c>
    </row>
    <row r="16580">
      <c r="A16580" s="2" t="s">
        <v>5040</v>
      </c>
      <c r="B16580" s="2" t="s">
        <v>4982</v>
      </c>
      <c r="C16580" s="2" t="s">
        <v>7972</v>
      </c>
      <c r="D16580" s="3" t="str">
        <f t="shared" si="4270"/>
        <v>12Go Link</v>
      </c>
      <c r="E16580" s="2" t="s">
        <v>4139</v>
      </c>
    </row>
    <row r="16581">
      <c r="A16581" s="2" t="s">
        <v>5040</v>
      </c>
      <c r="B16581" s="2" t="s">
        <v>4982</v>
      </c>
      <c r="C16581" s="2" t="s">
        <v>7972</v>
      </c>
      <c r="D16581" s="3" t="str">
        <f t="shared" si="4270"/>
        <v>12Go Link</v>
      </c>
      <c r="E16581" s="2" t="s">
        <v>3409</v>
      </c>
    </row>
    <row r="16582">
      <c r="A16582" s="2" t="s">
        <v>5040</v>
      </c>
      <c r="B16582" s="2" t="s">
        <v>4984</v>
      </c>
      <c r="C16582" s="2" t="s">
        <v>7973</v>
      </c>
      <c r="D16582" s="3" t="str">
        <f t="shared" ref="D16582:D16584" si="4271">HYPERLINK("https://12go.asia/en/travel/Wilpattu/Habaraduwa", "12Go Link")</f>
        <v>12Go Link</v>
      </c>
      <c r="E16582" s="2" t="s">
        <v>286</v>
      </c>
    </row>
    <row r="16583">
      <c r="A16583" s="2" t="s">
        <v>5040</v>
      </c>
      <c r="B16583" s="2" t="s">
        <v>4984</v>
      </c>
      <c r="C16583" s="2" t="s">
        <v>7973</v>
      </c>
      <c r="D16583" s="3" t="str">
        <f t="shared" si="4271"/>
        <v>12Go Link</v>
      </c>
      <c r="E16583" s="2" t="s">
        <v>4139</v>
      </c>
    </row>
    <row r="16584">
      <c r="A16584" s="2" t="s">
        <v>5040</v>
      </c>
      <c r="B16584" s="2" t="s">
        <v>4984</v>
      </c>
      <c r="C16584" s="2" t="s">
        <v>7973</v>
      </c>
      <c r="D16584" s="3" t="str">
        <f t="shared" si="4271"/>
        <v>12Go Link</v>
      </c>
      <c r="E16584" s="2" t="s">
        <v>3409</v>
      </c>
    </row>
    <row r="16585">
      <c r="A16585" s="2" t="s">
        <v>5040</v>
      </c>
      <c r="B16585" s="2" t="s">
        <v>4986</v>
      </c>
      <c r="C16585" s="2" t="s">
        <v>7974</v>
      </c>
      <c r="D16585" s="3" t="str">
        <f t="shared" ref="D16585:D16587" si="4272">HYPERLINK("https://12go.asia/en/travel/Wilpattu/Kosgoda", "12Go Link")</f>
        <v>12Go Link</v>
      </c>
      <c r="E16585" s="2" t="s">
        <v>286</v>
      </c>
    </row>
    <row r="16586">
      <c r="A16586" s="2" t="s">
        <v>5040</v>
      </c>
      <c r="B16586" s="2" t="s">
        <v>4986</v>
      </c>
      <c r="C16586" s="2" t="s">
        <v>7974</v>
      </c>
      <c r="D16586" s="3" t="str">
        <f t="shared" si="4272"/>
        <v>12Go Link</v>
      </c>
      <c r="E16586" s="2" t="s">
        <v>4139</v>
      </c>
    </row>
    <row r="16587">
      <c r="A16587" s="2" t="s">
        <v>5040</v>
      </c>
      <c r="B16587" s="2" t="s">
        <v>4986</v>
      </c>
      <c r="C16587" s="2" t="s">
        <v>7974</v>
      </c>
      <c r="D16587" s="3" t="str">
        <f t="shared" si="4272"/>
        <v>12Go Link</v>
      </c>
      <c r="E16587" s="2" t="s">
        <v>3409</v>
      </c>
    </row>
    <row r="16588">
      <c r="A16588" s="2" t="s">
        <v>5040</v>
      </c>
      <c r="B16588" s="2" t="s">
        <v>4988</v>
      </c>
      <c r="C16588" s="2" t="s">
        <v>7975</v>
      </c>
      <c r="D16588" s="3" t="str">
        <f t="shared" ref="D16588:D16590" si="4273">HYPERLINK("https://12go.asia/en/travel/Wilpattu/Kuchchaveli", "12Go Link")</f>
        <v>12Go Link</v>
      </c>
      <c r="E16588" s="2" t="s">
        <v>286</v>
      </c>
    </row>
    <row r="16589">
      <c r="A16589" s="2" t="s">
        <v>5040</v>
      </c>
      <c r="B16589" s="2" t="s">
        <v>4988</v>
      </c>
      <c r="C16589" s="2" t="s">
        <v>7975</v>
      </c>
      <c r="D16589" s="3" t="str">
        <f t="shared" si="4273"/>
        <v>12Go Link</v>
      </c>
      <c r="E16589" s="2" t="s">
        <v>4139</v>
      </c>
    </row>
    <row r="16590">
      <c r="A16590" s="2" t="s">
        <v>5040</v>
      </c>
      <c r="B16590" s="2" t="s">
        <v>4988</v>
      </c>
      <c r="C16590" s="2" t="s">
        <v>7975</v>
      </c>
      <c r="D16590" s="3" t="str">
        <f t="shared" si="4273"/>
        <v>12Go Link</v>
      </c>
      <c r="E16590" s="2" t="s">
        <v>3409</v>
      </c>
    </row>
    <row r="16591">
      <c r="A16591" s="2" t="s">
        <v>5040</v>
      </c>
      <c r="B16591" s="2" t="s">
        <v>4990</v>
      </c>
      <c r="C16591" s="2" t="s">
        <v>7976</v>
      </c>
      <c r="D16591" s="3" t="str">
        <f t="shared" ref="D16591:D16593" si="4274">HYPERLINK("https://12go.asia/en/travel/Wilpattu/Mannar", "12Go Link")</f>
        <v>12Go Link</v>
      </c>
      <c r="E16591" s="2" t="s">
        <v>286</v>
      </c>
    </row>
    <row r="16592">
      <c r="A16592" s="2" t="s">
        <v>5040</v>
      </c>
      <c r="B16592" s="2" t="s">
        <v>4990</v>
      </c>
      <c r="C16592" s="2" t="s">
        <v>7976</v>
      </c>
      <c r="D16592" s="3" t="str">
        <f t="shared" si="4274"/>
        <v>12Go Link</v>
      </c>
      <c r="E16592" s="2" t="s">
        <v>4139</v>
      </c>
    </row>
    <row r="16593">
      <c r="A16593" s="2" t="s">
        <v>5040</v>
      </c>
      <c r="B16593" s="2" t="s">
        <v>4990</v>
      </c>
      <c r="C16593" s="2" t="s">
        <v>7976</v>
      </c>
      <c r="D16593" s="3" t="str">
        <f t="shared" si="4274"/>
        <v>12Go Link</v>
      </c>
      <c r="E16593" s="2" t="s">
        <v>3409</v>
      </c>
    </row>
    <row r="16594">
      <c r="A16594" s="2" t="s">
        <v>5040</v>
      </c>
      <c r="B16594" s="2" t="s">
        <v>4992</v>
      </c>
      <c r="C16594" s="2" t="s">
        <v>7977</v>
      </c>
      <c r="D16594" s="3" t="str">
        <f t="shared" ref="D16594:D16596" si="4275">HYPERLINK("https://12go.asia/en/travel/Wilpattu/Kinigama", "12Go Link")</f>
        <v>12Go Link</v>
      </c>
      <c r="E16594" s="2" t="s">
        <v>286</v>
      </c>
    </row>
    <row r="16595">
      <c r="A16595" s="2" t="s">
        <v>5040</v>
      </c>
      <c r="B16595" s="2" t="s">
        <v>4992</v>
      </c>
      <c r="C16595" s="2" t="s">
        <v>7977</v>
      </c>
      <c r="D16595" s="3" t="str">
        <f t="shared" si="4275"/>
        <v>12Go Link</v>
      </c>
      <c r="E16595" s="2" t="s">
        <v>4139</v>
      </c>
    </row>
    <row r="16596">
      <c r="A16596" s="2" t="s">
        <v>5040</v>
      </c>
      <c r="B16596" s="2" t="s">
        <v>4992</v>
      </c>
      <c r="C16596" s="2" t="s">
        <v>7977</v>
      </c>
      <c r="D16596" s="3" t="str">
        <f t="shared" si="4275"/>
        <v>12Go Link</v>
      </c>
      <c r="E16596" s="2" t="s">
        <v>3409</v>
      </c>
    </row>
    <row r="16597">
      <c r="A16597" s="2" t="s">
        <v>5040</v>
      </c>
      <c r="B16597" s="2" t="s">
        <v>4994</v>
      </c>
      <c r="C16597" s="2" t="s">
        <v>7978</v>
      </c>
      <c r="D16597" s="3" t="str">
        <f t="shared" ref="D16597:D16599" si="4276">HYPERLINK("https://12go.asia/en/travel/Wilpattu/Kalamatiya", "12Go Link")</f>
        <v>12Go Link</v>
      </c>
      <c r="E16597" s="2" t="s">
        <v>286</v>
      </c>
    </row>
    <row r="16598">
      <c r="A16598" s="2" t="s">
        <v>5040</v>
      </c>
      <c r="B16598" s="2" t="s">
        <v>4994</v>
      </c>
      <c r="C16598" s="2" t="s">
        <v>7978</v>
      </c>
      <c r="D16598" s="3" t="str">
        <f t="shared" si="4276"/>
        <v>12Go Link</v>
      </c>
      <c r="E16598" s="2" t="s">
        <v>4139</v>
      </c>
    </row>
    <row r="16599">
      <c r="A16599" s="2" t="s">
        <v>5040</v>
      </c>
      <c r="B16599" s="2" t="s">
        <v>4994</v>
      </c>
      <c r="C16599" s="2" t="s">
        <v>7978</v>
      </c>
      <c r="D16599" s="3" t="str">
        <f t="shared" si="4276"/>
        <v>12Go Link</v>
      </c>
      <c r="E16599" s="2" t="s">
        <v>3409</v>
      </c>
    </row>
    <row r="16600">
      <c r="A16600" s="2" t="s">
        <v>5040</v>
      </c>
      <c r="B16600" s="2" t="s">
        <v>4996</v>
      </c>
      <c r="C16600" s="2" t="s">
        <v>7979</v>
      </c>
      <c r="D16600" s="3" t="str">
        <f t="shared" ref="D16600:D16602" si="4277">HYPERLINK("https://12go.asia/en/travel/Wilpattu/mirissa", "12Go Link")</f>
        <v>12Go Link</v>
      </c>
      <c r="E16600" s="2" t="s">
        <v>286</v>
      </c>
    </row>
    <row r="16601">
      <c r="A16601" s="2" t="s">
        <v>5040</v>
      </c>
      <c r="B16601" s="2" t="s">
        <v>4996</v>
      </c>
      <c r="C16601" s="2" t="s">
        <v>7979</v>
      </c>
      <c r="D16601" s="3" t="str">
        <f t="shared" si="4277"/>
        <v>12Go Link</v>
      </c>
      <c r="E16601" s="2" t="s">
        <v>4139</v>
      </c>
    </row>
    <row r="16602">
      <c r="A16602" s="2" t="s">
        <v>5040</v>
      </c>
      <c r="B16602" s="2" t="s">
        <v>4996</v>
      </c>
      <c r="C16602" s="2" t="s">
        <v>7979</v>
      </c>
      <c r="D16602" s="3" t="str">
        <f t="shared" si="4277"/>
        <v>12Go Link</v>
      </c>
      <c r="E16602" s="2" t="s">
        <v>3409</v>
      </c>
    </row>
    <row r="16603">
      <c r="A16603" s="2" t="s">
        <v>5040</v>
      </c>
      <c r="B16603" s="2" t="s">
        <v>4998</v>
      </c>
      <c r="C16603" s="2" t="s">
        <v>7980</v>
      </c>
      <c r="D16603" s="3" t="str">
        <f t="shared" ref="D16603:D16605" si="4278">HYPERLINK("https://12go.asia/en/travel/Wilpattu/Nanu-Oya", "12Go Link")</f>
        <v>12Go Link</v>
      </c>
      <c r="E16603" s="2" t="s">
        <v>286</v>
      </c>
    </row>
    <row r="16604">
      <c r="A16604" s="2" t="s">
        <v>5040</v>
      </c>
      <c r="B16604" s="2" t="s">
        <v>4998</v>
      </c>
      <c r="C16604" s="2" t="s">
        <v>7980</v>
      </c>
      <c r="D16604" s="3" t="str">
        <f t="shared" si="4278"/>
        <v>12Go Link</v>
      </c>
      <c r="E16604" s="2" t="s">
        <v>4139</v>
      </c>
    </row>
    <row r="16605">
      <c r="A16605" s="2" t="s">
        <v>5040</v>
      </c>
      <c r="B16605" s="2" t="s">
        <v>4998</v>
      </c>
      <c r="C16605" s="2" t="s">
        <v>7980</v>
      </c>
      <c r="D16605" s="3" t="str">
        <f t="shared" si="4278"/>
        <v>12Go Link</v>
      </c>
      <c r="E16605" s="2" t="s">
        <v>3409</v>
      </c>
    </row>
    <row r="16606">
      <c r="A16606" s="2" t="s">
        <v>5040</v>
      </c>
      <c r="B16606" s="2" t="s">
        <v>5000</v>
      </c>
      <c r="C16606" s="2" t="s">
        <v>7981</v>
      </c>
      <c r="D16606" s="3" t="str">
        <f t="shared" ref="D16606:D16608" si="4279">HYPERLINK("https://12go.asia/en/travel/Wilpattu/Dalupotha", "12Go Link")</f>
        <v>12Go Link</v>
      </c>
      <c r="E16606" s="2" t="s">
        <v>286</v>
      </c>
    </row>
    <row r="16607">
      <c r="A16607" s="2" t="s">
        <v>5040</v>
      </c>
      <c r="B16607" s="2" t="s">
        <v>5000</v>
      </c>
      <c r="C16607" s="2" t="s">
        <v>7981</v>
      </c>
      <c r="D16607" s="3" t="str">
        <f t="shared" si="4279"/>
        <v>12Go Link</v>
      </c>
      <c r="E16607" s="2" t="s">
        <v>4139</v>
      </c>
    </row>
    <row r="16608">
      <c r="A16608" s="2" t="s">
        <v>5040</v>
      </c>
      <c r="B16608" s="2" t="s">
        <v>5000</v>
      </c>
      <c r="C16608" s="2" t="s">
        <v>7981</v>
      </c>
      <c r="D16608" s="3" t="str">
        <f t="shared" si="4279"/>
        <v>12Go Link</v>
      </c>
      <c r="E16608" s="2" t="s">
        <v>3409</v>
      </c>
    </row>
    <row r="16609">
      <c r="A16609" s="2" t="s">
        <v>5040</v>
      </c>
      <c r="B16609" s="2" t="s">
        <v>5000</v>
      </c>
      <c r="C16609" s="2" t="s">
        <v>7982</v>
      </c>
      <c r="D16609" s="3" t="str">
        <f t="shared" ref="D16609:D16611" si="4280">HYPERLINK("https://12go.asia/en/travel/Wilpattu/Waikkal", "12Go Link")</f>
        <v>12Go Link</v>
      </c>
      <c r="E16609" s="2" t="s">
        <v>286</v>
      </c>
    </row>
    <row r="16610">
      <c r="A16610" s="2" t="s">
        <v>5040</v>
      </c>
      <c r="B16610" s="2" t="s">
        <v>5000</v>
      </c>
      <c r="C16610" s="2" t="s">
        <v>7982</v>
      </c>
      <c r="D16610" s="3" t="str">
        <f t="shared" si="4280"/>
        <v>12Go Link</v>
      </c>
      <c r="E16610" s="2" t="s">
        <v>4139</v>
      </c>
    </row>
    <row r="16611">
      <c r="A16611" s="2" t="s">
        <v>5040</v>
      </c>
      <c r="B16611" s="2" t="s">
        <v>5000</v>
      </c>
      <c r="C16611" s="2" t="s">
        <v>7982</v>
      </c>
      <c r="D16611" s="3" t="str">
        <f t="shared" si="4280"/>
        <v>12Go Link</v>
      </c>
      <c r="E16611" s="2" t="s">
        <v>3409</v>
      </c>
    </row>
    <row r="16612">
      <c r="A16612" s="2" t="s">
        <v>5040</v>
      </c>
      <c r="B16612" s="2" t="s">
        <v>5003</v>
      </c>
      <c r="C16612" s="2" t="s">
        <v>7983</v>
      </c>
      <c r="D16612" s="3" t="str">
        <f t="shared" ref="D16612:D16614" si="4281">HYPERLINK("https://12go.asia/en/travel/Wilpattu/Nilaveli", "12Go Link")</f>
        <v>12Go Link</v>
      </c>
      <c r="E16612" s="2" t="s">
        <v>286</v>
      </c>
    </row>
    <row r="16613">
      <c r="A16613" s="2" t="s">
        <v>5040</v>
      </c>
      <c r="B16613" s="2" t="s">
        <v>5003</v>
      </c>
      <c r="C16613" s="2" t="s">
        <v>7983</v>
      </c>
      <c r="D16613" s="3" t="str">
        <f t="shared" si="4281"/>
        <v>12Go Link</v>
      </c>
      <c r="E16613" s="2" t="s">
        <v>4139</v>
      </c>
    </row>
    <row r="16614">
      <c r="A16614" s="2" t="s">
        <v>5040</v>
      </c>
      <c r="B16614" s="2" t="s">
        <v>5003</v>
      </c>
      <c r="C16614" s="2" t="s">
        <v>7983</v>
      </c>
      <c r="D16614" s="3" t="str">
        <f t="shared" si="4281"/>
        <v>12Go Link</v>
      </c>
      <c r="E16614" s="2" t="s">
        <v>3409</v>
      </c>
    </row>
    <row r="16615">
      <c r="A16615" s="2" t="s">
        <v>5040</v>
      </c>
      <c r="B16615" s="2" t="s">
        <v>5005</v>
      </c>
      <c r="C16615" s="2" t="s">
        <v>7984</v>
      </c>
      <c r="D16615" s="3" t="str">
        <f t="shared" ref="D16615:D16617" si="4282">HYPERLINK("https://12go.asia/en/travel/Wilpattu/Kotmale", "12Go Link")</f>
        <v>12Go Link</v>
      </c>
      <c r="E16615" s="2" t="s">
        <v>286</v>
      </c>
    </row>
    <row r="16616">
      <c r="A16616" s="2" t="s">
        <v>5040</v>
      </c>
      <c r="B16616" s="2" t="s">
        <v>5005</v>
      </c>
      <c r="C16616" s="2" t="s">
        <v>7984</v>
      </c>
      <c r="D16616" s="3" t="str">
        <f t="shared" si="4282"/>
        <v>12Go Link</v>
      </c>
      <c r="E16616" s="2" t="s">
        <v>4139</v>
      </c>
    </row>
    <row r="16617">
      <c r="A16617" s="2" t="s">
        <v>5040</v>
      </c>
      <c r="B16617" s="2" t="s">
        <v>5005</v>
      </c>
      <c r="C16617" s="2" t="s">
        <v>7984</v>
      </c>
      <c r="D16617" s="3" t="str">
        <f t="shared" si="4282"/>
        <v>12Go Link</v>
      </c>
      <c r="E16617" s="2" t="s">
        <v>3409</v>
      </c>
    </row>
    <row r="16618">
      <c r="A16618" s="2" t="s">
        <v>5040</v>
      </c>
      <c r="B16618" s="2" t="s">
        <v>5007</v>
      </c>
      <c r="C16618" s="2" t="s">
        <v>7985</v>
      </c>
      <c r="D16618" s="3" t="str">
        <f t="shared" ref="D16618:D16620" si="4283">HYPERLINK("https://12go.asia/en/travel/Wilpattu/Pasikuda", "12Go Link")</f>
        <v>12Go Link</v>
      </c>
      <c r="E16618" s="2" t="s">
        <v>286</v>
      </c>
    </row>
    <row r="16619">
      <c r="A16619" s="2" t="s">
        <v>5040</v>
      </c>
      <c r="B16619" s="2" t="s">
        <v>5007</v>
      </c>
      <c r="C16619" s="2" t="s">
        <v>7985</v>
      </c>
      <c r="D16619" s="3" t="str">
        <f t="shared" si="4283"/>
        <v>12Go Link</v>
      </c>
      <c r="E16619" s="2" t="s">
        <v>4139</v>
      </c>
    </row>
    <row r="16620">
      <c r="A16620" s="2" t="s">
        <v>5040</v>
      </c>
      <c r="B16620" s="2" t="s">
        <v>5007</v>
      </c>
      <c r="C16620" s="2" t="s">
        <v>7985</v>
      </c>
      <c r="D16620" s="3" t="str">
        <f t="shared" si="4283"/>
        <v>12Go Link</v>
      </c>
      <c r="E16620" s="2" t="s">
        <v>3409</v>
      </c>
    </row>
    <row r="16621">
      <c r="A16621" s="2" t="s">
        <v>5040</v>
      </c>
      <c r="B16621" s="2" t="s">
        <v>5009</v>
      </c>
      <c r="C16621" s="2" t="s">
        <v>7986</v>
      </c>
      <c r="D16621" s="3" t="str">
        <f t="shared" ref="D16621:D16623" si="4284">HYPERLINK("https://12go.asia/en/travel/Wilpattu/Galoya", "12Go Link")</f>
        <v>12Go Link</v>
      </c>
      <c r="E16621" s="2" t="s">
        <v>286</v>
      </c>
    </row>
    <row r="16622">
      <c r="A16622" s="2" t="s">
        <v>5040</v>
      </c>
      <c r="B16622" s="2" t="s">
        <v>5009</v>
      </c>
      <c r="C16622" s="2" t="s">
        <v>7986</v>
      </c>
      <c r="D16622" s="3" t="str">
        <f t="shared" si="4284"/>
        <v>12Go Link</v>
      </c>
      <c r="E16622" s="2" t="s">
        <v>4139</v>
      </c>
    </row>
    <row r="16623">
      <c r="A16623" s="2" t="s">
        <v>5040</v>
      </c>
      <c r="B16623" s="2" t="s">
        <v>5009</v>
      </c>
      <c r="C16623" s="2" t="s">
        <v>7986</v>
      </c>
      <c r="D16623" s="3" t="str">
        <f t="shared" si="4284"/>
        <v>12Go Link</v>
      </c>
      <c r="E16623" s="2" t="s">
        <v>3409</v>
      </c>
    </row>
    <row r="16624">
      <c r="A16624" s="2" t="s">
        <v>5040</v>
      </c>
      <c r="B16624" s="2" t="s">
        <v>5011</v>
      </c>
      <c r="C16624" s="2" t="s">
        <v>7987</v>
      </c>
      <c r="D16624" s="3" t="str">
        <f t="shared" ref="D16624:D16626" si="4285">HYPERLINK("https://12go.asia/en/travel/Wilpattu/Kalpitiya", "12Go Link")</f>
        <v>12Go Link</v>
      </c>
      <c r="E16624" s="2" t="s">
        <v>286</v>
      </c>
    </row>
    <row r="16625">
      <c r="A16625" s="2" t="s">
        <v>5040</v>
      </c>
      <c r="B16625" s="2" t="s">
        <v>5011</v>
      </c>
      <c r="C16625" s="2" t="s">
        <v>7987</v>
      </c>
      <c r="D16625" s="3" t="str">
        <f t="shared" si="4285"/>
        <v>12Go Link</v>
      </c>
      <c r="E16625" s="2" t="s">
        <v>4139</v>
      </c>
    </row>
    <row r="16626">
      <c r="A16626" s="2" t="s">
        <v>5040</v>
      </c>
      <c r="B16626" s="2" t="s">
        <v>5011</v>
      </c>
      <c r="C16626" s="2" t="s">
        <v>7987</v>
      </c>
      <c r="D16626" s="3" t="str">
        <f t="shared" si="4285"/>
        <v>12Go Link</v>
      </c>
      <c r="E16626" s="2" t="s">
        <v>3409</v>
      </c>
    </row>
    <row r="16627">
      <c r="A16627" s="2" t="s">
        <v>5040</v>
      </c>
      <c r="B16627" s="2" t="s">
        <v>5011</v>
      </c>
      <c r="C16627" s="2" t="s">
        <v>7988</v>
      </c>
      <c r="D16627" s="3" t="str">
        <f t="shared" ref="D16627:D16629" si="4286">HYPERLINK("https://12go.asia/en/travel/Wilpattu/Marawila", "12Go Link")</f>
        <v>12Go Link</v>
      </c>
      <c r="E16627" s="2" t="s">
        <v>286</v>
      </c>
    </row>
    <row r="16628">
      <c r="A16628" s="2" t="s">
        <v>5040</v>
      </c>
      <c r="B16628" s="2" t="s">
        <v>5011</v>
      </c>
      <c r="C16628" s="2" t="s">
        <v>7988</v>
      </c>
      <c r="D16628" s="3" t="str">
        <f t="shared" si="4286"/>
        <v>12Go Link</v>
      </c>
      <c r="E16628" s="2" t="s">
        <v>4139</v>
      </c>
    </row>
    <row r="16629">
      <c r="A16629" s="2" t="s">
        <v>5040</v>
      </c>
      <c r="B16629" s="2" t="s">
        <v>5011</v>
      </c>
      <c r="C16629" s="2" t="s">
        <v>7988</v>
      </c>
      <c r="D16629" s="3" t="str">
        <f t="shared" si="4286"/>
        <v>12Go Link</v>
      </c>
      <c r="E16629" s="2" t="s">
        <v>3409</v>
      </c>
    </row>
    <row r="16630">
      <c r="A16630" s="2" t="s">
        <v>5040</v>
      </c>
      <c r="B16630" s="2" t="s">
        <v>5014</v>
      </c>
      <c r="C16630" s="2" t="s">
        <v>7989</v>
      </c>
      <c r="D16630" s="3" t="str">
        <f t="shared" ref="D16630:D16632" si="4287">HYPERLINK("https://12go.asia/en/travel/Wilpattu/Kiriella", "12Go Link")</f>
        <v>12Go Link</v>
      </c>
      <c r="E16630" s="2" t="s">
        <v>286</v>
      </c>
    </row>
    <row r="16631">
      <c r="A16631" s="2" t="s">
        <v>5040</v>
      </c>
      <c r="B16631" s="2" t="s">
        <v>5014</v>
      </c>
      <c r="C16631" s="2" t="s">
        <v>7989</v>
      </c>
      <c r="D16631" s="3" t="str">
        <f t="shared" si="4287"/>
        <v>12Go Link</v>
      </c>
      <c r="E16631" s="2" t="s">
        <v>4139</v>
      </c>
    </row>
    <row r="16632">
      <c r="A16632" s="2" t="s">
        <v>5040</v>
      </c>
      <c r="B16632" s="2" t="s">
        <v>5014</v>
      </c>
      <c r="C16632" s="2" t="s">
        <v>7989</v>
      </c>
      <c r="D16632" s="3" t="str">
        <f t="shared" si="4287"/>
        <v>12Go Link</v>
      </c>
      <c r="E16632" s="2" t="s">
        <v>3409</v>
      </c>
    </row>
    <row r="16633">
      <c r="A16633" s="2" t="s">
        <v>5040</v>
      </c>
      <c r="B16633" s="2" t="s">
        <v>5016</v>
      </c>
      <c r="C16633" s="2" t="s">
        <v>7990</v>
      </c>
      <c r="D16633" s="3" t="str">
        <f t="shared" ref="D16633:D16635" si="4288">HYPERLINK("https://12go.asia/en/travel/Wilpattu/Pidurangala", "12Go Link")</f>
        <v>12Go Link</v>
      </c>
      <c r="E16633" s="2" t="s">
        <v>286</v>
      </c>
    </row>
    <row r="16634">
      <c r="A16634" s="2" t="s">
        <v>5040</v>
      </c>
      <c r="B16634" s="2" t="s">
        <v>5016</v>
      </c>
      <c r="C16634" s="2" t="s">
        <v>7990</v>
      </c>
      <c r="D16634" s="3" t="str">
        <f t="shared" si="4288"/>
        <v>12Go Link</v>
      </c>
      <c r="E16634" s="2" t="s">
        <v>4139</v>
      </c>
    </row>
    <row r="16635">
      <c r="A16635" s="2" t="s">
        <v>5040</v>
      </c>
      <c r="B16635" s="2" t="s">
        <v>5016</v>
      </c>
      <c r="C16635" s="2" t="s">
        <v>7990</v>
      </c>
      <c r="D16635" s="3" t="str">
        <f t="shared" si="4288"/>
        <v>12Go Link</v>
      </c>
      <c r="E16635" s="2" t="s">
        <v>3409</v>
      </c>
    </row>
    <row r="16636">
      <c r="A16636" s="2" t="s">
        <v>5040</v>
      </c>
      <c r="B16636" s="2" t="s">
        <v>5018</v>
      </c>
      <c r="C16636" s="2" t="s">
        <v>7991</v>
      </c>
      <c r="D16636" s="3" t="str">
        <f t="shared" ref="D16636:D16638" si="4289">HYPERLINK("https://12go.asia/en/travel/Wilpattu/Rekawa", "12Go Link")</f>
        <v>12Go Link</v>
      </c>
      <c r="E16636" s="2" t="s">
        <v>286</v>
      </c>
    </row>
    <row r="16637">
      <c r="A16637" s="2" t="s">
        <v>5040</v>
      </c>
      <c r="B16637" s="2" t="s">
        <v>5018</v>
      </c>
      <c r="C16637" s="2" t="s">
        <v>7991</v>
      </c>
      <c r="D16637" s="3" t="str">
        <f t="shared" si="4289"/>
        <v>12Go Link</v>
      </c>
      <c r="E16637" s="2" t="s">
        <v>4139</v>
      </c>
    </row>
    <row r="16638">
      <c r="A16638" s="2" t="s">
        <v>5040</v>
      </c>
      <c r="B16638" s="2" t="s">
        <v>5018</v>
      </c>
      <c r="C16638" s="2" t="s">
        <v>7991</v>
      </c>
      <c r="D16638" s="3" t="str">
        <f t="shared" si="4289"/>
        <v>12Go Link</v>
      </c>
      <c r="E16638" s="2" t="s">
        <v>3409</v>
      </c>
    </row>
    <row r="16639">
      <c r="A16639" s="2" t="s">
        <v>5040</v>
      </c>
      <c r="B16639" s="2" t="s">
        <v>5020</v>
      </c>
      <c r="C16639" s="2" t="s">
        <v>7992</v>
      </c>
      <c r="D16639" s="3" t="str">
        <f t="shared" ref="D16639:D16641" si="4290">HYPERLINK("https://12go.asia/en/travel/Wilpattu/Tissamaharama", "12Go Link")</f>
        <v>12Go Link</v>
      </c>
      <c r="E16639" s="2" t="s">
        <v>286</v>
      </c>
    </row>
    <row r="16640">
      <c r="A16640" s="2" t="s">
        <v>5040</v>
      </c>
      <c r="B16640" s="2" t="s">
        <v>5020</v>
      </c>
      <c r="C16640" s="2" t="s">
        <v>7992</v>
      </c>
      <c r="D16640" s="3" t="str">
        <f t="shared" si="4290"/>
        <v>12Go Link</v>
      </c>
      <c r="E16640" s="2" t="s">
        <v>4139</v>
      </c>
    </row>
    <row r="16641">
      <c r="A16641" s="2" t="s">
        <v>5040</v>
      </c>
      <c r="B16641" s="2" t="s">
        <v>5020</v>
      </c>
      <c r="C16641" s="2" t="s">
        <v>7992</v>
      </c>
      <c r="D16641" s="3" t="str">
        <f t="shared" si="4290"/>
        <v>12Go Link</v>
      </c>
      <c r="E16641" s="2" t="s">
        <v>3409</v>
      </c>
    </row>
    <row r="16642">
      <c r="A16642" s="2" t="s">
        <v>5040</v>
      </c>
      <c r="B16642" s="2" t="s">
        <v>5020</v>
      </c>
      <c r="C16642" s="2" t="s">
        <v>7993</v>
      </c>
      <c r="D16642" s="3" t="str">
        <f t="shared" ref="D16642:D16644" si="4291">HYPERLINK("https://12go.asia/en/travel/Wilpattu/Yala-Park", "12Go Link")</f>
        <v>12Go Link</v>
      </c>
      <c r="E16642" s="2" t="s">
        <v>286</v>
      </c>
    </row>
    <row r="16643">
      <c r="A16643" s="2" t="s">
        <v>5040</v>
      </c>
      <c r="B16643" s="2" t="s">
        <v>5020</v>
      </c>
      <c r="C16643" s="2" t="s">
        <v>7993</v>
      </c>
      <c r="D16643" s="3" t="str">
        <f t="shared" si="4291"/>
        <v>12Go Link</v>
      </c>
      <c r="E16643" s="2" t="s">
        <v>4139</v>
      </c>
    </row>
    <row r="16644">
      <c r="A16644" s="2" t="s">
        <v>5040</v>
      </c>
      <c r="B16644" s="2" t="s">
        <v>5020</v>
      </c>
      <c r="C16644" s="2" t="s">
        <v>7993</v>
      </c>
      <c r="D16644" s="3" t="str">
        <f t="shared" si="4291"/>
        <v>12Go Link</v>
      </c>
      <c r="E16644" s="2" t="s">
        <v>3409</v>
      </c>
    </row>
    <row r="16645">
      <c r="A16645" s="2" t="s">
        <v>5040</v>
      </c>
      <c r="B16645" s="2" t="s">
        <v>5023</v>
      </c>
      <c r="C16645" s="2" t="s">
        <v>7994</v>
      </c>
      <c r="D16645" s="3" t="str">
        <f t="shared" ref="D16645:D16647" si="4292">HYPERLINK("https://12go.asia/en/travel/Wilpattu/Nilaweli", "12Go Link")</f>
        <v>12Go Link</v>
      </c>
      <c r="E16645" s="2" t="s">
        <v>286</v>
      </c>
    </row>
    <row r="16646">
      <c r="A16646" s="2" t="s">
        <v>5040</v>
      </c>
      <c r="B16646" s="2" t="s">
        <v>5023</v>
      </c>
      <c r="C16646" s="2" t="s">
        <v>7994</v>
      </c>
      <c r="D16646" s="3" t="str">
        <f t="shared" si="4292"/>
        <v>12Go Link</v>
      </c>
      <c r="E16646" s="2" t="s">
        <v>4139</v>
      </c>
    </row>
    <row r="16647">
      <c r="A16647" s="2" t="s">
        <v>5040</v>
      </c>
      <c r="B16647" s="2" t="s">
        <v>5023</v>
      </c>
      <c r="C16647" s="2" t="s">
        <v>7994</v>
      </c>
      <c r="D16647" s="3" t="str">
        <f t="shared" si="4292"/>
        <v>12Go Link</v>
      </c>
      <c r="E16647" s="2" t="s">
        <v>3409</v>
      </c>
    </row>
    <row r="16648">
      <c r="A16648" s="2" t="s">
        <v>5040</v>
      </c>
      <c r="B16648" s="2" t="s">
        <v>5025</v>
      </c>
      <c r="C16648" s="2" t="s">
        <v>7995</v>
      </c>
      <c r="D16648" s="3" t="str">
        <f t="shared" ref="D16648:D16650" si="4293">HYPERLINK("https://12go.asia/en/travel/Wilpattu/Udawalawa", "12Go Link")</f>
        <v>12Go Link</v>
      </c>
      <c r="E16648" s="2" t="s">
        <v>286</v>
      </c>
    </row>
    <row r="16649">
      <c r="A16649" s="2" t="s">
        <v>5040</v>
      </c>
      <c r="B16649" s="2" t="s">
        <v>5025</v>
      </c>
      <c r="C16649" s="2" t="s">
        <v>7995</v>
      </c>
      <c r="D16649" s="3" t="str">
        <f t="shared" si="4293"/>
        <v>12Go Link</v>
      </c>
      <c r="E16649" s="2" t="s">
        <v>4139</v>
      </c>
    </row>
    <row r="16650">
      <c r="A16650" s="2" t="s">
        <v>5040</v>
      </c>
      <c r="B16650" s="2" t="s">
        <v>5025</v>
      </c>
      <c r="C16650" s="2" t="s">
        <v>7995</v>
      </c>
      <c r="D16650" s="3" t="str">
        <f t="shared" si="4293"/>
        <v>12Go Link</v>
      </c>
      <c r="E16650" s="2" t="s">
        <v>3409</v>
      </c>
    </row>
    <row r="16651">
      <c r="A16651" s="2" t="s">
        <v>5040</v>
      </c>
      <c r="B16651" s="2" t="s">
        <v>5027</v>
      </c>
      <c r="C16651" s="2" t="s">
        <v>7996</v>
      </c>
      <c r="D16651" s="3" t="str">
        <f t="shared" ref="D16651:D16653" si="4294">HYPERLINK("https://12go.asia/en/travel/Wilpattu/Unawatuna", "12Go Link")</f>
        <v>12Go Link</v>
      </c>
      <c r="E16651" s="2" t="s">
        <v>286</v>
      </c>
    </row>
    <row r="16652">
      <c r="A16652" s="2" t="s">
        <v>5040</v>
      </c>
      <c r="B16652" s="2" t="s">
        <v>5027</v>
      </c>
      <c r="C16652" s="2" t="s">
        <v>7996</v>
      </c>
      <c r="D16652" s="3" t="str">
        <f t="shared" si="4294"/>
        <v>12Go Link</v>
      </c>
      <c r="E16652" s="2" t="s">
        <v>4139</v>
      </c>
    </row>
    <row r="16653">
      <c r="A16653" s="2" t="s">
        <v>5040</v>
      </c>
      <c r="B16653" s="2" t="s">
        <v>5027</v>
      </c>
      <c r="C16653" s="2" t="s">
        <v>7996</v>
      </c>
      <c r="D16653" s="3" t="str">
        <f t="shared" si="4294"/>
        <v>12Go Link</v>
      </c>
      <c r="E16653" s="2" t="s">
        <v>3409</v>
      </c>
    </row>
    <row r="16654">
      <c r="A16654" s="2" t="s">
        <v>5040</v>
      </c>
      <c r="B16654" s="2" t="s">
        <v>5029</v>
      </c>
      <c r="C16654" s="2" t="s">
        <v>7997</v>
      </c>
      <c r="D16654" s="3" t="str">
        <f t="shared" ref="D16654:D16656" si="4295">HYPERLINK("https://12go.asia/en/travel/Wilpattu/Attanagalla", "12Go Link")</f>
        <v>12Go Link</v>
      </c>
      <c r="E16654" s="2" t="s">
        <v>286</v>
      </c>
    </row>
    <row r="16655">
      <c r="A16655" s="2" t="s">
        <v>5040</v>
      </c>
      <c r="B16655" s="2" t="s">
        <v>5029</v>
      </c>
      <c r="C16655" s="2" t="s">
        <v>7997</v>
      </c>
      <c r="D16655" s="3" t="str">
        <f t="shared" si="4295"/>
        <v>12Go Link</v>
      </c>
      <c r="E16655" s="2" t="s">
        <v>4139</v>
      </c>
    </row>
    <row r="16656">
      <c r="A16656" s="2" t="s">
        <v>5040</v>
      </c>
      <c r="B16656" s="2" t="s">
        <v>5029</v>
      </c>
      <c r="C16656" s="2" t="s">
        <v>7997</v>
      </c>
      <c r="D16656" s="3" t="str">
        <f t="shared" si="4295"/>
        <v>12Go Link</v>
      </c>
      <c r="E16656" s="2" t="s">
        <v>3409</v>
      </c>
    </row>
    <row r="16657">
      <c r="A16657" s="2" t="s">
        <v>5040</v>
      </c>
      <c r="B16657" s="2" t="s">
        <v>5031</v>
      </c>
      <c r="C16657" s="2" t="s">
        <v>7998</v>
      </c>
      <c r="D16657" s="3" t="str">
        <f t="shared" ref="D16657:D16659" si="4296">HYPERLINK("https://12go.asia/en/travel/Wilpattu/Moronthuduwa", "12Go Link")</f>
        <v>12Go Link</v>
      </c>
      <c r="E16657" s="2" t="s">
        <v>286</v>
      </c>
    </row>
    <row r="16658">
      <c r="A16658" s="2" t="s">
        <v>5040</v>
      </c>
      <c r="B16658" s="2" t="s">
        <v>5031</v>
      </c>
      <c r="C16658" s="2" t="s">
        <v>7998</v>
      </c>
      <c r="D16658" s="3" t="str">
        <f t="shared" si="4296"/>
        <v>12Go Link</v>
      </c>
      <c r="E16658" s="2" t="s">
        <v>4139</v>
      </c>
    </row>
    <row r="16659">
      <c r="A16659" s="2" t="s">
        <v>5040</v>
      </c>
      <c r="B16659" s="2" t="s">
        <v>5031</v>
      </c>
      <c r="C16659" s="2" t="s">
        <v>7998</v>
      </c>
      <c r="D16659" s="3" t="str">
        <f t="shared" si="4296"/>
        <v>12Go Link</v>
      </c>
      <c r="E16659" s="2" t="s">
        <v>3409</v>
      </c>
    </row>
    <row r="16660">
      <c r="A16660" s="2" t="s">
        <v>5040</v>
      </c>
      <c r="B16660" s="2" t="s">
        <v>5031</v>
      </c>
      <c r="C16660" s="2" t="s">
        <v>7999</v>
      </c>
      <c r="D16660" s="3" t="str">
        <f t="shared" ref="D16660:D16662" si="4297">HYPERLINK("https://12go.asia/en/travel/Wilpattu/Waskaduwa", "12Go Link")</f>
        <v>12Go Link</v>
      </c>
      <c r="E16660" s="2" t="s">
        <v>286</v>
      </c>
    </row>
    <row r="16661">
      <c r="A16661" s="2" t="s">
        <v>5040</v>
      </c>
      <c r="B16661" s="2" t="s">
        <v>5031</v>
      </c>
      <c r="C16661" s="2" t="s">
        <v>7999</v>
      </c>
      <c r="D16661" s="3" t="str">
        <f t="shared" si="4297"/>
        <v>12Go Link</v>
      </c>
      <c r="E16661" s="2" t="s">
        <v>4139</v>
      </c>
    </row>
    <row r="16662">
      <c r="A16662" s="2" t="s">
        <v>5040</v>
      </c>
      <c r="B16662" s="2" t="s">
        <v>5031</v>
      </c>
      <c r="C16662" s="2" t="s">
        <v>7999</v>
      </c>
      <c r="D16662" s="3" t="str">
        <f t="shared" si="4297"/>
        <v>12Go Link</v>
      </c>
      <c r="E16662" s="2" t="s">
        <v>3409</v>
      </c>
    </row>
    <row r="16663">
      <c r="A16663" s="2" t="s">
        <v>5040</v>
      </c>
      <c r="B16663" s="2" t="s">
        <v>5034</v>
      </c>
      <c r="C16663" s="2" t="s">
        <v>8000</v>
      </c>
      <c r="D16663" s="3" t="str">
        <f t="shared" ref="D16663:D16665" si="4298">HYPERLINK("https://12go.asia/en/travel/Wilpattu/Weddagala", "12Go Link")</f>
        <v>12Go Link</v>
      </c>
      <c r="E16663" s="2" t="s">
        <v>286</v>
      </c>
    </row>
    <row r="16664">
      <c r="A16664" s="2" t="s">
        <v>5040</v>
      </c>
      <c r="B16664" s="2" t="s">
        <v>5034</v>
      </c>
      <c r="C16664" s="2" t="s">
        <v>8000</v>
      </c>
      <c r="D16664" s="3" t="str">
        <f t="shared" si="4298"/>
        <v>12Go Link</v>
      </c>
      <c r="E16664" s="2" t="s">
        <v>4139</v>
      </c>
    </row>
    <row r="16665">
      <c r="A16665" s="2" t="s">
        <v>5040</v>
      </c>
      <c r="B16665" s="2" t="s">
        <v>5034</v>
      </c>
      <c r="C16665" s="2" t="s">
        <v>8000</v>
      </c>
      <c r="D16665" s="3" t="str">
        <f t="shared" si="4298"/>
        <v>12Go Link</v>
      </c>
      <c r="E16665" s="2" t="s">
        <v>3409</v>
      </c>
    </row>
    <row r="16666">
      <c r="A16666" s="2" t="s">
        <v>5040</v>
      </c>
      <c r="B16666" s="2" t="s">
        <v>5036</v>
      </c>
      <c r="C16666" s="2" t="s">
        <v>8001</v>
      </c>
      <c r="D16666" s="3" t="str">
        <f t="shared" ref="D16666:D16668" si="4299">HYPERLINK("https://12go.asia/en/travel/Wilpattu/Weligatta", "12Go Link")</f>
        <v>12Go Link</v>
      </c>
      <c r="E16666" s="2" t="s">
        <v>286</v>
      </c>
    </row>
    <row r="16667">
      <c r="A16667" s="2" t="s">
        <v>5040</v>
      </c>
      <c r="B16667" s="2" t="s">
        <v>5036</v>
      </c>
      <c r="C16667" s="2" t="s">
        <v>8001</v>
      </c>
      <c r="D16667" s="3" t="str">
        <f t="shared" si="4299"/>
        <v>12Go Link</v>
      </c>
      <c r="E16667" s="2" t="s">
        <v>4139</v>
      </c>
    </row>
    <row r="16668">
      <c r="A16668" s="2" t="s">
        <v>5040</v>
      </c>
      <c r="B16668" s="2" t="s">
        <v>5036</v>
      </c>
      <c r="C16668" s="2" t="s">
        <v>8001</v>
      </c>
      <c r="D16668" s="3" t="str">
        <f t="shared" si="4299"/>
        <v>12Go Link</v>
      </c>
      <c r="E16668" s="2" t="s">
        <v>3409</v>
      </c>
    </row>
    <row r="16669">
      <c r="A16669" s="2" t="s">
        <v>5040</v>
      </c>
      <c r="B16669" s="2" t="s">
        <v>5038</v>
      </c>
      <c r="C16669" s="2" t="s">
        <v>8002</v>
      </c>
      <c r="D16669" s="3" t="str">
        <f t="shared" ref="D16669:D16671" si="4300">HYPERLINK("https://12go.asia/en/travel/Wilpattu/Akuressa", "12Go Link")</f>
        <v>12Go Link</v>
      </c>
      <c r="E16669" s="2" t="s">
        <v>286</v>
      </c>
    </row>
    <row r="16670">
      <c r="A16670" s="2" t="s">
        <v>5040</v>
      </c>
      <c r="B16670" s="2" t="s">
        <v>5038</v>
      </c>
      <c r="C16670" s="2" t="s">
        <v>8002</v>
      </c>
      <c r="D16670" s="3" t="str">
        <f t="shared" si="4300"/>
        <v>12Go Link</v>
      </c>
      <c r="E16670" s="2" t="s">
        <v>4139</v>
      </c>
    </row>
    <row r="16671">
      <c r="A16671" s="2" t="s">
        <v>5040</v>
      </c>
      <c r="B16671" s="2" t="s">
        <v>5038</v>
      </c>
      <c r="C16671" s="2" t="s">
        <v>8002</v>
      </c>
      <c r="D16671" s="3" t="str">
        <f t="shared" si="4300"/>
        <v>12Go Link</v>
      </c>
      <c r="E16671" s="2" t="s">
        <v>3409</v>
      </c>
    </row>
    <row r="16672">
      <c r="A16672" s="2" t="s">
        <v>8003</v>
      </c>
      <c r="B16672" s="2" t="s">
        <v>8004</v>
      </c>
      <c r="C16672" s="2" t="s">
        <v>8005</v>
      </c>
      <c r="D16672" s="3" t="str">
        <f>HYPERLINK("https://12go.asia/en/travel/beigang/miaoli", "12Go Link")</f>
        <v>12Go Link</v>
      </c>
      <c r="E16672" s="2" t="s">
        <v>226</v>
      </c>
    </row>
    <row r="16673">
      <c r="A16673" s="2" t="s">
        <v>8003</v>
      </c>
      <c r="B16673" s="2" t="s">
        <v>8006</v>
      </c>
      <c r="C16673" s="2" t="s">
        <v>8007</v>
      </c>
      <c r="D16673" s="3" t="str">
        <f>HYPERLINK("https://12go.asia/en/travel/beigang/new-taipei", "12Go Link")</f>
        <v>12Go Link</v>
      </c>
      <c r="E16673" s="2" t="s">
        <v>226</v>
      </c>
    </row>
    <row r="16674">
      <c r="A16674" s="2" t="s">
        <v>8003</v>
      </c>
      <c r="B16674" s="2" t="s">
        <v>8008</v>
      </c>
      <c r="C16674" s="2" t="s">
        <v>8009</v>
      </c>
      <c r="D16674" s="3" t="str">
        <f>HYPERLINK("https://12go.asia/en/travel/beigang/tainan", "12Go Link")</f>
        <v>12Go Link</v>
      </c>
      <c r="E16674" s="2" t="s">
        <v>226</v>
      </c>
    </row>
    <row r="16675">
      <c r="A16675" s="2" t="s">
        <v>8010</v>
      </c>
      <c r="B16675" s="2" t="s">
        <v>8011</v>
      </c>
      <c r="C16675" s="2" t="s">
        <v>8012</v>
      </c>
      <c r="D16675" s="3" t="str">
        <f>HYPERLINK("https://12go.asia/en/travel/hsinchu/douliou", "12Go Link")</f>
        <v>12Go Link</v>
      </c>
      <c r="E16675" s="2" t="s">
        <v>226</v>
      </c>
    </row>
    <row r="16676">
      <c r="A16676" s="2" t="s">
        <v>8010</v>
      </c>
      <c r="B16676" s="2" t="s">
        <v>8013</v>
      </c>
      <c r="C16676" s="2" t="s">
        <v>8014</v>
      </c>
      <c r="D16676" s="3" t="str">
        <f>HYPERLINK("https://12go.asia/en/travel/hsinchu/dounan", "12Go Link")</f>
        <v>12Go Link</v>
      </c>
      <c r="E16676" s="2" t="s">
        <v>226</v>
      </c>
    </row>
    <row r="16677">
      <c r="A16677" s="2" t="s">
        <v>8010</v>
      </c>
      <c r="B16677" s="2" t="s">
        <v>8015</v>
      </c>
      <c r="C16677" s="2" t="s">
        <v>8016</v>
      </c>
      <c r="D16677" s="3" t="str">
        <f>HYPERLINK("https://12go.asia/en/travel/hsinchu/huwei", "12Go Link")</f>
        <v>12Go Link</v>
      </c>
      <c r="E16677" s="2" t="s">
        <v>226</v>
      </c>
    </row>
    <row r="16678">
      <c r="A16678" s="2" t="s">
        <v>8010</v>
      </c>
      <c r="B16678" s="2" t="s">
        <v>8017</v>
      </c>
      <c r="C16678" s="2" t="s">
        <v>8018</v>
      </c>
      <c r="D16678" s="3" t="str">
        <f>HYPERLINK("https://12go.asia/en/travel/hsinchu/lukang", "12Go Link")</f>
        <v>12Go Link</v>
      </c>
      <c r="E16678" s="2" t="s">
        <v>226</v>
      </c>
    </row>
    <row r="16679">
      <c r="A16679" s="2" t="s">
        <v>8010</v>
      </c>
      <c r="B16679" s="2" t="s">
        <v>8019</v>
      </c>
      <c r="C16679" s="2" t="s">
        <v>8020</v>
      </c>
      <c r="D16679" s="3" t="str">
        <f>HYPERLINK("https://12go.asia/en/travel/hsinchu/tuku", "12Go Link")</f>
        <v>12Go Link</v>
      </c>
      <c r="E16679" s="2" t="s">
        <v>226</v>
      </c>
    </row>
    <row r="16680">
      <c r="A16680" s="2" t="s">
        <v>8015</v>
      </c>
      <c r="B16680" s="2" t="s">
        <v>8021</v>
      </c>
      <c r="C16680" s="2" t="s">
        <v>8022</v>
      </c>
      <c r="D16680" s="3" t="str">
        <f>HYPERLINK("https://12go.asia/en/travel/huwei/changhua", "12Go Link")</f>
        <v>12Go Link</v>
      </c>
      <c r="E16680" s="2" t="s">
        <v>226</v>
      </c>
    </row>
    <row r="16681">
      <c r="A16681" s="2" t="s">
        <v>8015</v>
      </c>
      <c r="B16681" s="2" t="s">
        <v>8010</v>
      </c>
      <c r="C16681" s="2" t="s">
        <v>8023</v>
      </c>
      <c r="D16681" s="3" t="str">
        <f>HYPERLINK("https://12go.asia/en/travel/huwei/hsinchu", "12Go Link")</f>
        <v>12Go Link</v>
      </c>
      <c r="E16681" s="2" t="s">
        <v>226</v>
      </c>
    </row>
    <row r="16682">
      <c r="A16682" s="2" t="s">
        <v>8015</v>
      </c>
      <c r="B16682" s="2" t="s">
        <v>8024</v>
      </c>
      <c r="C16682" s="2" t="s">
        <v>8025</v>
      </c>
      <c r="D16682" s="3" t="str">
        <f>HYPERLINK("https://12go.asia/en/travel/huwei/kaohsiung", "12Go Link")</f>
        <v>12Go Link</v>
      </c>
      <c r="E16682" s="2" t="s">
        <v>226</v>
      </c>
    </row>
    <row r="16683">
      <c r="A16683" s="2" t="s">
        <v>8015</v>
      </c>
      <c r="B16683" s="2" t="s">
        <v>8017</v>
      </c>
      <c r="C16683" s="2" t="s">
        <v>8026</v>
      </c>
      <c r="D16683" s="3" t="str">
        <f>HYPERLINK("https://12go.asia/en/travel/huwei/lukang", "12Go Link")</f>
        <v>12Go Link</v>
      </c>
      <c r="E16683" s="2" t="s">
        <v>226</v>
      </c>
    </row>
    <row r="16684">
      <c r="A16684" s="2" t="s">
        <v>8015</v>
      </c>
      <c r="B16684" s="2" t="s">
        <v>8004</v>
      </c>
      <c r="C16684" s="2" t="s">
        <v>8027</v>
      </c>
      <c r="D16684" s="3" t="str">
        <f>HYPERLINK("https://12go.asia/en/travel/huwei/miaoli", "12Go Link")</f>
        <v>12Go Link</v>
      </c>
      <c r="E16684" s="2" t="s">
        <v>226</v>
      </c>
    </row>
    <row r="16685">
      <c r="A16685" s="2" t="s">
        <v>8015</v>
      </c>
      <c r="B16685" s="2" t="s">
        <v>8028</v>
      </c>
      <c r="C16685" s="2" t="s">
        <v>8029</v>
      </c>
      <c r="D16685" s="3" t="str">
        <f>HYPERLINK("https://12go.asia/en/travel/huwei/taichung", "12Go Link")</f>
        <v>12Go Link</v>
      </c>
      <c r="E16685" s="2" t="s">
        <v>226</v>
      </c>
    </row>
    <row r="16686">
      <c r="A16686" s="2" t="s">
        <v>8015</v>
      </c>
      <c r="B16686" s="2" t="s">
        <v>8008</v>
      </c>
      <c r="C16686" s="2" t="s">
        <v>8030</v>
      </c>
      <c r="D16686" s="3" t="str">
        <f>HYPERLINK("https://12go.asia/en/travel/huwei/tainan", "12Go Link")</f>
        <v>12Go Link</v>
      </c>
      <c r="E16686" s="2" t="s">
        <v>226</v>
      </c>
    </row>
    <row r="16687">
      <c r="A16687" s="2" t="s">
        <v>8015</v>
      </c>
      <c r="B16687" s="2" t="s">
        <v>8031</v>
      </c>
      <c r="C16687" s="2" t="s">
        <v>8032</v>
      </c>
      <c r="D16687" s="3" t="str">
        <f>HYPERLINK("https://12go.asia/en/travel/huwei/taoyuan-city", "12Go Link")</f>
        <v>12Go Link</v>
      </c>
      <c r="E16687" s="2" t="s">
        <v>226</v>
      </c>
    </row>
    <row r="16688">
      <c r="A16688" s="2" t="s">
        <v>8015</v>
      </c>
      <c r="B16688" s="2" t="s">
        <v>8033</v>
      </c>
      <c r="C16688" s="2" t="s">
        <v>8034</v>
      </c>
      <c r="D16688" s="3" t="str">
        <f>HYPERLINK("https://12go.asia/en/travel/huwei/zhubei", "12Go Link")</f>
        <v>12Go Link</v>
      </c>
      <c r="E16688" s="2" t="s">
        <v>226</v>
      </c>
    </row>
    <row r="16689">
      <c r="A16689" s="2" t="s">
        <v>8015</v>
      </c>
      <c r="B16689" s="2" t="s">
        <v>8035</v>
      </c>
      <c r="C16689" s="2" t="s">
        <v>8036</v>
      </c>
      <c r="D16689" s="3" t="str">
        <f>HYPERLINK("https://12go.asia/en/travel/huwei/zuoying", "12Go Link")</f>
        <v>12Go Link</v>
      </c>
      <c r="E16689" s="2" t="s">
        <v>226</v>
      </c>
    </row>
    <row r="16690">
      <c r="A16690" s="2" t="s">
        <v>8037</v>
      </c>
      <c r="B16690" s="2" t="s">
        <v>8038</v>
      </c>
      <c r="C16690" s="2" t="s">
        <v>8039</v>
      </c>
      <c r="D16690" s="3" t="str">
        <f t="shared" ref="D16690:D16692" si="4301">HYPERLINK("https://12go.asia/en/travel/Taipei/Taoyuan-International-Airport", "12Go Link")</f>
        <v>12Go Link</v>
      </c>
      <c r="E16690" s="2" t="s">
        <v>8040</v>
      </c>
    </row>
    <row r="16691">
      <c r="A16691" s="2" t="s">
        <v>8037</v>
      </c>
      <c r="B16691" s="2" t="s">
        <v>8038</v>
      </c>
      <c r="C16691" s="2" t="s">
        <v>8039</v>
      </c>
      <c r="D16691" s="3" t="str">
        <f t="shared" si="4301"/>
        <v>12Go Link</v>
      </c>
      <c r="E16691" s="2" t="s">
        <v>8041</v>
      </c>
    </row>
    <row r="16692">
      <c r="A16692" s="2" t="s">
        <v>8037</v>
      </c>
      <c r="B16692" s="2" t="s">
        <v>8038</v>
      </c>
      <c r="C16692" s="2" t="s">
        <v>8039</v>
      </c>
      <c r="D16692" s="3" t="str">
        <f t="shared" si="4301"/>
        <v>12Go Link</v>
      </c>
      <c r="E16692" s="2" t="s">
        <v>8042</v>
      </c>
    </row>
    <row r="16693">
      <c r="A16693" s="2" t="s">
        <v>8038</v>
      </c>
      <c r="B16693" s="2" t="s">
        <v>8037</v>
      </c>
      <c r="C16693" s="2" t="s">
        <v>8043</v>
      </c>
      <c r="D16693" s="3" t="str">
        <f t="shared" ref="D16693:D16695" si="4302">HYPERLINK("https://12go.asia/en/travel/Taoyuan-International-Airport/Taipei", "12Go Link")</f>
        <v>12Go Link</v>
      </c>
      <c r="E16693" s="2" t="s">
        <v>8040</v>
      </c>
    </row>
    <row r="16694">
      <c r="A16694" s="2" t="s">
        <v>8038</v>
      </c>
      <c r="B16694" s="2" t="s">
        <v>8037</v>
      </c>
      <c r="C16694" s="2" t="s">
        <v>8043</v>
      </c>
      <c r="D16694" s="3" t="str">
        <f t="shared" si="4302"/>
        <v>12Go Link</v>
      </c>
      <c r="E16694" s="2" t="s">
        <v>8041</v>
      </c>
    </row>
    <row r="16695">
      <c r="A16695" s="2" t="s">
        <v>8038</v>
      </c>
      <c r="B16695" s="2" t="s">
        <v>8037</v>
      </c>
      <c r="C16695" s="2" t="s">
        <v>8043</v>
      </c>
      <c r="D16695" s="3" t="str">
        <f t="shared" si="4302"/>
        <v>12Go Link</v>
      </c>
      <c r="E16695" s="2" t="s">
        <v>8042</v>
      </c>
    </row>
    <row r="16696">
      <c r="A16696" s="2" t="s">
        <v>8038</v>
      </c>
      <c r="B16696" s="2" t="s">
        <v>8037</v>
      </c>
      <c r="C16696" s="2" t="s">
        <v>8044</v>
      </c>
      <c r="D16696" s="3" t="str">
        <f t="shared" ref="D16696:D16698" si="4303">HYPERLINK("https://12go.asia/en/travel/Taoyuan-International-Airport/Taipei-Ezfly-Ximending", "12Go Link")</f>
        <v>12Go Link</v>
      </c>
      <c r="E16696" s="2" t="s">
        <v>8040</v>
      </c>
    </row>
    <row r="16697">
      <c r="A16697" s="2" t="s">
        <v>8038</v>
      </c>
      <c r="B16697" s="2" t="s">
        <v>8037</v>
      </c>
      <c r="C16697" s="2" t="s">
        <v>8044</v>
      </c>
      <c r="D16697" s="3" t="str">
        <f t="shared" si="4303"/>
        <v>12Go Link</v>
      </c>
      <c r="E16697" s="2" t="s">
        <v>8041</v>
      </c>
    </row>
    <row r="16698">
      <c r="A16698" s="2" t="s">
        <v>8038</v>
      </c>
      <c r="B16698" s="2" t="s">
        <v>8037</v>
      </c>
      <c r="C16698" s="2" t="s">
        <v>8044</v>
      </c>
      <c r="D16698" s="3" t="str">
        <f t="shared" si="4303"/>
        <v>12Go Link</v>
      </c>
      <c r="E16698" s="2" t="s">
        <v>8042</v>
      </c>
    </row>
    <row r="16699">
      <c r="A16699" s="2" t="s">
        <v>8045</v>
      </c>
      <c r="B16699" s="2" t="s">
        <v>8031</v>
      </c>
      <c r="C16699" s="2" t="s">
        <v>8046</v>
      </c>
      <c r="D16699" s="3" t="str">
        <f>HYPERLINK("https://12go.asia/en/travel/yunlin/taoyuan-hsr", "12Go Link")</f>
        <v>12Go Link</v>
      </c>
      <c r="E16699" s="2" t="s">
        <v>226</v>
      </c>
    </row>
    <row r="16700">
      <c r="A16700" s="2" t="s">
        <v>8047</v>
      </c>
      <c r="B16700" s="2" t="s">
        <v>8048</v>
      </c>
      <c r="C16700" s="2" t="s">
        <v>8049</v>
      </c>
      <c r="D16700" s="3" t="str">
        <f>HYPERLINK("https://12go.asia/en/travel/Dar-es-Salaam-SGR/Dodoma-SGR", "12Go Link")</f>
        <v>12Go Link</v>
      </c>
      <c r="E16700" s="2" t="s">
        <v>8050</v>
      </c>
    </row>
    <row r="16701">
      <c r="A16701" s="2" t="s">
        <v>8047</v>
      </c>
      <c r="B16701" s="2" t="s">
        <v>8051</v>
      </c>
      <c r="C16701" s="2" t="s">
        <v>8052</v>
      </c>
      <c r="D16701" s="3" t="str">
        <f t="shared" ref="D16701:D16702" si="4304">HYPERLINK("https://12go.asia/en/travel/Dar-es-Salaam-SGR/Morogoro-SGR", "12Go Link")</f>
        <v>12Go Link</v>
      </c>
      <c r="E16701" s="2" t="s">
        <v>8053</v>
      </c>
    </row>
    <row r="16702">
      <c r="A16702" s="2" t="s">
        <v>8047</v>
      </c>
      <c r="B16702" s="2" t="s">
        <v>8051</v>
      </c>
      <c r="C16702" s="2" t="s">
        <v>8052</v>
      </c>
      <c r="D16702" s="3" t="str">
        <f t="shared" si="4304"/>
        <v>12Go Link</v>
      </c>
      <c r="E16702" s="2" t="s">
        <v>8050</v>
      </c>
    </row>
    <row r="16703">
      <c r="A16703" s="2" t="s">
        <v>8048</v>
      </c>
      <c r="B16703" s="2" t="s">
        <v>8047</v>
      </c>
      <c r="C16703" s="2" t="s">
        <v>8054</v>
      </c>
      <c r="D16703" s="3" t="str">
        <f>HYPERLINK("https://12go.asia/en/travel/Dodoma-SGR/Dar-es-Salaam-SGR", "12Go Link")</f>
        <v>12Go Link</v>
      </c>
      <c r="E16703" s="2" t="s">
        <v>8050</v>
      </c>
    </row>
    <row r="16704">
      <c r="A16704" s="2" t="s">
        <v>8051</v>
      </c>
      <c r="B16704" s="2" t="s">
        <v>8047</v>
      </c>
      <c r="C16704" s="2" t="s">
        <v>8055</v>
      </c>
      <c r="D16704" s="3" t="str">
        <f t="shared" ref="D16704:D16705" si="4305">HYPERLINK("https://12go.asia/en/travel/Morogoro-SGR/Dar-es-Salaam-SGR", "12Go Link")</f>
        <v>12Go Link</v>
      </c>
      <c r="E16704" s="2" t="s">
        <v>8053</v>
      </c>
    </row>
    <row r="16705">
      <c r="A16705" s="2" t="s">
        <v>8051</v>
      </c>
      <c r="B16705" s="2" t="s">
        <v>8047</v>
      </c>
      <c r="C16705" s="2" t="s">
        <v>8055</v>
      </c>
      <c r="D16705" s="3" t="str">
        <f t="shared" si="4305"/>
        <v>12Go Link</v>
      </c>
      <c r="E16705" s="2" t="s">
        <v>8050</v>
      </c>
    </row>
    <row r="16706">
      <c r="A16706" s="2" t="s">
        <v>8056</v>
      </c>
      <c r="B16706" s="2" t="s">
        <v>284</v>
      </c>
      <c r="C16706" s="2" t="s">
        <v>8057</v>
      </c>
      <c r="D16706" s="3" t="str">
        <f t="shared" ref="D16706:D16708" si="4306">HYPERLINK("https://12go.asia/en/travel/Aranyaprathet/Ban-Krut", "12Go Link")</f>
        <v>12Go Link</v>
      </c>
      <c r="E16706" s="2" t="s">
        <v>286</v>
      </c>
    </row>
    <row r="16707">
      <c r="A16707" s="2" t="s">
        <v>8056</v>
      </c>
      <c r="B16707" s="2" t="s">
        <v>284</v>
      </c>
      <c r="C16707" s="2" t="s">
        <v>8057</v>
      </c>
      <c r="D16707" s="3" t="str">
        <f t="shared" si="4306"/>
        <v>12Go Link</v>
      </c>
      <c r="E16707" s="2" t="s">
        <v>287</v>
      </c>
    </row>
    <row r="16708">
      <c r="A16708" s="2" t="s">
        <v>8056</v>
      </c>
      <c r="B16708" s="2" t="s">
        <v>284</v>
      </c>
      <c r="C16708" s="2" t="s">
        <v>8057</v>
      </c>
      <c r="D16708" s="3" t="str">
        <f t="shared" si="4306"/>
        <v>12Go Link</v>
      </c>
      <c r="E16708" s="2" t="s">
        <v>288</v>
      </c>
    </row>
    <row r="16709">
      <c r="A16709" s="2" t="s">
        <v>8058</v>
      </c>
      <c r="B16709" s="2" t="s">
        <v>284</v>
      </c>
      <c r="C16709" s="2" t="s">
        <v>8059</v>
      </c>
      <c r="D16709" s="3" t="str">
        <f t="shared" ref="D16709:D16711" si="4307">HYPERLINK("https://12go.asia/en/travel/Ayutthaya/Ban-Krut", "12Go Link")</f>
        <v>12Go Link</v>
      </c>
      <c r="E16709" s="2" t="s">
        <v>286</v>
      </c>
    </row>
    <row r="16710">
      <c r="A16710" s="2" t="s">
        <v>8058</v>
      </c>
      <c r="B16710" s="2" t="s">
        <v>284</v>
      </c>
      <c r="C16710" s="2" t="s">
        <v>8059</v>
      </c>
      <c r="D16710" s="3" t="str">
        <f t="shared" si="4307"/>
        <v>12Go Link</v>
      </c>
      <c r="E16710" s="2" t="s">
        <v>287</v>
      </c>
    </row>
    <row r="16711">
      <c r="A16711" s="2" t="s">
        <v>8058</v>
      </c>
      <c r="B16711" s="2" t="s">
        <v>284</v>
      </c>
      <c r="C16711" s="2" t="s">
        <v>8059</v>
      </c>
      <c r="D16711" s="3" t="str">
        <f t="shared" si="4307"/>
        <v>12Go Link</v>
      </c>
      <c r="E16711" s="2" t="s">
        <v>288</v>
      </c>
    </row>
    <row r="16712">
      <c r="A16712" s="2" t="s">
        <v>8060</v>
      </c>
      <c r="B16712" s="2" t="s">
        <v>284</v>
      </c>
      <c r="C16712" s="2" t="s">
        <v>8061</v>
      </c>
      <c r="D16712" s="3" t="str">
        <f t="shared" ref="D16712:D16714" si="4308">HYPERLINK("https://12go.asia/en/travel/Ban-Hat-Lek/Ban-Krut", "12Go Link")</f>
        <v>12Go Link</v>
      </c>
      <c r="E16712" s="2" t="s">
        <v>286</v>
      </c>
    </row>
    <row r="16713">
      <c r="A16713" s="2" t="s">
        <v>8060</v>
      </c>
      <c r="B16713" s="2" t="s">
        <v>284</v>
      </c>
      <c r="C16713" s="2" t="s">
        <v>8061</v>
      </c>
      <c r="D16713" s="3" t="str">
        <f t="shared" si="4308"/>
        <v>12Go Link</v>
      </c>
      <c r="E16713" s="2" t="s">
        <v>287</v>
      </c>
    </row>
    <row r="16714">
      <c r="A16714" s="2" t="s">
        <v>8060</v>
      </c>
      <c r="B16714" s="2" t="s">
        <v>284</v>
      </c>
      <c r="C16714" s="2" t="s">
        <v>8061</v>
      </c>
      <c r="D16714" s="3" t="str">
        <f t="shared" si="4308"/>
        <v>12Go Link</v>
      </c>
      <c r="E16714" s="2" t="s">
        <v>288</v>
      </c>
    </row>
    <row r="16715">
      <c r="A16715" s="2" t="s">
        <v>340</v>
      </c>
      <c r="B16715" s="2" t="s">
        <v>329</v>
      </c>
      <c r="C16715" s="2" t="s">
        <v>8062</v>
      </c>
      <c r="D16715" s="3" t="str">
        <f>HYPERLINK("https://12go.asia/en/travel/Emsamang-Express-Travel/Siem-Reap-Namo-Angkor-Travel", "12Go Link")</f>
        <v>12Go Link</v>
      </c>
      <c r="E16715" s="2" t="s">
        <v>8063</v>
      </c>
    </row>
    <row r="16716">
      <c r="A16716" s="2" t="s">
        <v>340</v>
      </c>
      <c r="B16716" s="2" t="s">
        <v>4108</v>
      </c>
      <c r="C16716" s="2" t="s">
        <v>8064</v>
      </c>
      <c r="D16716" s="3" t="str">
        <f t="shared" ref="D16716:D16717" si="4309">HYPERLINK("https://12go.asia/en/travel/Krung-Thep-Aphiwat-Central-Terminal-Station/Chiang-Mai", "12Go Link")</f>
        <v>12Go Link</v>
      </c>
      <c r="E16716" s="2" t="s">
        <v>8065</v>
      </c>
    </row>
    <row r="16717">
      <c r="A16717" s="2" t="s">
        <v>340</v>
      </c>
      <c r="B16717" s="2" t="s">
        <v>4108</v>
      </c>
      <c r="C16717" s="2" t="s">
        <v>8064</v>
      </c>
      <c r="D16717" s="3" t="str">
        <f t="shared" si="4309"/>
        <v>12Go Link</v>
      </c>
      <c r="E16717" s="2" t="s">
        <v>8066</v>
      </c>
    </row>
    <row r="16718">
      <c r="A16718" s="2" t="s">
        <v>340</v>
      </c>
      <c r="B16718" s="2" t="s">
        <v>284</v>
      </c>
      <c r="C16718" s="2" t="s">
        <v>8067</v>
      </c>
      <c r="D16718" s="3" t="str">
        <f t="shared" ref="D16718:D16720" si="4310">HYPERLINK("https://12go.asia/en/travel/Bangkok-Transfer/Ban-Krut", "12Go Link")</f>
        <v>12Go Link</v>
      </c>
      <c r="E16718" s="2" t="s">
        <v>286</v>
      </c>
    </row>
    <row r="16719">
      <c r="A16719" s="2" t="s">
        <v>340</v>
      </c>
      <c r="B16719" s="2" t="s">
        <v>284</v>
      </c>
      <c r="C16719" s="2" t="s">
        <v>8067</v>
      </c>
      <c r="D16719" s="3" t="str">
        <f t="shared" si="4310"/>
        <v>12Go Link</v>
      </c>
      <c r="E16719" s="2" t="s">
        <v>287</v>
      </c>
    </row>
    <row r="16720">
      <c r="A16720" s="2" t="s">
        <v>340</v>
      </c>
      <c r="B16720" s="2" t="s">
        <v>284</v>
      </c>
      <c r="C16720" s="2" t="s">
        <v>8067</v>
      </c>
      <c r="D16720" s="3" t="str">
        <f t="shared" si="4310"/>
        <v>12Go Link</v>
      </c>
      <c r="E16720" s="2" t="s">
        <v>288</v>
      </c>
    </row>
    <row r="16721">
      <c r="A16721" s="2" t="s">
        <v>340</v>
      </c>
      <c r="B16721" s="2" t="s">
        <v>8068</v>
      </c>
      <c r="C16721" s="2" t="s">
        <v>8069</v>
      </c>
      <c r="D16721" s="3" t="str">
        <f t="shared" ref="D16721:D16723" si="4311">HYPERLINK("https://12go.asia/en/travel/Bangkok-Transfer/Ban-Phe", "12Go Link")</f>
        <v>12Go Link</v>
      </c>
      <c r="E16721" s="2" t="s">
        <v>286</v>
      </c>
    </row>
    <row r="16722">
      <c r="A16722" s="2" t="s">
        <v>340</v>
      </c>
      <c r="B16722" s="2" t="s">
        <v>8068</v>
      </c>
      <c r="C16722" s="2" t="s">
        <v>8069</v>
      </c>
      <c r="D16722" s="3" t="str">
        <f t="shared" si="4311"/>
        <v>12Go Link</v>
      </c>
      <c r="E16722" s="2" t="s">
        <v>3407</v>
      </c>
    </row>
    <row r="16723">
      <c r="A16723" s="2" t="s">
        <v>340</v>
      </c>
      <c r="B16723" s="2" t="s">
        <v>8068</v>
      </c>
      <c r="C16723" s="2" t="s">
        <v>8069</v>
      </c>
      <c r="D16723" s="3" t="str">
        <f t="shared" si="4311"/>
        <v>12Go Link</v>
      </c>
      <c r="E16723" s="2" t="s">
        <v>4287</v>
      </c>
    </row>
    <row r="16724">
      <c r="A16724" s="2" t="s">
        <v>340</v>
      </c>
      <c r="B16724" s="2" t="s">
        <v>8070</v>
      </c>
      <c r="C16724" s="2" t="s">
        <v>8071</v>
      </c>
      <c r="D16724" s="3" t="str">
        <f>HYPERLINK("https://12go.asia/en/travel/Khaosan-The-Twin-2000-Samsen-Rd/Surat-Thani", "12Go Link")</f>
        <v>12Go Link</v>
      </c>
      <c r="E16724" s="2" t="s">
        <v>331</v>
      </c>
    </row>
    <row r="16725">
      <c r="A16725" s="2" t="s">
        <v>340</v>
      </c>
      <c r="B16725" s="2" t="s">
        <v>8072</v>
      </c>
      <c r="C16725" s="2" t="s">
        <v>8073</v>
      </c>
      <c r="D16725" s="3" t="str">
        <f t="shared" ref="D16725:D16727" si="4312">HYPERLINK("https://12go.asia/en/travel/Bangkok-Transfer/Ao-Thammachat-pier", "12Go Link")</f>
        <v>12Go Link</v>
      </c>
      <c r="E16725" s="2" t="s">
        <v>286</v>
      </c>
    </row>
    <row r="16726">
      <c r="A16726" s="2" t="s">
        <v>340</v>
      </c>
      <c r="B16726" s="2" t="s">
        <v>8072</v>
      </c>
      <c r="C16726" s="2" t="s">
        <v>8073</v>
      </c>
      <c r="D16726" s="3" t="str">
        <f t="shared" si="4312"/>
        <v>12Go Link</v>
      </c>
      <c r="E16726" s="2" t="s">
        <v>3407</v>
      </c>
    </row>
    <row r="16727">
      <c r="A16727" s="2" t="s">
        <v>340</v>
      </c>
      <c r="B16727" s="2" t="s">
        <v>8072</v>
      </c>
      <c r="C16727" s="2" t="s">
        <v>8073</v>
      </c>
      <c r="D16727" s="3" t="str">
        <f t="shared" si="4312"/>
        <v>12Go Link</v>
      </c>
      <c r="E16727" s="2" t="s">
        <v>4287</v>
      </c>
    </row>
    <row r="16728">
      <c r="A16728" s="2" t="s">
        <v>8074</v>
      </c>
      <c r="B16728" s="2" t="s">
        <v>8075</v>
      </c>
      <c r="C16728" s="2" t="s">
        <v>8076</v>
      </c>
      <c r="D16728" s="3" t="str">
        <f>HYPERLINK("https://12go.asia/en/travel/Chalong-Hotel-Transfer/Phuket-Airport", "12Go Link")</f>
        <v>12Go Link</v>
      </c>
      <c r="E16728" s="2" t="s">
        <v>4095</v>
      </c>
    </row>
    <row r="16729">
      <c r="A16729" s="2" t="s">
        <v>8077</v>
      </c>
      <c r="B16729" s="2" t="s">
        <v>284</v>
      </c>
      <c r="C16729" s="2" t="s">
        <v>8078</v>
      </c>
      <c r="D16729" s="3" t="str">
        <f t="shared" ref="D16729:D16731" si="4313">HYPERLINK("https://12go.asia/en/travel/Chanthaburi-Transfer/Ban-Krut", "12Go Link")</f>
        <v>12Go Link</v>
      </c>
      <c r="E16729" s="2" t="s">
        <v>286</v>
      </c>
    </row>
    <row r="16730">
      <c r="A16730" s="2" t="s">
        <v>8077</v>
      </c>
      <c r="B16730" s="2" t="s">
        <v>284</v>
      </c>
      <c r="C16730" s="2" t="s">
        <v>8078</v>
      </c>
      <c r="D16730" s="3" t="str">
        <f t="shared" si="4313"/>
        <v>12Go Link</v>
      </c>
      <c r="E16730" s="2" t="s">
        <v>287</v>
      </c>
    </row>
    <row r="16731">
      <c r="A16731" s="2" t="s">
        <v>8077</v>
      </c>
      <c r="B16731" s="2" t="s">
        <v>284</v>
      </c>
      <c r="C16731" s="2" t="s">
        <v>8078</v>
      </c>
      <c r="D16731" s="3" t="str">
        <f t="shared" si="4313"/>
        <v>12Go Link</v>
      </c>
      <c r="E16731" s="2" t="s">
        <v>288</v>
      </c>
    </row>
    <row r="16732">
      <c r="A16732" s="2" t="s">
        <v>4108</v>
      </c>
      <c r="B16732" s="2" t="s">
        <v>4015</v>
      </c>
      <c r="C16732" s="2" t="s">
        <v>8079</v>
      </c>
      <c r="D16732" s="3" t="str">
        <f>HYPERLINK("https://12go.asia/en/travel/CoolMuang-Coffee/Luang-Namtha-Bus-Terminal", "12Go Link")</f>
        <v>12Go Link</v>
      </c>
      <c r="E16732" s="2" t="s">
        <v>8080</v>
      </c>
    </row>
    <row r="16733">
      <c r="A16733" s="2" t="s">
        <v>4108</v>
      </c>
      <c r="B16733" s="2" t="s">
        <v>4020</v>
      </c>
      <c r="C16733" s="2" t="s">
        <v>8081</v>
      </c>
      <c r="D16733" s="3" t="str">
        <f>HYPERLINK("https://12go.asia/en/travel/CoolMuang-Coffee/Sokprasert-Bus-Terminal", "12Go Link")</f>
        <v>12Go Link</v>
      </c>
      <c r="E16733" s="2" t="s">
        <v>8080</v>
      </c>
    </row>
    <row r="16734">
      <c r="A16734" s="2" t="s">
        <v>4108</v>
      </c>
      <c r="B16734" s="2" t="s">
        <v>340</v>
      </c>
      <c r="C16734" s="2" t="s">
        <v>8082</v>
      </c>
      <c r="D16734" s="3" t="str">
        <f>HYPERLINK("https://12go.asia/en/travel/Chiang-Mai/Krung-Thep-Aphiwat-Central-Terminal-Station", "12Go Link")</f>
        <v>12Go Link</v>
      </c>
      <c r="E16734" s="2" t="s">
        <v>8065</v>
      </c>
    </row>
    <row r="16735">
      <c r="A16735" s="2" t="s">
        <v>4108</v>
      </c>
      <c r="B16735" s="2" t="s">
        <v>284</v>
      </c>
      <c r="C16735" s="2" t="s">
        <v>8083</v>
      </c>
      <c r="D16735" s="3" t="str">
        <f t="shared" ref="D16735:D16737" si="4314">HYPERLINK("https://12go.asia/en/travel/Chiang-Mai-Town/Ban-Krut", "12Go Link")</f>
        <v>12Go Link</v>
      </c>
      <c r="E16735" s="2" t="s">
        <v>286</v>
      </c>
    </row>
    <row r="16736">
      <c r="A16736" s="2" t="s">
        <v>4108</v>
      </c>
      <c r="B16736" s="2" t="s">
        <v>284</v>
      </c>
      <c r="C16736" s="2" t="s">
        <v>8083</v>
      </c>
      <c r="D16736" s="3" t="str">
        <f t="shared" si="4314"/>
        <v>12Go Link</v>
      </c>
      <c r="E16736" s="2" t="s">
        <v>287</v>
      </c>
    </row>
    <row r="16737">
      <c r="A16737" s="2" t="s">
        <v>4108</v>
      </c>
      <c r="B16737" s="2" t="s">
        <v>284</v>
      </c>
      <c r="C16737" s="2" t="s">
        <v>8083</v>
      </c>
      <c r="D16737" s="3" t="str">
        <f t="shared" si="4314"/>
        <v>12Go Link</v>
      </c>
      <c r="E16737" s="2" t="s">
        <v>288</v>
      </c>
    </row>
    <row r="16738">
      <c r="A16738" s="2" t="s">
        <v>8084</v>
      </c>
      <c r="B16738" s="2" t="s">
        <v>4014</v>
      </c>
      <c r="C16738" s="2" t="s">
        <v>8085</v>
      </c>
      <c r="D16738" s="3" t="str">
        <f>HYPERLINK("https://12go.asia/en/travel/Chiang-Rai-Transfer/Huay-Xai-Transfer", "12Go Link")</f>
        <v>12Go Link</v>
      </c>
      <c r="E16738" s="2" t="s">
        <v>8086</v>
      </c>
    </row>
    <row r="16739">
      <c r="A16739" s="2" t="s">
        <v>8084</v>
      </c>
      <c r="B16739" s="2" t="s">
        <v>4015</v>
      </c>
      <c r="C16739" s="2" t="s">
        <v>8087</v>
      </c>
      <c r="D16739" s="3" t="str">
        <f>HYPERLINK("https://12go.asia/en/travel/Chiang-Rai-Transfer/Luang-Namtha-Bus-Terminal", "12Go Link")</f>
        <v>12Go Link</v>
      </c>
      <c r="E16739" s="2" t="s">
        <v>8080</v>
      </c>
    </row>
    <row r="16740">
      <c r="A16740" s="2" t="s">
        <v>8084</v>
      </c>
      <c r="B16740" s="2" t="s">
        <v>4020</v>
      </c>
      <c r="C16740" s="2" t="s">
        <v>8088</v>
      </c>
      <c r="D16740" s="3" t="str">
        <f>HYPERLINK("https://12go.asia/en/travel/Chiang-Rai-Transfer/Ban-Don-Mai-Slow-Boat-Terminal", "12Go Link")</f>
        <v>12Go Link</v>
      </c>
      <c r="E16740" s="2" t="s">
        <v>8089</v>
      </c>
    </row>
    <row r="16741">
      <c r="A16741" s="2" t="s">
        <v>8084</v>
      </c>
      <c r="B16741" s="2" t="s">
        <v>4020</v>
      </c>
      <c r="C16741" s="2" t="s">
        <v>8090</v>
      </c>
      <c r="D16741" s="3" t="str">
        <f t="shared" ref="D16741:D16743" si="4315">HYPERLINK("https://12go.asia/en/travel/Chiang-Rai-Transfer/Sokprasert-Bus-Terminal", "12Go Link")</f>
        <v>12Go Link</v>
      </c>
      <c r="E16741" s="2" t="s">
        <v>8091</v>
      </c>
    </row>
    <row r="16742">
      <c r="A16742" s="2" t="s">
        <v>8084</v>
      </c>
      <c r="B16742" s="2" t="s">
        <v>4020</v>
      </c>
      <c r="C16742" s="2" t="s">
        <v>8090</v>
      </c>
      <c r="D16742" s="3" t="str">
        <f t="shared" si="4315"/>
        <v>12Go Link</v>
      </c>
      <c r="E16742" s="2" t="s">
        <v>8092</v>
      </c>
    </row>
    <row r="16743">
      <c r="A16743" s="2" t="s">
        <v>8084</v>
      </c>
      <c r="B16743" s="2" t="s">
        <v>4020</v>
      </c>
      <c r="C16743" s="2" t="s">
        <v>8090</v>
      </c>
      <c r="D16743" s="3" t="str">
        <f t="shared" si="4315"/>
        <v>12Go Link</v>
      </c>
      <c r="E16743" s="2" t="s">
        <v>8080</v>
      </c>
    </row>
    <row r="16744">
      <c r="A16744" s="2" t="s">
        <v>8084</v>
      </c>
      <c r="B16744" s="2" t="s">
        <v>4025</v>
      </c>
      <c r="C16744" s="2" t="s">
        <v>8093</v>
      </c>
      <c r="D16744" s="3" t="str">
        <f>HYPERLINK("https://12go.asia/en/travel/Chiang-Khong-Border/Nateuy-Train-Station", "12Go Link")</f>
        <v>12Go Link</v>
      </c>
      <c r="E16744" s="2" t="s">
        <v>4005</v>
      </c>
    </row>
    <row r="16745">
      <c r="A16745" s="2" t="s">
        <v>8084</v>
      </c>
      <c r="B16745" s="2" t="s">
        <v>4025</v>
      </c>
      <c r="C16745" s="2" t="s">
        <v>8094</v>
      </c>
      <c r="D16745" s="3" t="str">
        <f>HYPERLINK("https://12go.asia/en/travel/Chiang-Rai/Nateuy-Train-Station", "12Go Link")</f>
        <v>12Go Link</v>
      </c>
      <c r="E16745" s="2" t="s">
        <v>4005</v>
      </c>
    </row>
    <row r="16746">
      <c r="A16746" s="2" t="s">
        <v>8084</v>
      </c>
      <c r="B16746" s="2" t="s">
        <v>8084</v>
      </c>
      <c r="C16746" s="2" t="s">
        <v>8095</v>
      </c>
      <c r="D16746" s="3" t="str">
        <f t="shared" ref="D16746:D16748" si="4316">HYPERLINK("https://12go.asia/en/travel/Chiang-Khong-Transfer/Chiang-Rai-Hotel-Transfer", "12Go Link")</f>
        <v>12Go Link</v>
      </c>
      <c r="E16746" s="2" t="s">
        <v>286</v>
      </c>
    </row>
    <row r="16747">
      <c r="A16747" s="2" t="s">
        <v>8084</v>
      </c>
      <c r="B16747" s="2" t="s">
        <v>8084</v>
      </c>
      <c r="C16747" s="2" t="s">
        <v>8095</v>
      </c>
      <c r="D16747" s="3" t="str">
        <f t="shared" si="4316"/>
        <v>12Go Link</v>
      </c>
      <c r="E16747" s="2" t="s">
        <v>3407</v>
      </c>
    </row>
    <row r="16748">
      <c r="A16748" s="2" t="s">
        <v>8084</v>
      </c>
      <c r="B16748" s="2" t="s">
        <v>8084</v>
      </c>
      <c r="C16748" s="2" t="s">
        <v>8095</v>
      </c>
      <c r="D16748" s="3" t="str">
        <f t="shared" si="4316"/>
        <v>12Go Link</v>
      </c>
      <c r="E16748" s="2" t="s">
        <v>4287</v>
      </c>
    </row>
    <row r="16749">
      <c r="A16749" s="2" t="s">
        <v>8084</v>
      </c>
      <c r="B16749" s="2" t="s">
        <v>284</v>
      </c>
      <c r="C16749" s="2" t="s">
        <v>8096</v>
      </c>
      <c r="D16749" s="3" t="str">
        <f t="shared" ref="D16749:D16751" si="4317">HYPERLINK("https://12go.asia/en/travel/Chiang-Rai-Hotel-Transfer/Ban-Krut", "12Go Link")</f>
        <v>12Go Link</v>
      </c>
      <c r="E16749" s="2" t="s">
        <v>286</v>
      </c>
    </row>
    <row r="16750">
      <c r="A16750" s="2" t="s">
        <v>8084</v>
      </c>
      <c r="B16750" s="2" t="s">
        <v>284</v>
      </c>
      <c r="C16750" s="2" t="s">
        <v>8096</v>
      </c>
      <c r="D16750" s="3" t="str">
        <f t="shared" si="4317"/>
        <v>12Go Link</v>
      </c>
      <c r="E16750" s="2" t="s">
        <v>287</v>
      </c>
    </row>
    <row r="16751">
      <c r="A16751" s="2" t="s">
        <v>8084</v>
      </c>
      <c r="B16751" s="2" t="s">
        <v>284</v>
      </c>
      <c r="C16751" s="2" t="s">
        <v>8096</v>
      </c>
      <c r="D16751" s="3" t="str">
        <f t="shared" si="4317"/>
        <v>12Go Link</v>
      </c>
      <c r="E16751" s="2" t="s">
        <v>288</v>
      </c>
    </row>
    <row r="16752">
      <c r="A16752" s="2" t="s">
        <v>343</v>
      </c>
      <c r="B16752" s="2" t="s">
        <v>329</v>
      </c>
      <c r="C16752" s="2" t="s">
        <v>8097</v>
      </c>
      <c r="D16752" s="3" t="str">
        <f>HYPERLINK("https://12go.asia/en/travel/Pattaya-Minivan-Station/Siem-Reap-Namo-Angkor-Travel", "12Go Link")</f>
        <v>12Go Link</v>
      </c>
      <c r="E16752" s="2" t="s">
        <v>8063</v>
      </c>
    </row>
    <row r="16753">
      <c r="A16753" s="2" t="s">
        <v>8098</v>
      </c>
      <c r="B16753" s="2" t="s">
        <v>8099</v>
      </c>
      <c r="C16753" s="2" t="s">
        <v>8100</v>
      </c>
      <c r="D16753" s="3" t="str">
        <f>HYPERLINK("https://12go.asia/en/travel/Chumphon-Hotel-Transfer/Khao-Lak-Transfer", "12Go Link")</f>
        <v>12Go Link</v>
      </c>
      <c r="E16753" s="2" t="s">
        <v>4095</v>
      </c>
    </row>
    <row r="16754">
      <c r="A16754" s="2" t="s">
        <v>8098</v>
      </c>
      <c r="B16754" s="2" t="s">
        <v>8075</v>
      </c>
      <c r="C16754" s="2" t="s">
        <v>8101</v>
      </c>
      <c r="D16754" s="3" t="str">
        <f>HYPERLINK("https://12go.asia/en/travel/Chumphon-Hotel-Transfer/Phuket-Transfer", "12Go Link")</f>
        <v>12Go Link</v>
      </c>
      <c r="E16754" s="2" t="s">
        <v>4095</v>
      </c>
    </row>
    <row r="16755">
      <c r="A16755" s="2" t="s">
        <v>8098</v>
      </c>
      <c r="B16755" s="2" t="s">
        <v>284</v>
      </c>
      <c r="C16755" s="2" t="s">
        <v>8102</v>
      </c>
      <c r="D16755" s="3" t="str">
        <f t="shared" ref="D16755:D16757" si="4318">HYPERLINK("https://12go.asia/en/travel/Chumphon-Hotel-Transfer/Ban-Krut", "12Go Link")</f>
        <v>12Go Link</v>
      </c>
      <c r="E16755" s="2" t="s">
        <v>286</v>
      </c>
    </row>
    <row r="16756">
      <c r="A16756" s="2" t="s">
        <v>8098</v>
      </c>
      <c r="B16756" s="2" t="s">
        <v>284</v>
      </c>
      <c r="C16756" s="2" t="s">
        <v>8102</v>
      </c>
      <c r="D16756" s="3" t="str">
        <f t="shared" si="4318"/>
        <v>12Go Link</v>
      </c>
      <c r="E16756" s="2" t="s">
        <v>287</v>
      </c>
    </row>
    <row r="16757">
      <c r="A16757" s="2" t="s">
        <v>8098</v>
      </c>
      <c r="B16757" s="2" t="s">
        <v>284</v>
      </c>
      <c r="C16757" s="2" t="s">
        <v>8102</v>
      </c>
      <c r="D16757" s="3" t="str">
        <f t="shared" si="4318"/>
        <v>12Go Link</v>
      </c>
      <c r="E16757" s="2" t="s">
        <v>288</v>
      </c>
    </row>
    <row r="16758">
      <c r="A16758" s="2" t="s">
        <v>4307</v>
      </c>
      <c r="B16758" s="2" t="s">
        <v>284</v>
      </c>
      <c r="C16758" s="2" t="s">
        <v>8103</v>
      </c>
      <c r="D16758" s="3" t="str">
        <f t="shared" ref="D16758:D16760" si="4319">HYPERLINK("https://12go.asia/en/travel/Don-Mueang-Airport/Ban-Krut", "12Go Link")</f>
        <v>12Go Link</v>
      </c>
      <c r="E16758" s="2" t="s">
        <v>286</v>
      </c>
    </row>
    <row r="16759">
      <c r="A16759" s="2" t="s">
        <v>4307</v>
      </c>
      <c r="B16759" s="2" t="s">
        <v>284</v>
      </c>
      <c r="C16759" s="2" t="s">
        <v>8103</v>
      </c>
      <c r="D16759" s="3" t="str">
        <f t="shared" si="4319"/>
        <v>12Go Link</v>
      </c>
      <c r="E16759" s="2" t="s">
        <v>287</v>
      </c>
    </row>
    <row r="16760">
      <c r="A16760" s="2" t="s">
        <v>4307</v>
      </c>
      <c r="B16760" s="2" t="s">
        <v>284</v>
      </c>
      <c r="C16760" s="2" t="s">
        <v>8103</v>
      </c>
      <c r="D16760" s="3" t="str">
        <f t="shared" si="4319"/>
        <v>12Go Link</v>
      </c>
      <c r="E16760" s="2" t="s">
        <v>288</v>
      </c>
    </row>
    <row r="16761">
      <c r="A16761" s="2" t="s">
        <v>8104</v>
      </c>
      <c r="B16761" s="2" t="s">
        <v>8099</v>
      </c>
      <c r="C16761" s="2" t="s">
        <v>8105</v>
      </c>
      <c r="D16761" s="3" t="str">
        <f>HYPERLINK("https://12go.asia/en/travel/Donsak-Hotel-Transfer/Khao-Lak-Transfer", "12Go Link")</f>
        <v>12Go Link</v>
      </c>
      <c r="E16761" s="2" t="s">
        <v>4095</v>
      </c>
    </row>
    <row r="16762">
      <c r="A16762" s="2" t="s">
        <v>8104</v>
      </c>
      <c r="B16762" s="2" t="s">
        <v>8106</v>
      </c>
      <c r="C16762" s="2" t="s">
        <v>8107</v>
      </c>
      <c r="D16762" s="3" t="str">
        <f>HYPERLINK("https://12go.asia/en/travel/seatran-donsak-pier/krabi-bus-terminal", "12Go Link")</f>
        <v>12Go Link</v>
      </c>
      <c r="E16762" s="2" t="s">
        <v>59</v>
      </c>
    </row>
    <row r="16763">
      <c r="A16763" s="2" t="s">
        <v>8104</v>
      </c>
      <c r="B16763" s="2" t="s">
        <v>8075</v>
      </c>
      <c r="C16763" s="2" t="s">
        <v>8108</v>
      </c>
      <c r="D16763" s="3" t="str">
        <f>HYPERLINK("https://12go.asia/en/travel/Donsak-Pier-except-Ferry-to-Samui/Phuket-Transfer", "12Go Link")</f>
        <v>12Go Link</v>
      </c>
      <c r="E16763" s="2" t="s">
        <v>4095</v>
      </c>
    </row>
    <row r="16764">
      <c r="A16764" s="2" t="s">
        <v>8104</v>
      </c>
      <c r="B16764" s="2" t="s">
        <v>8075</v>
      </c>
      <c r="C16764" s="2" t="s">
        <v>8109</v>
      </c>
      <c r="D16764" s="3" t="str">
        <f>HYPERLINK("https://12go.asia/en/travel/donsak-seatran/patong-kata-karon-transfer", "12Go Link")</f>
        <v>12Go Link</v>
      </c>
      <c r="E16764" s="2" t="s">
        <v>8110</v>
      </c>
    </row>
    <row r="16765">
      <c r="A16765" s="2" t="s">
        <v>8104</v>
      </c>
      <c r="B16765" s="2" t="s">
        <v>8075</v>
      </c>
      <c r="C16765" s="2" t="s">
        <v>8111</v>
      </c>
      <c r="D16765" s="3" t="str">
        <f>HYPERLINK("https://12go.asia/en/travel/seatran-donsak-pier/patong-kata-karon-transfer", "12Go Link")</f>
        <v>12Go Link</v>
      </c>
      <c r="E16765" s="2" t="s">
        <v>8110</v>
      </c>
    </row>
    <row r="16766">
      <c r="A16766" s="2" t="s">
        <v>8104</v>
      </c>
      <c r="B16766" s="2" t="s">
        <v>8075</v>
      </c>
      <c r="C16766" s="2" t="s">
        <v>8112</v>
      </c>
      <c r="D16766" s="3" t="str">
        <f>HYPERLINK("https://12go.asia/en/travel/seatran-donsak-pier/phuket-bus-terminal-2", "12Go Link")</f>
        <v>12Go Link</v>
      </c>
      <c r="E16766" s="2" t="s">
        <v>8113</v>
      </c>
    </row>
    <row r="16767">
      <c r="A16767" s="2" t="s">
        <v>8104</v>
      </c>
      <c r="B16767" s="2" t="s">
        <v>284</v>
      </c>
      <c r="C16767" s="2" t="s">
        <v>8114</v>
      </c>
      <c r="D16767" s="3" t="str">
        <f t="shared" ref="D16767:D16769" si="4320">HYPERLINK("https://12go.asia/en/travel/Donsak-Piers/Ban-Krut", "12Go Link")</f>
        <v>12Go Link</v>
      </c>
      <c r="E16767" s="2" t="s">
        <v>286</v>
      </c>
    </row>
    <row r="16768">
      <c r="A16768" s="2" t="s">
        <v>8104</v>
      </c>
      <c r="B16768" s="2" t="s">
        <v>284</v>
      </c>
      <c r="C16768" s="2" t="s">
        <v>8114</v>
      </c>
      <c r="D16768" s="3" t="str">
        <f t="shared" si="4320"/>
        <v>12Go Link</v>
      </c>
      <c r="E16768" s="2" t="s">
        <v>287</v>
      </c>
    </row>
    <row r="16769">
      <c r="A16769" s="2" t="s">
        <v>8104</v>
      </c>
      <c r="B16769" s="2" t="s">
        <v>284</v>
      </c>
      <c r="C16769" s="2" t="s">
        <v>8114</v>
      </c>
      <c r="D16769" s="3" t="str">
        <f t="shared" si="4320"/>
        <v>12Go Link</v>
      </c>
      <c r="E16769" s="2" t="s">
        <v>288</v>
      </c>
    </row>
    <row r="16770">
      <c r="A16770" s="2" t="s">
        <v>8104</v>
      </c>
      <c r="B16770" s="2" t="s">
        <v>8070</v>
      </c>
      <c r="C16770" s="2" t="s">
        <v>8115</v>
      </c>
      <c r="D16770" s="3" t="str">
        <f>HYPERLINK("https://12go.asia/en/travel/seatran-donsak-pier/phantip-travel-surat-thani", "12Go Link")</f>
        <v>12Go Link</v>
      </c>
      <c r="E16770" s="2" t="s">
        <v>59</v>
      </c>
    </row>
    <row r="16771">
      <c r="A16771" s="2" t="s">
        <v>8104</v>
      </c>
      <c r="B16771" s="2" t="s">
        <v>8116</v>
      </c>
      <c r="C16771" s="2" t="s">
        <v>8117</v>
      </c>
      <c r="D16771" s="3" t="str">
        <f>HYPERLINK("https://12go.asia/en/travel/seatran-donsak-pier/surat-thani-airport", "12Go Link")</f>
        <v>12Go Link</v>
      </c>
      <c r="E16771" s="2" t="s">
        <v>59</v>
      </c>
    </row>
    <row r="16772">
      <c r="A16772" s="2" t="s">
        <v>8104</v>
      </c>
      <c r="B16772" s="2" t="s">
        <v>8118</v>
      </c>
      <c r="C16772" s="2" t="s">
        <v>8119</v>
      </c>
      <c r="D16772" s="3" t="str">
        <f>HYPERLINK("https://12go.asia/en/travel/seatran-donsak-pier/surat-thani-train-station", "12Go Link")</f>
        <v>12Go Link</v>
      </c>
      <c r="E16772" s="2" t="s">
        <v>59</v>
      </c>
    </row>
    <row r="16773">
      <c r="A16773" s="2" t="s">
        <v>8120</v>
      </c>
      <c r="B16773" s="2" t="s">
        <v>8075</v>
      </c>
      <c r="C16773" s="2" t="s">
        <v>8121</v>
      </c>
      <c r="D16773" s="3" t="str">
        <f>HYPERLINK("https://12go.asia/en/travel/Hat-Yai-Hotel-Transfer/Phuket-Transfer", "12Go Link")</f>
        <v>12Go Link</v>
      </c>
      <c r="E16773" s="2" t="s">
        <v>4095</v>
      </c>
    </row>
    <row r="16774">
      <c r="A16774" s="2" t="s">
        <v>8122</v>
      </c>
      <c r="B16774" s="2" t="s">
        <v>284</v>
      </c>
      <c r="C16774" s="2" t="s">
        <v>8123</v>
      </c>
      <c r="D16774" s="3" t="str">
        <f t="shared" ref="D16774:D16776" si="4321">HYPERLINK("https://12go.asia/en/travel/Hua-Hin/Ban-Krut", "12Go Link")</f>
        <v>12Go Link</v>
      </c>
      <c r="E16774" s="2" t="s">
        <v>286</v>
      </c>
    </row>
    <row r="16775">
      <c r="A16775" s="2" t="s">
        <v>8122</v>
      </c>
      <c r="B16775" s="2" t="s">
        <v>284</v>
      </c>
      <c r="C16775" s="2" t="s">
        <v>8123</v>
      </c>
      <c r="D16775" s="3" t="str">
        <f t="shared" si="4321"/>
        <v>12Go Link</v>
      </c>
      <c r="E16775" s="2" t="s">
        <v>287</v>
      </c>
    </row>
    <row r="16776">
      <c r="A16776" s="2" t="s">
        <v>8122</v>
      </c>
      <c r="B16776" s="2" t="s">
        <v>284</v>
      </c>
      <c r="C16776" s="2" t="s">
        <v>8123</v>
      </c>
      <c r="D16776" s="3" t="str">
        <f t="shared" si="4321"/>
        <v>12Go Link</v>
      </c>
      <c r="E16776" s="2" t="s">
        <v>288</v>
      </c>
    </row>
    <row r="16777">
      <c r="A16777" s="2" t="s">
        <v>8124</v>
      </c>
      <c r="B16777" s="2" t="s">
        <v>284</v>
      </c>
      <c r="C16777" s="2" t="s">
        <v>8125</v>
      </c>
      <c r="D16777" s="3" t="str">
        <f t="shared" ref="D16777:D16779" si="4322">HYPERLINK("https://12go.asia/en/travel/Kanchanaburi-Hotel-Transfer/Ban-Krut", "12Go Link")</f>
        <v>12Go Link</v>
      </c>
      <c r="E16777" s="2" t="s">
        <v>286</v>
      </c>
    </row>
    <row r="16778">
      <c r="A16778" s="2" t="s">
        <v>8124</v>
      </c>
      <c r="B16778" s="2" t="s">
        <v>284</v>
      </c>
      <c r="C16778" s="2" t="s">
        <v>8125</v>
      </c>
      <c r="D16778" s="3" t="str">
        <f t="shared" si="4322"/>
        <v>12Go Link</v>
      </c>
      <c r="E16778" s="2" t="s">
        <v>287</v>
      </c>
    </row>
    <row r="16779">
      <c r="A16779" s="2" t="s">
        <v>8124</v>
      </c>
      <c r="B16779" s="2" t="s">
        <v>284</v>
      </c>
      <c r="C16779" s="2" t="s">
        <v>8125</v>
      </c>
      <c r="D16779" s="3" t="str">
        <f t="shared" si="4322"/>
        <v>12Go Link</v>
      </c>
      <c r="E16779" s="2" t="s">
        <v>288</v>
      </c>
    </row>
    <row r="16780">
      <c r="A16780" s="2" t="s">
        <v>8126</v>
      </c>
      <c r="B16780" s="2" t="s">
        <v>8075</v>
      </c>
      <c r="C16780" s="2" t="s">
        <v>8127</v>
      </c>
      <c r="D16780" s="3" t="str">
        <f>HYPERLINK("https://12go.asia/en/travel/Karon-Beach/Phuket-Airport", "12Go Link")</f>
        <v>12Go Link</v>
      </c>
      <c r="E16780" s="2" t="s">
        <v>4095</v>
      </c>
    </row>
    <row r="16781">
      <c r="A16781" s="2" t="s">
        <v>8099</v>
      </c>
      <c r="B16781" s="2" t="s">
        <v>8075</v>
      </c>
      <c r="C16781" s="2" t="s">
        <v>8128</v>
      </c>
      <c r="D16781" s="3" t="str">
        <f>HYPERLINK("https://12go.asia/en/travel/Khaolak-except-Bang-Sak-Bang-Muang-and-Takua-Pa/Phuket-Airport", "12Go Link")</f>
        <v>12Go Link</v>
      </c>
      <c r="E16781" s="2" t="s">
        <v>4095</v>
      </c>
    </row>
    <row r="16782">
      <c r="A16782" s="2" t="s">
        <v>8099</v>
      </c>
      <c r="B16782" s="2" t="s">
        <v>8075</v>
      </c>
      <c r="C16782" s="2" t="s">
        <v>8129</v>
      </c>
      <c r="D16782" s="3" t="str">
        <f>HYPERLINK("https://12go.asia/en/travel/Khaolak-except-Bang-Sak-Bang-Muang-and-Takua-Pa/Phuket-Hotel-Transfer", "12Go Link")</f>
        <v>12Go Link</v>
      </c>
      <c r="E16782" s="2" t="s">
        <v>4095</v>
      </c>
    </row>
    <row r="16783">
      <c r="A16783" s="2" t="s">
        <v>8099</v>
      </c>
      <c r="B16783" s="2" t="s">
        <v>8075</v>
      </c>
      <c r="C16783" s="2" t="s">
        <v>8130</v>
      </c>
      <c r="D16783" s="3" t="str">
        <f>HYPERLINK("https://12go.asia/en/travel/Khaolak-with-Bang-Sak-Bang-Muang-and-Takua-Pa/Phuket-Hotel-Transfer", "12Go Link")</f>
        <v>12Go Link</v>
      </c>
      <c r="E16783" s="2" t="s">
        <v>4095</v>
      </c>
    </row>
    <row r="16784">
      <c r="A16784" s="2" t="s">
        <v>8131</v>
      </c>
      <c r="B16784" s="2" t="s">
        <v>8099</v>
      </c>
      <c r="C16784" s="2" t="s">
        <v>8132</v>
      </c>
      <c r="D16784" s="3" t="str">
        <f>HYPERLINK("https://12go.asia/en/travel/Khao-Sok-Hotel-Transfer/Khao-Lak-Transfer", "12Go Link")</f>
        <v>12Go Link</v>
      </c>
      <c r="E16784" s="2" t="s">
        <v>4095</v>
      </c>
    </row>
    <row r="16785">
      <c r="A16785" s="2" t="s">
        <v>8131</v>
      </c>
      <c r="B16785" s="2" t="s">
        <v>8075</v>
      </c>
      <c r="C16785" s="2" t="s">
        <v>8133</v>
      </c>
      <c r="D16785" s="3" t="str">
        <f>HYPERLINK("https://12go.asia/en/travel/Khao-Sok-Hotel-Transfer/Phuket-Transfer", "12Go Link")</f>
        <v>12Go Link</v>
      </c>
      <c r="E16785" s="2" t="s">
        <v>4095</v>
      </c>
    </row>
    <row r="16786">
      <c r="A16786" s="2" t="s">
        <v>8131</v>
      </c>
      <c r="B16786" s="2" t="s">
        <v>284</v>
      </c>
      <c r="C16786" s="2" t="s">
        <v>8134</v>
      </c>
      <c r="D16786" s="3" t="str">
        <f t="shared" ref="D16786:D16788" si="4323">HYPERLINK("https://12go.asia/en/travel/Khao-Sok-Hotel-Transfer/Ban-Krut", "12Go Link")</f>
        <v>12Go Link</v>
      </c>
      <c r="E16786" s="2" t="s">
        <v>286</v>
      </c>
    </row>
    <row r="16787">
      <c r="A16787" s="2" t="s">
        <v>8131</v>
      </c>
      <c r="B16787" s="2" t="s">
        <v>284</v>
      </c>
      <c r="C16787" s="2" t="s">
        <v>8134</v>
      </c>
      <c r="D16787" s="3" t="str">
        <f t="shared" si="4323"/>
        <v>12Go Link</v>
      </c>
      <c r="E16787" s="2" t="s">
        <v>287</v>
      </c>
    </row>
    <row r="16788">
      <c r="A16788" s="2" t="s">
        <v>8131</v>
      </c>
      <c r="B16788" s="2" t="s">
        <v>284</v>
      </c>
      <c r="C16788" s="2" t="s">
        <v>8134</v>
      </c>
      <c r="D16788" s="3" t="str">
        <f t="shared" si="4323"/>
        <v>12Go Link</v>
      </c>
      <c r="E16788" s="2" t="s">
        <v>288</v>
      </c>
    </row>
    <row r="16789">
      <c r="A16789" s="2" t="s">
        <v>8135</v>
      </c>
      <c r="B16789" s="2" t="s">
        <v>284</v>
      </c>
      <c r="C16789" s="2" t="s">
        <v>8136</v>
      </c>
      <c r="D16789" s="3" t="str">
        <f t="shared" ref="D16789:D16791" si="4324">HYPERLINK("https://12go.asia/en/travel/Khao-Yai/Ban-Krut", "12Go Link")</f>
        <v>12Go Link</v>
      </c>
      <c r="E16789" s="2" t="s">
        <v>286</v>
      </c>
    </row>
    <row r="16790">
      <c r="A16790" s="2" t="s">
        <v>8135</v>
      </c>
      <c r="B16790" s="2" t="s">
        <v>284</v>
      </c>
      <c r="C16790" s="2" t="s">
        <v>8136</v>
      </c>
      <c r="D16790" s="3" t="str">
        <f t="shared" si="4324"/>
        <v>12Go Link</v>
      </c>
      <c r="E16790" s="2" t="s">
        <v>287</v>
      </c>
    </row>
    <row r="16791">
      <c r="A16791" s="2" t="s">
        <v>8135</v>
      </c>
      <c r="B16791" s="2" t="s">
        <v>284</v>
      </c>
      <c r="C16791" s="2" t="s">
        <v>8136</v>
      </c>
      <c r="D16791" s="3" t="str">
        <f t="shared" si="4324"/>
        <v>12Go Link</v>
      </c>
      <c r="E16791" s="2" t="s">
        <v>288</v>
      </c>
    </row>
    <row r="16792">
      <c r="A16792" s="2" t="s">
        <v>8137</v>
      </c>
      <c r="B16792" s="2" t="s">
        <v>284</v>
      </c>
      <c r="C16792" s="2" t="s">
        <v>8138</v>
      </c>
      <c r="D16792" s="3" t="str">
        <f t="shared" ref="D16792:D16794" si="4325">HYPERLINK("https://12go.asia/en/travel/Koh-Chang/Ban-Krut", "12Go Link")</f>
        <v>12Go Link</v>
      </c>
      <c r="E16792" s="2" t="s">
        <v>286</v>
      </c>
    </row>
    <row r="16793">
      <c r="A16793" s="2" t="s">
        <v>8137</v>
      </c>
      <c r="B16793" s="2" t="s">
        <v>284</v>
      </c>
      <c r="C16793" s="2" t="s">
        <v>8138</v>
      </c>
      <c r="D16793" s="3" t="str">
        <f t="shared" si="4325"/>
        <v>12Go Link</v>
      </c>
      <c r="E16793" s="2" t="s">
        <v>287</v>
      </c>
    </row>
    <row r="16794">
      <c r="A16794" s="2" t="s">
        <v>8137</v>
      </c>
      <c r="B16794" s="2" t="s">
        <v>284</v>
      </c>
      <c r="C16794" s="2" t="s">
        <v>8138</v>
      </c>
      <c r="D16794" s="3" t="str">
        <f t="shared" si="4325"/>
        <v>12Go Link</v>
      </c>
      <c r="E16794" s="2" t="s">
        <v>288</v>
      </c>
    </row>
    <row r="16795">
      <c r="A16795" s="2" t="s">
        <v>8139</v>
      </c>
      <c r="B16795" s="2" t="s">
        <v>8099</v>
      </c>
      <c r="C16795" s="2" t="s">
        <v>8140</v>
      </c>
      <c r="D16795" s="3" t="str">
        <f>HYPERLINK("https://12go.asia/en/travel/Koh-Lanta-Transfer/Khao-Lak-Transfer", "12Go Link")</f>
        <v>12Go Link</v>
      </c>
      <c r="E16795" s="2" t="s">
        <v>4095</v>
      </c>
    </row>
    <row r="16796">
      <c r="A16796" s="2" t="s">
        <v>8139</v>
      </c>
      <c r="B16796" s="2" t="s">
        <v>8141</v>
      </c>
      <c r="C16796" s="2" t="s">
        <v>8142</v>
      </c>
      <c r="D16796" s="3" t="str">
        <f>HYPERLINK("https://12go.asia/en/travel/Koh-Lanta-Transfer/Koh-Ngai", "12Go Link")</f>
        <v>12Go Link</v>
      </c>
      <c r="E16796" s="2" t="s">
        <v>309</v>
      </c>
    </row>
    <row r="16797">
      <c r="A16797" s="2" t="s">
        <v>8139</v>
      </c>
      <c r="B16797" s="2" t="s">
        <v>8075</v>
      </c>
      <c r="C16797" s="2" t="s">
        <v>8143</v>
      </c>
      <c r="D16797" s="3" t="str">
        <f>HYPERLINK("https://12go.asia/en/travel/Koh-Lanta-Hotel-Transfer/Phuket-Transfer", "12Go Link")</f>
        <v>12Go Link</v>
      </c>
      <c r="E16797" s="2" t="s">
        <v>4095</v>
      </c>
    </row>
    <row r="16798">
      <c r="A16798" s="2" t="s">
        <v>8139</v>
      </c>
      <c r="B16798" s="2" t="s">
        <v>284</v>
      </c>
      <c r="C16798" s="2" t="s">
        <v>8144</v>
      </c>
      <c r="D16798" s="3" t="str">
        <f t="shared" ref="D16798:D16800" si="4326">HYPERLINK("https://12go.asia/en/travel/Koh-Lanta-Hotel-Transfer/Ban-Krut", "12Go Link")</f>
        <v>12Go Link</v>
      </c>
      <c r="E16798" s="2" t="s">
        <v>286</v>
      </c>
    </row>
    <row r="16799">
      <c r="A16799" s="2" t="s">
        <v>8139</v>
      </c>
      <c r="B16799" s="2" t="s">
        <v>284</v>
      </c>
      <c r="C16799" s="2" t="s">
        <v>8144</v>
      </c>
      <c r="D16799" s="3" t="str">
        <f t="shared" si="4326"/>
        <v>12Go Link</v>
      </c>
      <c r="E16799" s="2" t="s">
        <v>287</v>
      </c>
    </row>
    <row r="16800">
      <c r="A16800" s="2" t="s">
        <v>8139</v>
      </c>
      <c r="B16800" s="2" t="s">
        <v>284</v>
      </c>
      <c r="C16800" s="2" t="s">
        <v>8144</v>
      </c>
      <c r="D16800" s="3" t="str">
        <f t="shared" si="4326"/>
        <v>12Go Link</v>
      </c>
      <c r="E16800" s="2" t="s">
        <v>288</v>
      </c>
    </row>
    <row r="16801">
      <c r="A16801" s="2" t="s">
        <v>8145</v>
      </c>
      <c r="B16801" s="2" t="s">
        <v>284</v>
      </c>
      <c r="C16801" s="2" t="s">
        <v>8146</v>
      </c>
      <c r="D16801" s="3" t="str">
        <f t="shared" ref="D16801:D16803" si="4327">HYPERLINK("https://12go.asia/en/travel/Koh-Larn-Hotel-Transfer/Ban-Krut", "12Go Link")</f>
        <v>12Go Link</v>
      </c>
      <c r="E16801" s="2" t="s">
        <v>286</v>
      </c>
    </row>
    <row r="16802">
      <c r="A16802" s="2" t="s">
        <v>8145</v>
      </c>
      <c r="B16802" s="2" t="s">
        <v>284</v>
      </c>
      <c r="C16802" s="2" t="s">
        <v>8146</v>
      </c>
      <c r="D16802" s="3" t="str">
        <f t="shared" si="4327"/>
        <v>12Go Link</v>
      </c>
      <c r="E16802" s="2" t="s">
        <v>287</v>
      </c>
    </row>
    <row r="16803">
      <c r="A16803" s="2" t="s">
        <v>8145</v>
      </c>
      <c r="B16803" s="2" t="s">
        <v>284</v>
      </c>
      <c r="C16803" s="2" t="s">
        <v>8146</v>
      </c>
      <c r="D16803" s="3" t="str">
        <f t="shared" si="4327"/>
        <v>12Go Link</v>
      </c>
      <c r="E16803" s="2" t="s">
        <v>288</v>
      </c>
    </row>
    <row r="16804">
      <c r="A16804" s="2" t="s">
        <v>8147</v>
      </c>
      <c r="B16804" s="2" t="s">
        <v>8139</v>
      </c>
      <c r="C16804" s="2" t="s">
        <v>8148</v>
      </c>
      <c r="D16804" s="3" t="str">
        <f>HYPERLINK("https://12go.asia/en/travel/Koh-Muk-Pier/Koh-Lanta-Transfer", "12Go Link")</f>
        <v>12Go Link</v>
      </c>
      <c r="E16804" s="2" t="s">
        <v>309</v>
      </c>
    </row>
    <row r="16805">
      <c r="A16805" s="2" t="s">
        <v>8141</v>
      </c>
      <c r="B16805" s="2" t="s">
        <v>8139</v>
      </c>
      <c r="C16805" s="2" t="s">
        <v>8149</v>
      </c>
      <c r="D16805" s="3" t="str">
        <f>HYPERLINK("https://12go.asia/en/travel/Koh-Ngai-Transfer/Koh-Lanta-Transfer", "12Go Link")</f>
        <v>12Go Link</v>
      </c>
      <c r="E16805" s="2" t="s">
        <v>309</v>
      </c>
    </row>
    <row r="16806">
      <c r="A16806" s="2" t="s">
        <v>8150</v>
      </c>
      <c r="B16806" s="2" t="s">
        <v>284</v>
      </c>
      <c r="C16806" s="2" t="s">
        <v>8151</v>
      </c>
      <c r="D16806" s="3" t="str">
        <f t="shared" ref="D16806:D16808" si="4328">HYPERLINK("https://12go.asia/en/travel/Koh-Phangan-Transfer/Ban-Krut", "12Go Link")</f>
        <v>12Go Link</v>
      </c>
      <c r="E16806" s="2" t="s">
        <v>286</v>
      </c>
    </row>
    <row r="16807">
      <c r="A16807" s="2" t="s">
        <v>8150</v>
      </c>
      <c r="B16807" s="2" t="s">
        <v>284</v>
      </c>
      <c r="C16807" s="2" t="s">
        <v>8151</v>
      </c>
      <c r="D16807" s="3" t="str">
        <f t="shared" si="4328"/>
        <v>12Go Link</v>
      </c>
      <c r="E16807" s="2" t="s">
        <v>287</v>
      </c>
    </row>
    <row r="16808">
      <c r="A16808" s="2" t="s">
        <v>8150</v>
      </c>
      <c r="B16808" s="2" t="s">
        <v>284</v>
      </c>
      <c r="C16808" s="2" t="s">
        <v>8151</v>
      </c>
      <c r="D16808" s="3" t="str">
        <f t="shared" si="4328"/>
        <v>12Go Link</v>
      </c>
      <c r="E16808" s="2" t="s">
        <v>288</v>
      </c>
    </row>
    <row r="16809">
      <c r="A16809" s="2" t="s">
        <v>8152</v>
      </c>
      <c r="B16809" s="2" t="s">
        <v>8153</v>
      </c>
      <c r="C16809" s="2" t="s">
        <v>8154</v>
      </c>
      <c r="D16809" s="3" t="str">
        <f>HYPERLINK("https://12go.asia/en/travel/Koh-Phayam/Ranong-Hotel-Transfer", "12Go Link")</f>
        <v>12Go Link</v>
      </c>
      <c r="E16809" s="2" t="s">
        <v>309</v>
      </c>
    </row>
    <row r="16810">
      <c r="A16810" s="2" t="s">
        <v>8152</v>
      </c>
      <c r="B16810" s="2" t="s">
        <v>8153</v>
      </c>
      <c r="C16810" s="2" t="s">
        <v>8155</v>
      </c>
      <c r="D16810" s="3" t="str">
        <f>HYPERLINK("https://12go.asia/en/travel/Koh-Phayam/Ranong-Pier", "12Go Link")</f>
        <v>12Go Link</v>
      </c>
      <c r="E16810" s="2" t="s">
        <v>309</v>
      </c>
    </row>
    <row r="16811">
      <c r="A16811" s="2" t="s">
        <v>8152</v>
      </c>
      <c r="B16811" s="2" t="s">
        <v>8153</v>
      </c>
      <c r="C16811" s="2" t="s">
        <v>8156</v>
      </c>
      <c r="D16811" s="3" t="str">
        <f>HYPERLINK("https://12go.asia/en/travel/Koh-Phayam-Pier-Ranong/Ranong-Bus-Station", "12Go Link")</f>
        <v>12Go Link</v>
      </c>
      <c r="E16811" s="2" t="s">
        <v>309</v>
      </c>
    </row>
    <row r="16812">
      <c r="A16812" s="2" t="s">
        <v>8157</v>
      </c>
      <c r="B16812" s="2" t="s">
        <v>8075</v>
      </c>
      <c r="C16812" s="2" t="s">
        <v>8158</v>
      </c>
      <c r="D16812" s="3" t="str">
        <f>HYPERLINK("https://12go.asia/en/travel/Ton-Sai-Pier-Koh-Phi-Phi/Phuket-Airport", "12Go Link")</f>
        <v>12Go Link</v>
      </c>
      <c r="E16812" s="2" t="s">
        <v>8159</v>
      </c>
    </row>
    <row r="16813">
      <c r="A16813" s="2" t="s">
        <v>8160</v>
      </c>
      <c r="B16813" s="2" t="s">
        <v>284</v>
      </c>
      <c r="C16813" s="2" t="s">
        <v>8161</v>
      </c>
      <c r="D16813" s="3" t="str">
        <f t="shared" ref="D16813:D16815" si="4329">HYPERLINK("https://12go.asia/en/travel/Koh-Samet/Ban-Krut", "12Go Link")</f>
        <v>12Go Link</v>
      </c>
      <c r="E16813" s="2" t="s">
        <v>286</v>
      </c>
    </row>
    <row r="16814">
      <c r="A16814" s="2" t="s">
        <v>8160</v>
      </c>
      <c r="B16814" s="2" t="s">
        <v>284</v>
      </c>
      <c r="C16814" s="2" t="s">
        <v>8161</v>
      </c>
      <c r="D16814" s="3" t="str">
        <f t="shared" si="4329"/>
        <v>12Go Link</v>
      </c>
      <c r="E16814" s="2" t="s">
        <v>287</v>
      </c>
    </row>
    <row r="16815">
      <c r="A16815" s="2" t="s">
        <v>8160</v>
      </c>
      <c r="B16815" s="2" t="s">
        <v>284</v>
      </c>
      <c r="C16815" s="2" t="s">
        <v>8161</v>
      </c>
      <c r="D16815" s="3" t="str">
        <f t="shared" si="4329"/>
        <v>12Go Link</v>
      </c>
      <c r="E16815" s="2" t="s">
        <v>288</v>
      </c>
    </row>
    <row r="16816">
      <c r="A16816" s="2" t="s">
        <v>8162</v>
      </c>
      <c r="B16816" s="2" t="s">
        <v>284</v>
      </c>
      <c r="C16816" s="2" t="s">
        <v>8163</v>
      </c>
      <c r="D16816" s="3" t="str">
        <f t="shared" ref="D16816:D16818" si="4330">HYPERLINK("https://12go.asia/en/travel/Koh-Samui-Transfer/Ban-Krut", "12Go Link")</f>
        <v>12Go Link</v>
      </c>
      <c r="E16816" s="2" t="s">
        <v>286</v>
      </c>
    </row>
    <row r="16817">
      <c r="A16817" s="2" t="s">
        <v>8162</v>
      </c>
      <c r="B16817" s="2" t="s">
        <v>284</v>
      </c>
      <c r="C16817" s="2" t="s">
        <v>8163</v>
      </c>
      <c r="D16817" s="3" t="str">
        <f t="shared" si="4330"/>
        <v>12Go Link</v>
      </c>
      <c r="E16817" s="2" t="s">
        <v>287</v>
      </c>
    </row>
    <row r="16818">
      <c r="A16818" s="2" t="s">
        <v>8162</v>
      </c>
      <c r="B16818" s="2" t="s">
        <v>284</v>
      </c>
      <c r="C16818" s="2" t="s">
        <v>8163</v>
      </c>
      <c r="D16818" s="3" t="str">
        <f t="shared" si="4330"/>
        <v>12Go Link</v>
      </c>
      <c r="E16818" s="2" t="s">
        <v>288</v>
      </c>
    </row>
    <row r="16819">
      <c r="A16819" s="2" t="s">
        <v>8164</v>
      </c>
      <c r="B16819" s="2" t="s">
        <v>8165</v>
      </c>
      <c r="C16819" s="2" t="s">
        <v>8166</v>
      </c>
      <c r="D16819" s="3" t="str">
        <f>HYPERLINK("https://12go.asia/en/travel/Mae-Haad-Koh-Tao/Ao-Nang-Transfer-except-Krabi-Town-and-Railay", "12Go Link")</f>
        <v>12Go Link</v>
      </c>
      <c r="E16819" s="2" t="s">
        <v>8167</v>
      </c>
    </row>
    <row r="16820">
      <c r="A16820" s="2" t="s">
        <v>8164</v>
      </c>
      <c r="B16820" s="2" t="s">
        <v>8139</v>
      </c>
      <c r="C16820" s="2" t="s">
        <v>8168</v>
      </c>
      <c r="D16820" s="3" t="str">
        <f>HYPERLINK("https://12go.asia/en/travel/Mae-Haad-Koh-Tao/Koh-Lanta-Saladan-Pier", "12Go Link")</f>
        <v>12Go Link</v>
      </c>
      <c r="E16820" s="2" t="s">
        <v>8169</v>
      </c>
    </row>
    <row r="16821">
      <c r="A16821" s="2" t="s">
        <v>8164</v>
      </c>
      <c r="B16821" s="2" t="s">
        <v>8157</v>
      </c>
      <c r="C16821" s="2" t="s">
        <v>8170</v>
      </c>
      <c r="D16821" s="3" t="str">
        <f t="shared" ref="D16821:D16822" si="4331">HYPERLINK("https://12go.asia/en/travel/Mae-Haad-Koh-Tao/Ton-Sai-Pier-Koh-Phi-Phi", "12Go Link")</f>
        <v>12Go Link</v>
      </c>
      <c r="E16821" s="2" t="s">
        <v>8171</v>
      </c>
    </row>
    <row r="16822">
      <c r="A16822" s="2" t="s">
        <v>8164</v>
      </c>
      <c r="B16822" s="2" t="s">
        <v>8157</v>
      </c>
      <c r="C16822" s="2" t="s">
        <v>8170</v>
      </c>
      <c r="D16822" s="3" t="str">
        <f t="shared" si="4331"/>
        <v>12Go Link</v>
      </c>
      <c r="E16822" s="2" t="s">
        <v>8169</v>
      </c>
    </row>
    <row r="16823">
      <c r="A16823" s="2" t="s">
        <v>8164</v>
      </c>
      <c r="B16823" s="2" t="s">
        <v>8106</v>
      </c>
      <c r="C16823" s="2" t="s">
        <v>8172</v>
      </c>
      <c r="D16823" s="3" t="str">
        <f>HYPERLINK("https://12go.asia/en/travel/Mae-Haad-Koh-Tao/Krabi-Bus-Terminal", "12Go Link")</f>
        <v>12Go Link</v>
      </c>
      <c r="E16823" s="2" t="s">
        <v>8167</v>
      </c>
    </row>
    <row r="16824">
      <c r="A16824" s="2" t="s">
        <v>8106</v>
      </c>
      <c r="B16824" s="2" t="s">
        <v>8099</v>
      </c>
      <c r="C16824" s="2" t="s">
        <v>8173</v>
      </c>
      <c r="D16824" s="3" t="str">
        <f>HYPERLINK("https://12go.asia/en/travel/Krabi-with-Klong-Muang-Ao-Nang-Airport-and-Town/Khao-Lak-Transfer", "12Go Link")</f>
        <v>12Go Link</v>
      </c>
      <c r="E16824" s="2" t="s">
        <v>4095</v>
      </c>
    </row>
    <row r="16825">
      <c r="A16825" s="2" t="s">
        <v>8106</v>
      </c>
      <c r="B16825" s="2" t="s">
        <v>8106</v>
      </c>
      <c r="C16825" s="2" t="s">
        <v>8174</v>
      </c>
      <c r="D16825" s="3" t="str">
        <f>HYPERLINK("https://12go.asia/en/travel/Krabi-Airport/Krabi-Hotel-Transfer", "12Go Link")</f>
        <v>12Go Link</v>
      </c>
      <c r="E16825" s="2" t="s">
        <v>8175</v>
      </c>
    </row>
    <row r="16826">
      <c r="A16826" s="2" t="s">
        <v>8106</v>
      </c>
      <c r="B16826" s="2" t="s">
        <v>8106</v>
      </c>
      <c r="C16826" s="2" t="s">
        <v>8176</v>
      </c>
      <c r="D16826" s="3" t="str">
        <f>HYPERLINK("https://12go.asia/en/travel/Krabi-Hotel-Transfer/Krabi-Airport", "12Go Link")</f>
        <v>12Go Link</v>
      </c>
      <c r="E16826" s="2" t="s">
        <v>4005</v>
      </c>
    </row>
    <row r="16827">
      <c r="A16827" s="2" t="s">
        <v>8106</v>
      </c>
      <c r="B16827" s="2" t="s">
        <v>8075</v>
      </c>
      <c r="C16827" s="2" t="s">
        <v>8177</v>
      </c>
      <c r="D16827" s="3" t="str">
        <f>HYPERLINK("https://12go.asia/en/travel/Krabi-Hotel-Transfer/Phuket-Airport", "12Go Link")</f>
        <v>12Go Link</v>
      </c>
      <c r="E16827" s="2" t="s">
        <v>4095</v>
      </c>
    </row>
    <row r="16828">
      <c r="A16828" s="2" t="s">
        <v>8106</v>
      </c>
      <c r="B16828" s="2" t="s">
        <v>8075</v>
      </c>
      <c r="C16828" s="2" t="s">
        <v>8178</v>
      </c>
      <c r="D16828" s="3" t="str">
        <f>HYPERLINK("https://12go.asia/en/travel/Krabi-Hotel-Transfer/Phuket-Hotel-Transfer", "12Go Link")</f>
        <v>12Go Link</v>
      </c>
      <c r="E16828" s="2" t="s">
        <v>4095</v>
      </c>
    </row>
    <row r="16829">
      <c r="A16829" s="2" t="s">
        <v>8106</v>
      </c>
      <c r="B16829" s="2" t="s">
        <v>284</v>
      </c>
      <c r="C16829" s="2" t="s">
        <v>8179</v>
      </c>
      <c r="D16829" s="3" t="str">
        <f t="shared" ref="D16829:D16831" si="4332">HYPERLINK("https://12go.asia/en/travel/Krabi-Town-Hotel-Transfer/Ban-Krut", "12Go Link")</f>
        <v>12Go Link</v>
      </c>
      <c r="E16829" s="2" t="s">
        <v>286</v>
      </c>
    </row>
    <row r="16830">
      <c r="A16830" s="2" t="s">
        <v>8106</v>
      </c>
      <c r="B16830" s="2" t="s">
        <v>284</v>
      </c>
      <c r="C16830" s="2" t="s">
        <v>8179</v>
      </c>
      <c r="D16830" s="3" t="str">
        <f t="shared" si="4332"/>
        <v>12Go Link</v>
      </c>
      <c r="E16830" s="2" t="s">
        <v>287</v>
      </c>
    </row>
    <row r="16831">
      <c r="A16831" s="2" t="s">
        <v>8106</v>
      </c>
      <c r="B16831" s="2" t="s">
        <v>284</v>
      </c>
      <c r="C16831" s="2" t="s">
        <v>8179</v>
      </c>
      <c r="D16831" s="3" t="str">
        <f t="shared" si="4332"/>
        <v>12Go Link</v>
      </c>
      <c r="E16831" s="2" t="s">
        <v>288</v>
      </c>
    </row>
    <row r="16832">
      <c r="A16832" s="2" t="s">
        <v>8180</v>
      </c>
      <c r="B16832" s="2" t="s">
        <v>284</v>
      </c>
      <c r="C16832" s="2" t="s">
        <v>8181</v>
      </c>
      <c r="D16832" s="3" t="str">
        <f t="shared" ref="D16832:D16834" si="4333">HYPERLINK("https://12go.asia/en/travel/Lopburi/Ban-Krut", "12Go Link")</f>
        <v>12Go Link</v>
      </c>
      <c r="E16832" s="2" t="s">
        <v>286</v>
      </c>
    </row>
    <row r="16833">
      <c r="A16833" s="2" t="s">
        <v>8180</v>
      </c>
      <c r="B16833" s="2" t="s">
        <v>284</v>
      </c>
      <c r="C16833" s="2" t="s">
        <v>8181</v>
      </c>
      <c r="D16833" s="3" t="str">
        <f t="shared" si="4333"/>
        <v>12Go Link</v>
      </c>
      <c r="E16833" s="2" t="s">
        <v>287</v>
      </c>
    </row>
    <row r="16834">
      <c r="A16834" s="2" t="s">
        <v>8180</v>
      </c>
      <c r="B16834" s="2" t="s">
        <v>284</v>
      </c>
      <c r="C16834" s="2" t="s">
        <v>8181</v>
      </c>
      <c r="D16834" s="3" t="str">
        <f t="shared" si="4333"/>
        <v>12Go Link</v>
      </c>
      <c r="E16834" s="2" t="s">
        <v>288</v>
      </c>
    </row>
    <row r="16835">
      <c r="A16835" s="2" t="s">
        <v>8182</v>
      </c>
      <c r="B16835" s="2" t="s">
        <v>284</v>
      </c>
      <c r="C16835" s="2" t="s">
        <v>8183</v>
      </c>
      <c r="D16835" s="3" t="str">
        <f t="shared" ref="D16835:D16837" si="4334">HYPERLINK("https://12go.asia/en/travel/Mae-Sot-Transfer/Ban-Krut", "12Go Link")</f>
        <v>12Go Link</v>
      </c>
      <c r="E16835" s="2" t="s">
        <v>286</v>
      </c>
    </row>
    <row r="16836">
      <c r="A16836" s="2" t="s">
        <v>8182</v>
      </c>
      <c r="B16836" s="2" t="s">
        <v>284</v>
      </c>
      <c r="C16836" s="2" t="s">
        <v>8183</v>
      </c>
      <c r="D16836" s="3" t="str">
        <f t="shared" si="4334"/>
        <v>12Go Link</v>
      </c>
      <c r="E16836" s="2" t="s">
        <v>287</v>
      </c>
    </row>
    <row r="16837">
      <c r="A16837" s="2" t="s">
        <v>8182</v>
      </c>
      <c r="B16837" s="2" t="s">
        <v>284</v>
      </c>
      <c r="C16837" s="2" t="s">
        <v>8183</v>
      </c>
      <c r="D16837" s="3" t="str">
        <f t="shared" si="4334"/>
        <v>12Go Link</v>
      </c>
      <c r="E16837" s="2" t="s">
        <v>288</v>
      </c>
    </row>
    <row r="16838">
      <c r="A16838" s="2" t="s">
        <v>8184</v>
      </c>
      <c r="B16838" s="2" t="s">
        <v>8084</v>
      </c>
      <c r="C16838" s="2" t="s">
        <v>8185</v>
      </c>
      <c r="D16838" s="3" t="str">
        <f t="shared" ref="D16838:D16840" si="4335">HYPERLINK("https://12go.asia/en/travel/Pai-Hotel-Transfer/Chiang-Rai-Hotel-Transfer", "12Go Link")</f>
        <v>12Go Link</v>
      </c>
      <c r="E16838" s="2" t="s">
        <v>3780</v>
      </c>
    </row>
    <row r="16839">
      <c r="A16839" s="2" t="s">
        <v>8184</v>
      </c>
      <c r="B16839" s="2" t="s">
        <v>8084</v>
      </c>
      <c r="C16839" s="2" t="s">
        <v>8185</v>
      </c>
      <c r="D16839" s="3" t="str">
        <f t="shared" si="4335"/>
        <v>12Go Link</v>
      </c>
      <c r="E16839" s="2" t="s">
        <v>3407</v>
      </c>
    </row>
    <row r="16840">
      <c r="A16840" s="2" t="s">
        <v>8184</v>
      </c>
      <c r="B16840" s="2" t="s">
        <v>8084</v>
      </c>
      <c r="C16840" s="2" t="s">
        <v>8185</v>
      </c>
      <c r="D16840" s="3" t="str">
        <f t="shared" si="4335"/>
        <v>12Go Link</v>
      </c>
      <c r="E16840" s="2" t="s">
        <v>4009</v>
      </c>
    </row>
    <row r="16841">
      <c r="A16841" s="2" t="s">
        <v>8184</v>
      </c>
      <c r="B16841" s="2" t="s">
        <v>8084</v>
      </c>
      <c r="C16841" s="2" t="s">
        <v>8186</v>
      </c>
      <c r="D16841" s="3" t="str">
        <f t="shared" ref="D16841:D16843" si="4336">HYPERLINK("https://12go.asia/en/travel/Pai-Hotel-Transfer/Chiang-Saen-Border", "12Go Link")</f>
        <v>12Go Link</v>
      </c>
      <c r="E16841" s="2" t="s">
        <v>3780</v>
      </c>
    </row>
    <row r="16842">
      <c r="A16842" s="2" t="s">
        <v>8184</v>
      </c>
      <c r="B16842" s="2" t="s">
        <v>8084</v>
      </c>
      <c r="C16842" s="2" t="s">
        <v>8186</v>
      </c>
      <c r="D16842" s="3" t="str">
        <f t="shared" si="4336"/>
        <v>12Go Link</v>
      </c>
      <c r="E16842" s="2" t="s">
        <v>3407</v>
      </c>
    </row>
    <row r="16843">
      <c r="A16843" s="2" t="s">
        <v>8184</v>
      </c>
      <c r="B16843" s="2" t="s">
        <v>8084</v>
      </c>
      <c r="C16843" s="2" t="s">
        <v>8186</v>
      </c>
      <c r="D16843" s="3" t="str">
        <f t="shared" si="4336"/>
        <v>12Go Link</v>
      </c>
      <c r="E16843" s="2" t="s">
        <v>4009</v>
      </c>
    </row>
    <row r="16844">
      <c r="A16844" s="2" t="s">
        <v>8187</v>
      </c>
      <c r="B16844" s="2" t="s">
        <v>284</v>
      </c>
      <c r="C16844" s="2" t="s">
        <v>8188</v>
      </c>
      <c r="D16844" s="3" t="str">
        <f t="shared" ref="D16844:D16846" si="4337">HYPERLINK("https://12go.asia/en/travel/Pattaya-Hotel-Transfer/Ban-Krut", "12Go Link")</f>
        <v>12Go Link</v>
      </c>
      <c r="E16844" s="2" t="s">
        <v>286</v>
      </c>
    </row>
    <row r="16845">
      <c r="A16845" s="2" t="s">
        <v>8187</v>
      </c>
      <c r="B16845" s="2" t="s">
        <v>284</v>
      </c>
      <c r="C16845" s="2" t="s">
        <v>8188</v>
      </c>
      <c r="D16845" s="3" t="str">
        <f t="shared" si="4337"/>
        <v>12Go Link</v>
      </c>
      <c r="E16845" s="2" t="s">
        <v>287</v>
      </c>
    </row>
    <row r="16846">
      <c r="A16846" s="2" t="s">
        <v>8187</v>
      </c>
      <c r="B16846" s="2" t="s">
        <v>284</v>
      </c>
      <c r="C16846" s="2" t="s">
        <v>8188</v>
      </c>
      <c r="D16846" s="3" t="str">
        <f t="shared" si="4337"/>
        <v>12Go Link</v>
      </c>
      <c r="E16846" s="2" t="s">
        <v>288</v>
      </c>
    </row>
    <row r="16847">
      <c r="A16847" s="2" t="s">
        <v>8189</v>
      </c>
      <c r="B16847" s="2" t="s">
        <v>8099</v>
      </c>
      <c r="C16847" s="2" t="s">
        <v>8190</v>
      </c>
      <c r="D16847" s="3" t="str">
        <f>HYPERLINK("https://12go.asia/en/travel/Phang-Nga-Hotel-Transfer/Khao-Lak-Transfer", "12Go Link")</f>
        <v>12Go Link</v>
      </c>
      <c r="E16847" s="2" t="s">
        <v>4095</v>
      </c>
    </row>
    <row r="16848">
      <c r="A16848" s="2" t="s">
        <v>8191</v>
      </c>
      <c r="B16848" s="2" t="s">
        <v>284</v>
      </c>
      <c r="C16848" s="2" t="s">
        <v>8192</v>
      </c>
      <c r="D16848" s="3" t="str">
        <f t="shared" ref="D16848:D16850" si="4338">HYPERLINK("https://12go.asia/en/travel/Phitsanulok-Hotel-Transfer/Ban-Krut", "12Go Link")</f>
        <v>12Go Link</v>
      </c>
      <c r="E16848" s="2" t="s">
        <v>286</v>
      </c>
    </row>
    <row r="16849">
      <c r="A16849" s="2" t="s">
        <v>8191</v>
      </c>
      <c r="B16849" s="2" t="s">
        <v>284</v>
      </c>
      <c r="C16849" s="2" t="s">
        <v>8192</v>
      </c>
      <c r="D16849" s="3" t="str">
        <f t="shared" si="4338"/>
        <v>12Go Link</v>
      </c>
      <c r="E16849" s="2" t="s">
        <v>287</v>
      </c>
    </row>
    <row r="16850">
      <c r="A16850" s="2" t="s">
        <v>8191</v>
      </c>
      <c r="B16850" s="2" t="s">
        <v>284</v>
      </c>
      <c r="C16850" s="2" t="s">
        <v>8192</v>
      </c>
      <c r="D16850" s="3" t="str">
        <f t="shared" si="4338"/>
        <v>12Go Link</v>
      </c>
      <c r="E16850" s="2" t="s">
        <v>288</v>
      </c>
    </row>
    <row r="16851">
      <c r="A16851" s="2" t="s">
        <v>8075</v>
      </c>
      <c r="B16851" s="2" t="s">
        <v>8157</v>
      </c>
      <c r="C16851" s="2" t="s">
        <v>8193</v>
      </c>
      <c r="D16851" s="3" t="str">
        <f>HYPERLINK("https://12go.asia/en/travel/Phuket-Town-Transfer/Ton-Sai-Pier-Koh-Phi-Phi", "12Go Link")</f>
        <v>12Go Link</v>
      </c>
      <c r="E16851" s="2" t="s">
        <v>8159</v>
      </c>
    </row>
    <row r="16852">
      <c r="A16852" s="2" t="s">
        <v>8075</v>
      </c>
      <c r="B16852" s="2" t="s">
        <v>8075</v>
      </c>
      <c r="C16852" s="2" t="s">
        <v>8194</v>
      </c>
      <c r="D16852" s="3" t="str">
        <f>HYPERLINK("https://12go.asia/en/travel/Ao-Makham/Phuket-Airport", "12Go Link")</f>
        <v>12Go Link</v>
      </c>
      <c r="E16852" s="2" t="s">
        <v>4095</v>
      </c>
    </row>
    <row r="16853">
      <c r="A16853" s="2" t="s">
        <v>8075</v>
      </c>
      <c r="B16853" s="2" t="s">
        <v>8075</v>
      </c>
      <c r="C16853" s="2" t="s">
        <v>8195</v>
      </c>
      <c r="D16853" s="3" t="str">
        <f>HYPERLINK("https://12go.asia/en/travel/Ao-Por/Phuket-Airport", "12Go Link")</f>
        <v>12Go Link</v>
      </c>
      <c r="E16853" s="2" t="s">
        <v>4095</v>
      </c>
    </row>
    <row r="16854">
      <c r="A16854" s="2" t="s">
        <v>8075</v>
      </c>
      <c r="B16854" s="2" t="s">
        <v>8075</v>
      </c>
      <c r="C16854" s="2" t="s">
        <v>8196</v>
      </c>
      <c r="D16854" s="3" t="str">
        <f>HYPERLINK("https://12go.asia/en/travel/Bang-Tao-Beach/Phuket-Airport", "12Go Link")</f>
        <v>12Go Link</v>
      </c>
      <c r="E16854" s="2" t="s">
        <v>4095</v>
      </c>
    </row>
    <row r="16855">
      <c r="A16855" s="2" t="s">
        <v>8075</v>
      </c>
      <c r="B16855" s="2" t="s">
        <v>8075</v>
      </c>
      <c r="C16855" s="2" t="s">
        <v>8197</v>
      </c>
      <c r="D16855" s="3" t="str">
        <f>HYPERLINK("https://12go.asia/en/travel/Boat-Lagoon-Pier-Phuket/Phuket-Airport", "12Go Link")</f>
        <v>12Go Link</v>
      </c>
      <c r="E16855" s="2" t="s">
        <v>4095</v>
      </c>
    </row>
    <row r="16856">
      <c r="A16856" s="2" t="s">
        <v>8075</v>
      </c>
      <c r="B16856" s="2" t="s">
        <v>8075</v>
      </c>
      <c r="C16856" s="2" t="s">
        <v>8198</v>
      </c>
      <c r="D16856" s="3" t="str">
        <f>HYPERLINK("https://12go.asia/en/travel/Kamala/Phuket-Airport", "12Go Link")</f>
        <v>12Go Link</v>
      </c>
      <c r="E16856" s="2" t="s">
        <v>4095</v>
      </c>
    </row>
    <row r="16857">
      <c r="A16857" s="2" t="s">
        <v>8075</v>
      </c>
      <c r="B16857" s="2" t="s">
        <v>8075</v>
      </c>
      <c r="C16857" s="2" t="s">
        <v>8199</v>
      </c>
      <c r="D16857" s="3" t="str">
        <f>HYPERLINK("https://12go.asia/en/travel/Kata-Beach/Phuket-Airport", "12Go Link")</f>
        <v>12Go Link</v>
      </c>
      <c r="E16857" s="2" t="s">
        <v>4095</v>
      </c>
    </row>
    <row r="16858">
      <c r="A16858" s="2" t="s">
        <v>8075</v>
      </c>
      <c r="B16858" s="2" t="s">
        <v>8075</v>
      </c>
      <c r="C16858" s="2" t="s">
        <v>8200</v>
      </c>
      <c r="D16858" s="3" t="str">
        <f>HYPERLINK("https://12go.asia/en/travel/Koh-Siray/Phuket-Airport", "12Go Link")</f>
        <v>12Go Link</v>
      </c>
      <c r="E16858" s="2" t="s">
        <v>4095</v>
      </c>
    </row>
    <row r="16859">
      <c r="A16859" s="2" t="s">
        <v>8075</v>
      </c>
      <c r="B16859" s="2" t="s">
        <v>8075</v>
      </c>
      <c r="C16859" s="2" t="s">
        <v>8201</v>
      </c>
      <c r="D16859" s="3" t="str">
        <f>HYPERLINK("https://12go.asia/en/travel/Laguna-Phuket/Phuket-Airport", "12Go Link")</f>
        <v>12Go Link</v>
      </c>
      <c r="E16859" s="2" t="s">
        <v>4095</v>
      </c>
    </row>
    <row r="16860">
      <c r="A16860" s="2" t="s">
        <v>8075</v>
      </c>
      <c r="B16860" s="2" t="s">
        <v>8075</v>
      </c>
      <c r="C16860" s="2" t="s">
        <v>8202</v>
      </c>
      <c r="D16860" s="3" t="str">
        <f>HYPERLINK("https://12go.asia/en/travel/Layan-Beach/Phuket-Airport", "12Go Link")</f>
        <v>12Go Link</v>
      </c>
      <c r="E16860" s="2" t="s">
        <v>4095</v>
      </c>
    </row>
    <row r="16861">
      <c r="A16861" s="2" t="s">
        <v>8075</v>
      </c>
      <c r="B16861" s="2" t="s">
        <v>8075</v>
      </c>
      <c r="C16861" s="2" t="s">
        <v>8203</v>
      </c>
      <c r="D16861" s="3" t="str">
        <f>HYPERLINK("https://12go.asia/en/travel/Mai-Khao/Phuket-Airport", "12Go Link")</f>
        <v>12Go Link</v>
      </c>
      <c r="E16861" s="2" t="s">
        <v>4095</v>
      </c>
    </row>
    <row r="16862">
      <c r="A16862" s="2" t="s">
        <v>8075</v>
      </c>
      <c r="B16862" s="2" t="s">
        <v>8075</v>
      </c>
      <c r="C16862" s="2" t="s">
        <v>8204</v>
      </c>
      <c r="D16862" s="3" t="str">
        <f>HYPERLINK("https://12go.asia/en/travel/Nai-Harn-Beach-Phuket/Phuket-Airport", "12Go Link")</f>
        <v>12Go Link</v>
      </c>
      <c r="E16862" s="2" t="s">
        <v>4095</v>
      </c>
    </row>
    <row r="16863">
      <c r="A16863" s="2" t="s">
        <v>8075</v>
      </c>
      <c r="B16863" s="2" t="s">
        <v>8075</v>
      </c>
      <c r="C16863" s="2" t="s">
        <v>8205</v>
      </c>
      <c r="D16863" s="3" t="str">
        <f>HYPERLINK("https://12go.asia/en/travel/Naithon-Beach/Phuket-Airport", "12Go Link")</f>
        <v>12Go Link</v>
      </c>
      <c r="E16863" s="2" t="s">
        <v>4095</v>
      </c>
    </row>
    <row r="16864">
      <c r="A16864" s="2" t="s">
        <v>8075</v>
      </c>
      <c r="B16864" s="2" t="s">
        <v>8075</v>
      </c>
      <c r="C16864" s="2" t="s">
        <v>8206</v>
      </c>
      <c r="D16864" s="3" t="str">
        <f>HYPERLINK("https://12go.asia/en/travel/Naiyang-Beach-Hotel-Transfer/Phuket-Airport", "12Go Link")</f>
        <v>12Go Link</v>
      </c>
      <c r="E16864" s="2" t="s">
        <v>4095</v>
      </c>
    </row>
    <row r="16865">
      <c r="A16865" s="2" t="s">
        <v>8075</v>
      </c>
      <c r="B16865" s="2" t="s">
        <v>8075</v>
      </c>
      <c r="C16865" s="2" t="s">
        <v>8207</v>
      </c>
      <c r="D16865" s="3" t="str">
        <f>HYPERLINK("https://12go.asia/en/travel/Panwa-Cape-Phuket/Phuket-Airport", "12Go Link")</f>
        <v>12Go Link</v>
      </c>
      <c r="E16865" s="2" t="s">
        <v>4095</v>
      </c>
    </row>
    <row r="16866">
      <c r="A16866" s="2" t="s">
        <v>8075</v>
      </c>
      <c r="B16866" s="2" t="s">
        <v>8075</v>
      </c>
      <c r="C16866" s="2" t="s">
        <v>8208</v>
      </c>
      <c r="D16866" s="3" t="str">
        <f>HYPERLINK("https://12go.asia/en/travel/Patong-Beach-Phuket/Phuket-Airport", "12Go Link")</f>
        <v>12Go Link</v>
      </c>
      <c r="E16866" s="2" t="s">
        <v>4095</v>
      </c>
    </row>
    <row r="16867">
      <c r="A16867" s="2" t="s">
        <v>8075</v>
      </c>
      <c r="B16867" s="2" t="s">
        <v>8075</v>
      </c>
      <c r="C16867" s="2" t="s">
        <v>8209</v>
      </c>
      <c r="D16867" s="3" t="str">
        <f>HYPERLINK("https://12go.asia/en/travel/Phuket-Town-Transfer/Phuket-Airport", "12Go Link")</f>
        <v>12Go Link</v>
      </c>
      <c r="E16867" s="2" t="s">
        <v>4095</v>
      </c>
    </row>
    <row r="16868">
      <c r="A16868" s="2" t="s">
        <v>8075</v>
      </c>
      <c r="B16868" s="2" t="s">
        <v>8075</v>
      </c>
      <c r="C16868" s="2" t="s">
        <v>8210</v>
      </c>
      <c r="D16868" s="3" t="str">
        <f>HYPERLINK("https://12go.asia/en/travel/Promthep-Cape/Phuket-Airport", "12Go Link")</f>
        <v>12Go Link</v>
      </c>
      <c r="E16868" s="2" t="s">
        <v>4095</v>
      </c>
    </row>
    <row r="16869">
      <c r="A16869" s="2" t="s">
        <v>8075</v>
      </c>
      <c r="B16869" s="2" t="s">
        <v>8075</v>
      </c>
      <c r="C16869" s="2" t="s">
        <v>8211</v>
      </c>
      <c r="D16869" s="3" t="str">
        <f>HYPERLINK("https://12go.asia/en/travel/Rawai-Beach-Phuket/Phuket-Airport", "12Go Link")</f>
        <v>12Go Link</v>
      </c>
      <c r="E16869" s="2" t="s">
        <v>4095</v>
      </c>
    </row>
    <row r="16870">
      <c r="A16870" s="2" t="s">
        <v>8075</v>
      </c>
      <c r="B16870" s="2" t="s">
        <v>8075</v>
      </c>
      <c r="C16870" s="2" t="s">
        <v>8212</v>
      </c>
      <c r="D16870" s="3" t="str">
        <f>HYPERLINK("https://12go.asia/en/travel/Surin-Beach/Phuket-Airport", "12Go Link")</f>
        <v>12Go Link</v>
      </c>
      <c r="E16870" s="2" t="s">
        <v>4095</v>
      </c>
    </row>
    <row r="16871">
      <c r="A16871" s="2" t="s">
        <v>8075</v>
      </c>
      <c r="B16871" s="2" t="s">
        <v>284</v>
      </c>
      <c r="C16871" s="2" t="s">
        <v>8213</v>
      </c>
      <c r="D16871" s="3" t="str">
        <f t="shared" ref="D16871:D16873" si="4339">HYPERLINK("https://12go.asia/en/travel/Phuket-Town-Transfer/Ban-Krut", "12Go Link")</f>
        <v>12Go Link</v>
      </c>
      <c r="E16871" s="2" t="s">
        <v>286</v>
      </c>
    </row>
    <row r="16872">
      <c r="A16872" s="2" t="s">
        <v>8075</v>
      </c>
      <c r="B16872" s="2" t="s">
        <v>284</v>
      </c>
      <c r="C16872" s="2" t="s">
        <v>8213</v>
      </c>
      <c r="D16872" s="3" t="str">
        <f t="shared" si="4339"/>
        <v>12Go Link</v>
      </c>
      <c r="E16872" s="2" t="s">
        <v>287</v>
      </c>
    </row>
    <row r="16873">
      <c r="A16873" s="2" t="s">
        <v>8075</v>
      </c>
      <c r="B16873" s="2" t="s">
        <v>284</v>
      </c>
      <c r="C16873" s="2" t="s">
        <v>8213</v>
      </c>
      <c r="D16873" s="3" t="str">
        <f t="shared" si="4339"/>
        <v>12Go Link</v>
      </c>
      <c r="E16873" s="2" t="s">
        <v>288</v>
      </c>
    </row>
    <row r="16874">
      <c r="A16874" s="2" t="s">
        <v>284</v>
      </c>
      <c r="B16874" s="2" t="s">
        <v>281</v>
      </c>
      <c r="C16874" s="2" t="s">
        <v>8214</v>
      </c>
      <c r="D16874" s="3" t="str">
        <f t="shared" ref="D16874:D16876" si="4340">HYPERLINK("https://12go.asia/en/travel/Ban-Krut/Battambang-Transfer", "12Go Link")</f>
        <v>12Go Link</v>
      </c>
      <c r="E16874" s="2" t="s">
        <v>286</v>
      </c>
    </row>
    <row r="16875">
      <c r="A16875" s="2" t="s">
        <v>284</v>
      </c>
      <c r="B16875" s="2" t="s">
        <v>281</v>
      </c>
      <c r="C16875" s="2" t="s">
        <v>8214</v>
      </c>
      <c r="D16875" s="3" t="str">
        <f t="shared" si="4340"/>
        <v>12Go Link</v>
      </c>
      <c r="E16875" s="2" t="s">
        <v>287</v>
      </c>
    </row>
    <row r="16876">
      <c r="A16876" s="2" t="s">
        <v>284</v>
      </c>
      <c r="B16876" s="2" t="s">
        <v>281</v>
      </c>
      <c r="C16876" s="2" t="s">
        <v>8214</v>
      </c>
      <c r="D16876" s="3" t="str">
        <f t="shared" si="4340"/>
        <v>12Go Link</v>
      </c>
      <c r="E16876" s="2" t="s">
        <v>288</v>
      </c>
    </row>
    <row r="16877">
      <c r="A16877" s="2" t="s">
        <v>284</v>
      </c>
      <c r="B16877" s="2" t="s">
        <v>282</v>
      </c>
      <c r="C16877" s="2" t="s">
        <v>8215</v>
      </c>
      <c r="D16877" s="3" t="str">
        <f t="shared" ref="D16877:D16879" si="4341">HYPERLINK("https://12go.asia/en/travel/Ban-Krut/Phnom-Penh-Transfer", "12Go Link")</f>
        <v>12Go Link</v>
      </c>
      <c r="E16877" s="2" t="s">
        <v>286</v>
      </c>
    </row>
    <row r="16878">
      <c r="A16878" s="2" t="s">
        <v>284</v>
      </c>
      <c r="B16878" s="2" t="s">
        <v>282</v>
      </c>
      <c r="C16878" s="2" t="s">
        <v>8215</v>
      </c>
      <c r="D16878" s="3" t="str">
        <f t="shared" si="4341"/>
        <v>12Go Link</v>
      </c>
      <c r="E16878" s="2" t="s">
        <v>287</v>
      </c>
    </row>
    <row r="16879">
      <c r="A16879" s="2" t="s">
        <v>284</v>
      </c>
      <c r="B16879" s="2" t="s">
        <v>282</v>
      </c>
      <c r="C16879" s="2" t="s">
        <v>8215</v>
      </c>
      <c r="D16879" s="3" t="str">
        <f t="shared" si="4341"/>
        <v>12Go Link</v>
      </c>
      <c r="E16879" s="2" t="s">
        <v>288</v>
      </c>
    </row>
    <row r="16880">
      <c r="A16880" s="2" t="s">
        <v>284</v>
      </c>
      <c r="B16880" s="2" t="s">
        <v>329</v>
      </c>
      <c r="C16880" s="2" t="s">
        <v>8216</v>
      </c>
      <c r="D16880" s="3" t="str">
        <f t="shared" ref="D16880:D16882" si="4342">HYPERLINK("https://12go.asia/en/travel/Ban-Krut/Siem-Reap", "12Go Link")</f>
        <v>12Go Link</v>
      </c>
      <c r="E16880" s="2" t="s">
        <v>286</v>
      </c>
    </row>
    <row r="16881">
      <c r="A16881" s="2" t="s">
        <v>284</v>
      </c>
      <c r="B16881" s="2" t="s">
        <v>329</v>
      </c>
      <c r="C16881" s="2" t="s">
        <v>8216</v>
      </c>
      <c r="D16881" s="3" t="str">
        <f t="shared" si="4342"/>
        <v>12Go Link</v>
      </c>
      <c r="E16881" s="2" t="s">
        <v>287</v>
      </c>
    </row>
    <row r="16882">
      <c r="A16882" s="2" t="s">
        <v>284</v>
      </c>
      <c r="B16882" s="2" t="s">
        <v>329</v>
      </c>
      <c r="C16882" s="2" t="s">
        <v>8216</v>
      </c>
      <c r="D16882" s="3" t="str">
        <f t="shared" si="4342"/>
        <v>12Go Link</v>
      </c>
      <c r="E16882" s="2" t="s">
        <v>288</v>
      </c>
    </row>
    <row r="16883">
      <c r="A16883" s="2" t="s">
        <v>284</v>
      </c>
      <c r="B16883" s="2" t="s">
        <v>338</v>
      </c>
      <c r="C16883" s="2" t="s">
        <v>8217</v>
      </c>
      <c r="D16883" s="3" t="str">
        <f t="shared" ref="D16883:D16885" si="4343">HYPERLINK("https://12go.asia/en/travel/Ban-Krut/Sihanoukville", "12Go Link")</f>
        <v>12Go Link</v>
      </c>
      <c r="E16883" s="2" t="s">
        <v>286</v>
      </c>
    </row>
    <row r="16884">
      <c r="A16884" s="2" t="s">
        <v>284</v>
      </c>
      <c r="B16884" s="2" t="s">
        <v>338</v>
      </c>
      <c r="C16884" s="2" t="s">
        <v>8217</v>
      </c>
      <c r="D16884" s="3" t="str">
        <f t="shared" si="4343"/>
        <v>12Go Link</v>
      </c>
      <c r="E16884" s="2" t="s">
        <v>287</v>
      </c>
    </row>
    <row r="16885">
      <c r="A16885" s="2" t="s">
        <v>284</v>
      </c>
      <c r="B16885" s="2" t="s">
        <v>338</v>
      </c>
      <c r="C16885" s="2" t="s">
        <v>8217</v>
      </c>
      <c r="D16885" s="3" t="str">
        <f t="shared" si="4343"/>
        <v>12Go Link</v>
      </c>
      <c r="E16885" s="2" t="s">
        <v>288</v>
      </c>
    </row>
    <row r="16886">
      <c r="A16886" s="2" t="s">
        <v>284</v>
      </c>
      <c r="B16886" s="2" t="s">
        <v>8056</v>
      </c>
      <c r="C16886" s="2" t="s">
        <v>8218</v>
      </c>
      <c r="D16886" s="3" t="str">
        <f t="shared" ref="D16886:D16888" si="4344">HYPERLINK("https://12go.asia/en/travel/Ban-Krut/Aranyaprathet", "12Go Link")</f>
        <v>12Go Link</v>
      </c>
      <c r="E16886" s="2" t="s">
        <v>286</v>
      </c>
    </row>
    <row r="16887">
      <c r="A16887" s="2" t="s">
        <v>284</v>
      </c>
      <c r="B16887" s="2" t="s">
        <v>8056</v>
      </c>
      <c r="C16887" s="2" t="s">
        <v>8218</v>
      </c>
      <c r="D16887" s="3" t="str">
        <f t="shared" si="4344"/>
        <v>12Go Link</v>
      </c>
      <c r="E16887" s="2" t="s">
        <v>287</v>
      </c>
    </row>
    <row r="16888">
      <c r="A16888" s="2" t="s">
        <v>284</v>
      </c>
      <c r="B16888" s="2" t="s">
        <v>8056</v>
      </c>
      <c r="C16888" s="2" t="s">
        <v>8218</v>
      </c>
      <c r="D16888" s="3" t="str">
        <f t="shared" si="4344"/>
        <v>12Go Link</v>
      </c>
      <c r="E16888" s="2" t="s">
        <v>288</v>
      </c>
    </row>
    <row r="16889">
      <c r="A16889" s="2" t="s">
        <v>284</v>
      </c>
      <c r="B16889" s="2" t="s">
        <v>8058</v>
      </c>
      <c r="C16889" s="2" t="s">
        <v>8219</v>
      </c>
      <c r="D16889" s="3" t="str">
        <f t="shared" ref="D16889:D16891" si="4345">HYPERLINK("https://12go.asia/en/travel/Ban-Krut/Ayutthaya", "12Go Link")</f>
        <v>12Go Link</v>
      </c>
      <c r="E16889" s="2" t="s">
        <v>286</v>
      </c>
    </row>
    <row r="16890">
      <c r="A16890" s="2" t="s">
        <v>284</v>
      </c>
      <c r="B16890" s="2" t="s">
        <v>8058</v>
      </c>
      <c r="C16890" s="2" t="s">
        <v>8219</v>
      </c>
      <c r="D16890" s="3" t="str">
        <f t="shared" si="4345"/>
        <v>12Go Link</v>
      </c>
      <c r="E16890" s="2" t="s">
        <v>287</v>
      </c>
    </row>
    <row r="16891">
      <c r="A16891" s="2" t="s">
        <v>284</v>
      </c>
      <c r="B16891" s="2" t="s">
        <v>8058</v>
      </c>
      <c r="C16891" s="2" t="s">
        <v>8219</v>
      </c>
      <c r="D16891" s="3" t="str">
        <f t="shared" si="4345"/>
        <v>12Go Link</v>
      </c>
      <c r="E16891" s="2" t="s">
        <v>288</v>
      </c>
    </row>
    <row r="16892">
      <c r="A16892" s="2" t="s">
        <v>284</v>
      </c>
      <c r="B16892" s="2" t="s">
        <v>8060</v>
      </c>
      <c r="C16892" s="2" t="s">
        <v>8220</v>
      </c>
      <c r="D16892" s="3" t="str">
        <f t="shared" ref="D16892:D16894" si="4346">HYPERLINK("https://12go.asia/en/travel/Ban-Krut/Ban-Hat-Lek", "12Go Link")</f>
        <v>12Go Link</v>
      </c>
      <c r="E16892" s="2" t="s">
        <v>286</v>
      </c>
    </row>
    <row r="16893">
      <c r="A16893" s="2" t="s">
        <v>284</v>
      </c>
      <c r="B16893" s="2" t="s">
        <v>8060</v>
      </c>
      <c r="C16893" s="2" t="s">
        <v>8220</v>
      </c>
      <c r="D16893" s="3" t="str">
        <f t="shared" si="4346"/>
        <v>12Go Link</v>
      </c>
      <c r="E16893" s="2" t="s">
        <v>287</v>
      </c>
    </row>
    <row r="16894">
      <c r="A16894" s="2" t="s">
        <v>284</v>
      </c>
      <c r="B16894" s="2" t="s">
        <v>8060</v>
      </c>
      <c r="C16894" s="2" t="s">
        <v>8220</v>
      </c>
      <c r="D16894" s="3" t="str">
        <f t="shared" si="4346"/>
        <v>12Go Link</v>
      </c>
      <c r="E16894" s="2" t="s">
        <v>288</v>
      </c>
    </row>
    <row r="16895">
      <c r="A16895" s="2" t="s">
        <v>284</v>
      </c>
      <c r="B16895" s="2" t="s">
        <v>340</v>
      </c>
      <c r="C16895" s="2" t="s">
        <v>8221</v>
      </c>
      <c r="D16895" s="3" t="str">
        <f t="shared" ref="D16895:D16897" si="4347">HYPERLINK("https://12go.asia/en/travel/Ban-Krut/Bangkok-Transfer", "12Go Link")</f>
        <v>12Go Link</v>
      </c>
      <c r="E16895" s="2" t="s">
        <v>286</v>
      </c>
    </row>
    <row r="16896">
      <c r="A16896" s="2" t="s">
        <v>284</v>
      </c>
      <c r="B16896" s="2" t="s">
        <v>340</v>
      </c>
      <c r="C16896" s="2" t="s">
        <v>8221</v>
      </c>
      <c r="D16896" s="3" t="str">
        <f t="shared" si="4347"/>
        <v>12Go Link</v>
      </c>
      <c r="E16896" s="2" t="s">
        <v>287</v>
      </c>
    </row>
    <row r="16897">
      <c r="A16897" s="2" t="s">
        <v>284</v>
      </c>
      <c r="B16897" s="2" t="s">
        <v>340</v>
      </c>
      <c r="C16897" s="2" t="s">
        <v>8221</v>
      </c>
      <c r="D16897" s="3" t="str">
        <f t="shared" si="4347"/>
        <v>12Go Link</v>
      </c>
      <c r="E16897" s="2" t="s">
        <v>288</v>
      </c>
    </row>
    <row r="16898">
      <c r="A16898" s="2" t="s">
        <v>284</v>
      </c>
      <c r="B16898" s="2" t="s">
        <v>8077</v>
      </c>
      <c r="C16898" s="2" t="s">
        <v>8222</v>
      </c>
      <c r="D16898" s="3" t="str">
        <f t="shared" ref="D16898:D16900" si="4348">HYPERLINK("https://12go.asia/en/travel/Ban-Krut/Chanthaburi-Transfer", "12Go Link")</f>
        <v>12Go Link</v>
      </c>
      <c r="E16898" s="2" t="s">
        <v>286</v>
      </c>
    </row>
    <row r="16899">
      <c r="A16899" s="2" t="s">
        <v>284</v>
      </c>
      <c r="B16899" s="2" t="s">
        <v>8077</v>
      </c>
      <c r="C16899" s="2" t="s">
        <v>8222</v>
      </c>
      <c r="D16899" s="3" t="str">
        <f t="shared" si="4348"/>
        <v>12Go Link</v>
      </c>
      <c r="E16899" s="2" t="s">
        <v>287</v>
      </c>
    </row>
    <row r="16900">
      <c r="A16900" s="2" t="s">
        <v>284</v>
      </c>
      <c r="B16900" s="2" t="s">
        <v>8077</v>
      </c>
      <c r="C16900" s="2" t="s">
        <v>8222</v>
      </c>
      <c r="D16900" s="3" t="str">
        <f t="shared" si="4348"/>
        <v>12Go Link</v>
      </c>
      <c r="E16900" s="2" t="s">
        <v>288</v>
      </c>
    </row>
    <row r="16901">
      <c r="A16901" s="2" t="s">
        <v>284</v>
      </c>
      <c r="B16901" s="2" t="s">
        <v>4108</v>
      </c>
      <c r="C16901" s="2" t="s">
        <v>8223</v>
      </c>
      <c r="D16901" s="3" t="str">
        <f t="shared" ref="D16901:D16903" si="4349">HYPERLINK("https://12go.asia/en/travel/Ban-Krut/Chiang-Mai-Town", "12Go Link")</f>
        <v>12Go Link</v>
      </c>
      <c r="E16901" s="2" t="s">
        <v>286</v>
      </c>
    </row>
    <row r="16902">
      <c r="A16902" s="2" t="s">
        <v>284</v>
      </c>
      <c r="B16902" s="2" t="s">
        <v>4108</v>
      </c>
      <c r="C16902" s="2" t="s">
        <v>8223</v>
      </c>
      <c r="D16902" s="3" t="str">
        <f t="shared" si="4349"/>
        <v>12Go Link</v>
      </c>
      <c r="E16902" s="2" t="s">
        <v>287</v>
      </c>
    </row>
    <row r="16903">
      <c r="A16903" s="2" t="s">
        <v>284</v>
      </c>
      <c r="B16903" s="2" t="s">
        <v>4108</v>
      </c>
      <c r="C16903" s="2" t="s">
        <v>8223</v>
      </c>
      <c r="D16903" s="3" t="str">
        <f t="shared" si="4349"/>
        <v>12Go Link</v>
      </c>
      <c r="E16903" s="2" t="s">
        <v>288</v>
      </c>
    </row>
    <row r="16904">
      <c r="A16904" s="2" t="s">
        <v>284</v>
      </c>
      <c r="B16904" s="2" t="s">
        <v>8084</v>
      </c>
      <c r="C16904" s="2" t="s">
        <v>8224</v>
      </c>
      <c r="D16904" s="3" t="str">
        <f t="shared" ref="D16904:D16906" si="4350">HYPERLINK("https://12go.asia/en/travel/Ban-Krut/Chiang-Rai-Hotel-Transfer", "12Go Link")</f>
        <v>12Go Link</v>
      </c>
      <c r="E16904" s="2" t="s">
        <v>286</v>
      </c>
    </row>
    <row r="16905">
      <c r="A16905" s="2" t="s">
        <v>284</v>
      </c>
      <c r="B16905" s="2" t="s">
        <v>8084</v>
      </c>
      <c r="C16905" s="2" t="s">
        <v>8224</v>
      </c>
      <c r="D16905" s="3" t="str">
        <f t="shared" si="4350"/>
        <v>12Go Link</v>
      </c>
      <c r="E16905" s="2" t="s">
        <v>287</v>
      </c>
    </row>
    <row r="16906">
      <c r="A16906" s="2" t="s">
        <v>284</v>
      </c>
      <c r="B16906" s="2" t="s">
        <v>8084</v>
      </c>
      <c r="C16906" s="2" t="s">
        <v>8224</v>
      </c>
      <c r="D16906" s="3" t="str">
        <f t="shared" si="4350"/>
        <v>12Go Link</v>
      </c>
      <c r="E16906" s="2" t="s">
        <v>288</v>
      </c>
    </row>
    <row r="16907">
      <c r="A16907" s="2" t="s">
        <v>284</v>
      </c>
      <c r="B16907" s="2" t="s">
        <v>8098</v>
      </c>
      <c r="C16907" s="2" t="s">
        <v>8225</v>
      </c>
      <c r="D16907" s="3" t="str">
        <f t="shared" ref="D16907:D16909" si="4351">HYPERLINK("https://12go.asia/en/travel/Ban-Krut/Chumphon-Hotel-Transfer", "12Go Link")</f>
        <v>12Go Link</v>
      </c>
      <c r="E16907" s="2" t="s">
        <v>286</v>
      </c>
    </row>
    <row r="16908">
      <c r="A16908" s="2" t="s">
        <v>284</v>
      </c>
      <c r="B16908" s="2" t="s">
        <v>8098</v>
      </c>
      <c r="C16908" s="2" t="s">
        <v>8225</v>
      </c>
      <c r="D16908" s="3" t="str">
        <f t="shared" si="4351"/>
        <v>12Go Link</v>
      </c>
      <c r="E16908" s="2" t="s">
        <v>287</v>
      </c>
    </row>
    <row r="16909">
      <c r="A16909" s="2" t="s">
        <v>284</v>
      </c>
      <c r="B16909" s="2" t="s">
        <v>8098</v>
      </c>
      <c r="C16909" s="2" t="s">
        <v>8225</v>
      </c>
      <c r="D16909" s="3" t="str">
        <f t="shared" si="4351"/>
        <v>12Go Link</v>
      </c>
      <c r="E16909" s="2" t="s">
        <v>288</v>
      </c>
    </row>
    <row r="16910">
      <c r="A16910" s="2" t="s">
        <v>284</v>
      </c>
      <c r="B16910" s="2" t="s">
        <v>4307</v>
      </c>
      <c r="C16910" s="2" t="s">
        <v>8226</v>
      </c>
      <c r="D16910" s="3" t="str">
        <f t="shared" ref="D16910:D16912" si="4352">HYPERLINK("https://12go.asia/en/travel/Ban-Krut/Don-Mueang-Airport", "12Go Link")</f>
        <v>12Go Link</v>
      </c>
      <c r="E16910" s="2" t="s">
        <v>286</v>
      </c>
    </row>
    <row r="16911">
      <c r="A16911" s="2" t="s">
        <v>284</v>
      </c>
      <c r="B16911" s="2" t="s">
        <v>4307</v>
      </c>
      <c r="C16911" s="2" t="s">
        <v>8226</v>
      </c>
      <c r="D16911" s="3" t="str">
        <f t="shared" si="4352"/>
        <v>12Go Link</v>
      </c>
      <c r="E16911" s="2" t="s">
        <v>287</v>
      </c>
    </row>
    <row r="16912">
      <c r="A16912" s="2" t="s">
        <v>284</v>
      </c>
      <c r="B16912" s="2" t="s">
        <v>4307</v>
      </c>
      <c r="C16912" s="2" t="s">
        <v>8226</v>
      </c>
      <c r="D16912" s="3" t="str">
        <f t="shared" si="4352"/>
        <v>12Go Link</v>
      </c>
      <c r="E16912" s="2" t="s">
        <v>288</v>
      </c>
    </row>
    <row r="16913">
      <c r="A16913" s="2" t="s">
        <v>284</v>
      </c>
      <c r="B16913" s="2" t="s">
        <v>8104</v>
      </c>
      <c r="C16913" s="2" t="s">
        <v>8227</v>
      </c>
      <c r="D16913" s="3" t="str">
        <f t="shared" ref="D16913:D16915" si="4353">HYPERLINK("https://12go.asia/en/travel/Ban-Krut/Donsak-Piers", "12Go Link")</f>
        <v>12Go Link</v>
      </c>
      <c r="E16913" s="2" t="s">
        <v>286</v>
      </c>
    </row>
    <row r="16914">
      <c r="A16914" s="2" t="s">
        <v>284</v>
      </c>
      <c r="B16914" s="2" t="s">
        <v>8104</v>
      </c>
      <c r="C16914" s="2" t="s">
        <v>8227</v>
      </c>
      <c r="D16914" s="3" t="str">
        <f t="shared" si="4353"/>
        <v>12Go Link</v>
      </c>
      <c r="E16914" s="2" t="s">
        <v>287</v>
      </c>
    </row>
    <row r="16915">
      <c r="A16915" s="2" t="s">
        <v>284</v>
      </c>
      <c r="B16915" s="2" t="s">
        <v>8104</v>
      </c>
      <c r="C16915" s="2" t="s">
        <v>8227</v>
      </c>
      <c r="D16915" s="3" t="str">
        <f t="shared" si="4353"/>
        <v>12Go Link</v>
      </c>
      <c r="E16915" s="2" t="s">
        <v>288</v>
      </c>
    </row>
    <row r="16916">
      <c r="A16916" s="2" t="s">
        <v>284</v>
      </c>
      <c r="B16916" s="2" t="s">
        <v>8122</v>
      </c>
      <c r="C16916" s="2" t="s">
        <v>8228</v>
      </c>
      <c r="D16916" s="3" t="str">
        <f t="shared" ref="D16916:D16918" si="4354">HYPERLINK("https://12go.asia/en/travel/Ban-Krut/Hua-Hin", "12Go Link")</f>
        <v>12Go Link</v>
      </c>
      <c r="E16916" s="2" t="s">
        <v>286</v>
      </c>
    </row>
    <row r="16917">
      <c r="A16917" s="2" t="s">
        <v>284</v>
      </c>
      <c r="B16917" s="2" t="s">
        <v>8122</v>
      </c>
      <c r="C16917" s="2" t="s">
        <v>8228</v>
      </c>
      <c r="D16917" s="3" t="str">
        <f t="shared" si="4354"/>
        <v>12Go Link</v>
      </c>
      <c r="E16917" s="2" t="s">
        <v>287</v>
      </c>
    </row>
    <row r="16918">
      <c r="A16918" s="2" t="s">
        <v>284</v>
      </c>
      <c r="B16918" s="2" t="s">
        <v>8122</v>
      </c>
      <c r="C16918" s="2" t="s">
        <v>8228</v>
      </c>
      <c r="D16918" s="3" t="str">
        <f t="shared" si="4354"/>
        <v>12Go Link</v>
      </c>
      <c r="E16918" s="2" t="s">
        <v>288</v>
      </c>
    </row>
    <row r="16919">
      <c r="A16919" s="2" t="s">
        <v>284</v>
      </c>
      <c r="B16919" s="2" t="s">
        <v>8122</v>
      </c>
      <c r="C16919" s="2" t="s">
        <v>8229</v>
      </c>
      <c r="D16919" s="3" t="str">
        <f t="shared" ref="D16919:D16922" si="4355">HYPERLINK("https://12go.asia/en/travel/Prachuap-Khiri-Khan/Hua-Hin-Hotel-Transfer", "12Go Link")</f>
        <v>12Go Link</v>
      </c>
      <c r="E16919" s="2" t="s">
        <v>286</v>
      </c>
    </row>
    <row r="16920">
      <c r="A16920" s="2" t="s">
        <v>284</v>
      </c>
      <c r="B16920" s="2" t="s">
        <v>8122</v>
      </c>
      <c r="C16920" s="2" t="s">
        <v>8229</v>
      </c>
      <c r="D16920" s="3" t="str">
        <f t="shared" si="4355"/>
        <v>12Go Link</v>
      </c>
      <c r="E16920" s="2" t="s">
        <v>3780</v>
      </c>
    </row>
    <row r="16921">
      <c r="A16921" s="2" t="s">
        <v>284</v>
      </c>
      <c r="B16921" s="2" t="s">
        <v>8122</v>
      </c>
      <c r="C16921" s="2" t="s">
        <v>8229</v>
      </c>
      <c r="D16921" s="3" t="str">
        <f t="shared" si="4355"/>
        <v>12Go Link</v>
      </c>
      <c r="E16921" s="2" t="s">
        <v>3407</v>
      </c>
    </row>
    <row r="16922">
      <c r="A16922" s="2" t="s">
        <v>284</v>
      </c>
      <c r="B16922" s="2" t="s">
        <v>8122</v>
      </c>
      <c r="C16922" s="2" t="s">
        <v>8229</v>
      </c>
      <c r="D16922" s="3" t="str">
        <f t="shared" si="4355"/>
        <v>12Go Link</v>
      </c>
      <c r="E16922" s="2" t="s">
        <v>8230</v>
      </c>
    </row>
    <row r="16923">
      <c r="A16923" s="2" t="s">
        <v>284</v>
      </c>
      <c r="B16923" s="2" t="s">
        <v>8124</v>
      </c>
      <c r="C16923" s="2" t="s">
        <v>8231</v>
      </c>
      <c r="D16923" s="3" t="str">
        <f t="shared" ref="D16923:D16925" si="4356">HYPERLINK("https://12go.asia/en/travel/Ban-Krut/Kanchanaburi-Hotel-Transfer", "12Go Link")</f>
        <v>12Go Link</v>
      </c>
      <c r="E16923" s="2" t="s">
        <v>286</v>
      </c>
    </row>
    <row r="16924">
      <c r="A16924" s="2" t="s">
        <v>284</v>
      </c>
      <c r="B16924" s="2" t="s">
        <v>8124</v>
      </c>
      <c r="C16924" s="2" t="s">
        <v>8231</v>
      </c>
      <c r="D16924" s="3" t="str">
        <f t="shared" si="4356"/>
        <v>12Go Link</v>
      </c>
      <c r="E16924" s="2" t="s">
        <v>287</v>
      </c>
    </row>
    <row r="16925">
      <c r="A16925" s="2" t="s">
        <v>284</v>
      </c>
      <c r="B16925" s="2" t="s">
        <v>8124</v>
      </c>
      <c r="C16925" s="2" t="s">
        <v>8231</v>
      </c>
      <c r="D16925" s="3" t="str">
        <f t="shared" si="4356"/>
        <v>12Go Link</v>
      </c>
      <c r="E16925" s="2" t="s">
        <v>288</v>
      </c>
    </row>
    <row r="16926">
      <c r="A16926" s="2" t="s">
        <v>284</v>
      </c>
      <c r="B16926" s="2" t="s">
        <v>8131</v>
      </c>
      <c r="C16926" s="2" t="s">
        <v>8232</v>
      </c>
      <c r="D16926" s="3" t="str">
        <f t="shared" ref="D16926:D16928" si="4357">HYPERLINK("https://12go.asia/en/travel/Ban-Krut/Khao-Sok-Hotel-Transfer", "12Go Link")</f>
        <v>12Go Link</v>
      </c>
      <c r="E16926" s="2" t="s">
        <v>286</v>
      </c>
    </row>
    <row r="16927">
      <c r="A16927" s="2" t="s">
        <v>284</v>
      </c>
      <c r="B16927" s="2" t="s">
        <v>8131</v>
      </c>
      <c r="C16927" s="2" t="s">
        <v>8232</v>
      </c>
      <c r="D16927" s="3" t="str">
        <f t="shared" si="4357"/>
        <v>12Go Link</v>
      </c>
      <c r="E16927" s="2" t="s">
        <v>287</v>
      </c>
    </row>
    <row r="16928">
      <c r="A16928" s="2" t="s">
        <v>284</v>
      </c>
      <c r="B16928" s="2" t="s">
        <v>8131</v>
      </c>
      <c r="C16928" s="2" t="s">
        <v>8232</v>
      </c>
      <c r="D16928" s="3" t="str">
        <f t="shared" si="4357"/>
        <v>12Go Link</v>
      </c>
      <c r="E16928" s="2" t="s">
        <v>288</v>
      </c>
    </row>
    <row r="16929">
      <c r="A16929" s="2" t="s">
        <v>284</v>
      </c>
      <c r="B16929" s="2" t="s">
        <v>8135</v>
      </c>
      <c r="C16929" s="2" t="s">
        <v>8233</v>
      </c>
      <c r="D16929" s="3" t="str">
        <f t="shared" ref="D16929:D16931" si="4358">HYPERLINK("https://12go.asia/en/travel/Ban-Krut/Khao-Yai", "12Go Link")</f>
        <v>12Go Link</v>
      </c>
      <c r="E16929" s="2" t="s">
        <v>286</v>
      </c>
    </row>
    <row r="16930">
      <c r="A16930" s="2" t="s">
        <v>284</v>
      </c>
      <c r="B16930" s="2" t="s">
        <v>8135</v>
      </c>
      <c r="C16930" s="2" t="s">
        <v>8233</v>
      </c>
      <c r="D16930" s="3" t="str">
        <f t="shared" si="4358"/>
        <v>12Go Link</v>
      </c>
      <c r="E16930" s="2" t="s">
        <v>287</v>
      </c>
    </row>
    <row r="16931">
      <c r="A16931" s="2" t="s">
        <v>284</v>
      </c>
      <c r="B16931" s="2" t="s">
        <v>8135</v>
      </c>
      <c r="C16931" s="2" t="s">
        <v>8233</v>
      </c>
      <c r="D16931" s="3" t="str">
        <f t="shared" si="4358"/>
        <v>12Go Link</v>
      </c>
      <c r="E16931" s="2" t="s">
        <v>288</v>
      </c>
    </row>
    <row r="16932">
      <c r="A16932" s="2" t="s">
        <v>284</v>
      </c>
      <c r="B16932" s="2" t="s">
        <v>8137</v>
      </c>
      <c r="C16932" s="2" t="s">
        <v>8234</v>
      </c>
      <c r="D16932" s="3" t="str">
        <f t="shared" ref="D16932:D16934" si="4359">HYPERLINK("https://12go.asia/en/travel/Ban-Krut/Koh-Chang", "12Go Link")</f>
        <v>12Go Link</v>
      </c>
      <c r="E16932" s="2" t="s">
        <v>286</v>
      </c>
    </row>
    <row r="16933">
      <c r="A16933" s="2" t="s">
        <v>284</v>
      </c>
      <c r="B16933" s="2" t="s">
        <v>8137</v>
      </c>
      <c r="C16933" s="2" t="s">
        <v>8234</v>
      </c>
      <c r="D16933" s="3" t="str">
        <f t="shared" si="4359"/>
        <v>12Go Link</v>
      </c>
      <c r="E16933" s="2" t="s">
        <v>287</v>
      </c>
    </row>
    <row r="16934">
      <c r="A16934" s="2" t="s">
        <v>284</v>
      </c>
      <c r="B16934" s="2" t="s">
        <v>8137</v>
      </c>
      <c r="C16934" s="2" t="s">
        <v>8234</v>
      </c>
      <c r="D16934" s="3" t="str">
        <f t="shared" si="4359"/>
        <v>12Go Link</v>
      </c>
      <c r="E16934" s="2" t="s">
        <v>288</v>
      </c>
    </row>
    <row r="16935">
      <c r="A16935" s="2" t="s">
        <v>284</v>
      </c>
      <c r="B16935" s="2" t="s">
        <v>8139</v>
      </c>
      <c r="C16935" s="2" t="s">
        <v>8235</v>
      </c>
      <c r="D16935" s="3" t="str">
        <f t="shared" ref="D16935:D16937" si="4360">HYPERLINK("https://12go.asia/en/travel/Ban-Krut/Koh-Lanta-Hotel-Transfer", "12Go Link")</f>
        <v>12Go Link</v>
      </c>
      <c r="E16935" s="2" t="s">
        <v>286</v>
      </c>
    </row>
    <row r="16936">
      <c r="A16936" s="2" t="s">
        <v>284</v>
      </c>
      <c r="B16936" s="2" t="s">
        <v>8139</v>
      </c>
      <c r="C16936" s="2" t="s">
        <v>8235</v>
      </c>
      <c r="D16936" s="3" t="str">
        <f t="shared" si="4360"/>
        <v>12Go Link</v>
      </c>
      <c r="E16936" s="2" t="s">
        <v>287</v>
      </c>
    </row>
    <row r="16937">
      <c r="A16937" s="2" t="s">
        <v>284</v>
      </c>
      <c r="B16937" s="2" t="s">
        <v>8139</v>
      </c>
      <c r="C16937" s="2" t="s">
        <v>8235</v>
      </c>
      <c r="D16937" s="3" t="str">
        <f t="shared" si="4360"/>
        <v>12Go Link</v>
      </c>
      <c r="E16937" s="2" t="s">
        <v>288</v>
      </c>
    </row>
    <row r="16938">
      <c r="A16938" s="2" t="s">
        <v>284</v>
      </c>
      <c r="B16938" s="2" t="s">
        <v>8145</v>
      </c>
      <c r="C16938" s="2" t="s">
        <v>8236</v>
      </c>
      <c r="D16938" s="3" t="str">
        <f t="shared" ref="D16938:D16940" si="4361">HYPERLINK("https://12go.asia/en/travel/Ban-Krut/Koh-Larn-Hotel-Transfer", "12Go Link")</f>
        <v>12Go Link</v>
      </c>
      <c r="E16938" s="2" t="s">
        <v>286</v>
      </c>
    </row>
    <row r="16939">
      <c r="A16939" s="2" t="s">
        <v>284</v>
      </c>
      <c r="B16939" s="2" t="s">
        <v>8145</v>
      </c>
      <c r="C16939" s="2" t="s">
        <v>8236</v>
      </c>
      <c r="D16939" s="3" t="str">
        <f t="shared" si="4361"/>
        <v>12Go Link</v>
      </c>
      <c r="E16939" s="2" t="s">
        <v>287</v>
      </c>
    </row>
    <row r="16940">
      <c r="A16940" s="2" t="s">
        <v>284</v>
      </c>
      <c r="B16940" s="2" t="s">
        <v>8145</v>
      </c>
      <c r="C16940" s="2" t="s">
        <v>8236</v>
      </c>
      <c r="D16940" s="3" t="str">
        <f t="shared" si="4361"/>
        <v>12Go Link</v>
      </c>
      <c r="E16940" s="2" t="s">
        <v>288</v>
      </c>
    </row>
    <row r="16941">
      <c r="A16941" s="2" t="s">
        <v>284</v>
      </c>
      <c r="B16941" s="2" t="s">
        <v>8150</v>
      </c>
      <c r="C16941" s="2" t="s">
        <v>8237</v>
      </c>
      <c r="D16941" s="3" t="str">
        <f t="shared" ref="D16941:D16943" si="4362">HYPERLINK("https://12go.asia/en/travel/Ban-Krut/Koh-Phangan-Transfer", "12Go Link")</f>
        <v>12Go Link</v>
      </c>
      <c r="E16941" s="2" t="s">
        <v>286</v>
      </c>
    </row>
    <row r="16942">
      <c r="A16942" s="2" t="s">
        <v>284</v>
      </c>
      <c r="B16942" s="2" t="s">
        <v>8150</v>
      </c>
      <c r="C16942" s="2" t="s">
        <v>8237</v>
      </c>
      <c r="D16942" s="3" t="str">
        <f t="shared" si="4362"/>
        <v>12Go Link</v>
      </c>
      <c r="E16942" s="2" t="s">
        <v>287</v>
      </c>
    </row>
    <row r="16943">
      <c r="A16943" s="2" t="s">
        <v>284</v>
      </c>
      <c r="B16943" s="2" t="s">
        <v>8150</v>
      </c>
      <c r="C16943" s="2" t="s">
        <v>8237</v>
      </c>
      <c r="D16943" s="3" t="str">
        <f t="shared" si="4362"/>
        <v>12Go Link</v>
      </c>
      <c r="E16943" s="2" t="s">
        <v>288</v>
      </c>
    </row>
    <row r="16944">
      <c r="A16944" s="2" t="s">
        <v>284</v>
      </c>
      <c r="B16944" s="2" t="s">
        <v>8160</v>
      </c>
      <c r="C16944" s="2" t="s">
        <v>8238</v>
      </c>
      <c r="D16944" s="3" t="str">
        <f t="shared" ref="D16944:D16946" si="4363">HYPERLINK("https://12go.asia/en/travel/Ban-Krut/Koh-Samet", "12Go Link")</f>
        <v>12Go Link</v>
      </c>
      <c r="E16944" s="2" t="s">
        <v>286</v>
      </c>
    </row>
    <row r="16945">
      <c r="A16945" s="2" t="s">
        <v>284</v>
      </c>
      <c r="B16945" s="2" t="s">
        <v>8160</v>
      </c>
      <c r="C16945" s="2" t="s">
        <v>8238</v>
      </c>
      <c r="D16945" s="3" t="str">
        <f t="shared" si="4363"/>
        <v>12Go Link</v>
      </c>
      <c r="E16945" s="2" t="s">
        <v>287</v>
      </c>
    </row>
    <row r="16946">
      <c r="A16946" s="2" t="s">
        <v>284</v>
      </c>
      <c r="B16946" s="2" t="s">
        <v>8160</v>
      </c>
      <c r="C16946" s="2" t="s">
        <v>8238</v>
      </c>
      <c r="D16946" s="3" t="str">
        <f t="shared" si="4363"/>
        <v>12Go Link</v>
      </c>
      <c r="E16946" s="2" t="s">
        <v>288</v>
      </c>
    </row>
    <row r="16947">
      <c r="A16947" s="2" t="s">
        <v>284</v>
      </c>
      <c r="B16947" s="2" t="s">
        <v>8162</v>
      </c>
      <c r="C16947" s="2" t="s">
        <v>8239</v>
      </c>
      <c r="D16947" s="3" t="str">
        <f t="shared" ref="D16947:D16949" si="4364">HYPERLINK("https://12go.asia/en/travel/Ban-Krut/Koh-Samui-Transfer", "12Go Link")</f>
        <v>12Go Link</v>
      </c>
      <c r="E16947" s="2" t="s">
        <v>286</v>
      </c>
    </row>
    <row r="16948">
      <c r="A16948" s="2" t="s">
        <v>284</v>
      </c>
      <c r="B16948" s="2" t="s">
        <v>8162</v>
      </c>
      <c r="C16948" s="2" t="s">
        <v>8239</v>
      </c>
      <c r="D16948" s="3" t="str">
        <f t="shared" si="4364"/>
        <v>12Go Link</v>
      </c>
      <c r="E16948" s="2" t="s">
        <v>287</v>
      </c>
    </row>
    <row r="16949">
      <c r="A16949" s="2" t="s">
        <v>284</v>
      </c>
      <c r="B16949" s="2" t="s">
        <v>8162</v>
      </c>
      <c r="C16949" s="2" t="s">
        <v>8239</v>
      </c>
      <c r="D16949" s="3" t="str">
        <f t="shared" si="4364"/>
        <v>12Go Link</v>
      </c>
      <c r="E16949" s="2" t="s">
        <v>288</v>
      </c>
    </row>
    <row r="16950">
      <c r="A16950" s="2" t="s">
        <v>284</v>
      </c>
      <c r="B16950" s="2" t="s">
        <v>8106</v>
      </c>
      <c r="C16950" s="2" t="s">
        <v>8240</v>
      </c>
      <c r="D16950" s="3" t="str">
        <f t="shared" ref="D16950:D16952" si="4365">HYPERLINK("https://12go.asia/en/travel/Ban-Krut/Krabi-Town-Hotel-Transfer", "12Go Link")</f>
        <v>12Go Link</v>
      </c>
      <c r="E16950" s="2" t="s">
        <v>286</v>
      </c>
    </row>
    <row r="16951">
      <c r="A16951" s="2" t="s">
        <v>284</v>
      </c>
      <c r="B16951" s="2" t="s">
        <v>8106</v>
      </c>
      <c r="C16951" s="2" t="s">
        <v>8240</v>
      </c>
      <c r="D16951" s="3" t="str">
        <f t="shared" si="4365"/>
        <v>12Go Link</v>
      </c>
      <c r="E16951" s="2" t="s">
        <v>287</v>
      </c>
    </row>
    <row r="16952">
      <c r="A16952" s="2" t="s">
        <v>284</v>
      </c>
      <c r="B16952" s="2" t="s">
        <v>8106</v>
      </c>
      <c r="C16952" s="2" t="s">
        <v>8240</v>
      </c>
      <c r="D16952" s="3" t="str">
        <f t="shared" si="4365"/>
        <v>12Go Link</v>
      </c>
      <c r="E16952" s="2" t="s">
        <v>288</v>
      </c>
    </row>
    <row r="16953">
      <c r="A16953" s="2" t="s">
        <v>284</v>
      </c>
      <c r="B16953" s="2" t="s">
        <v>8180</v>
      </c>
      <c r="C16953" s="2" t="s">
        <v>8241</v>
      </c>
      <c r="D16953" s="3" t="str">
        <f t="shared" ref="D16953:D16955" si="4366">HYPERLINK("https://12go.asia/en/travel/Ban-Krut/Lopburi", "12Go Link")</f>
        <v>12Go Link</v>
      </c>
      <c r="E16953" s="2" t="s">
        <v>286</v>
      </c>
    </row>
    <row r="16954">
      <c r="A16954" s="2" t="s">
        <v>284</v>
      </c>
      <c r="B16954" s="2" t="s">
        <v>8180</v>
      </c>
      <c r="C16954" s="2" t="s">
        <v>8241</v>
      </c>
      <c r="D16954" s="3" t="str">
        <f t="shared" si="4366"/>
        <v>12Go Link</v>
      </c>
      <c r="E16954" s="2" t="s">
        <v>287</v>
      </c>
    </row>
    <row r="16955">
      <c r="A16955" s="2" t="s">
        <v>284</v>
      </c>
      <c r="B16955" s="2" t="s">
        <v>8180</v>
      </c>
      <c r="C16955" s="2" t="s">
        <v>8241</v>
      </c>
      <c r="D16955" s="3" t="str">
        <f t="shared" si="4366"/>
        <v>12Go Link</v>
      </c>
      <c r="E16955" s="2" t="s">
        <v>288</v>
      </c>
    </row>
    <row r="16956">
      <c r="A16956" s="2" t="s">
        <v>284</v>
      </c>
      <c r="B16956" s="2" t="s">
        <v>8182</v>
      </c>
      <c r="C16956" s="2" t="s">
        <v>8242</v>
      </c>
      <c r="D16956" s="3" t="str">
        <f t="shared" ref="D16956:D16958" si="4367">HYPERLINK("https://12go.asia/en/travel/Ban-Krut/Mae-Sot-Transfer", "12Go Link")</f>
        <v>12Go Link</v>
      </c>
      <c r="E16956" s="2" t="s">
        <v>286</v>
      </c>
    </row>
    <row r="16957">
      <c r="A16957" s="2" t="s">
        <v>284</v>
      </c>
      <c r="B16957" s="2" t="s">
        <v>8182</v>
      </c>
      <c r="C16957" s="2" t="s">
        <v>8242</v>
      </c>
      <c r="D16957" s="3" t="str">
        <f t="shared" si="4367"/>
        <v>12Go Link</v>
      </c>
      <c r="E16957" s="2" t="s">
        <v>287</v>
      </c>
    </row>
    <row r="16958">
      <c r="A16958" s="2" t="s">
        <v>284</v>
      </c>
      <c r="B16958" s="2" t="s">
        <v>8182</v>
      </c>
      <c r="C16958" s="2" t="s">
        <v>8242</v>
      </c>
      <c r="D16958" s="3" t="str">
        <f t="shared" si="4367"/>
        <v>12Go Link</v>
      </c>
      <c r="E16958" s="2" t="s">
        <v>288</v>
      </c>
    </row>
    <row r="16959">
      <c r="A16959" s="2" t="s">
        <v>284</v>
      </c>
      <c r="B16959" s="2" t="s">
        <v>8187</v>
      </c>
      <c r="C16959" s="2" t="s">
        <v>8243</v>
      </c>
      <c r="D16959" s="3" t="str">
        <f t="shared" ref="D16959:D16961" si="4368">HYPERLINK("https://12go.asia/en/travel/Ban-Krut/Pattaya-Hotel-Transfer", "12Go Link")</f>
        <v>12Go Link</v>
      </c>
      <c r="E16959" s="2" t="s">
        <v>286</v>
      </c>
    </row>
    <row r="16960">
      <c r="A16960" s="2" t="s">
        <v>284</v>
      </c>
      <c r="B16960" s="2" t="s">
        <v>8187</v>
      </c>
      <c r="C16960" s="2" t="s">
        <v>8243</v>
      </c>
      <c r="D16960" s="3" t="str">
        <f t="shared" si="4368"/>
        <v>12Go Link</v>
      </c>
      <c r="E16960" s="2" t="s">
        <v>287</v>
      </c>
    </row>
    <row r="16961">
      <c r="A16961" s="2" t="s">
        <v>284</v>
      </c>
      <c r="B16961" s="2" t="s">
        <v>8187</v>
      </c>
      <c r="C16961" s="2" t="s">
        <v>8243</v>
      </c>
      <c r="D16961" s="3" t="str">
        <f t="shared" si="4368"/>
        <v>12Go Link</v>
      </c>
      <c r="E16961" s="2" t="s">
        <v>288</v>
      </c>
    </row>
    <row r="16962">
      <c r="A16962" s="2" t="s">
        <v>284</v>
      </c>
      <c r="B16962" s="2" t="s">
        <v>8191</v>
      </c>
      <c r="C16962" s="2" t="s">
        <v>8244</v>
      </c>
      <c r="D16962" s="3" t="str">
        <f t="shared" ref="D16962:D16964" si="4369">HYPERLINK("https://12go.asia/en/travel/Ban-Krut/Phitsanulok-Hotel-Transfer", "12Go Link")</f>
        <v>12Go Link</v>
      </c>
      <c r="E16962" s="2" t="s">
        <v>286</v>
      </c>
    </row>
    <row r="16963">
      <c r="A16963" s="2" t="s">
        <v>284</v>
      </c>
      <c r="B16963" s="2" t="s">
        <v>8191</v>
      </c>
      <c r="C16963" s="2" t="s">
        <v>8244</v>
      </c>
      <c r="D16963" s="3" t="str">
        <f t="shared" si="4369"/>
        <v>12Go Link</v>
      </c>
      <c r="E16963" s="2" t="s">
        <v>287</v>
      </c>
    </row>
    <row r="16964">
      <c r="A16964" s="2" t="s">
        <v>284</v>
      </c>
      <c r="B16964" s="2" t="s">
        <v>8191</v>
      </c>
      <c r="C16964" s="2" t="s">
        <v>8244</v>
      </c>
      <c r="D16964" s="3" t="str">
        <f t="shared" si="4369"/>
        <v>12Go Link</v>
      </c>
      <c r="E16964" s="2" t="s">
        <v>288</v>
      </c>
    </row>
    <row r="16965">
      <c r="A16965" s="2" t="s">
        <v>284</v>
      </c>
      <c r="B16965" s="2" t="s">
        <v>8075</v>
      </c>
      <c r="C16965" s="2" t="s">
        <v>8245</v>
      </c>
      <c r="D16965" s="3" t="str">
        <f t="shared" ref="D16965:D16967" si="4370">HYPERLINK("https://12go.asia/en/travel/Ban-Krut/Phuket-Town-Transfer", "12Go Link")</f>
        <v>12Go Link</v>
      </c>
      <c r="E16965" s="2" t="s">
        <v>286</v>
      </c>
    </row>
    <row r="16966">
      <c r="A16966" s="2" t="s">
        <v>284</v>
      </c>
      <c r="B16966" s="2" t="s">
        <v>8075</v>
      </c>
      <c r="C16966" s="2" t="s">
        <v>8245</v>
      </c>
      <c r="D16966" s="3" t="str">
        <f t="shared" si="4370"/>
        <v>12Go Link</v>
      </c>
      <c r="E16966" s="2" t="s">
        <v>287</v>
      </c>
    </row>
    <row r="16967">
      <c r="A16967" s="2" t="s">
        <v>284</v>
      </c>
      <c r="B16967" s="2" t="s">
        <v>8075</v>
      </c>
      <c r="C16967" s="2" t="s">
        <v>8245</v>
      </c>
      <c r="D16967" s="3" t="str">
        <f t="shared" si="4370"/>
        <v>12Go Link</v>
      </c>
      <c r="E16967" s="2" t="s">
        <v>288</v>
      </c>
    </row>
    <row r="16968">
      <c r="A16968" s="2" t="s">
        <v>284</v>
      </c>
      <c r="B16968" s="2" t="s">
        <v>8153</v>
      </c>
      <c r="C16968" s="2" t="s">
        <v>8246</v>
      </c>
      <c r="D16968" s="3" t="str">
        <f t="shared" ref="D16968:D16970" si="4371">HYPERLINK("https://12go.asia/en/travel/Ban-Krut/Ranong-Hotel-Transfer", "12Go Link")</f>
        <v>12Go Link</v>
      </c>
      <c r="E16968" s="2" t="s">
        <v>286</v>
      </c>
    </row>
    <row r="16969">
      <c r="A16969" s="2" t="s">
        <v>284</v>
      </c>
      <c r="B16969" s="2" t="s">
        <v>8153</v>
      </c>
      <c r="C16969" s="2" t="s">
        <v>8246</v>
      </c>
      <c r="D16969" s="3" t="str">
        <f t="shared" si="4371"/>
        <v>12Go Link</v>
      </c>
      <c r="E16969" s="2" t="s">
        <v>287</v>
      </c>
    </row>
    <row r="16970">
      <c r="A16970" s="2" t="s">
        <v>284</v>
      </c>
      <c r="B16970" s="2" t="s">
        <v>8153</v>
      </c>
      <c r="C16970" s="2" t="s">
        <v>8246</v>
      </c>
      <c r="D16970" s="3" t="str">
        <f t="shared" si="4371"/>
        <v>12Go Link</v>
      </c>
      <c r="E16970" s="2" t="s">
        <v>288</v>
      </c>
    </row>
    <row r="16971">
      <c r="A16971" s="2" t="s">
        <v>284</v>
      </c>
      <c r="B16971" s="2" t="s">
        <v>8247</v>
      </c>
      <c r="C16971" s="2" t="s">
        <v>8248</v>
      </c>
      <c r="D16971" s="3" t="str">
        <f t="shared" ref="D16971:D16973" si="4372">HYPERLINK("https://12go.asia/en/travel/Ban-Krut/Ratchaburi", "12Go Link")</f>
        <v>12Go Link</v>
      </c>
      <c r="E16971" s="2" t="s">
        <v>286</v>
      </c>
    </row>
    <row r="16972">
      <c r="A16972" s="2" t="s">
        <v>284</v>
      </c>
      <c r="B16972" s="2" t="s">
        <v>8247</v>
      </c>
      <c r="C16972" s="2" t="s">
        <v>8248</v>
      </c>
      <c r="D16972" s="3" t="str">
        <f t="shared" si="4372"/>
        <v>12Go Link</v>
      </c>
      <c r="E16972" s="2" t="s">
        <v>287</v>
      </c>
    </row>
    <row r="16973">
      <c r="A16973" s="2" t="s">
        <v>284</v>
      </c>
      <c r="B16973" s="2" t="s">
        <v>8247</v>
      </c>
      <c r="C16973" s="2" t="s">
        <v>8248</v>
      </c>
      <c r="D16973" s="3" t="str">
        <f t="shared" si="4372"/>
        <v>12Go Link</v>
      </c>
      <c r="E16973" s="2" t="s">
        <v>288</v>
      </c>
    </row>
    <row r="16974">
      <c r="A16974" s="2" t="s">
        <v>284</v>
      </c>
      <c r="B16974" s="2" t="s">
        <v>8068</v>
      </c>
      <c r="C16974" s="2" t="s">
        <v>8249</v>
      </c>
      <c r="D16974" s="3" t="str">
        <f t="shared" ref="D16974:D16976" si="4373">HYPERLINK("https://12go.asia/en/travel/Ban-Krut/Ban-Phe", "12Go Link")</f>
        <v>12Go Link</v>
      </c>
      <c r="E16974" s="2" t="s">
        <v>286</v>
      </c>
    </row>
    <row r="16975">
      <c r="A16975" s="2" t="s">
        <v>284</v>
      </c>
      <c r="B16975" s="2" t="s">
        <v>8068</v>
      </c>
      <c r="C16975" s="2" t="s">
        <v>8249</v>
      </c>
      <c r="D16975" s="3" t="str">
        <f t="shared" si="4373"/>
        <v>12Go Link</v>
      </c>
      <c r="E16975" s="2" t="s">
        <v>287</v>
      </c>
    </row>
    <row r="16976">
      <c r="A16976" s="2" t="s">
        <v>284</v>
      </c>
      <c r="B16976" s="2" t="s">
        <v>8068</v>
      </c>
      <c r="C16976" s="2" t="s">
        <v>8249</v>
      </c>
      <c r="D16976" s="3" t="str">
        <f t="shared" si="4373"/>
        <v>12Go Link</v>
      </c>
      <c r="E16976" s="2" t="s">
        <v>288</v>
      </c>
    </row>
    <row r="16977">
      <c r="A16977" s="2" t="s">
        <v>284</v>
      </c>
      <c r="B16977" s="2" t="s">
        <v>8250</v>
      </c>
      <c r="C16977" s="2" t="s">
        <v>8251</v>
      </c>
      <c r="D16977" s="3" t="str">
        <f t="shared" ref="D16977:D16979" si="4374">HYPERLINK("https://12go.asia/en/travel/Ban-Krut/Amphawa-Floating-Market", "12Go Link")</f>
        <v>12Go Link</v>
      </c>
      <c r="E16977" s="2" t="s">
        <v>286</v>
      </c>
    </row>
    <row r="16978">
      <c r="A16978" s="2" t="s">
        <v>284</v>
      </c>
      <c r="B16978" s="2" t="s">
        <v>8250</v>
      </c>
      <c r="C16978" s="2" t="s">
        <v>8251</v>
      </c>
      <c r="D16978" s="3" t="str">
        <f t="shared" si="4374"/>
        <v>12Go Link</v>
      </c>
      <c r="E16978" s="2" t="s">
        <v>287</v>
      </c>
    </row>
    <row r="16979">
      <c r="A16979" s="2" t="s">
        <v>284</v>
      </c>
      <c r="B16979" s="2" t="s">
        <v>8250</v>
      </c>
      <c r="C16979" s="2" t="s">
        <v>8251</v>
      </c>
      <c r="D16979" s="3" t="str">
        <f t="shared" si="4374"/>
        <v>12Go Link</v>
      </c>
      <c r="E16979" s="2" t="s">
        <v>288</v>
      </c>
    </row>
    <row r="16980">
      <c r="A16980" s="2" t="s">
        <v>284</v>
      </c>
      <c r="B16980" s="2" t="s">
        <v>8252</v>
      </c>
      <c r="C16980" s="2" t="s">
        <v>8253</v>
      </c>
      <c r="D16980" s="3" t="str">
        <f t="shared" ref="D16980:D16982" si="4375">HYPERLINK("https://12go.asia/en/travel/Ban-Krut/Sukhothai-Hotel-Transfer", "12Go Link")</f>
        <v>12Go Link</v>
      </c>
      <c r="E16980" s="2" t="s">
        <v>286</v>
      </c>
    </row>
    <row r="16981">
      <c r="A16981" s="2" t="s">
        <v>284</v>
      </c>
      <c r="B16981" s="2" t="s">
        <v>8252</v>
      </c>
      <c r="C16981" s="2" t="s">
        <v>8253</v>
      </c>
      <c r="D16981" s="3" t="str">
        <f t="shared" si="4375"/>
        <v>12Go Link</v>
      </c>
      <c r="E16981" s="2" t="s">
        <v>287</v>
      </c>
    </row>
    <row r="16982">
      <c r="A16982" s="2" t="s">
        <v>284</v>
      </c>
      <c r="B16982" s="2" t="s">
        <v>8252</v>
      </c>
      <c r="C16982" s="2" t="s">
        <v>8253</v>
      </c>
      <c r="D16982" s="3" t="str">
        <f t="shared" si="4375"/>
        <v>12Go Link</v>
      </c>
      <c r="E16982" s="2" t="s">
        <v>288</v>
      </c>
    </row>
    <row r="16983">
      <c r="A16983" s="2" t="s">
        <v>284</v>
      </c>
      <c r="B16983" s="2" t="s">
        <v>8070</v>
      </c>
      <c r="C16983" s="2" t="s">
        <v>8254</v>
      </c>
      <c r="D16983" s="3" t="str">
        <f t="shared" ref="D16983:D16985" si="4376">HYPERLINK("https://12go.asia/en/travel/Ban-Krut/Surat-Thani-Town-Transfer", "12Go Link")</f>
        <v>12Go Link</v>
      </c>
      <c r="E16983" s="2" t="s">
        <v>286</v>
      </c>
    </row>
    <row r="16984">
      <c r="A16984" s="2" t="s">
        <v>284</v>
      </c>
      <c r="B16984" s="2" t="s">
        <v>8070</v>
      </c>
      <c r="C16984" s="2" t="s">
        <v>8254</v>
      </c>
      <c r="D16984" s="3" t="str">
        <f t="shared" si="4376"/>
        <v>12Go Link</v>
      </c>
      <c r="E16984" s="2" t="s">
        <v>287</v>
      </c>
    </row>
    <row r="16985">
      <c r="A16985" s="2" t="s">
        <v>284</v>
      </c>
      <c r="B16985" s="2" t="s">
        <v>8070</v>
      </c>
      <c r="C16985" s="2" t="s">
        <v>8254</v>
      </c>
      <c r="D16985" s="3" t="str">
        <f t="shared" si="4376"/>
        <v>12Go Link</v>
      </c>
      <c r="E16985" s="2" t="s">
        <v>288</v>
      </c>
    </row>
    <row r="16986">
      <c r="A16986" s="2" t="s">
        <v>284</v>
      </c>
      <c r="B16986" s="2" t="s">
        <v>8255</v>
      </c>
      <c r="C16986" s="2" t="s">
        <v>8256</v>
      </c>
      <c r="D16986" s="3" t="str">
        <f t="shared" ref="D16986:D16988" si="4377">HYPERLINK("https://12go.asia/en/travel/Ban-Krut/Suvarnabhumi-Airport", "12Go Link")</f>
        <v>12Go Link</v>
      </c>
      <c r="E16986" s="2" t="s">
        <v>286</v>
      </c>
    </row>
    <row r="16987">
      <c r="A16987" s="2" t="s">
        <v>284</v>
      </c>
      <c r="B16987" s="2" t="s">
        <v>8255</v>
      </c>
      <c r="C16987" s="2" t="s">
        <v>8256</v>
      </c>
      <c r="D16987" s="3" t="str">
        <f t="shared" si="4377"/>
        <v>12Go Link</v>
      </c>
      <c r="E16987" s="2" t="s">
        <v>287</v>
      </c>
    </row>
    <row r="16988">
      <c r="A16988" s="2" t="s">
        <v>284</v>
      </c>
      <c r="B16988" s="2" t="s">
        <v>8255</v>
      </c>
      <c r="C16988" s="2" t="s">
        <v>8256</v>
      </c>
      <c r="D16988" s="3" t="str">
        <f t="shared" si="4377"/>
        <v>12Go Link</v>
      </c>
      <c r="E16988" s="2" t="s">
        <v>288</v>
      </c>
    </row>
    <row r="16989">
      <c r="A16989" s="2" t="s">
        <v>284</v>
      </c>
      <c r="B16989" s="2" t="s">
        <v>8072</v>
      </c>
      <c r="C16989" s="2" t="s">
        <v>8257</v>
      </c>
      <c r="D16989" s="3" t="str">
        <f t="shared" ref="D16989:D16991" si="4378">HYPERLINK("https://12go.asia/en/travel/Ban-Krut/Ao-Thammachat-pier", "12Go Link")</f>
        <v>12Go Link</v>
      </c>
      <c r="E16989" s="2" t="s">
        <v>286</v>
      </c>
    </row>
    <row r="16990">
      <c r="A16990" s="2" t="s">
        <v>284</v>
      </c>
      <c r="B16990" s="2" t="s">
        <v>8072</v>
      </c>
      <c r="C16990" s="2" t="s">
        <v>8257</v>
      </c>
      <c r="D16990" s="3" t="str">
        <f t="shared" si="4378"/>
        <v>12Go Link</v>
      </c>
      <c r="E16990" s="2" t="s">
        <v>287</v>
      </c>
    </row>
    <row r="16991">
      <c r="A16991" s="2" t="s">
        <v>284</v>
      </c>
      <c r="B16991" s="2" t="s">
        <v>8072</v>
      </c>
      <c r="C16991" s="2" t="s">
        <v>8257</v>
      </c>
      <c r="D16991" s="3" t="str">
        <f t="shared" si="4378"/>
        <v>12Go Link</v>
      </c>
      <c r="E16991" s="2" t="s">
        <v>288</v>
      </c>
    </row>
    <row r="16992">
      <c r="A16992" s="2" t="s">
        <v>284</v>
      </c>
      <c r="B16992" s="2" t="s">
        <v>8072</v>
      </c>
      <c r="C16992" s="2" t="s">
        <v>8258</v>
      </c>
      <c r="D16992" s="3" t="str">
        <f t="shared" ref="D16992:D16994" si="4379">HYPERLINK("https://12go.asia/en/travel/Ban-Krut/Laem-Ngop-Pier-Trat", "12Go Link")</f>
        <v>12Go Link</v>
      </c>
      <c r="E16992" s="2" t="s">
        <v>286</v>
      </c>
    </row>
    <row r="16993">
      <c r="A16993" s="2" t="s">
        <v>284</v>
      </c>
      <c r="B16993" s="2" t="s">
        <v>8072</v>
      </c>
      <c r="C16993" s="2" t="s">
        <v>8258</v>
      </c>
      <c r="D16993" s="3" t="str">
        <f t="shared" si="4379"/>
        <v>12Go Link</v>
      </c>
      <c r="E16993" s="2" t="s">
        <v>287</v>
      </c>
    </row>
    <row r="16994">
      <c r="A16994" s="2" t="s">
        <v>284</v>
      </c>
      <c r="B16994" s="2" t="s">
        <v>8072</v>
      </c>
      <c r="C16994" s="2" t="s">
        <v>8258</v>
      </c>
      <c r="D16994" s="3" t="str">
        <f t="shared" si="4379"/>
        <v>12Go Link</v>
      </c>
      <c r="E16994" s="2" t="s">
        <v>288</v>
      </c>
    </row>
    <row r="16995">
      <c r="A16995" s="2" t="s">
        <v>284</v>
      </c>
      <c r="B16995" s="2" t="s">
        <v>8072</v>
      </c>
      <c r="C16995" s="2" t="s">
        <v>8259</v>
      </c>
      <c r="D16995" s="3" t="str">
        <f t="shared" ref="D16995:D16997" si="4380">HYPERLINK("https://12go.asia/en/travel/Ban-Krut/Laem-Sok-Pier", "12Go Link")</f>
        <v>12Go Link</v>
      </c>
      <c r="E16995" s="2" t="s">
        <v>286</v>
      </c>
    </row>
    <row r="16996">
      <c r="A16996" s="2" t="s">
        <v>284</v>
      </c>
      <c r="B16996" s="2" t="s">
        <v>8072</v>
      </c>
      <c r="C16996" s="2" t="s">
        <v>8259</v>
      </c>
      <c r="D16996" s="3" t="str">
        <f t="shared" si="4380"/>
        <v>12Go Link</v>
      </c>
      <c r="E16996" s="2" t="s">
        <v>287</v>
      </c>
    </row>
    <row r="16997">
      <c r="A16997" s="2" t="s">
        <v>284</v>
      </c>
      <c r="B16997" s="2" t="s">
        <v>8072</v>
      </c>
      <c r="C16997" s="2" t="s">
        <v>8259</v>
      </c>
      <c r="D16997" s="3" t="str">
        <f t="shared" si="4380"/>
        <v>12Go Link</v>
      </c>
      <c r="E16997" s="2" t="s">
        <v>288</v>
      </c>
    </row>
    <row r="16998">
      <c r="A16998" s="2" t="s">
        <v>284</v>
      </c>
      <c r="B16998" s="2" t="s">
        <v>8072</v>
      </c>
      <c r="C16998" s="2" t="s">
        <v>8260</v>
      </c>
      <c r="D16998" s="3" t="str">
        <f t="shared" ref="D16998:D17000" si="4381">HYPERLINK("https://12go.asia/en/travel/Ban-Krut/Trat-Town-Hotel-Transfer", "12Go Link")</f>
        <v>12Go Link</v>
      </c>
      <c r="E16998" s="2" t="s">
        <v>286</v>
      </c>
    </row>
    <row r="16999">
      <c r="A16999" s="2" t="s">
        <v>284</v>
      </c>
      <c r="B16999" s="2" t="s">
        <v>8072</v>
      </c>
      <c r="C16999" s="2" t="s">
        <v>8260</v>
      </c>
      <c r="D16999" s="3" t="str">
        <f t="shared" si="4381"/>
        <v>12Go Link</v>
      </c>
      <c r="E16999" s="2" t="s">
        <v>287</v>
      </c>
    </row>
    <row r="17000">
      <c r="A17000" s="2" t="s">
        <v>284</v>
      </c>
      <c r="B17000" s="2" t="s">
        <v>8072</v>
      </c>
      <c r="C17000" s="2" t="s">
        <v>8260</v>
      </c>
      <c r="D17000" s="3" t="str">
        <f t="shared" si="4381"/>
        <v>12Go Link</v>
      </c>
      <c r="E17000" s="2" t="s">
        <v>288</v>
      </c>
    </row>
    <row r="17001">
      <c r="A17001" s="2" t="s">
        <v>8261</v>
      </c>
      <c r="B17001" s="2" t="s">
        <v>8106</v>
      </c>
      <c r="C17001" s="2" t="s">
        <v>8262</v>
      </c>
      <c r="D17001" s="3" t="str">
        <f>HYPERLINK("https://12go.asia/en/travel/Floating-Pier-East-Railay/Krabi-Hotel-Transfer", "12Go Link")</f>
        <v>12Go Link</v>
      </c>
      <c r="E17001" s="2" t="s">
        <v>8263</v>
      </c>
    </row>
    <row r="17002">
      <c r="A17002" s="2" t="s">
        <v>8261</v>
      </c>
      <c r="B17002" s="2" t="s">
        <v>8106</v>
      </c>
      <c r="C17002" s="2" t="s">
        <v>8264</v>
      </c>
      <c r="D17002" s="3" t="str">
        <f>HYPERLINK("https://12go.asia/en/travel/Floating-Pier-East-Railay/River-View-Krabi", "12Go Link")</f>
        <v>12Go Link</v>
      </c>
      <c r="E17002" s="2" t="s">
        <v>8265</v>
      </c>
    </row>
    <row r="17003">
      <c r="A17003" s="2" t="s">
        <v>8153</v>
      </c>
      <c r="B17003" s="2" t="s">
        <v>8075</v>
      </c>
      <c r="C17003" s="2" t="s">
        <v>8266</v>
      </c>
      <c r="D17003" s="3" t="str">
        <f>HYPERLINK("https://12go.asia/en/travel/Ranong-Hotel-Transfer/Phuket-Transfer", "12Go Link")</f>
        <v>12Go Link</v>
      </c>
      <c r="E17003" s="2" t="s">
        <v>4095</v>
      </c>
    </row>
    <row r="17004">
      <c r="A17004" s="2" t="s">
        <v>8153</v>
      </c>
      <c r="B17004" s="2" t="s">
        <v>284</v>
      </c>
      <c r="C17004" s="2" t="s">
        <v>8267</v>
      </c>
      <c r="D17004" s="3" t="str">
        <f t="shared" ref="D17004:D17006" si="4382">HYPERLINK("https://12go.asia/en/travel/Ranong-Hotel-Transfer/Ban-Krut", "12Go Link")</f>
        <v>12Go Link</v>
      </c>
      <c r="E17004" s="2" t="s">
        <v>286</v>
      </c>
    </row>
    <row r="17005">
      <c r="A17005" s="2" t="s">
        <v>8153</v>
      </c>
      <c r="B17005" s="2" t="s">
        <v>284</v>
      </c>
      <c r="C17005" s="2" t="s">
        <v>8267</v>
      </c>
      <c r="D17005" s="3" t="str">
        <f t="shared" si="4382"/>
        <v>12Go Link</v>
      </c>
      <c r="E17005" s="2" t="s">
        <v>287</v>
      </c>
    </row>
    <row r="17006">
      <c r="A17006" s="2" t="s">
        <v>8153</v>
      </c>
      <c r="B17006" s="2" t="s">
        <v>284</v>
      </c>
      <c r="C17006" s="2" t="s">
        <v>8267</v>
      </c>
      <c r="D17006" s="3" t="str">
        <f t="shared" si="4382"/>
        <v>12Go Link</v>
      </c>
      <c r="E17006" s="2" t="s">
        <v>288</v>
      </c>
    </row>
    <row r="17007">
      <c r="A17007" s="2" t="s">
        <v>8247</v>
      </c>
      <c r="B17007" s="2" t="s">
        <v>284</v>
      </c>
      <c r="C17007" s="2" t="s">
        <v>8268</v>
      </c>
      <c r="D17007" s="3" t="str">
        <f t="shared" ref="D17007:D17009" si="4383">HYPERLINK("https://12go.asia/en/travel/Ratchaburi/Ban-Krut", "12Go Link")</f>
        <v>12Go Link</v>
      </c>
      <c r="E17007" s="2" t="s">
        <v>286</v>
      </c>
    </row>
    <row r="17008">
      <c r="A17008" s="2" t="s">
        <v>8247</v>
      </c>
      <c r="B17008" s="2" t="s">
        <v>284</v>
      </c>
      <c r="C17008" s="2" t="s">
        <v>8268</v>
      </c>
      <c r="D17008" s="3" t="str">
        <f t="shared" si="4383"/>
        <v>12Go Link</v>
      </c>
      <c r="E17008" s="2" t="s">
        <v>287</v>
      </c>
    </row>
    <row r="17009">
      <c r="A17009" s="2" t="s">
        <v>8247</v>
      </c>
      <c r="B17009" s="2" t="s">
        <v>284</v>
      </c>
      <c r="C17009" s="2" t="s">
        <v>8268</v>
      </c>
      <c r="D17009" s="3" t="str">
        <f t="shared" si="4383"/>
        <v>12Go Link</v>
      </c>
      <c r="E17009" s="2" t="s">
        <v>288</v>
      </c>
    </row>
    <row r="17010">
      <c r="A17010" s="2" t="s">
        <v>8068</v>
      </c>
      <c r="B17010" s="2" t="s">
        <v>284</v>
      </c>
      <c r="C17010" s="2" t="s">
        <v>8269</v>
      </c>
      <c r="D17010" s="3" t="str">
        <f t="shared" ref="D17010:D17012" si="4384">HYPERLINK("https://12go.asia/en/travel/Ban-Phe/Ban-Krut", "12Go Link")</f>
        <v>12Go Link</v>
      </c>
      <c r="E17010" s="2" t="s">
        <v>286</v>
      </c>
    </row>
    <row r="17011">
      <c r="A17011" s="2" t="s">
        <v>8068</v>
      </c>
      <c r="B17011" s="2" t="s">
        <v>284</v>
      </c>
      <c r="C17011" s="2" t="s">
        <v>8269</v>
      </c>
      <c r="D17011" s="3" t="str">
        <f t="shared" si="4384"/>
        <v>12Go Link</v>
      </c>
      <c r="E17011" s="2" t="s">
        <v>287</v>
      </c>
    </row>
    <row r="17012">
      <c r="A17012" s="2" t="s">
        <v>8068</v>
      </c>
      <c r="B17012" s="2" t="s">
        <v>284</v>
      </c>
      <c r="C17012" s="2" t="s">
        <v>8269</v>
      </c>
      <c r="D17012" s="3" t="str">
        <f t="shared" si="4384"/>
        <v>12Go Link</v>
      </c>
      <c r="E17012" s="2" t="s">
        <v>288</v>
      </c>
    </row>
    <row r="17013">
      <c r="A17013" s="2" t="s">
        <v>8270</v>
      </c>
      <c r="B17013" s="2" t="s">
        <v>8187</v>
      </c>
      <c r="C17013" s="2" t="s">
        <v>8271</v>
      </c>
      <c r="D17013" s="3" t="str">
        <f t="shared" ref="D17013:D17015" si="4385">HYPERLINK("https://12go.asia/en/travel/Poipet-Border/Pattaya-Town", "12Go Link")</f>
        <v>12Go Link</v>
      </c>
      <c r="E17013" s="2" t="s">
        <v>286</v>
      </c>
    </row>
    <row r="17014">
      <c r="A17014" s="2" t="s">
        <v>8270</v>
      </c>
      <c r="B17014" s="2" t="s">
        <v>8187</v>
      </c>
      <c r="C17014" s="2" t="s">
        <v>8271</v>
      </c>
      <c r="D17014" s="3" t="str">
        <f t="shared" si="4385"/>
        <v>12Go Link</v>
      </c>
      <c r="E17014" s="2" t="s">
        <v>3407</v>
      </c>
    </row>
    <row r="17015">
      <c r="A17015" s="2" t="s">
        <v>8270</v>
      </c>
      <c r="B17015" s="2" t="s">
        <v>8187</v>
      </c>
      <c r="C17015" s="2" t="s">
        <v>8271</v>
      </c>
      <c r="D17015" s="3" t="str">
        <f t="shared" si="4385"/>
        <v>12Go Link</v>
      </c>
      <c r="E17015" s="2" t="s">
        <v>4287</v>
      </c>
    </row>
    <row r="17016">
      <c r="A17016" s="2" t="s">
        <v>8250</v>
      </c>
      <c r="B17016" s="2" t="s">
        <v>284</v>
      </c>
      <c r="C17016" s="2" t="s">
        <v>8272</v>
      </c>
      <c r="D17016" s="3" t="str">
        <f t="shared" ref="D17016:D17018" si="4386">HYPERLINK("https://12go.asia/en/travel/Amphawa-Floating-Market/Ban-Krut", "12Go Link")</f>
        <v>12Go Link</v>
      </c>
      <c r="E17016" s="2" t="s">
        <v>286</v>
      </c>
    </row>
    <row r="17017">
      <c r="A17017" s="2" t="s">
        <v>8250</v>
      </c>
      <c r="B17017" s="2" t="s">
        <v>284</v>
      </c>
      <c r="C17017" s="2" t="s">
        <v>8272</v>
      </c>
      <c r="D17017" s="3" t="str">
        <f t="shared" si="4386"/>
        <v>12Go Link</v>
      </c>
      <c r="E17017" s="2" t="s">
        <v>287</v>
      </c>
    </row>
    <row r="17018">
      <c r="A17018" s="2" t="s">
        <v>8250</v>
      </c>
      <c r="B17018" s="2" t="s">
        <v>284</v>
      </c>
      <c r="C17018" s="2" t="s">
        <v>8272</v>
      </c>
      <c r="D17018" s="3" t="str">
        <f t="shared" si="4386"/>
        <v>12Go Link</v>
      </c>
      <c r="E17018" s="2" t="s">
        <v>288</v>
      </c>
    </row>
    <row r="17019">
      <c r="A17019" s="2" t="s">
        <v>8273</v>
      </c>
      <c r="B17019" s="2" t="s">
        <v>8075</v>
      </c>
      <c r="C17019" s="2" t="s">
        <v>8274</v>
      </c>
      <c r="D17019" s="3" t="str">
        <f>HYPERLINK("https://12go.asia/en/travel/Satun-Hotel-Transfer/Phuket-Transfer", "12Go Link")</f>
        <v>12Go Link</v>
      </c>
      <c r="E17019" s="2" t="s">
        <v>4095</v>
      </c>
    </row>
    <row r="17020">
      <c r="A17020" s="2" t="s">
        <v>8252</v>
      </c>
      <c r="B17020" s="2" t="s">
        <v>284</v>
      </c>
      <c r="C17020" s="2" t="s">
        <v>8275</v>
      </c>
      <c r="D17020" s="3" t="str">
        <f t="shared" ref="D17020:D17022" si="4387">HYPERLINK("https://12go.asia/en/travel/Sukhothai-Hotel-Transfer/Ban-Krut", "12Go Link")</f>
        <v>12Go Link</v>
      </c>
      <c r="E17020" s="2" t="s">
        <v>286</v>
      </c>
    </row>
    <row r="17021">
      <c r="A17021" s="2" t="s">
        <v>8252</v>
      </c>
      <c r="B17021" s="2" t="s">
        <v>284</v>
      </c>
      <c r="C17021" s="2" t="s">
        <v>8275</v>
      </c>
      <c r="D17021" s="3" t="str">
        <f t="shared" si="4387"/>
        <v>12Go Link</v>
      </c>
      <c r="E17021" s="2" t="s">
        <v>287</v>
      </c>
    </row>
    <row r="17022">
      <c r="A17022" s="2" t="s">
        <v>8252</v>
      </c>
      <c r="B17022" s="2" t="s">
        <v>284</v>
      </c>
      <c r="C17022" s="2" t="s">
        <v>8275</v>
      </c>
      <c r="D17022" s="3" t="str">
        <f t="shared" si="4387"/>
        <v>12Go Link</v>
      </c>
      <c r="E17022" s="2" t="s">
        <v>288</v>
      </c>
    </row>
    <row r="17023">
      <c r="A17023" s="2" t="s">
        <v>8070</v>
      </c>
      <c r="B17023" s="2" t="s">
        <v>4130</v>
      </c>
      <c r="C17023" s="2" t="s">
        <v>8276</v>
      </c>
      <c r="D17023" s="3" t="str">
        <f>HYPERLINK("https://12go.asia/en/travel/P-Plus-Express-Surat-Thani/TBS-Kuala-Lumpur", "12Go Link")</f>
        <v>12Go Link</v>
      </c>
      <c r="E17023" s="2" t="s">
        <v>8063</v>
      </c>
    </row>
    <row r="17024">
      <c r="A17024" s="2" t="s">
        <v>8070</v>
      </c>
      <c r="B17024" s="2" t="s">
        <v>8104</v>
      </c>
      <c r="C17024" s="2" t="s">
        <v>8277</v>
      </c>
      <c r="D17024" s="3" t="str">
        <f>HYPERLINK("https://12go.asia/en/travel/phantip-travel-surat-thani/seatran-donsak-pier", "12Go Link")</f>
        <v>12Go Link</v>
      </c>
      <c r="E17024" s="2" t="s">
        <v>59</v>
      </c>
    </row>
    <row r="17025">
      <c r="A17025" s="2" t="s">
        <v>8070</v>
      </c>
      <c r="B17025" s="2" t="s">
        <v>8075</v>
      </c>
      <c r="C17025" s="2" t="s">
        <v>8278</v>
      </c>
      <c r="D17025" s="3" t="str">
        <f>HYPERLINK("https://12go.asia/en/travel/Surat-Thani/Phuket-Transfer", "12Go Link")</f>
        <v>12Go Link</v>
      </c>
      <c r="E17025" s="2" t="s">
        <v>4095</v>
      </c>
    </row>
    <row r="17026">
      <c r="A17026" s="2" t="s">
        <v>8070</v>
      </c>
      <c r="B17026" s="2" t="s">
        <v>284</v>
      </c>
      <c r="C17026" s="2" t="s">
        <v>8279</v>
      </c>
      <c r="D17026" s="3" t="str">
        <f t="shared" ref="D17026:D17028" si="4388">HYPERLINK("https://12go.asia/en/travel/Surat-Thani-Town-Transfer/Ban-Krut", "12Go Link")</f>
        <v>12Go Link</v>
      </c>
      <c r="E17026" s="2" t="s">
        <v>286</v>
      </c>
    </row>
    <row r="17027">
      <c r="A17027" s="2" t="s">
        <v>8070</v>
      </c>
      <c r="B17027" s="2" t="s">
        <v>284</v>
      </c>
      <c r="C17027" s="2" t="s">
        <v>8279</v>
      </c>
      <c r="D17027" s="3" t="str">
        <f t="shared" si="4388"/>
        <v>12Go Link</v>
      </c>
      <c r="E17027" s="2" t="s">
        <v>287</v>
      </c>
    </row>
    <row r="17028">
      <c r="A17028" s="2" t="s">
        <v>8070</v>
      </c>
      <c r="B17028" s="2" t="s">
        <v>284</v>
      </c>
      <c r="C17028" s="2" t="s">
        <v>8279</v>
      </c>
      <c r="D17028" s="3" t="str">
        <f t="shared" si="4388"/>
        <v>12Go Link</v>
      </c>
      <c r="E17028" s="2" t="s">
        <v>288</v>
      </c>
    </row>
    <row r="17029">
      <c r="A17029" s="2" t="s">
        <v>8116</v>
      </c>
      <c r="B17029" s="2" t="s">
        <v>8104</v>
      </c>
      <c r="C17029" s="2" t="s">
        <v>8280</v>
      </c>
      <c r="D17029" s="3" t="str">
        <f>HYPERLINK("https://12go.asia/en/travel/surat-thani-airport/seatran-donsak-pier", "12Go Link")</f>
        <v>12Go Link</v>
      </c>
      <c r="E17029" s="2" t="s">
        <v>59</v>
      </c>
    </row>
    <row r="17030">
      <c r="A17030" s="2" t="s">
        <v>8255</v>
      </c>
      <c r="B17030" s="2" t="s">
        <v>284</v>
      </c>
      <c r="C17030" s="2" t="s">
        <v>8281</v>
      </c>
      <c r="D17030" s="3" t="str">
        <f t="shared" ref="D17030:D17032" si="4389">HYPERLINK("https://12go.asia/en/travel/Suvarnabhumi-Airport/Ban-Krut", "12Go Link")</f>
        <v>12Go Link</v>
      </c>
      <c r="E17030" s="2" t="s">
        <v>286</v>
      </c>
    </row>
    <row r="17031">
      <c r="A17031" s="2" t="s">
        <v>8255</v>
      </c>
      <c r="B17031" s="2" t="s">
        <v>284</v>
      </c>
      <c r="C17031" s="2" t="s">
        <v>8281</v>
      </c>
      <c r="D17031" s="3" t="str">
        <f t="shared" si="4389"/>
        <v>12Go Link</v>
      </c>
      <c r="E17031" s="2" t="s">
        <v>287</v>
      </c>
    </row>
    <row r="17032">
      <c r="A17032" s="2" t="s">
        <v>8255</v>
      </c>
      <c r="B17032" s="2" t="s">
        <v>284</v>
      </c>
      <c r="C17032" s="2" t="s">
        <v>8281</v>
      </c>
      <c r="D17032" s="3" t="str">
        <f t="shared" si="4389"/>
        <v>12Go Link</v>
      </c>
      <c r="E17032" s="2" t="s">
        <v>288</v>
      </c>
    </row>
    <row r="17033">
      <c r="A17033" s="2" t="s">
        <v>8255</v>
      </c>
      <c r="B17033" s="2" t="s">
        <v>8068</v>
      </c>
      <c r="C17033" s="2" t="s">
        <v>8282</v>
      </c>
      <c r="D17033" s="3" t="str">
        <f t="shared" ref="D17033:D17035" si="4390">HYPERLINK("https://12go.asia/en/travel/Suvarnabhumi-Airport/Ban-Phe", "12Go Link")</f>
        <v>12Go Link</v>
      </c>
      <c r="E17033" s="2" t="s">
        <v>286</v>
      </c>
    </row>
    <row r="17034">
      <c r="A17034" s="2" t="s">
        <v>8255</v>
      </c>
      <c r="B17034" s="2" t="s">
        <v>8068</v>
      </c>
      <c r="C17034" s="2" t="s">
        <v>8282</v>
      </c>
      <c r="D17034" s="3" t="str">
        <f t="shared" si="4390"/>
        <v>12Go Link</v>
      </c>
      <c r="E17034" s="2" t="s">
        <v>3407</v>
      </c>
    </row>
    <row r="17035">
      <c r="A17035" s="2" t="s">
        <v>8255</v>
      </c>
      <c r="B17035" s="2" t="s">
        <v>8068</v>
      </c>
      <c r="C17035" s="2" t="s">
        <v>8282</v>
      </c>
      <c r="D17035" s="3" t="str">
        <f t="shared" si="4390"/>
        <v>12Go Link</v>
      </c>
      <c r="E17035" s="2" t="s">
        <v>4287</v>
      </c>
    </row>
    <row r="17036">
      <c r="A17036" s="2" t="s">
        <v>8283</v>
      </c>
      <c r="B17036" s="2" t="s">
        <v>8099</v>
      </c>
      <c r="C17036" s="2" t="s">
        <v>8284</v>
      </c>
      <c r="D17036" s="3" t="str">
        <f>HYPERLINK("https://12go.asia/en/travel/Trang-with-Pakmeng-and-Sikhao/Khao-Lak-Transfer", "12Go Link")</f>
        <v>12Go Link</v>
      </c>
      <c r="E17036" s="2" t="s">
        <v>4095</v>
      </c>
    </row>
    <row r="17037">
      <c r="A17037" s="2" t="s">
        <v>8283</v>
      </c>
      <c r="B17037" s="2" t="s">
        <v>8075</v>
      </c>
      <c r="C17037" s="2" t="s">
        <v>8285</v>
      </c>
      <c r="D17037" s="3" t="str">
        <f>HYPERLINK("https://12go.asia/en/travel/Trang-with-Pakmeng-and-Sikhao/Phuket-Transfer", "12Go Link")</f>
        <v>12Go Link</v>
      </c>
      <c r="E17037" s="2" t="s">
        <v>4095</v>
      </c>
    </row>
    <row r="17038">
      <c r="A17038" s="2" t="s">
        <v>8072</v>
      </c>
      <c r="B17038" s="2" t="s">
        <v>284</v>
      </c>
      <c r="C17038" s="2" t="s">
        <v>8286</v>
      </c>
      <c r="D17038" s="3" t="str">
        <f t="shared" ref="D17038:D17040" si="4391">HYPERLINK("https://12go.asia/en/travel/Ao-Thammachat-pier/Ban-Krut", "12Go Link")</f>
        <v>12Go Link</v>
      </c>
      <c r="E17038" s="2" t="s">
        <v>286</v>
      </c>
    </row>
    <row r="17039">
      <c r="A17039" s="2" t="s">
        <v>8072</v>
      </c>
      <c r="B17039" s="2" t="s">
        <v>284</v>
      </c>
      <c r="C17039" s="2" t="s">
        <v>8286</v>
      </c>
      <c r="D17039" s="3" t="str">
        <f t="shared" si="4391"/>
        <v>12Go Link</v>
      </c>
      <c r="E17039" s="2" t="s">
        <v>287</v>
      </c>
    </row>
    <row r="17040">
      <c r="A17040" s="2" t="s">
        <v>8072</v>
      </c>
      <c r="B17040" s="2" t="s">
        <v>284</v>
      </c>
      <c r="C17040" s="2" t="s">
        <v>8286</v>
      </c>
      <c r="D17040" s="3" t="str">
        <f t="shared" si="4391"/>
        <v>12Go Link</v>
      </c>
      <c r="E17040" s="2" t="s">
        <v>288</v>
      </c>
    </row>
    <row r="17041">
      <c r="A17041" s="2" t="s">
        <v>8072</v>
      </c>
      <c r="B17041" s="2" t="s">
        <v>284</v>
      </c>
      <c r="C17041" s="2" t="s">
        <v>8287</v>
      </c>
      <c r="D17041" s="3" t="str">
        <f t="shared" ref="D17041:D17043" si="4392">HYPERLINK("https://12go.asia/en/travel/Laem-Ngop-Pier-Trat/Ban-Krut", "12Go Link")</f>
        <v>12Go Link</v>
      </c>
      <c r="E17041" s="2" t="s">
        <v>286</v>
      </c>
    </row>
    <row r="17042">
      <c r="A17042" s="2" t="s">
        <v>8072</v>
      </c>
      <c r="B17042" s="2" t="s">
        <v>284</v>
      </c>
      <c r="C17042" s="2" t="s">
        <v>8287</v>
      </c>
      <c r="D17042" s="3" t="str">
        <f t="shared" si="4392"/>
        <v>12Go Link</v>
      </c>
      <c r="E17042" s="2" t="s">
        <v>287</v>
      </c>
    </row>
    <row r="17043">
      <c r="A17043" s="2" t="s">
        <v>8072</v>
      </c>
      <c r="B17043" s="2" t="s">
        <v>284</v>
      </c>
      <c r="C17043" s="2" t="s">
        <v>8287</v>
      </c>
      <c r="D17043" s="3" t="str">
        <f t="shared" si="4392"/>
        <v>12Go Link</v>
      </c>
      <c r="E17043" s="2" t="s">
        <v>288</v>
      </c>
    </row>
    <row r="17044">
      <c r="A17044" s="2" t="s">
        <v>8072</v>
      </c>
      <c r="B17044" s="2" t="s">
        <v>284</v>
      </c>
      <c r="C17044" s="2" t="s">
        <v>8288</v>
      </c>
      <c r="D17044" s="3" t="str">
        <f t="shared" ref="D17044:D17046" si="4393">HYPERLINK("https://12go.asia/en/travel/Laem-Sok-Pier/Ban-Krut", "12Go Link")</f>
        <v>12Go Link</v>
      </c>
      <c r="E17044" s="2" t="s">
        <v>286</v>
      </c>
    </row>
    <row r="17045">
      <c r="A17045" s="2" t="s">
        <v>8072</v>
      </c>
      <c r="B17045" s="2" t="s">
        <v>284</v>
      </c>
      <c r="C17045" s="2" t="s">
        <v>8288</v>
      </c>
      <c r="D17045" s="3" t="str">
        <f t="shared" si="4393"/>
        <v>12Go Link</v>
      </c>
      <c r="E17045" s="2" t="s">
        <v>287</v>
      </c>
    </row>
    <row r="17046">
      <c r="A17046" s="2" t="s">
        <v>8072</v>
      </c>
      <c r="B17046" s="2" t="s">
        <v>284</v>
      </c>
      <c r="C17046" s="2" t="s">
        <v>8288</v>
      </c>
      <c r="D17046" s="3" t="str">
        <f t="shared" si="4393"/>
        <v>12Go Link</v>
      </c>
      <c r="E17046" s="2" t="s">
        <v>288</v>
      </c>
    </row>
    <row r="17047">
      <c r="A17047" s="2" t="s">
        <v>8072</v>
      </c>
      <c r="B17047" s="2" t="s">
        <v>284</v>
      </c>
      <c r="C17047" s="2" t="s">
        <v>8289</v>
      </c>
      <c r="D17047" s="3" t="str">
        <f t="shared" ref="D17047:D17049" si="4394">HYPERLINK("https://12go.asia/en/travel/Trat-Town-Hotel-Transfer/Ban-Krut", "12Go Link")</f>
        <v>12Go Link</v>
      </c>
      <c r="E17047" s="2" t="s">
        <v>286</v>
      </c>
    </row>
    <row r="17048">
      <c r="A17048" s="2" t="s">
        <v>8072</v>
      </c>
      <c r="B17048" s="2" t="s">
        <v>284</v>
      </c>
      <c r="C17048" s="2" t="s">
        <v>8289</v>
      </c>
      <c r="D17048" s="3" t="str">
        <f t="shared" si="4394"/>
        <v>12Go Link</v>
      </c>
      <c r="E17048" s="2" t="s">
        <v>287</v>
      </c>
    </row>
    <row r="17049">
      <c r="A17049" s="2" t="s">
        <v>8072</v>
      </c>
      <c r="B17049" s="2" t="s">
        <v>284</v>
      </c>
      <c r="C17049" s="2" t="s">
        <v>8289</v>
      </c>
      <c r="D17049" s="3" t="str">
        <f t="shared" si="4394"/>
        <v>12Go Link</v>
      </c>
      <c r="E17049" s="2" t="s">
        <v>288</v>
      </c>
    </row>
    <row r="17050">
      <c r="A17050" s="2" t="s">
        <v>4012</v>
      </c>
      <c r="B17050" s="2" t="s">
        <v>4002</v>
      </c>
      <c r="C17050" s="2" t="s">
        <v>8290</v>
      </c>
      <c r="D17050" s="3" t="str">
        <f t="shared" ref="D17050:D17051" si="4395">HYPERLINK("https://12go.asia/en/travel/Ubon-Ratchathani-Transfer/Chong-Mek-Border-", "12Go Link")</f>
        <v>12Go Link</v>
      </c>
      <c r="E17050" s="2" t="s">
        <v>4008</v>
      </c>
    </row>
    <row r="17051">
      <c r="A17051" s="2" t="s">
        <v>4012</v>
      </c>
      <c r="B17051" s="2" t="s">
        <v>4002</v>
      </c>
      <c r="C17051" s="2" t="s">
        <v>8290</v>
      </c>
      <c r="D17051" s="3" t="str">
        <f t="shared" si="4395"/>
        <v>12Go Link</v>
      </c>
      <c r="E17051" s="2" t="s">
        <v>4009</v>
      </c>
    </row>
    <row r="17052">
      <c r="A17052" s="2" t="s">
        <v>4012</v>
      </c>
      <c r="B17052" s="2" t="s">
        <v>4006</v>
      </c>
      <c r="C17052" s="2" t="s">
        <v>8291</v>
      </c>
      <c r="D17052" s="3" t="str">
        <f t="shared" ref="D17052:D17053" si="4396">HYPERLINK("https://12go.asia/en/travel/Ubon-Ratchathani-Transfer/Pakse-Hotel-Transfer", "12Go Link")</f>
        <v>12Go Link</v>
      </c>
      <c r="E17052" s="2" t="s">
        <v>4008</v>
      </c>
    </row>
    <row r="17053">
      <c r="A17053" s="2" t="s">
        <v>4012</v>
      </c>
      <c r="B17053" s="2" t="s">
        <v>4006</v>
      </c>
      <c r="C17053" s="2" t="s">
        <v>8291</v>
      </c>
      <c r="D17053" s="3" t="str">
        <f t="shared" si="4396"/>
        <v>12Go Link</v>
      </c>
      <c r="E17053" s="2" t="s">
        <v>4009</v>
      </c>
    </row>
    <row r="17054">
      <c r="A17054" s="2" t="s">
        <v>8292</v>
      </c>
      <c r="B17054" s="2" t="s">
        <v>8293</v>
      </c>
      <c r="C17054" s="2" t="s">
        <v>8294</v>
      </c>
      <c r="D17054" s="3" t="str">
        <f t="shared" ref="D17054:D17056" si="4397">HYPERLINK("https://12go.asia/en/travel/Adakoy-Hotel-Transfer/Dalaman-Airport", "12Go Link")</f>
        <v>12Go Link</v>
      </c>
      <c r="E17054" s="2" t="s">
        <v>8295</v>
      </c>
    </row>
    <row r="17055">
      <c r="A17055" s="2" t="s">
        <v>8292</v>
      </c>
      <c r="B17055" s="2" t="s">
        <v>8293</v>
      </c>
      <c r="C17055" s="2" t="s">
        <v>8294</v>
      </c>
      <c r="D17055" s="3" t="str">
        <f t="shared" si="4397"/>
        <v>12Go Link</v>
      </c>
      <c r="E17055" s="2" t="s">
        <v>4137</v>
      </c>
    </row>
    <row r="17056">
      <c r="A17056" s="2" t="s">
        <v>8292</v>
      </c>
      <c r="B17056" s="2" t="s">
        <v>8293</v>
      </c>
      <c r="C17056" s="2" t="s">
        <v>8294</v>
      </c>
      <c r="D17056" s="3" t="str">
        <f t="shared" si="4397"/>
        <v>12Go Link</v>
      </c>
      <c r="E17056" s="2" t="s">
        <v>8296</v>
      </c>
    </row>
    <row r="17057">
      <c r="A17057" s="2" t="s">
        <v>8297</v>
      </c>
      <c r="B17057" s="2" t="s">
        <v>8298</v>
      </c>
      <c r="C17057" s="2" t="s">
        <v>8299</v>
      </c>
      <c r="D17057" s="3" t="str">
        <f t="shared" ref="D17057:D17058" si="4398">HYPERLINK("https://12go.asia/en/travel/Adrasan-Hotel-Transfer/Antalya-Airport", "12Go Link")</f>
        <v>12Go Link</v>
      </c>
      <c r="E17057" s="2" t="s">
        <v>4507</v>
      </c>
    </row>
    <row r="17058">
      <c r="A17058" s="2" t="s">
        <v>8297</v>
      </c>
      <c r="B17058" s="2" t="s">
        <v>8298</v>
      </c>
      <c r="C17058" s="2" t="s">
        <v>8299</v>
      </c>
      <c r="D17058" s="3" t="str">
        <f t="shared" si="4398"/>
        <v>12Go Link</v>
      </c>
      <c r="E17058" s="2" t="s">
        <v>286</v>
      </c>
    </row>
    <row r="17059">
      <c r="A17059" s="2" t="s">
        <v>8300</v>
      </c>
      <c r="B17059" s="2" t="s">
        <v>8293</v>
      </c>
      <c r="C17059" s="2" t="s">
        <v>8301</v>
      </c>
      <c r="D17059" s="3" t="str">
        <f t="shared" ref="D17059:D17061" si="4399">HYPERLINK("https://12go.asia/en/travel/Akyaka-Hotel-Transfer/Dalaman-Airport", "12Go Link")</f>
        <v>12Go Link</v>
      </c>
      <c r="E17059" s="2" t="s">
        <v>8295</v>
      </c>
    </row>
    <row r="17060">
      <c r="A17060" s="2" t="s">
        <v>8300</v>
      </c>
      <c r="B17060" s="2" t="s">
        <v>8293</v>
      </c>
      <c r="C17060" s="2" t="s">
        <v>8301</v>
      </c>
      <c r="D17060" s="3" t="str">
        <f t="shared" si="4399"/>
        <v>12Go Link</v>
      </c>
      <c r="E17060" s="2" t="s">
        <v>4137</v>
      </c>
    </row>
    <row r="17061">
      <c r="A17061" s="2" t="s">
        <v>8300</v>
      </c>
      <c r="B17061" s="2" t="s">
        <v>8293</v>
      </c>
      <c r="C17061" s="2" t="s">
        <v>8301</v>
      </c>
      <c r="D17061" s="3" t="str">
        <f t="shared" si="4399"/>
        <v>12Go Link</v>
      </c>
      <c r="E17061" s="2" t="s">
        <v>8296</v>
      </c>
    </row>
    <row r="17062">
      <c r="A17062" s="2" t="s">
        <v>8302</v>
      </c>
      <c r="B17062" s="2" t="s">
        <v>8302</v>
      </c>
      <c r="C17062" s="2" t="s">
        <v>8303</v>
      </c>
      <c r="D17062" s="3" t="str">
        <f t="shared" ref="D17062:D17064" si="4400">HYPERLINK("https://12go.asia/en/travel/Alanya-Hotel-Transfer/Gazipasa-Alanya-Airport", "12Go Link")</f>
        <v>12Go Link</v>
      </c>
      <c r="E17062" s="2" t="s">
        <v>4507</v>
      </c>
    </row>
    <row r="17063">
      <c r="A17063" s="2" t="s">
        <v>8302</v>
      </c>
      <c r="B17063" s="2" t="s">
        <v>8302</v>
      </c>
      <c r="C17063" s="2" t="s">
        <v>8303</v>
      </c>
      <c r="D17063" s="3" t="str">
        <f t="shared" si="4400"/>
        <v>12Go Link</v>
      </c>
      <c r="E17063" s="2" t="s">
        <v>286</v>
      </c>
    </row>
    <row r="17064">
      <c r="A17064" s="2" t="s">
        <v>8302</v>
      </c>
      <c r="B17064" s="2" t="s">
        <v>8302</v>
      </c>
      <c r="C17064" s="2" t="s">
        <v>8303</v>
      </c>
      <c r="D17064" s="3" t="str">
        <f t="shared" si="4400"/>
        <v>12Go Link</v>
      </c>
      <c r="E17064" s="2" t="s">
        <v>4137</v>
      </c>
    </row>
    <row r="17065">
      <c r="A17065" s="2" t="s">
        <v>8302</v>
      </c>
      <c r="B17065" s="2" t="s">
        <v>8302</v>
      </c>
      <c r="C17065" s="2" t="s">
        <v>8304</v>
      </c>
      <c r="D17065" s="3" t="str">
        <f t="shared" ref="D17065:D17067" si="4401">HYPERLINK("https://12go.asia/en/travel/Gazipasa-Alanya-Airport/Alanya-Hotel-Transfer", "12Go Link")</f>
        <v>12Go Link</v>
      </c>
      <c r="E17065" s="2" t="s">
        <v>4507</v>
      </c>
    </row>
    <row r="17066">
      <c r="A17066" s="2" t="s">
        <v>8302</v>
      </c>
      <c r="B17066" s="2" t="s">
        <v>8302</v>
      </c>
      <c r="C17066" s="2" t="s">
        <v>8304</v>
      </c>
      <c r="D17066" s="3" t="str">
        <f t="shared" si="4401"/>
        <v>12Go Link</v>
      </c>
      <c r="E17066" s="2" t="s">
        <v>286</v>
      </c>
    </row>
    <row r="17067">
      <c r="A17067" s="2" t="s">
        <v>8302</v>
      </c>
      <c r="B17067" s="2" t="s">
        <v>8302</v>
      </c>
      <c r="C17067" s="2" t="s">
        <v>8304</v>
      </c>
      <c r="D17067" s="3" t="str">
        <f t="shared" si="4401"/>
        <v>12Go Link</v>
      </c>
      <c r="E17067" s="2" t="s">
        <v>4137</v>
      </c>
    </row>
    <row r="17068">
      <c r="A17068" s="2" t="s">
        <v>8302</v>
      </c>
      <c r="B17068" s="2" t="s">
        <v>8302</v>
      </c>
      <c r="C17068" s="2" t="s">
        <v>8305</v>
      </c>
      <c r="D17068" s="3" t="str">
        <f t="shared" ref="D17068:D17072" si="4402">HYPERLINK("https://12go.asia/en/travel/Gazipasa-Alanya-Airport/Yesiloz-Transfer-Alanya", "12Go Link")</f>
        <v>12Go Link</v>
      </c>
      <c r="E17068" s="2" t="s">
        <v>4507</v>
      </c>
    </row>
    <row r="17069">
      <c r="A17069" s="2" t="s">
        <v>8302</v>
      </c>
      <c r="B17069" s="2" t="s">
        <v>8302</v>
      </c>
      <c r="C17069" s="2" t="s">
        <v>8305</v>
      </c>
      <c r="D17069" s="3" t="str">
        <f t="shared" si="4402"/>
        <v>12Go Link</v>
      </c>
      <c r="E17069" s="2" t="s">
        <v>286</v>
      </c>
    </row>
    <row r="17070">
      <c r="A17070" s="2" t="s">
        <v>8302</v>
      </c>
      <c r="B17070" s="2" t="s">
        <v>8302</v>
      </c>
      <c r="C17070" s="2" t="s">
        <v>8305</v>
      </c>
      <c r="D17070" s="3" t="str">
        <f t="shared" si="4402"/>
        <v>12Go Link</v>
      </c>
      <c r="E17070" s="2" t="s">
        <v>8295</v>
      </c>
    </row>
    <row r="17071">
      <c r="A17071" s="2" t="s">
        <v>8302</v>
      </c>
      <c r="B17071" s="2" t="s">
        <v>8302</v>
      </c>
      <c r="C17071" s="2" t="s">
        <v>8305</v>
      </c>
      <c r="D17071" s="3" t="str">
        <f t="shared" si="4402"/>
        <v>12Go Link</v>
      </c>
      <c r="E17071" s="2" t="s">
        <v>4137</v>
      </c>
    </row>
    <row r="17072">
      <c r="A17072" s="2" t="s">
        <v>8302</v>
      </c>
      <c r="B17072" s="2" t="s">
        <v>8302</v>
      </c>
      <c r="C17072" s="2" t="s">
        <v>8305</v>
      </c>
      <c r="D17072" s="3" t="str">
        <f t="shared" si="4402"/>
        <v>12Go Link</v>
      </c>
      <c r="E17072" s="2" t="s">
        <v>8296</v>
      </c>
    </row>
    <row r="17073">
      <c r="A17073" s="2" t="s">
        <v>8302</v>
      </c>
      <c r="B17073" s="2" t="s">
        <v>8302</v>
      </c>
      <c r="C17073" s="2" t="s">
        <v>8306</v>
      </c>
      <c r="D17073" s="3" t="str">
        <f t="shared" ref="D17073:D17077" si="4403">HYPERLINK("https://12go.asia/en/travel/Yesiloz-Transfer-Alanya/Gazipasa-Alanya-Airport", "12Go Link")</f>
        <v>12Go Link</v>
      </c>
      <c r="E17073" s="2" t="s">
        <v>4507</v>
      </c>
    </row>
    <row r="17074">
      <c r="A17074" s="2" t="s">
        <v>8302</v>
      </c>
      <c r="B17074" s="2" t="s">
        <v>8302</v>
      </c>
      <c r="C17074" s="2" t="s">
        <v>8306</v>
      </c>
      <c r="D17074" s="3" t="str">
        <f t="shared" si="4403"/>
        <v>12Go Link</v>
      </c>
      <c r="E17074" s="2" t="s">
        <v>286</v>
      </c>
    </row>
    <row r="17075">
      <c r="A17075" s="2" t="s">
        <v>8302</v>
      </c>
      <c r="B17075" s="2" t="s">
        <v>8302</v>
      </c>
      <c r="C17075" s="2" t="s">
        <v>8306</v>
      </c>
      <c r="D17075" s="3" t="str">
        <f t="shared" si="4403"/>
        <v>12Go Link</v>
      </c>
      <c r="E17075" s="2" t="s">
        <v>8295</v>
      </c>
    </row>
    <row r="17076">
      <c r="A17076" s="2" t="s">
        <v>8302</v>
      </c>
      <c r="B17076" s="2" t="s">
        <v>8302</v>
      </c>
      <c r="C17076" s="2" t="s">
        <v>8306</v>
      </c>
      <c r="D17076" s="3" t="str">
        <f t="shared" si="4403"/>
        <v>12Go Link</v>
      </c>
      <c r="E17076" s="2" t="s">
        <v>4137</v>
      </c>
    </row>
    <row r="17077">
      <c r="A17077" s="2" t="s">
        <v>8302</v>
      </c>
      <c r="B17077" s="2" t="s">
        <v>8302</v>
      </c>
      <c r="C17077" s="2" t="s">
        <v>8306</v>
      </c>
      <c r="D17077" s="3" t="str">
        <f t="shared" si="4403"/>
        <v>12Go Link</v>
      </c>
      <c r="E17077" s="2" t="s">
        <v>8296</v>
      </c>
    </row>
    <row r="17078">
      <c r="A17078" s="2" t="s">
        <v>8302</v>
      </c>
      <c r="B17078" s="2" t="s">
        <v>8298</v>
      </c>
      <c r="C17078" s="2" t="s">
        <v>8307</v>
      </c>
      <c r="D17078" s="3" t="str">
        <f t="shared" ref="D17078:D17079" si="4404">HYPERLINK("https://12go.asia/en/travel/Alanya-Hotel-Transfer/Antalya-Airport", "12Go Link")</f>
        <v>12Go Link</v>
      </c>
      <c r="E17078" s="2" t="s">
        <v>4507</v>
      </c>
    </row>
    <row r="17079">
      <c r="A17079" s="2" t="s">
        <v>8302</v>
      </c>
      <c r="B17079" s="2" t="s">
        <v>8298</v>
      </c>
      <c r="C17079" s="2" t="s">
        <v>8307</v>
      </c>
      <c r="D17079" s="3" t="str">
        <f t="shared" si="4404"/>
        <v>12Go Link</v>
      </c>
      <c r="E17079" s="2" t="s">
        <v>286</v>
      </c>
    </row>
    <row r="17080">
      <c r="A17080" s="2" t="s">
        <v>8302</v>
      </c>
      <c r="B17080" s="2" t="s">
        <v>8298</v>
      </c>
      <c r="C17080" s="2" t="s">
        <v>8308</v>
      </c>
      <c r="D17080" s="3" t="str">
        <f t="shared" ref="D17080:D17084" si="4405">HYPERLINK("https://12go.asia/en/travel/Gazipasa-Alanya-Airport/Titreyengol-Hotel-Transfer", "12Go Link")</f>
        <v>12Go Link</v>
      </c>
      <c r="E17080" s="2" t="s">
        <v>4507</v>
      </c>
    </row>
    <row r="17081">
      <c r="A17081" s="2" t="s">
        <v>8302</v>
      </c>
      <c r="B17081" s="2" t="s">
        <v>8298</v>
      </c>
      <c r="C17081" s="2" t="s">
        <v>8308</v>
      </c>
      <c r="D17081" s="3" t="str">
        <f t="shared" si="4405"/>
        <v>12Go Link</v>
      </c>
      <c r="E17081" s="2" t="s">
        <v>286</v>
      </c>
    </row>
    <row r="17082">
      <c r="A17082" s="2" t="s">
        <v>8302</v>
      </c>
      <c r="B17082" s="2" t="s">
        <v>8298</v>
      </c>
      <c r="C17082" s="2" t="s">
        <v>8308</v>
      </c>
      <c r="D17082" s="3" t="str">
        <f t="shared" si="4405"/>
        <v>12Go Link</v>
      </c>
      <c r="E17082" s="2" t="s">
        <v>8295</v>
      </c>
    </row>
    <row r="17083">
      <c r="A17083" s="2" t="s">
        <v>8302</v>
      </c>
      <c r="B17083" s="2" t="s">
        <v>8298</v>
      </c>
      <c r="C17083" s="2" t="s">
        <v>8308</v>
      </c>
      <c r="D17083" s="3" t="str">
        <f t="shared" si="4405"/>
        <v>12Go Link</v>
      </c>
      <c r="E17083" s="2" t="s">
        <v>4137</v>
      </c>
    </row>
    <row r="17084">
      <c r="A17084" s="2" t="s">
        <v>8302</v>
      </c>
      <c r="B17084" s="2" t="s">
        <v>8298</v>
      </c>
      <c r="C17084" s="2" t="s">
        <v>8308</v>
      </c>
      <c r="D17084" s="3" t="str">
        <f t="shared" si="4405"/>
        <v>12Go Link</v>
      </c>
      <c r="E17084" s="2" t="s">
        <v>8296</v>
      </c>
    </row>
    <row r="17085">
      <c r="A17085" s="2" t="s">
        <v>8302</v>
      </c>
      <c r="B17085" s="2" t="s">
        <v>8309</v>
      </c>
      <c r="C17085" s="2" t="s">
        <v>8310</v>
      </c>
      <c r="D17085" s="3" t="str">
        <f t="shared" ref="D17085:D17087" si="4406">HYPERLINK("https://12go.asia/en/travel/Gazipasa-Alanya-Airport/Avsallar-Hotel-Transfer", "12Go Link")</f>
        <v>12Go Link</v>
      </c>
      <c r="E17085" s="2" t="s">
        <v>4507</v>
      </c>
    </row>
    <row r="17086">
      <c r="A17086" s="2" t="s">
        <v>8302</v>
      </c>
      <c r="B17086" s="2" t="s">
        <v>8309</v>
      </c>
      <c r="C17086" s="2" t="s">
        <v>8310</v>
      </c>
      <c r="D17086" s="3" t="str">
        <f t="shared" si="4406"/>
        <v>12Go Link</v>
      </c>
      <c r="E17086" s="2" t="s">
        <v>286</v>
      </c>
    </row>
    <row r="17087">
      <c r="A17087" s="2" t="s">
        <v>8302</v>
      </c>
      <c r="B17087" s="2" t="s">
        <v>8309</v>
      </c>
      <c r="C17087" s="2" t="s">
        <v>8310</v>
      </c>
      <c r="D17087" s="3" t="str">
        <f t="shared" si="4406"/>
        <v>12Go Link</v>
      </c>
      <c r="E17087" s="2" t="s">
        <v>4137</v>
      </c>
    </row>
    <row r="17088">
      <c r="A17088" s="2" t="s">
        <v>8302</v>
      </c>
      <c r="B17088" s="2" t="s">
        <v>8311</v>
      </c>
      <c r="C17088" s="2" t="s">
        <v>8312</v>
      </c>
      <c r="D17088" s="3" t="str">
        <f t="shared" ref="D17088:D17090" si="4407">HYPERLINK("https://12go.asia/en/travel/Gazipasa-Alanya-Airport/Cenger-Hotel-Transfer", "12Go Link")</f>
        <v>12Go Link</v>
      </c>
      <c r="E17088" s="2" t="s">
        <v>4507</v>
      </c>
    </row>
    <row r="17089">
      <c r="A17089" s="2" t="s">
        <v>8302</v>
      </c>
      <c r="B17089" s="2" t="s">
        <v>8311</v>
      </c>
      <c r="C17089" s="2" t="s">
        <v>8312</v>
      </c>
      <c r="D17089" s="3" t="str">
        <f t="shared" si="4407"/>
        <v>12Go Link</v>
      </c>
      <c r="E17089" s="2" t="s">
        <v>286</v>
      </c>
    </row>
    <row r="17090">
      <c r="A17090" s="2" t="s">
        <v>8302</v>
      </c>
      <c r="B17090" s="2" t="s">
        <v>8311</v>
      </c>
      <c r="C17090" s="2" t="s">
        <v>8312</v>
      </c>
      <c r="D17090" s="3" t="str">
        <f t="shared" si="4407"/>
        <v>12Go Link</v>
      </c>
      <c r="E17090" s="2" t="s">
        <v>4137</v>
      </c>
    </row>
    <row r="17091">
      <c r="A17091" s="2" t="s">
        <v>8302</v>
      </c>
      <c r="B17091" s="2" t="s">
        <v>8313</v>
      </c>
      <c r="C17091" s="2" t="s">
        <v>8314</v>
      </c>
      <c r="D17091" s="3" t="str">
        <f t="shared" ref="D17091:D17095" si="4408">HYPERLINK("https://12go.asia/en/travel/Gazipasa-Alanya-Airport/Colakli-Hotel-Transfer", "12Go Link")</f>
        <v>12Go Link</v>
      </c>
      <c r="E17091" s="2" t="s">
        <v>4507</v>
      </c>
    </row>
    <row r="17092">
      <c r="A17092" s="2" t="s">
        <v>8302</v>
      </c>
      <c r="B17092" s="2" t="s">
        <v>8313</v>
      </c>
      <c r="C17092" s="2" t="s">
        <v>8314</v>
      </c>
      <c r="D17092" s="3" t="str">
        <f t="shared" si="4408"/>
        <v>12Go Link</v>
      </c>
      <c r="E17092" s="2" t="s">
        <v>286</v>
      </c>
    </row>
    <row r="17093">
      <c r="A17093" s="2" t="s">
        <v>8302</v>
      </c>
      <c r="B17093" s="2" t="s">
        <v>8313</v>
      </c>
      <c r="C17093" s="2" t="s">
        <v>8314</v>
      </c>
      <c r="D17093" s="3" t="str">
        <f t="shared" si="4408"/>
        <v>12Go Link</v>
      </c>
      <c r="E17093" s="2" t="s">
        <v>8295</v>
      </c>
    </row>
    <row r="17094">
      <c r="A17094" s="2" t="s">
        <v>8302</v>
      </c>
      <c r="B17094" s="2" t="s">
        <v>8313</v>
      </c>
      <c r="C17094" s="2" t="s">
        <v>8314</v>
      </c>
      <c r="D17094" s="3" t="str">
        <f t="shared" si="4408"/>
        <v>12Go Link</v>
      </c>
      <c r="E17094" s="2" t="s">
        <v>4137</v>
      </c>
    </row>
    <row r="17095">
      <c r="A17095" s="2" t="s">
        <v>8302</v>
      </c>
      <c r="B17095" s="2" t="s">
        <v>8313</v>
      </c>
      <c r="C17095" s="2" t="s">
        <v>8314</v>
      </c>
      <c r="D17095" s="3" t="str">
        <f t="shared" si="4408"/>
        <v>12Go Link</v>
      </c>
      <c r="E17095" s="2" t="s">
        <v>8296</v>
      </c>
    </row>
    <row r="17096">
      <c r="A17096" s="2" t="s">
        <v>8302</v>
      </c>
      <c r="B17096" s="2" t="s">
        <v>8315</v>
      </c>
      <c r="C17096" s="2" t="s">
        <v>8316</v>
      </c>
      <c r="D17096" s="3" t="str">
        <f t="shared" ref="D17096:D17100" si="4409">HYPERLINK("https://12go.asia/en/travel/Gazipasa-Alanya-Airport/Gazipasa-Hotel-Transfer", "12Go Link")</f>
        <v>12Go Link</v>
      </c>
      <c r="E17096" s="2" t="s">
        <v>4507</v>
      </c>
    </row>
    <row r="17097">
      <c r="A17097" s="2" t="s">
        <v>8302</v>
      </c>
      <c r="B17097" s="2" t="s">
        <v>8315</v>
      </c>
      <c r="C17097" s="2" t="s">
        <v>8316</v>
      </c>
      <c r="D17097" s="3" t="str">
        <f t="shared" si="4409"/>
        <v>12Go Link</v>
      </c>
      <c r="E17097" s="2" t="s">
        <v>286</v>
      </c>
    </row>
    <row r="17098">
      <c r="A17098" s="2" t="s">
        <v>8302</v>
      </c>
      <c r="B17098" s="2" t="s">
        <v>8315</v>
      </c>
      <c r="C17098" s="2" t="s">
        <v>8316</v>
      </c>
      <c r="D17098" s="3" t="str">
        <f t="shared" si="4409"/>
        <v>12Go Link</v>
      </c>
      <c r="E17098" s="2" t="s">
        <v>8295</v>
      </c>
    </row>
    <row r="17099">
      <c r="A17099" s="2" t="s">
        <v>8302</v>
      </c>
      <c r="B17099" s="2" t="s">
        <v>8315</v>
      </c>
      <c r="C17099" s="2" t="s">
        <v>8316</v>
      </c>
      <c r="D17099" s="3" t="str">
        <f t="shared" si="4409"/>
        <v>12Go Link</v>
      </c>
      <c r="E17099" s="2" t="s">
        <v>4137</v>
      </c>
    </row>
    <row r="17100">
      <c r="A17100" s="2" t="s">
        <v>8302</v>
      </c>
      <c r="B17100" s="2" t="s">
        <v>8315</v>
      </c>
      <c r="C17100" s="2" t="s">
        <v>8316</v>
      </c>
      <c r="D17100" s="3" t="str">
        <f t="shared" si="4409"/>
        <v>12Go Link</v>
      </c>
      <c r="E17100" s="2" t="s">
        <v>8296</v>
      </c>
    </row>
    <row r="17101">
      <c r="A17101" s="2" t="s">
        <v>8302</v>
      </c>
      <c r="B17101" s="2" t="s">
        <v>8317</v>
      </c>
      <c r="C17101" s="2" t="s">
        <v>8318</v>
      </c>
      <c r="D17101" s="3" t="str">
        <f t="shared" ref="D17101:D17105" si="4410">HYPERLINK("https://12go.asia/en/travel/Gazipasa-Alanya-Airport/Gundogdu-Hotel-Transfer", "12Go Link")</f>
        <v>12Go Link</v>
      </c>
      <c r="E17101" s="2" t="s">
        <v>4507</v>
      </c>
    </row>
    <row r="17102">
      <c r="A17102" s="2" t="s">
        <v>8302</v>
      </c>
      <c r="B17102" s="2" t="s">
        <v>8317</v>
      </c>
      <c r="C17102" s="2" t="s">
        <v>8318</v>
      </c>
      <c r="D17102" s="3" t="str">
        <f t="shared" si="4410"/>
        <v>12Go Link</v>
      </c>
      <c r="E17102" s="2" t="s">
        <v>286</v>
      </c>
    </row>
    <row r="17103">
      <c r="A17103" s="2" t="s">
        <v>8302</v>
      </c>
      <c r="B17103" s="2" t="s">
        <v>8317</v>
      </c>
      <c r="C17103" s="2" t="s">
        <v>8318</v>
      </c>
      <c r="D17103" s="3" t="str">
        <f t="shared" si="4410"/>
        <v>12Go Link</v>
      </c>
      <c r="E17103" s="2" t="s">
        <v>8295</v>
      </c>
    </row>
    <row r="17104">
      <c r="A17104" s="2" t="s">
        <v>8302</v>
      </c>
      <c r="B17104" s="2" t="s">
        <v>8317</v>
      </c>
      <c r="C17104" s="2" t="s">
        <v>8318</v>
      </c>
      <c r="D17104" s="3" t="str">
        <f t="shared" si="4410"/>
        <v>12Go Link</v>
      </c>
      <c r="E17104" s="2" t="s">
        <v>4137</v>
      </c>
    </row>
    <row r="17105">
      <c r="A17105" s="2" t="s">
        <v>8302</v>
      </c>
      <c r="B17105" s="2" t="s">
        <v>8317</v>
      </c>
      <c r="C17105" s="2" t="s">
        <v>8318</v>
      </c>
      <c r="D17105" s="3" t="str">
        <f t="shared" si="4410"/>
        <v>12Go Link</v>
      </c>
      <c r="E17105" s="2" t="s">
        <v>8296</v>
      </c>
    </row>
    <row r="17106">
      <c r="A17106" s="2" t="s">
        <v>8302</v>
      </c>
      <c r="B17106" s="2" t="s">
        <v>8319</v>
      </c>
      <c r="C17106" s="2" t="s">
        <v>8320</v>
      </c>
      <c r="D17106" s="3" t="str">
        <f t="shared" ref="D17106:D17108" si="4411">HYPERLINK("https://12go.asia/en/travel/Gazipasa-Alanya-Airport/Incekum-Hotel-Transfer", "12Go Link")</f>
        <v>12Go Link</v>
      </c>
      <c r="E17106" s="2" t="s">
        <v>4507</v>
      </c>
    </row>
    <row r="17107">
      <c r="A17107" s="2" t="s">
        <v>8302</v>
      </c>
      <c r="B17107" s="2" t="s">
        <v>8319</v>
      </c>
      <c r="C17107" s="2" t="s">
        <v>8320</v>
      </c>
      <c r="D17107" s="3" t="str">
        <f t="shared" si="4411"/>
        <v>12Go Link</v>
      </c>
      <c r="E17107" s="2" t="s">
        <v>286</v>
      </c>
    </row>
    <row r="17108">
      <c r="A17108" s="2" t="s">
        <v>8302</v>
      </c>
      <c r="B17108" s="2" t="s">
        <v>8319</v>
      </c>
      <c r="C17108" s="2" t="s">
        <v>8320</v>
      </c>
      <c r="D17108" s="3" t="str">
        <f t="shared" si="4411"/>
        <v>12Go Link</v>
      </c>
      <c r="E17108" s="2" t="s">
        <v>4137</v>
      </c>
    </row>
    <row r="17109">
      <c r="A17109" s="2" t="s">
        <v>8302</v>
      </c>
      <c r="B17109" s="2" t="s">
        <v>8321</v>
      </c>
      <c r="C17109" s="2" t="s">
        <v>8322</v>
      </c>
      <c r="D17109" s="3" t="str">
        <f t="shared" ref="D17109:D17111" si="4412">HYPERLINK("https://12go.asia/en/travel/Gazipasa-Alanya-Airport/Kargicak-Hotel-Transfer", "12Go Link")</f>
        <v>12Go Link</v>
      </c>
      <c r="E17109" s="2" t="s">
        <v>4507</v>
      </c>
    </row>
    <row r="17110">
      <c r="A17110" s="2" t="s">
        <v>8302</v>
      </c>
      <c r="B17110" s="2" t="s">
        <v>8321</v>
      </c>
      <c r="C17110" s="2" t="s">
        <v>8322</v>
      </c>
      <c r="D17110" s="3" t="str">
        <f t="shared" si="4412"/>
        <v>12Go Link</v>
      </c>
      <c r="E17110" s="2" t="s">
        <v>286</v>
      </c>
    </row>
    <row r="17111">
      <c r="A17111" s="2" t="s">
        <v>8302</v>
      </c>
      <c r="B17111" s="2" t="s">
        <v>8321</v>
      </c>
      <c r="C17111" s="2" t="s">
        <v>8322</v>
      </c>
      <c r="D17111" s="3" t="str">
        <f t="shared" si="4412"/>
        <v>12Go Link</v>
      </c>
      <c r="E17111" s="2" t="s">
        <v>4137</v>
      </c>
    </row>
    <row r="17112">
      <c r="A17112" s="2" t="s">
        <v>8302</v>
      </c>
      <c r="B17112" s="2" t="s">
        <v>8323</v>
      </c>
      <c r="C17112" s="2" t="s">
        <v>8324</v>
      </c>
      <c r="D17112" s="3" t="str">
        <f t="shared" ref="D17112:D17114" si="4413">HYPERLINK("https://12go.asia/en/travel/Gazipasa-Alanya-Airport/Kestel-Hotel-Transfer", "12Go Link")</f>
        <v>12Go Link</v>
      </c>
      <c r="E17112" s="2" t="s">
        <v>4507</v>
      </c>
    </row>
    <row r="17113">
      <c r="A17113" s="2" t="s">
        <v>8302</v>
      </c>
      <c r="B17113" s="2" t="s">
        <v>8323</v>
      </c>
      <c r="C17113" s="2" t="s">
        <v>8324</v>
      </c>
      <c r="D17113" s="3" t="str">
        <f t="shared" si="4413"/>
        <v>12Go Link</v>
      </c>
      <c r="E17113" s="2" t="s">
        <v>286</v>
      </c>
    </row>
    <row r="17114">
      <c r="A17114" s="2" t="s">
        <v>8302</v>
      </c>
      <c r="B17114" s="2" t="s">
        <v>8323</v>
      </c>
      <c r="C17114" s="2" t="s">
        <v>8324</v>
      </c>
      <c r="D17114" s="3" t="str">
        <f t="shared" si="4413"/>
        <v>12Go Link</v>
      </c>
      <c r="E17114" s="2" t="s">
        <v>4137</v>
      </c>
    </row>
    <row r="17115">
      <c r="A17115" s="2" t="s">
        <v>8302</v>
      </c>
      <c r="B17115" s="2" t="s">
        <v>8325</v>
      </c>
      <c r="C17115" s="2" t="s">
        <v>8326</v>
      </c>
      <c r="D17115" s="3" t="str">
        <f t="shared" ref="D17115:D17117" si="4414">HYPERLINK("https://12go.asia/en/travel/Gazipasa-Alanya-Airport/Kizilagac-Hotel-Transfer", "12Go Link")</f>
        <v>12Go Link</v>
      </c>
      <c r="E17115" s="2" t="s">
        <v>4507</v>
      </c>
    </row>
    <row r="17116">
      <c r="A17116" s="2" t="s">
        <v>8302</v>
      </c>
      <c r="B17116" s="2" t="s">
        <v>8325</v>
      </c>
      <c r="C17116" s="2" t="s">
        <v>8326</v>
      </c>
      <c r="D17116" s="3" t="str">
        <f t="shared" si="4414"/>
        <v>12Go Link</v>
      </c>
      <c r="E17116" s="2" t="s">
        <v>286</v>
      </c>
    </row>
    <row r="17117">
      <c r="A17117" s="2" t="s">
        <v>8302</v>
      </c>
      <c r="B17117" s="2" t="s">
        <v>8325</v>
      </c>
      <c r="C17117" s="2" t="s">
        <v>8326</v>
      </c>
      <c r="D17117" s="3" t="str">
        <f t="shared" si="4414"/>
        <v>12Go Link</v>
      </c>
      <c r="E17117" s="2" t="s">
        <v>4137</v>
      </c>
    </row>
    <row r="17118">
      <c r="A17118" s="2" t="s">
        <v>8302</v>
      </c>
      <c r="B17118" s="2" t="s">
        <v>8327</v>
      </c>
      <c r="C17118" s="2" t="s">
        <v>8328</v>
      </c>
      <c r="D17118" s="3" t="str">
        <f t="shared" ref="D17118:D17120" si="4415">HYPERLINK("https://12go.asia/en/travel/Gazipasa-Alanya-Airport/Kizilot-Hotel-Transfer", "12Go Link")</f>
        <v>12Go Link</v>
      </c>
      <c r="E17118" s="2" t="s">
        <v>4507</v>
      </c>
    </row>
    <row r="17119">
      <c r="A17119" s="2" t="s">
        <v>8302</v>
      </c>
      <c r="B17119" s="2" t="s">
        <v>8327</v>
      </c>
      <c r="C17119" s="2" t="s">
        <v>8328</v>
      </c>
      <c r="D17119" s="3" t="str">
        <f t="shared" si="4415"/>
        <v>12Go Link</v>
      </c>
      <c r="E17119" s="2" t="s">
        <v>286</v>
      </c>
    </row>
    <row r="17120">
      <c r="A17120" s="2" t="s">
        <v>8302</v>
      </c>
      <c r="B17120" s="2" t="s">
        <v>8327</v>
      </c>
      <c r="C17120" s="2" t="s">
        <v>8328</v>
      </c>
      <c r="D17120" s="3" t="str">
        <f t="shared" si="4415"/>
        <v>12Go Link</v>
      </c>
      <c r="E17120" s="2" t="s">
        <v>4137</v>
      </c>
    </row>
    <row r="17121">
      <c r="A17121" s="2" t="s">
        <v>8302</v>
      </c>
      <c r="B17121" s="2" t="s">
        <v>8329</v>
      </c>
      <c r="C17121" s="2" t="s">
        <v>8330</v>
      </c>
      <c r="D17121" s="3" t="str">
        <f t="shared" ref="D17121:D17123" si="4416">HYPERLINK("https://12go.asia/en/travel/Gazipasa-Alanya-Airport/Konakli-Hotel-Transfer", "12Go Link")</f>
        <v>12Go Link</v>
      </c>
      <c r="E17121" s="2" t="s">
        <v>4507</v>
      </c>
    </row>
    <row r="17122">
      <c r="A17122" s="2" t="s">
        <v>8302</v>
      </c>
      <c r="B17122" s="2" t="s">
        <v>8329</v>
      </c>
      <c r="C17122" s="2" t="s">
        <v>8330</v>
      </c>
      <c r="D17122" s="3" t="str">
        <f t="shared" si="4416"/>
        <v>12Go Link</v>
      </c>
      <c r="E17122" s="2" t="s">
        <v>286</v>
      </c>
    </row>
    <row r="17123">
      <c r="A17123" s="2" t="s">
        <v>8302</v>
      </c>
      <c r="B17123" s="2" t="s">
        <v>8329</v>
      </c>
      <c r="C17123" s="2" t="s">
        <v>8330</v>
      </c>
      <c r="D17123" s="3" t="str">
        <f t="shared" si="4416"/>
        <v>12Go Link</v>
      </c>
      <c r="E17123" s="2" t="s">
        <v>4137</v>
      </c>
    </row>
    <row r="17124">
      <c r="A17124" s="2" t="s">
        <v>8302</v>
      </c>
      <c r="B17124" s="2" t="s">
        <v>8331</v>
      </c>
      <c r="C17124" s="2" t="s">
        <v>8332</v>
      </c>
      <c r="D17124" s="3" t="str">
        <f t="shared" ref="D17124:D17126" si="4417">HYPERLINK("https://12go.asia/en/travel/Gazipasa-Alanya-Airport/Mahmutlar-Hotel-Transfer", "12Go Link")</f>
        <v>12Go Link</v>
      </c>
      <c r="E17124" s="2" t="s">
        <v>4507</v>
      </c>
    </row>
    <row r="17125">
      <c r="A17125" s="2" t="s">
        <v>8302</v>
      </c>
      <c r="B17125" s="2" t="s">
        <v>8331</v>
      </c>
      <c r="C17125" s="2" t="s">
        <v>8332</v>
      </c>
      <c r="D17125" s="3" t="str">
        <f t="shared" si="4417"/>
        <v>12Go Link</v>
      </c>
      <c r="E17125" s="2" t="s">
        <v>286</v>
      </c>
    </row>
    <row r="17126">
      <c r="A17126" s="2" t="s">
        <v>8302</v>
      </c>
      <c r="B17126" s="2" t="s">
        <v>8331</v>
      </c>
      <c r="C17126" s="2" t="s">
        <v>8332</v>
      </c>
      <c r="D17126" s="3" t="str">
        <f t="shared" si="4417"/>
        <v>12Go Link</v>
      </c>
      <c r="E17126" s="2" t="s">
        <v>4137</v>
      </c>
    </row>
    <row r="17127">
      <c r="A17127" s="2" t="s">
        <v>8302</v>
      </c>
      <c r="B17127" s="2" t="s">
        <v>8333</v>
      </c>
      <c r="C17127" s="2" t="s">
        <v>8334</v>
      </c>
      <c r="D17127" s="3" t="str">
        <f t="shared" ref="D17127:D17131" si="4418">HYPERLINK("https://12go.asia/en/travel/Gazipasa-Alanya-Airport/Manavgat-Hotel-Transfer", "12Go Link")</f>
        <v>12Go Link</v>
      </c>
      <c r="E17127" s="2" t="s">
        <v>4507</v>
      </c>
    </row>
    <row r="17128">
      <c r="A17128" s="2" t="s">
        <v>8302</v>
      </c>
      <c r="B17128" s="2" t="s">
        <v>8333</v>
      </c>
      <c r="C17128" s="2" t="s">
        <v>8334</v>
      </c>
      <c r="D17128" s="3" t="str">
        <f t="shared" si="4418"/>
        <v>12Go Link</v>
      </c>
      <c r="E17128" s="2" t="s">
        <v>286</v>
      </c>
    </row>
    <row r="17129">
      <c r="A17129" s="2" t="s">
        <v>8302</v>
      </c>
      <c r="B17129" s="2" t="s">
        <v>8333</v>
      </c>
      <c r="C17129" s="2" t="s">
        <v>8334</v>
      </c>
      <c r="D17129" s="3" t="str">
        <f t="shared" si="4418"/>
        <v>12Go Link</v>
      </c>
      <c r="E17129" s="2" t="s">
        <v>8295</v>
      </c>
    </row>
    <row r="17130">
      <c r="A17130" s="2" t="s">
        <v>8302</v>
      </c>
      <c r="B17130" s="2" t="s">
        <v>8333</v>
      </c>
      <c r="C17130" s="2" t="s">
        <v>8334</v>
      </c>
      <c r="D17130" s="3" t="str">
        <f t="shared" si="4418"/>
        <v>12Go Link</v>
      </c>
      <c r="E17130" s="2" t="s">
        <v>4137</v>
      </c>
    </row>
    <row r="17131">
      <c r="A17131" s="2" t="s">
        <v>8302</v>
      </c>
      <c r="B17131" s="2" t="s">
        <v>8333</v>
      </c>
      <c r="C17131" s="2" t="s">
        <v>8334</v>
      </c>
      <c r="D17131" s="3" t="str">
        <f t="shared" si="4418"/>
        <v>12Go Link</v>
      </c>
      <c r="E17131" s="2" t="s">
        <v>8296</v>
      </c>
    </row>
    <row r="17132">
      <c r="A17132" s="2" t="s">
        <v>8302</v>
      </c>
      <c r="B17132" s="2" t="s">
        <v>8333</v>
      </c>
      <c r="C17132" s="2" t="s">
        <v>8335</v>
      </c>
      <c r="D17132" s="3" t="str">
        <f t="shared" ref="D17132:D17136" si="4419">HYPERLINK("https://12go.asia/en/travel/Gazipasa-Alanya-Airport/Sorgun-Hotel-Transfer", "12Go Link")</f>
        <v>12Go Link</v>
      </c>
      <c r="E17132" s="2" t="s">
        <v>4507</v>
      </c>
    </row>
    <row r="17133">
      <c r="A17133" s="2" t="s">
        <v>8302</v>
      </c>
      <c r="B17133" s="2" t="s">
        <v>8333</v>
      </c>
      <c r="C17133" s="2" t="s">
        <v>8335</v>
      </c>
      <c r="D17133" s="3" t="str">
        <f t="shared" si="4419"/>
        <v>12Go Link</v>
      </c>
      <c r="E17133" s="2" t="s">
        <v>286</v>
      </c>
    </row>
    <row r="17134">
      <c r="A17134" s="2" t="s">
        <v>8302</v>
      </c>
      <c r="B17134" s="2" t="s">
        <v>8333</v>
      </c>
      <c r="C17134" s="2" t="s">
        <v>8335</v>
      </c>
      <c r="D17134" s="3" t="str">
        <f t="shared" si="4419"/>
        <v>12Go Link</v>
      </c>
      <c r="E17134" s="2" t="s">
        <v>8295</v>
      </c>
    </row>
    <row r="17135">
      <c r="A17135" s="2" t="s">
        <v>8302</v>
      </c>
      <c r="B17135" s="2" t="s">
        <v>8333</v>
      </c>
      <c r="C17135" s="2" t="s">
        <v>8335</v>
      </c>
      <c r="D17135" s="3" t="str">
        <f t="shared" si="4419"/>
        <v>12Go Link</v>
      </c>
      <c r="E17135" s="2" t="s">
        <v>4137</v>
      </c>
    </row>
    <row r="17136">
      <c r="A17136" s="2" t="s">
        <v>8302</v>
      </c>
      <c r="B17136" s="2" t="s">
        <v>8333</v>
      </c>
      <c r="C17136" s="2" t="s">
        <v>8335</v>
      </c>
      <c r="D17136" s="3" t="str">
        <f t="shared" si="4419"/>
        <v>12Go Link</v>
      </c>
      <c r="E17136" s="2" t="s">
        <v>8296</v>
      </c>
    </row>
    <row r="17137">
      <c r="A17137" s="2" t="s">
        <v>8302</v>
      </c>
      <c r="B17137" s="2" t="s">
        <v>8336</v>
      </c>
      <c r="C17137" s="2" t="s">
        <v>8337</v>
      </c>
      <c r="D17137" s="3" t="str">
        <f t="shared" ref="D17137:D17139" si="4420">HYPERLINK("https://12go.asia/en/travel/Gazipasa-Alanya-Airport/Oba-Hotel-Transfer", "12Go Link")</f>
        <v>12Go Link</v>
      </c>
      <c r="E17137" s="2" t="s">
        <v>4507</v>
      </c>
    </row>
    <row r="17138">
      <c r="A17138" s="2" t="s">
        <v>8302</v>
      </c>
      <c r="B17138" s="2" t="s">
        <v>8336</v>
      </c>
      <c r="C17138" s="2" t="s">
        <v>8337</v>
      </c>
      <c r="D17138" s="3" t="str">
        <f t="shared" si="4420"/>
        <v>12Go Link</v>
      </c>
      <c r="E17138" s="2" t="s">
        <v>286</v>
      </c>
    </row>
    <row r="17139">
      <c r="A17139" s="2" t="s">
        <v>8302</v>
      </c>
      <c r="B17139" s="2" t="s">
        <v>8336</v>
      </c>
      <c r="C17139" s="2" t="s">
        <v>8337</v>
      </c>
      <c r="D17139" s="3" t="str">
        <f t="shared" si="4420"/>
        <v>12Go Link</v>
      </c>
      <c r="E17139" s="2" t="s">
        <v>4137</v>
      </c>
    </row>
    <row r="17140">
      <c r="A17140" s="2" t="s">
        <v>8302</v>
      </c>
      <c r="B17140" s="2" t="s">
        <v>8338</v>
      </c>
      <c r="C17140" s="2" t="s">
        <v>8339</v>
      </c>
      <c r="D17140" s="3" t="str">
        <f t="shared" ref="D17140:D17142" si="4421">HYPERLINK("https://12go.asia/en/travel/Gazipasa-Alanya-Airport/Okurcalar-Hotel-Transfer", "12Go Link")</f>
        <v>12Go Link</v>
      </c>
      <c r="E17140" s="2" t="s">
        <v>4507</v>
      </c>
    </row>
    <row r="17141">
      <c r="A17141" s="2" t="s">
        <v>8302</v>
      </c>
      <c r="B17141" s="2" t="s">
        <v>8338</v>
      </c>
      <c r="C17141" s="2" t="s">
        <v>8339</v>
      </c>
      <c r="D17141" s="3" t="str">
        <f t="shared" si="4421"/>
        <v>12Go Link</v>
      </c>
      <c r="E17141" s="2" t="s">
        <v>286</v>
      </c>
    </row>
    <row r="17142">
      <c r="A17142" s="2" t="s">
        <v>8302</v>
      </c>
      <c r="B17142" s="2" t="s">
        <v>8338</v>
      </c>
      <c r="C17142" s="2" t="s">
        <v>8339</v>
      </c>
      <c r="D17142" s="3" t="str">
        <f t="shared" si="4421"/>
        <v>12Go Link</v>
      </c>
      <c r="E17142" s="2" t="s">
        <v>4137</v>
      </c>
    </row>
    <row r="17143">
      <c r="A17143" s="2" t="s">
        <v>8302</v>
      </c>
      <c r="B17143" s="2" t="s">
        <v>8340</v>
      </c>
      <c r="C17143" s="2" t="s">
        <v>8341</v>
      </c>
      <c r="D17143" s="3" t="str">
        <f t="shared" ref="D17143:D17145" si="4422">HYPERLINK("https://12go.asia/en/travel/Gazipasa-Alanya-Airport/Orensehir-Hotel-Transfer", "12Go Link")</f>
        <v>12Go Link</v>
      </c>
      <c r="E17143" s="2" t="s">
        <v>4507</v>
      </c>
    </row>
    <row r="17144">
      <c r="A17144" s="2" t="s">
        <v>8302</v>
      </c>
      <c r="B17144" s="2" t="s">
        <v>8340</v>
      </c>
      <c r="C17144" s="2" t="s">
        <v>8341</v>
      </c>
      <c r="D17144" s="3" t="str">
        <f t="shared" si="4422"/>
        <v>12Go Link</v>
      </c>
      <c r="E17144" s="2" t="s">
        <v>286</v>
      </c>
    </row>
    <row r="17145">
      <c r="A17145" s="2" t="s">
        <v>8302</v>
      </c>
      <c r="B17145" s="2" t="s">
        <v>8340</v>
      </c>
      <c r="C17145" s="2" t="s">
        <v>8341</v>
      </c>
      <c r="D17145" s="3" t="str">
        <f t="shared" si="4422"/>
        <v>12Go Link</v>
      </c>
      <c r="E17145" s="2" t="s">
        <v>4137</v>
      </c>
    </row>
    <row r="17146">
      <c r="A17146" s="2" t="s">
        <v>8302</v>
      </c>
      <c r="B17146" s="2" t="s">
        <v>8342</v>
      </c>
      <c r="C17146" s="2" t="s">
        <v>8343</v>
      </c>
      <c r="D17146" s="3" t="str">
        <f t="shared" ref="D17146:D17148" si="4423">HYPERLINK("https://12go.asia/en/travel/Gazipasa-Alanya-Airport/Payallar-Hotel-Transfer", "12Go Link")</f>
        <v>12Go Link</v>
      </c>
      <c r="E17146" s="2" t="s">
        <v>4507</v>
      </c>
    </row>
    <row r="17147">
      <c r="A17147" s="2" t="s">
        <v>8302</v>
      </c>
      <c r="B17147" s="2" t="s">
        <v>8342</v>
      </c>
      <c r="C17147" s="2" t="s">
        <v>8343</v>
      </c>
      <c r="D17147" s="3" t="str">
        <f t="shared" si="4423"/>
        <v>12Go Link</v>
      </c>
      <c r="E17147" s="2" t="s">
        <v>286</v>
      </c>
    </row>
    <row r="17148">
      <c r="A17148" s="2" t="s">
        <v>8302</v>
      </c>
      <c r="B17148" s="2" t="s">
        <v>8342</v>
      </c>
      <c r="C17148" s="2" t="s">
        <v>8343</v>
      </c>
      <c r="D17148" s="3" t="str">
        <f t="shared" si="4423"/>
        <v>12Go Link</v>
      </c>
      <c r="E17148" s="2" t="s">
        <v>4137</v>
      </c>
    </row>
    <row r="17149">
      <c r="A17149" s="2" t="s">
        <v>8302</v>
      </c>
      <c r="B17149" s="2" t="s">
        <v>8344</v>
      </c>
      <c r="C17149" s="2" t="s">
        <v>8345</v>
      </c>
      <c r="D17149" s="3" t="str">
        <f t="shared" ref="D17149:D17151" si="4424">HYPERLINK("https://12go.asia/en/travel/Gazipasa-Alanya-Airport/Side-Hotel-Transfer", "12Go Link")</f>
        <v>12Go Link</v>
      </c>
      <c r="E17149" s="2" t="s">
        <v>4507</v>
      </c>
    </row>
    <row r="17150">
      <c r="A17150" s="2" t="s">
        <v>8302</v>
      </c>
      <c r="B17150" s="2" t="s">
        <v>8344</v>
      </c>
      <c r="C17150" s="2" t="s">
        <v>8345</v>
      </c>
      <c r="D17150" s="3" t="str">
        <f t="shared" si="4424"/>
        <v>12Go Link</v>
      </c>
      <c r="E17150" s="2" t="s">
        <v>286</v>
      </c>
    </row>
    <row r="17151">
      <c r="A17151" s="2" t="s">
        <v>8302</v>
      </c>
      <c r="B17151" s="2" t="s">
        <v>8344</v>
      </c>
      <c r="C17151" s="2" t="s">
        <v>8345</v>
      </c>
      <c r="D17151" s="3" t="str">
        <f t="shared" si="4424"/>
        <v>12Go Link</v>
      </c>
      <c r="E17151" s="2" t="s">
        <v>4137</v>
      </c>
    </row>
    <row r="17152">
      <c r="A17152" s="2" t="s">
        <v>8302</v>
      </c>
      <c r="B17152" s="2" t="s">
        <v>8346</v>
      </c>
      <c r="C17152" s="2" t="s">
        <v>8347</v>
      </c>
      <c r="D17152" s="3" t="str">
        <f t="shared" ref="D17152:D17154" si="4425">HYPERLINK("https://12go.asia/en/travel/Gazipasa-Alanya-Airport/Tosmur-Hotel-Transfer", "12Go Link")</f>
        <v>12Go Link</v>
      </c>
      <c r="E17152" s="2" t="s">
        <v>4507</v>
      </c>
    </row>
    <row r="17153">
      <c r="A17153" s="2" t="s">
        <v>8302</v>
      </c>
      <c r="B17153" s="2" t="s">
        <v>8346</v>
      </c>
      <c r="C17153" s="2" t="s">
        <v>8347</v>
      </c>
      <c r="D17153" s="3" t="str">
        <f t="shared" si="4425"/>
        <v>12Go Link</v>
      </c>
      <c r="E17153" s="2" t="s">
        <v>286</v>
      </c>
    </row>
    <row r="17154">
      <c r="A17154" s="2" t="s">
        <v>8302</v>
      </c>
      <c r="B17154" s="2" t="s">
        <v>8346</v>
      </c>
      <c r="C17154" s="2" t="s">
        <v>8347</v>
      </c>
      <c r="D17154" s="3" t="str">
        <f t="shared" si="4425"/>
        <v>12Go Link</v>
      </c>
      <c r="E17154" s="2" t="s">
        <v>4137</v>
      </c>
    </row>
    <row r="17155">
      <c r="A17155" s="2" t="s">
        <v>8302</v>
      </c>
      <c r="B17155" s="2" t="s">
        <v>8348</v>
      </c>
      <c r="C17155" s="2" t="s">
        <v>8349</v>
      </c>
      <c r="D17155" s="3" t="str">
        <f t="shared" ref="D17155:D17157" si="4426">HYPERLINK("https://12go.asia/en/travel/Gazipasa-Alanya-Airport/Turkler-Hotel-Transfer", "12Go Link")</f>
        <v>12Go Link</v>
      </c>
      <c r="E17155" s="2" t="s">
        <v>4507</v>
      </c>
    </row>
    <row r="17156">
      <c r="A17156" s="2" t="s">
        <v>8302</v>
      </c>
      <c r="B17156" s="2" t="s">
        <v>8348</v>
      </c>
      <c r="C17156" s="2" t="s">
        <v>8349</v>
      </c>
      <c r="D17156" s="3" t="str">
        <f t="shared" si="4426"/>
        <v>12Go Link</v>
      </c>
      <c r="E17156" s="2" t="s">
        <v>286</v>
      </c>
    </row>
    <row r="17157">
      <c r="A17157" s="2" t="s">
        <v>8302</v>
      </c>
      <c r="B17157" s="2" t="s">
        <v>8348</v>
      </c>
      <c r="C17157" s="2" t="s">
        <v>8349</v>
      </c>
      <c r="D17157" s="3" t="str">
        <f t="shared" si="4426"/>
        <v>12Go Link</v>
      </c>
      <c r="E17157" s="2" t="s">
        <v>4137</v>
      </c>
    </row>
    <row r="17158">
      <c r="A17158" s="2" t="s">
        <v>8298</v>
      </c>
      <c r="B17158" s="2" t="s">
        <v>8297</v>
      </c>
      <c r="C17158" s="2" t="s">
        <v>8350</v>
      </c>
      <c r="D17158" s="3" t="str">
        <f>HYPERLINK("https://12go.asia/en/travel/Antalya-Airport/Adrasan-Hotel-Transfer", "12Go Link")</f>
        <v>12Go Link</v>
      </c>
      <c r="E17158" s="2" t="s">
        <v>286</v>
      </c>
    </row>
    <row r="17159">
      <c r="A17159" s="2" t="s">
        <v>8298</v>
      </c>
      <c r="B17159" s="2" t="s">
        <v>8302</v>
      </c>
      <c r="C17159" s="2" t="s">
        <v>8351</v>
      </c>
      <c r="D17159" s="3" t="str">
        <f t="shared" ref="D17159:D17160" si="4427">HYPERLINK("https://12go.asia/en/travel/Antalya-Airport/Alanya-Hotel-Transfer", "12Go Link")</f>
        <v>12Go Link</v>
      </c>
      <c r="E17159" s="2" t="s">
        <v>4507</v>
      </c>
    </row>
    <row r="17160">
      <c r="A17160" s="2" t="s">
        <v>8298</v>
      </c>
      <c r="B17160" s="2" t="s">
        <v>8302</v>
      </c>
      <c r="C17160" s="2" t="s">
        <v>8351</v>
      </c>
      <c r="D17160" s="3" t="str">
        <f t="shared" si="4427"/>
        <v>12Go Link</v>
      </c>
      <c r="E17160" s="2" t="s">
        <v>286</v>
      </c>
    </row>
    <row r="17161">
      <c r="A17161" s="2" t="s">
        <v>8298</v>
      </c>
      <c r="B17161" s="2" t="s">
        <v>8302</v>
      </c>
      <c r="C17161" s="2" t="s">
        <v>8352</v>
      </c>
      <c r="D17161" s="3" t="str">
        <f t="shared" ref="D17161:D17165" si="4428">HYPERLINK("https://12go.asia/en/travel/Titreyengol-Hotel-Transfer/Gazipasa-Alanya-Airport", "12Go Link")</f>
        <v>12Go Link</v>
      </c>
      <c r="E17161" s="2" t="s">
        <v>4507</v>
      </c>
    </row>
    <row r="17162">
      <c r="A17162" s="2" t="s">
        <v>8298</v>
      </c>
      <c r="B17162" s="2" t="s">
        <v>8302</v>
      </c>
      <c r="C17162" s="2" t="s">
        <v>8352</v>
      </c>
      <c r="D17162" s="3" t="str">
        <f t="shared" si="4428"/>
        <v>12Go Link</v>
      </c>
      <c r="E17162" s="2" t="s">
        <v>286</v>
      </c>
    </row>
    <row r="17163">
      <c r="A17163" s="2" t="s">
        <v>8298</v>
      </c>
      <c r="B17163" s="2" t="s">
        <v>8302</v>
      </c>
      <c r="C17163" s="2" t="s">
        <v>8352</v>
      </c>
      <c r="D17163" s="3" t="str">
        <f t="shared" si="4428"/>
        <v>12Go Link</v>
      </c>
      <c r="E17163" s="2" t="s">
        <v>8295</v>
      </c>
    </row>
    <row r="17164">
      <c r="A17164" s="2" t="s">
        <v>8298</v>
      </c>
      <c r="B17164" s="2" t="s">
        <v>8302</v>
      </c>
      <c r="C17164" s="2" t="s">
        <v>8352</v>
      </c>
      <c r="D17164" s="3" t="str">
        <f t="shared" si="4428"/>
        <v>12Go Link</v>
      </c>
      <c r="E17164" s="2" t="s">
        <v>4137</v>
      </c>
    </row>
    <row r="17165">
      <c r="A17165" s="2" t="s">
        <v>8298</v>
      </c>
      <c r="B17165" s="2" t="s">
        <v>8302</v>
      </c>
      <c r="C17165" s="2" t="s">
        <v>8352</v>
      </c>
      <c r="D17165" s="3" t="str">
        <f t="shared" si="4428"/>
        <v>12Go Link</v>
      </c>
      <c r="E17165" s="2" t="s">
        <v>8296</v>
      </c>
    </row>
    <row r="17166">
      <c r="A17166" s="2" t="s">
        <v>8298</v>
      </c>
      <c r="B17166" s="2" t="s">
        <v>8298</v>
      </c>
      <c r="C17166" s="2" t="s">
        <v>8353</v>
      </c>
      <c r="D17166" s="3" t="str">
        <f t="shared" ref="D17166:D17167" si="4429">HYPERLINK("https://12go.asia/en/travel/Antalya-Airport/Antalya-Hotel-Transfer", "12Go Link")</f>
        <v>12Go Link</v>
      </c>
      <c r="E17166" s="2" t="s">
        <v>4507</v>
      </c>
    </row>
    <row r="17167">
      <c r="A17167" s="2" t="s">
        <v>8298</v>
      </c>
      <c r="B17167" s="2" t="s">
        <v>8298</v>
      </c>
      <c r="C17167" s="2" t="s">
        <v>8353</v>
      </c>
      <c r="D17167" s="3" t="str">
        <f t="shared" si="4429"/>
        <v>12Go Link</v>
      </c>
      <c r="E17167" s="2" t="s">
        <v>286</v>
      </c>
    </row>
    <row r="17168">
      <c r="A17168" s="2" t="s">
        <v>8298</v>
      </c>
      <c r="B17168" s="2" t="s">
        <v>8298</v>
      </c>
      <c r="C17168" s="2" t="s">
        <v>8354</v>
      </c>
      <c r="D17168" s="3" t="str">
        <f t="shared" ref="D17168:D17169" si="4430">HYPERLINK("https://12go.asia/en/travel/Antalya-Hotel-Transfer/Antalya-Airport", "12Go Link")</f>
        <v>12Go Link</v>
      </c>
      <c r="E17168" s="2" t="s">
        <v>4507</v>
      </c>
    </row>
    <row r="17169">
      <c r="A17169" s="2" t="s">
        <v>8298</v>
      </c>
      <c r="B17169" s="2" t="s">
        <v>8298</v>
      </c>
      <c r="C17169" s="2" t="s">
        <v>8354</v>
      </c>
      <c r="D17169" s="3" t="str">
        <f t="shared" si="4430"/>
        <v>12Go Link</v>
      </c>
      <c r="E17169" s="2" t="s">
        <v>286</v>
      </c>
    </row>
    <row r="17170">
      <c r="A17170" s="2" t="s">
        <v>8298</v>
      </c>
      <c r="B17170" s="2" t="s">
        <v>8309</v>
      </c>
      <c r="C17170" s="2" t="s">
        <v>8355</v>
      </c>
      <c r="D17170" s="3" t="str">
        <f t="shared" ref="D17170:D17171" si="4431">HYPERLINK("https://12go.asia/en/travel/Antalya-Airport/Avsallar-Hotel-Transfer", "12Go Link")</f>
        <v>12Go Link</v>
      </c>
      <c r="E17170" s="2" t="s">
        <v>4507</v>
      </c>
    </row>
    <row r="17171">
      <c r="A17171" s="2" t="s">
        <v>8298</v>
      </c>
      <c r="B17171" s="2" t="s">
        <v>8309</v>
      </c>
      <c r="C17171" s="2" t="s">
        <v>8355</v>
      </c>
      <c r="D17171" s="3" t="str">
        <f t="shared" si="4431"/>
        <v>12Go Link</v>
      </c>
      <c r="E17171" s="2" t="s">
        <v>286</v>
      </c>
    </row>
    <row r="17172">
      <c r="A17172" s="2" t="s">
        <v>8298</v>
      </c>
      <c r="B17172" s="2" t="s">
        <v>8356</v>
      </c>
      <c r="C17172" s="2" t="s">
        <v>8357</v>
      </c>
      <c r="D17172" s="3" t="str">
        <f t="shared" ref="D17172:D17173" si="4432">HYPERLINK("https://12go.asia/en/travel/Antalya-Airport/Beldibi-Hotel-Transfer-Antalya", "12Go Link")</f>
        <v>12Go Link</v>
      </c>
      <c r="E17172" s="2" t="s">
        <v>4507</v>
      </c>
    </row>
    <row r="17173">
      <c r="A17173" s="2" t="s">
        <v>8298</v>
      </c>
      <c r="B17173" s="2" t="s">
        <v>8356</v>
      </c>
      <c r="C17173" s="2" t="s">
        <v>8357</v>
      </c>
      <c r="D17173" s="3" t="str">
        <f t="shared" si="4432"/>
        <v>12Go Link</v>
      </c>
      <c r="E17173" s="2" t="s">
        <v>286</v>
      </c>
    </row>
    <row r="17174">
      <c r="A17174" s="2" t="s">
        <v>8298</v>
      </c>
      <c r="B17174" s="2" t="s">
        <v>8358</v>
      </c>
      <c r="C17174" s="2" t="s">
        <v>8359</v>
      </c>
      <c r="D17174" s="3" t="str">
        <f t="shared" ref="D17174:D17175" si="4433">HYPERLINK("https://12go.asia/en/travel/Antalya-Airport/Belek-Hotel-Transfer", "12Go Link")</f>
        <v>12Go Link</v>
      </c>
      <c r="E17174" s="2" t="s">
        <v>4507</v>
      </c>
    </row>
    <row r="17175">
      <c r="A17175" s="2" t="s">
        <v>8298</v>
      </c>
      <c r="B17175" s="2" t="s">
        <v>8358</v>
      </c>
      <c r="C17175" s="2" t="s">
        <v>8359</v>
      </c>
      <c r="D17175" s="3" t="str">
        <f t="shared" si="4433"/>
        <v>12Go Link</v>
      </c>
      <c r="E17175" s="2" t="s">
        <v>286</v>
      </c>
    </row>
    <row r="17176">
      <c r="A17176" s="2" t="s">
        <v>8298</v>
      </c>
      <c r="B17176" s="2" t="s">
        <v>8360</v>
      </c>
      <c r="C17176" s="2" t="s">
        <v>8361</v>
      </c>
      <c r="D17176" s="3" t="str">
        <f t="shared" ref="D17176:D17177" si="4434">HYPERLINK("https://12go.asia/en/travel/Antalya-Airport/Bogazkent-Hotel-Transfer", "12Go Link")</f>
        <v>12Go Link</v>
      </c>
      <c r="E17176" s="2" t="s">
        <v>4507</v>
      </c>
    </row>
    <row r="17177">
      <c r="A17177" s="2" t="s">
        <v>8298</v>
      </c>
      <c r="B17177" s="2" t="s">
        <v>8360</v>
      </c>
      <c r="C17177" s="2" t="s">
        <v>8361</v>
      </c>
      <c r="D17177" s="3" t="str">
        <f t="shared" si="4434"/>
        <v>12Go Link</v>
      </c>
      <c r="E17177" s="2" t="s">
        <v>286</v>
      </c>
    </row>
    <row r="17178">
      <c r="A17178" s="2" t="s">
        <v>8298</v>
      </c>
      <c r="B17178" s="2" t="s">
        <v>8293</v>
      </c>
      <c r="C17178" s="2" t="s">
        <v>8362</v>
      </c>
      <c r="D17178" s="3" t="str">
        <f t="shared" ref="D17178:D17183" si="4435">HYPERLINK("https://12go.asia/en/travel/Antalya-Hotel-Transfer/Dalaman-Airport", "12Go Link")</f>
        <v>12Go Link</v>
      </c>
      <c r="E17178" s="2" t="s">
        <v>8295</v>
      </c>
    </row>
    <row r="17179">
      <c r="A17179" s="2" t="s">
        <v>8298</v>
      </c>
      <c r="B17179" s="2" t="s">
        <v>8293</v>
      </c>
      <c r="C17179" s="2" t="s">
        <v>8362</v>
      </c>
      <c r="D17179" s="3" t="str">
        <f t="shared" si="4435"/>
        <v>12Go Link</v>
      </c>
      <c r="E17179" s="2" t="s">
        <v>4137</v>
      </c>
    </row>
    <row r="17180">
      <c r="A17180" s="2" t="s">
        <v>8298</v>
      </c>
      <c r="B17180" s="2" t="s">
        <v>8293</v>
      </c>
      <c r="C17180" s="2" t="s">
        <v>8362</v>
      </c>
      <c r="D17180" s="3" t="str">
        <f t="shared" si="4435"/>
        <v>12Go Link</v>
      </c>
      <c r="E17180" s="2" t="s">
        <v>4138</v>
      </c>
    </row>
    <row r="17181">
      <c r="A17181" s="2" t="s">
        <v>8298</v>
      </c>
      <c r="B17181" s="2" t="s">
        <v>8293</v>
      </c>
      <c r="C17181" s="2" t="s">
        <v>8362</v>
      </c>
      <c r="D17181" s="3" t="str">
        <f t="shared" si="4435"/>
        <v>12Go Link</v>
      </c>
      <c r="E17181" s="2" t="s">
        <v>8363</v>
      </c>
    </row>
    <row r="17182">
      <c r="A17182" s="2" t="s">
        <v>8298</v>
      </c>
      <c r="B17182" s="2" t="s">
        <v>8293</v>
      </c>
      <c r="C17182" s="2" t="s">
        <v>8362</v>
      </c>
      <c r="D17182" s="3" t="str">
        <f t="shared" si="4435"/>
        <v>12Go Link</v>
      </c>
      <c r="E17182" s="2" t="s">
        <v>8364</v>
      </c>
    </row>
    <row r="17183">
      <c r="A17183" s="2" t="s">
        <v>8298</v>
      </c>
      <c r="B17183" s="2" t="s">
        <v>8293</v>
      </c>
      <c r="C17183" s="2" t="s">
        <v>8362</v>
      </c>
      <c r="D17183" s="3" t="str">
        <f t="shared" si="4435"/>
        <v>12Go Link</v>
      </c>
      <c r="E17183" s="2" t="s">
        <v>8296</v>
      </c>
    </row>
    <row r="17184">
      <c r="A17184" s="2" t="s">
        <v>8298</v>
      </c>
      <c r="B17184" s="2" t="s">
        <v>8365</v>
      </c>
      <c r="C17184" s="2" t="s">
        <v>8366</v>
      </c>
      <c r="D17184" s="3" t="str">
        <f t="shared" ref="D17184:D17186" si="4436">HYPERLINK("https://12go.asia/en/travel/Antalya-Airport/Fethiye-Hotel-Transfer", "12Go Link")</f>
        <v>12Go Link</v>
      </c>
      <c r="E17184" s="2" t="s">
        <v>4138</v>
      </c>
    </row>
    <row r="17185">
      <c r="A17185" s="2" t="s">
        <v>8298</v>
      </c>
      <c r="B17185" s="2" t="s">
        <v>8365</v>
      </c>
      <c r="C17185" s="2" t="s">
        <v>8366</v>
      </c>
      <c r="D17185" s="3" t="str">
        <f t="shared" si="4436"/>
        <v>12Go Link</v>
      </c>
      <c r="E17185" s="2" t="s">
        <v>8363</v>
      </c>
    </row>
    <row r="17186">
      <c r="A17186" s="2" t="s">
        <v>8298</v>
      </c>
      <c r="B17186" s="2" t="s">
        <v>8365</v>
      </c>
      <c r="C17186" s="2" t="s">
        <v>8366</v>
      </c>
      <c r="D17186" s="3" t="str">
        <f t="shared" si="4436"/>
        <v>12Go Link</v>
      </c>
      <c r="E17186" s="2" t="s">
        <v>8364</v>
      </c>
    </row>
    <row r="17187">
      <c r="A17187" s="2" t="s">
        <v>8309</v>
      </c>
      <c r="B17187" s="2" t="s">
        <v>8302</v>
      </c>
      <c r="C17187" s="2" t="s">
        <v>8367</v>
      </c>
      <c r="D17187" s="3" t="str">
        <f t="shared" ref="D17187:D17189" si="4437">HYPERLINK("https://12go.asia/en/travel/Avsallar-Hotel-Transfer/Gazipasa-Alanya-Airport", "12Go Link")</f>
        <v>12Go Link</v>
      </c>
      <c r="E17187" s="2" t="s">
        <v>4507</v>
      </c>
    </row>
    <row r="17188">
      <c r="A17188" s="2" t="s">
        <v>8309</v>
      </c>
      <c r="B17188" s="2" t="s">
        <v>8302</v>
      </c>
      <c r="C17188" s="2" t="s">
        <v>8367</v>
      </c>
      <c r="D17188" s="3" t="str">
        <f t="shared" si="4437"/>
        <v>12Go Link</v>
      </c>
      <c r="E17188" s="2" t="s">
        <v>286</v>
      </c>
    </row>
    <row r="17189">
      <c r="A17189" s="2" t="s">
        <v>8309</v>
      </c>
      <c r="B17189" s="2" t="s">
        <v>8302</v>
      </c>
      <c r="C17189" s="2" t="s">
        <v>8367</v>
      </c>
      <c r="D17189" s="3" t="str">
        <f t="shared" si="4437"/>
        <v>12Go Link</v>
      </c>
      <c r="E17189" s="2" t="s">
        <v>4137</v>
      </c>
    </row>
    <row r="17190">
      <c r="A17190" s="2" t="s">
        <v>8309</v>
      </c>
      <c r="B17190" s="2" t="s">
        <v>8298</v>
      </c>
      <c r="C17190" s="2" t="s">
        <v>8368</v>
      </c>
      <c r="D17190" s="3" t="str">
        <f t="shared" ref="D17190:D17191" si="4438">HYPERLINK("https://12go.asia/en/travel/Avsallar-Hotel-Transfer/Antalya-Airport", "12Go Link")</f>
        <v>12Go Link</v>
      </c>
      <c r="E17190" s="2" t="s">
        <v>4507</v>
      </c>
    </row>
    <row r="17191">
      <c r="A17191" s="2" t="s">
        <v>8309</v>
      </c>
      <c r="B17191" s="2" t="s">
        <v>8298</v>
      </c>
      <c r="C17191" s="2" t="s">
        <v>8368</v>
      </c>
      <c r="D17191" s="3" t="str">
        <f t="shared" si="4438"/>
        <v>12Go Link</v>
      </c>
      <c r="E17191" s="2" t="s">
        <v>286</v>
      </c>
    </row>
    <row r="17192">
      <c r="A17192" s="2" t="s">
        <v>8369</v>
      </c>
      <c r="B17192" s="2" t="s">
        <v>8293</v>
      </c>
      <c r="C17192" s="2" t="s">
        <v>8370</v>
      </c>
      <c r="D17192" s="3" t="str">
        <f t="shared" ref="D17192:D17194" si="4439">HYPERLINK("https://12go.asia/en/travel/Bayir-Hotel-Transfer/Dalaman-Airport", "12Go Link")</f>
        <v>12Go Link</v>
      </c>
      <c r="E17192" s="2" t="s">
        <v>8295</v>
      </c>
    </row>
    <row r="17193">
      <c r="A17193" s="2" t="s">
        <v>8369</v>
      </c>
      <c r="B17193" s="2" t="s">
        <v>8293</v>
      </c>
      <c r="C17193" s="2" t="s">
        <v>8370</v>
      </c>
      <c r="D17193" s="3" t="str">
        <f t="shared" si="4439"/>
        <v>12Go Link</v>
      </c>
      <c r="E17193" s="2" t="s">
        <v>4137</v>
      </c>
    </row>
    <row r="17194">
      <c r="A17194" s="2" t="s">
        <v>8369</v>
      </c>
      <c r="B17194" s="2" t="s">
        <v>8293</v>
      </c>
      <c r="C17194" s="2" t="s">
        <v>8370</v>
      </c>
      <c r="D17194" s="3" t="str">
        <f t="shared" si="4439"/>
        <v>12Go Link</v>
      </c>
      <c r="E17194" s="2" t="s">
        <v>8296</v>
      </c>
    </row>
    <row r="17195">
      <c r="A17195" s="2" t="s">
        <v>8356</v>
      </c>
      <c r="B17195" s="2" t="s">
        <v>8298</v>
      </c>
      <c r="C17195" s="2" t="s">
        <v>8371</v>
      </c>
      <c r="D17195" s="3" t="str">
        <f t="shared" ref="D17195:D17196" si="4440">HYPERLINK("https://12go.asia/en/travel/Beldibi-Hotel-Transfer-Antalya/Antalya-Airport", "12Go Link")</f>
        <v>12Go Link</v>
      </c>
      <c r="E17195" s="2" t="s">
        <v>4507</v>
      </c>
    </row>
    <row r="17196">
      <c r="A17196" s="2" t="s">
        <v>8356</v>
      </c>
      <c r="B17196" s="2" t="s">
        <v>8298</v>
      </c>
      <c r="C17196" s="2" t="s">
        <v>8371</v>
      </c>
      <c r="D17196" s="3" t="str">
        <f t="shared" si="4440"/>
        <v>12Go Link</v>
      </c>
      <c r="E17196" s="2" t="s">
        <v>286</v>
      </c>
    </row>
    <row r="17197">
      <c r="A17197" s="2" t="s">
        <v>8358</v>
      </c>
      <c r="B17197" s="2" t="s">
        <v>8298</v>
      </c>
      <c r="C17197" s="2" t="s">
        <v>8372</v>
      </c>
      <c r="D17197" s="3" t="str">
        <f t="shared" ref="D17197:D17198" si="4441">HYPERLINK("https://12go.asia/en/travel/Belek-Hotel-Transfer/Antalya-Airport", "12Go Link")</f>
        <v>12Go Link</v>
      </c>
      <c r="E17197" s="2" t="s">
        <v>4507</v>
      </c>
    </row>
    <row r="17198">
      <c r="A17198" s="2" t="s">
        <v>8358</v>
      </c>
      <c r="B17198" s="2" t="s">
        <v>8298</v>
      </c>
      <c r="C17198" s="2" t="s">
        <v>8372</v>
      </c>
      <c r="D17198" s="3" t="str">
        <f t="shared" si="4441"/>
        <v>12Go Link</v>
      </c>
      <c r="E17198" s="2" t="s">
        <v>286</v>
      </c>
    </row>
    <row r="17199">
      <c r="A17199" s="2" t="s">
        <v>8373</v>
      </c>
      <c r="B17199" s="2" t="s">
        <v>8293</v>
      </c>
      <c r="C17199" s="2" t="s">
        <v>8374</v>
      </c>
      <c r="D17199" s="3" t="str">
        <f t="shared" ref="D17199:D17201" si="4442">HYPERLINK("https://12go.asia/en/travel/Bodrum-Hotel-Transfer/Dalaman-Airport", "12Go Link")</f>
        <v>12Go Link</v>
      </c>
      <c r="E17199" s="2" t="s">
        <v>4138</v>
      </c>
    </row>
    <row r="17200">
      <c r="A17200" s="2" t="s">
        <v>8373</v>
      </c>
      <c r="B17200" s="2" t="s">
        <v>8293</v>
      </c>
      <c r="C17200" s="2" t="s">
        <v>8374</v>
      </c>
      <c r="D17200" s="3" t="str">
        <f t="shared" si="4442"/>
        <v>12Go Link</v>
      </c>
      <c r="E17200" s="2" t="s">
        <v>8363</v>
      </c>
    </row>
    <row r="17201">
      <c r="A17201" s="2" t="s">
        <v>8373</v>
      </c>
      <c r="B17201" s="2" t="s">
        <v>8293</v>
      </c>
      <c r="C17201" s="2" t="s">
        <v>8374</v>
      </c>
      <c r="D17201" s="3" t="str">
        <f t="shared" si="4442"/>
        <v>12Go Link</v>
      </c>
      <c r="E17201" s="2" t="s">
        <v>8364</v>
      </c>
    </row>
    <row r="17202">
      <c r="A17202" s="2" t="s">
        <v>8373</v>
      </c>
      <c r="B17202" s="2" t="s">
        <v>8293</v>
      </c>
      <c r="C17202" s="2" t="s">
        <v>8375</v>
      </c>
      <c r="D17202" s="3" t="str">
        <f t="shared" ref="D17202:D17207" si="4443">HYPERLINK("https://12go.asia/en/travel/Bodrum-Milas-Airport/Dalaman-Airport", "12Go Link")</f>
        <v>12Go Link</v>
      </c>
      <c r="E17202" s="2" t="s">
        <v>8295</v>
      </c>
    </row>
    <row r="17203">
      <c r="A17203" s="2" t="s">
        <v>8373</v>
      </c>
      <c r="B17203" s="2" t="s">
        <v>8293</v>
      </c>
      <c r="C17203" s="2" t="s">
        <v>8375</v>
      </c>
      <c r="D17203" s="3" t="str">
        <f t="shared" si="4443"/>
        <v>12Go Link</v>
      </c>
      <c r="E17203" s="2" t="s">
        <v>4137</v>
      </c>
    </row>
    <row r="17204">
      <c r="A17204" s="2" t="s">
        <v>8373</v>
      </c>
      <c r="B17204" s="2" t="s">
        <v>8293</v>
      </c>
      <c r="C17204" s="2" t="s">
        <v>8375</v>
      </c>
      <c r="D17204" s="3" t="str">
        <f t="shared" si="4443"/>
        <v>12Go Link</v>
      </c>
      <c r="E17204" s="2" t="s">
        <v>4138</v>
      </c>
    </row>
    <row r="17205">
      <c r="A17205" s="2" t="s">
        <v>8373</v>
      </c>
      <c r="B17205" s="2" t="s">
        <v>8293</v>
      </c>
      <c r="C17205" s="2" t="s">
        <v>8375</v>
      </c>
      <c r="D17205" s="3" t="str">
        <f t="shared" si="4443"/>
        <v>12Go Link</v>
      </c>
      <c r="E17205" s="2" t="s">
        <v>8363</v>
      </c>
    </row>
    <row r="17206">
      <c r="A17206" s="2" t="s">
        <v>8373</v>
      </c>
      <c r="B17206" s="2" t="s">
        <v>8293</v>
      </c>
      <c r="C17206" s="2" t="s">
        <v>8375</v>
      </c>
      <c r="D17206" s="3" t="str">
        <f t="shared" si="4443"/>
        <v>12Go Link</v>
      </c>
      <c r="E17206" s="2" t="s">
        <v>8364</v>
      </c>
    </row>
    <row r="17207">
      <c r="A17207" s="2" t="s">
        <v>8373</v>
      </c>
      <c r="B17207" s="2" t="s">
        <v>8293</v>
      </c>
      <c r="C17207" s="2" t="s">
        <v>8375</v>
      </c>
      <c r="D17207" s="3" t="str">
        <f t="shared" si="4443"/>
        <v>12Go Link</v>
      </c>
      <c r="E17207" s="2" t="s">
        <v>8296</v>
      </c>
    </row>
    <row r="17208">
      <c r="A17208" s="2" t="s">
        <v>8373</v>
      </c>
      <c r="B17208" s="2" t="s">
        <v>8365</v>
      </c>
      <c r="C17208" s="2" t="s">
        <v>8376</v>
      </c>
      <c r="D17208" s="3" t="str">
        <f t="shared" ref="D17208:D17210" si="4444">HYPERLINK("https://12go.asia/en/travel/Bodrum-City-Center/Fethiye-Hotel-Transfer", "12Go Link")</f>
        <v>12Go Link</v>
      </c>
      <c r="E17208" s="2" t="s">
        <v>4138</v>
      </c>
    </row>
    <row r="17209">
      <c r="A17209" s="2" t="s">
        <v>8373</v>
      </c>
      <c r="B17209" s="2" t="s">
        <v>8365</v>
      </c>
      <c r="C17209" s="2" t="s">
        <v>8376</v>
      </c>
      <c r="D17209" s="3" t="str">
        <f t="shared" si="4444"/>
        <v>12Go Link</v>
      </c>
      <c r="E17209" s="2" t="s">
        <v>8363</v>
      </c>
    </row>
    <row r="17210">
      <c r="A17210" s="2" t="s">
        <v>8373</v>
      </c>
      <c r="B17210" s="2" t="s">
        <v>8365</v>
      </c>
      <c r="C17210" s="2" t="s">
        <v>8376</v>
      </c>
      <c r="D17210" s="3" t="str">
        <f t="shared" si="4444"/>
        <v>12Go Link</v>
      </c>
      <c r="E17210" s="2" t="s">
        <v>8364</v>
      </c>
    </row>
    <row r="17211">
      <c r="A17211" s="2" t="s">
        <v>8373</v>
      </c>
      <c r="B17211" s="2" t="s">
        <v>8365</v>
      </c>
      <c r="C17211" s="2" t="s">
        <v>8377</v>
      </c>
      <c r="D17211" s="3" t="str">
        <f t="shared" ref="D17211:D17213" si="4445">HYPERLINK("https://12go.asia/en/travel/Bodrum-Milas-Airport/Fethiye-Hotel-Transfer", "12Go Link")</f>
        <v>12Go Link</v>
      </c>
      <c r="E17211" s="2" t="s">
        <v>4138</v>
      </c>
    </row>
    <row r="17212">
      <c r="A17212" s="2" t="s">
        <v>8373</v>
      </c>
      <c r="B17212" s="2" t="s">
        <v>8365</v>
      </c>
      <c r="C17212" s="2" t="s">
        <v>8377</v>
      </c>
      <c r="D17212" s="3" t="str">
        <f t="shared" si="4445"/>
        <v>12Go Link</v>
      </c>
      <c r="E17212" s="2" t="s">
        <v>8363</v>
      </c>
    </row>
    <row r="17213">
      <c r="A17213" s="2" t="s">
        <v>8373</v>
      </c>
      <c r="B17213" s="2" t="s">
        <v>8365</v>
      </c>
      <c r="C17213" s="2" t="s">
        <v>8377</v>
      </c>
      <c r="D17213" s="3" t="str">
        <f t="shared" si="4445"/>
        <v>12Go Link</v>
      </c>
      <c r="E17213" s="2" t="s">
        <v>8364</v>
      </c>
    </row>
    <row r="17214">
      <c r="A17214" s="2" t="s">
        <v>8360</v>
      </c>
      <c r="B17214" s="2" t="s">
        <v>8298</v>
      </c>
      <c r="C17214" s="2" t="s">
        <v>8378</v>
      </c>
      <c r="D17214" s="3" t="str">
        <f t="shared" ref="D17214:D17215" si="4446">HYPERLINK("https://12go.asia/en/travel/Bogazkent-Hotel-Transfer/Antalya-Airport", "12Go Link")</f>
        <v>12Go Link</v>
      </c>
      <c r="E17214" s="2" t="s">
        <v>4507</v>
      </c>
    </row>
    <row r="17215">
      <c r="A17215" s="2" t="s">
        <v>8360</v>
      </c>
      <c r="B17215" s="2" t="s">
        <v>8298</v>
      </c>
      <c r="C17215" s="2" t="s">
        <v>8378</v>
      </c>
      <c r="D17215" s="3" t="str">
        <f t="shared" si="4446"/>
        <v>12Go Link</v>
      </c>
      <c r="E17215" s="2" t="s">
        <v>286</v>
      </c>
    </row>
    <row r="17216">
      <c r="A17216" s="2" t="s">
        <v>8379</v>
      </c>
      <c r="B17216" s="2" t="s">
        <v>8293</v>
      </c>
      <c r="C17216" s="2" t="s">
        <v>8380</v>
      </c>
      <c r="D17216" s="3" t="str">
        <f t="shared" ref="D17216:D17218" si="4447">HYPERLINK("https://12go.asia/en/travel/Bozburun-Hotel-Transfer/Dalaman-Airport", "12Go Link")</f>
        <v>12Go Link</v>
      </c>
      <c r="E17216" s="2" t="s">
        <v>8295</v>
      </c>
    </row>
    <row r="17217">
      <c r="A17217" s="2" t="s">
        <v>8379</v>
      </c>
      <c r="B17217" s="2" t="s">
        <v>8293</v>
      </c>
      <c r="C17217" s="2" t="s">
        <v>8380</v>
      </c>
      <c r="D17217" s="3" t="str">
        <f t="shared" si="4447"/>
        <v>12Go Link</v>
      </c>
      <c r="E17217" s="2" t="s">
        <v>4137</v>
      </c>
    </row>
    <row r="17218">
      <c r="A17218" s="2" t="s">
        <v>8379</v>
      </c>
      <c r="B17218" s="2" t="s">
        <v>8293</v>
      </c>
      <c r="C17218" s="2" t="s">
        <v>8380</v>
      </c>
      <c r="D17218" s="3" t="str">
        <f t="shared" si="4447"/>
        <v>12Go Link</v>
      </c>
      <c r="E17218" s="2" t="s">
        <v>8296</v>
      </c>
    </row>
    <row r="17219">
      <c r="A17219" s="2" t="s">
        <v>8381</v>
      </c>
      <c r="B17219" s="2" t="s">
        <v>8382</v>
      </c>
      <c r="C17219" s="2" t="s">
        <v>8383</v>
      </c>
      <c r="D17219" s="3" t="str">
        <f t="shared" ref="D17219:D17221" si="4448">HYPERLINK("https://12go.asia/en/travel/Bursa-Hotel-Transfer/Sabiha-Gokcen-Airport", "12Go Link")</f>
        <v>12Go Link</v>
      </c>
      <c r="E17219" s="2" t="s">
        <v>8384</v>
      </c>
    </row>
    <row r="17220">
      <c r="A17220" s="2" t="s">
        <v>8381</v>
      </c>
      <c r="B17220" s="2" t="s">
        <v>8382</v>
      </c>
      <c r="C17220" s="2" t="s">
        <v>8383</v>
      </c>
      <c r="D17220" s="3" t="str">
        <f t="shared" si="4448"/>
        <v>12Go Link</v>
      </c>
      <c r="E17220" s="2" t="s">
        <v>4194</v>
      </c>
    </row>
    <row r="17221">
      <c r="A17221" s="2" t="s">
        <v>8381</v>
      </c>
      <c r="B17221" s="2" t="s">
        <v>8382</v>
      </c>
      <c r="C17221" s="2" t="s">
        <v>8383</v>
      </c>
      <c r="D17221" s="3" t="str">
        <f t="shared" si="4448"/>
        <v>12Go Link</v>
      </c>
      <c r="E17221" s="2" t="s">
        <v>8364</v>
      </c>
    </row>
    <row r="17222">
      <c r="A17222" s="2" t="s">
        <v>8381</v>
      </c>
      <c r="B17222" s="2" t="s">
        <v>8385</v>
      </c>
      <c r="C17222" s="2" t="s">
        <v>8386</v>
      </c>
      <c r="D17222" s="3" t="str">
        <f t="shared" ref="D17222:D17224" si="4449">HYPERLINK("https://12go.asia/en/travel/Bursa-Hotel-Transfer/Istanbul-Airport", "12Go Link")</f>
        <v>12Go Link</v>
      </c>
      <c r="E17222" s="2" t="s">
        <v>8384</v>
      </c>
    </row>
    <row r="17223">
      <c r="A17223" s="2" t="s">
        <v>8381</v>
      </c>
      <c r="B17223" s="2" t="s">
        <v>8385</v>
      </c>
      <c r="C17223" s="2" t="s">
        <v>8386</v>
      </c>
      <c r="D17223" s="3" t="str">
        <f t="shared" si="4449"/>
        <v>12Go Link</v>
      </c>
      <c r="E17223" s="2" t="s">
        <v>4194</v>
      </c>
    </row>
    <row r="17224">
      <c r="A17224" s="2" t="s">
        <v>8381</v>
      </c>
      <c r="B17224" s="2" t="s">
        <v>8385</v>
      </c>
      <c r="C17224" s="2" t="s">
        <v>8386</v>
      </c>
      <c r="D17224" s="3" t="str">
        <f t="shared" si="4449"/>
        <v>12Go Link</v>
      </c>
      <c r="E17224" s="2" t="s">
        <v>8364</v>
      </c>
    </row>
    <row r="17225">
      <c r="A17225" s="2" t="s">
        <v>8311</v>
      </c>
      <c r="B17225" s="2" t="s">
        <v>8302</v>
      </c>
      <c r="C17225" s="2" t="s">
        <v>8387</v>
      </c>
      <c r="D17225" s="3" t="str">
        <f t="shared" ref="D17225:D17227" si="4450">HYPERLINK("https://12go.asia/en/travel/Cenger-Hotel-Transfer/Gazipasa-Alanya-Airport", "12Go Link")</f>
        <v>12Go Link</v>
      </c>
      <c r="E17225" s="2" t="s">
        <v>4507</v>
      </c>
    </row>
    <row r="17226">
      <c r="A17226" s="2" t="s">
        <v>8311</v>
      </c>
      <c r="B17226" s="2" t="s">
        <v>8302</v>
      </c>
      <c r="C17226" s="2" t="s">
        <v>8387</v>
      </c>
      <c r="D17226" s="3" t="str">
        <f t="shared" si="4450"/>
        <v>12Go Link</v>
      </c>
      <c r="E17226" s="2" t="s">
        <v>286</v>
      </c>
    </row>
    <row r="17227">
      <c r="A17227" s="2" t="s">
        <v>8311</v>
      </c>
      <c r="B17227" s="2" t="s">
        <v>8302</v>
      </c>
      <c r="C17227" s="2" t="s">
        <v>8387</v>
      </c>
      <c r="D17227" s="3" t="str">
        <f t="shared" si="4450"/>
        <v>12Go Link</v>
      </c>
      <c r="E17227" s="2" t="s">
        <v>4137</v>
      </c>
    </row>
    <row r="17228">
      <c r="A17228" s="2" t="s">
        <v>8313</v>
      </c>
      <c r="B17228" s="2" t="s">
        <v>8302</v>
      </c>
      <c r="C17228" s="2" t="s">
        <v>8388</v>
      </c>
      <c r="D17228" s="3" t="str">
        <f t="shared" ref="D17228:D17232" si="4451">HYPERLINK("https://12go.asia/en/travel/Colakli-Hotel-Transfer/Gazipasa-Alanya-Airport", "12Go Link")</f>
        <v>12Go Link</v>
      </c>
      <c r="E17228" s="2" t="s">
        <v>4507</v>
      </c>
    </row>
    <row r="17229">
      <c r="A17229" s="2" t="s">
        <v>8313</v>
      </c>
      <c r="B17229" s="2" t="s">
        <v>8302</v>
      </c>
      <c r="C17229" s="2" t="s">
        <v>8388</v>
      </c>
      <c r="D17229" s="3" t="str">
        <f t="shared" si="4451"/>
        <v>12Go Link</v>
      </c>
      <c r="E17229" s="2" t="s">
        <v>286</v>
      </c>
    </row>
    <row r="17230">
      <c r="A17230" s="2" t="s">
        <v>8313</v>
      </c>
      <c r="B17230" s="2" t="s">
        <v>8302</v>
      </c>
      <c r="C17230" s="2" t="s">
        <v>8388</v>
      </c>
      <c r="D17230" s="3" t="str">
        <f t="shared" si="4451"/>
        <v>12Go Link</v>
      </c>
      <c r="E17230" s="2" t="s">
        <v>8295</v>
      </c>
    </row>
    <row r="17231">
      <c r="A17231" s="2" t="s">
        <v>8313</v>
      </c>
      <c r="B17231" s="2" t="s">
        <v>8302</v>
      </c>
      <c r="C17231" s="2" t="s">
        <v>8388</v>
      </c>
      <c r="D17231" s="3" t="str">
        <f t="shared" si="4451"/>
        <v>12Go Link</v>
      </c>
      <c r="E17231" s="2" t="s">
        <v>4137</v>
      </c>
    </row>
    <row r="17232">
      <c r="A17232" s="2" t="s">
        <v>8313</v>
      </c>
      <c r="B17232" s="2" t="s">
        <v>8302</v>
      </c>
      <c r="C17232" s="2" t="s">
        <v>8388</v>
      </c>
      <c r="D17232" s="3" t="str">
        <f t="shared" si="4451"/>
        <v>12Go Link</v>
      </c>
      <c r="E17232" s="2" t="s">
        <v>8296</v>
      </c>
    </row>
    <row r="17233">
      <c r="A17233" s="2" t="s">
        <v>8293</v>
      </c>
      <c r="B17233" s="2" t="s">
        <v>8292</v>
      </c>
      <c r="C17233" s="2" t="s">
        <v>8389</v>
      </c>
      <c r="D17233" s="3" t="str">
        <f t="shared" ref="D17233:D17234" si="4452">HYPERLINK("https://12go.asia/en/travel/Dalaman-Airport/Adakoy-Hotel-Transfer", "12Go Link")</f>
        <v>12Go Link</v>
      </c>
      <c r="E17233" s="2" t="s">
        <v>4137</v>
      </c>
    </row>
    <row r="17234">
      <c r="A17234" s="2" t="s">
        <v>8293</v>
      </c>
      <c r="B17234" s="2" t="s">
        <v>8292</v>
      </c>
      <c r="C17234" s="2" t="s">
        <v>8389</v>
      </c>
      <c r="D17234" s="3" t="str">
        <f t="shared" si="4452"/>
        <v>12Go Link</v>
      </c>
      <c r="E17234" s="2" t="s">
        <v>8296</v>
      </c>
    </row>
    <row r="17235">
      <c r="A17235" s="2" t="s">
        <v>8293</v>
      </c>
      <c r="B17235" s="2" t="s">
        <v>8300</v>
      </c>
      <c r="C17235" s="2" t="s">
        <v>8390</v>
      </c>
      <c r="D17235" s="3" t="str">
        <f>HYPERLINK("https://12go.asia/en/travel/Dalaman-Airport/Akyaka-Hotel-Transfer", "12Go Link")</f>
        <v>12Go Link</v>
      </c>
      <c r="E17235" s="2" t="s">
        <v>4137</v>
      </c>
    </row>
    <row r="17236">
      <c r="A17236" s="2" t="s">
        <v>8293</v>
      </c>
      <c r="B17236" s="2" t="s">
        <v>8298</v>
      </c>
      <c r="C17236" s="2" t="s">
        <v>8391</v>
      </c>
      <c r="D17236" s="3" t="str">
        <f t="shared" ref="D17236:D17239" si="4453">HYPERLINK("https://12go.asia/en/travel/Dalaman-Airport/Antalya-Hotel-Transfer", "12Go Link")</f>
        <v>12Go Link</v>
      </c>
      <c r="E17236" s="2" t="s">
        <v>4137</v>
      </c>
    </row>
    <row r="17237">
      <c r="A17237" s="2" t="s">
        <v>8293</v>
      </c>
      <c r="B17237" s="2" t="s">
        <v>8298</v>
      </c>
      <c r="C17237" s="2" t="s">
        <v>8391</v>
      </c>
      <c r="D17237" s="3" t="str">
        <f t="shared" si="4453"/>
        <v>12Go Link</v>
      </c>
      <c r="E17237" s="2" t="s">
        <v>4138</v>
      </c>
    </row>
    <row r="17238">
      <c r="A17238" s="2" t="s">
        <v>8293</v>
      </c>
      <c r="B17238" s="2" t="s">
        <v>8298</v>
      </c>
      <c r="C17238" s="2" t="s">
        <v>8391</v>
      </c>
      <c r="D17238" s="3" t="str">
        <f t="shared" si="4453"/>
        <v>12Go Link</v>
      </c>
      <c r="E17238" s="2" t="s">
        <v>8363</v>
      </c>
    </row>
    <row r="17239">
      <c r="A17239" s="2" t="s">
        <v>8293</v>
      </c>
      <c r="B17239" s="2" t="s">
        <v>8298</v>
      </c>
      <c r="C17239" s="2" t="s">
        <v>8391</v>
      </c>
      <c r="D17239" s="3" t="str">
        <f t="shared" si="4453"/>
        <v>12Go Link</v>
      </c>
      <c r="E17239" s="2" t="s">
        <v>8364</v>
      </c>
    </row>
    <row r="17240">
      <c r="A17240" s="2" t="s">
        <v>8293</v>
      </c>
      <c r="B17240" s="2" t="s">
        <v>8369</v>
      </c>
      <c r="C17240" s="2" t="s">
        <v>8392</v>
      </c>
      <c r="D17240" s="3" t="str">
        <f t="shared" ref="D17240:D17241" si="4454">HYPERLINK("https://12go.asia/en/travel/Dalaman-Airport/Bayir-Hotel-Transfer", "12Go Link")</f>
        <v>12Go Link</v>
      </c>
      <c r="E17240" s="2" t="s">
        <v>8295</v>
      </c>
    </row>
    <row r="17241">
      <c r="A17241" s="2" t="s">
        <v>8293</v>
      </c>
      <c r="B17241" s="2" t="s">
        <v>8369</v>
      </c>
      <c r="C17241" s="2" t="s">
        <v>8392</v>
      </c>
      <c r="D17241" s="3" t="str">
        <f t="shared" si="4454"/>
        <v>12Go Link</v>
      </c>
      <c r="E17241" s="2" t="s">
        <v>4137</v>
      </c>
    </row>
    <row r="17242">
      <c r="A17242" s="2" t="s">
        <v>8293</v>
      </c>
      <c r="B17242" s="2" t="s">
        <v>8373</v>
      </c>
      <c r="C17242" s="2" t="s">
        <v>8393</v>
      </c>
      <c r="D17242" s="3" t="str">
        <f t="shared" ref="D17242:D17244" si="4455">HYPERLINK("https://12go.asia/en/travel/Dalaman-Airport/Bodrum-Hotel-Transfer", "12Go Link")</f>
        <v>12Go Link</v>
      </c>
      <c r="E17242" s="2" t="s">
        <v>4138</v>
      </c>
    </row>
    <row r="17243">
      <c r="A17243" s="2" t="s">
        <v>8293</v>
      </c>
      <c r="B17243" s="2" t="s">
        <v>8373</v>
      </c>
      <c r="C17243" s="2" t="s">
        <v>8393</v>
      </c>
      <c r="D17243" s="3" t="str">
        <f t="shared" si="4455"/>
        <v>12Go Link</v>
      </c>
      <c r="E17243" s="2" t="s">
        <v>8363</v>
      </c>
    </row>
    <row r="17244">
      <c r="A17244" s="2" t="s">
        <v>8293</v>
      </c>
      <c r="B17244" s="2" t="s">
        <v>8373</v>
      </c>
      <c r="C17244" s="2" t="s">
        <v>8393</v>
      </c>
      <c r="D17244" s="3" t="str">
        <f t="shared" si="4455"/>
        <v>12Go Link</v>
      </c>
      <c r="E17244" s="2" t="s">
        <v>8364</v>
      </c>
    </row>
    <row r="17245">
      <c r="A17245" s="2" t="s">
        <v>8293</v>
      </c>
      <c r="B17245" s="2" t="s">
        <v>8373</v>
      </c>
      <c r="C17245" s="2" t="s">
        <v>8394</v>
      </c>
      <c r="D17245" s="3" t="str">
        <f t="shared" ref="D17245:D17248" si="4456">HYPERLINK("https://12go.asia/en/travel/Dalaman-Airport/Bodrum-Milas-Airport", "12Go Link")</f>
        <v>12Go Link</v>
      </c>
      <c r="E17245" s="2" t="s">
        <v>4137</v>
      </c>
    </row>
    <row r="17246">
      <c r="A17246" s="2" t="s">
        <v>8293</v>
      </c>
      <c r="B17246" s="2" t="s">
        <v>8373</v>
      </c>
      <c r="C17246" s="2" t="s">
        <v>8394</v>
      </c>
      <c r="D17246" s="3" t="str">
        <f t="shared" si="4456"/>
        <v>12Go Link</v>
      </c>
      <c r="E17246" s="2" t="s">
        <v>4138</v>
      </c>
    </row>
    <row r="17247">
      <c r="A17247" s="2" t="s">
        <v>8293</v>
      </c>
      <c r="B17247" s="2" t="s">
        <v>8373</v>
      </c>
      <c r="C17247" s="2" t="s">
        <v>8394</v>
      </c>
      <c r="D17247" s="3" t="str">
        <f t="shared" si="4456"/>
        <v>12Go Link</v>
      </c>
      <c r="E17247" s="2" t="s">
        <v>8363</v>
      </c>
    </row>
    <row r="17248">
      <c r="A17248" s="2" t="s">
        <v>8293</v>
      </c>
      <c r="B17248" s="2" t="s">
        <v>8373</v>
      </c>
      <c r="C17248" s="2" t="s">
        <v>8394</v>
      </c>
      <c r="D17248" s="3" t="str">
        <f t="shared" si="4456"/>
        <v>12Go Link</v>
      </c>
      <c r="E17248" s="2" t="s">
        <v>8364</v>
      </c>
    </row>
    <row r="17249">
      <c r="A17249" s="2" t="s">
        <v>8293</v>
      </c>
      <c r="B17249" s="2" t="s">
        <v>8379</v>
      </c>
      <c r="C17249" s="2" t="s">
        <v>8395</v>
      </c>
      <c r="D17249" s="3" t="str">
        <f>HYPERLINK("https://12go.asia/en/travel/Dalaman-Airport/Bozburun-Hotel-Transfer", "12Go Link")</f>
        <v>12Go Link</v>
      </c>
      <c r="E17249" s="2" t="s">
        <v>4137</v>
      </c>
    </row>
    <row r="17250">
      <c r="A17250" s="2" t="s">
        <v>8293</v>
      </c>
      <c r="B17250" s="2" t="s">
        <v>8293</v>
      </c>
      <c r="C17250" s="2" t="s">
        <v>8396</v>
      </c>
      <c r="D17250" s="3" t="str">
        <f t="shared" ref="D17250:D17252" si="4457">HYPERLINK("https://12go.asia/en/travel/Akkaya/Dalaman-Airport", "12Go Link")</f>
        <v>12Go Link</v>
      </c>
      <c r="E17250" s="2" t="s">
        <v>4138</v>
      </c>
    </row>
    <row r="17251">
      <c r="A17251" s="2" t="s">
        <v>8293</v>
      </c>
      <c r="B17251" s="2" t="s">
        <v>8293</v>
      </c>
      <c r="C17251" s="2" t="s">
        <v>8396</v>
      </c>
      <c r="D17251" s="3" t="str">
        <f t="shared" si="4457"/>
        <v>12Go Link</v>
      </c>
      <c r="E17251" s="2" t="s">
        <v>8363</v>
      </c>
    </row>
    <row r="17252">
      <c r="A17252" s="2" t="s">
        <v>8293</v>
      </c>
      <c r="B17252" s="2" t="s">
        <v>8293</v>
      </c>
      <c r="C17252" s="2" t="s">
        <v>8396</v>
      </c>
      <c r="D17252" s="3" t="str">
        <f t="shared" si="4457"/>
        <v>12Go Link</v>
      </c>
      <c r="E17252" s="2" t="s">
        <v>8364</v>
      </c>
    </row>
    <row r="17253">
      <c r="A17253" s="2" t="s">
        <v>8293</v>
      </c>
      <c r="B17253" s="2" t="s">
        <v>8293</v>
      </c>
      <c r="C17253" s="2" t="s">
        <v>8397</v>
      </c>
      <c r="D17253" s="3" t="str">
        <f t="shared" ref="D17253:D17255" si="4458">HYPERLINK("https://12go.asia/en/travel/Dalaman-Airport/Akkaya", "12Go Link")</f>
        <v>12Go Link</v>
      </c>
      <c r="E17253" s="2" t="s">
        <v>4138</v>
      </c>
    </row>
    <row r="17254">
      <c r="A17254" s="2" t="s">
        <v>8293</v>
      </c>
      <c r="B17254" s="2" t="s">
        <v>8293</v>
      </c>
      <c r="C17254" s="2" t="s">
        <v>8397</v>
      </c>
      <c r="D17254" s="3" t="str">
        <f t="shared" si="4458"/>
        <v>12Go Link</v>
      </c>
      <c r="E17254" s="2" t="s">
        <v>8363</v>
      </c>
    </row>
    <row r="17255">
      <c r="A17255" s="2" t="s">
        <v>8293</v>
      </c>
      <c r="B17255" s="2" t="s">
        <v>8293</v>
      </c>
      <c r="C17255" s="2" t="s">
        <v>8397</v>
      </c>
      <c r="D17255" s="3" t="str">
        <f t="shared" si="4458"/>
        <v>12Go Link</v>
      </c>
      <c r="E17255" s="2" t="s">
        <v>8364</v>
      </c>
    </row>
    <row r="17256">
      <c r="A17256" s="2" t="s">
        <v>8293</v>
      </c>
      <c r="B17256" s="2" t="s">
        <v>8293</v>
      </c>
      <c r="C17256" s="2" t="s">
        <v>8398</v>
      </c>
      <c r="D17256" s="3" t="str">
        <f t="shared" ref="D17256:D17258" si="4459">HYPERLINK("https://12go.asia/en/travel/Dalaman-Airport/Karacaagac-Transfer", "12Go Link")</f>
        <v>12Go Link</v>
      </c>
      <c r="E17256" s="2" t="s">
        <v>4138</v>
      </c>
    </row>
    <row r="17257">
      <c r="A17257" s="2" t="s">
        <v>8293</v>
      </c>
      <c r="B17257" s="2" t="s">
        <v>8293</v>
      </c>
      <c r="C17257" s="2" t="s">
        <v>8398</v>
      </c>
      <c r="D17257" s="3" t="str">
        <f t="shared" si="4459"/>
        <v>12Go Link</v>
      </c>
      <c r="E17257" s="2" t="s">
        <v>8363</v>
      </c>
    </row>
    <row r="17258">
      <c r="A17258" s="2" t="s">
        <v>8293</v>
      </c>
      <c r="B17258" s="2" t="s">
        <v>8293</v>
      </c>
      <c r="C17258" s="2" t="s">
        <v>8398</v>
      </c>
      <c r="D17258" s="3" t="str">
        <f t="shared" si="4459"/>
        <v>12Go Link</v>
      </c>
      <c r="E17258" s="2" t="s">
        <v>8364</v>
      </c>
    </row>
    <row r="17259">
      <c r="A17259" s="2" t="s">
        <v>8293</v>
      </c>
      <c r="B17259" s="2" t="s">
        <v>8293</v>
      </c>
      <c r="C17259" s="2" t="s">
        <v>8399</v>
      </c>
      <c r="D17259" s="3" t="str">
        <f t="shared" ref="D17259:D17261" si="4460">HYPERLINK("https://12go.asia/en/travel/Karacaagac-Transfer/Dalaman-Airport", "12Go Link")</f>
        <v>12Go Link</v>
      </c>
      <c r="E17259" s="2" t="s">
        <v>4138</v>
      </c>
    </row>
    <row r="17260">
      <c r="A17260" s="2" t="s">
        <v>8293</v>
      </c>
      <c r="B17260" s="2" t="s">
        <v>8293</v>
      </c>
      <c r="C17260" s="2" t="s">
        <v>8399</v>
      </c>
      <c r="D17260" s="3" t="str">
        <f t="shared" si="4460"/>
        <v>12Go Link</v>
      </c>
      <c r="E17260" s="2" t="s">
        <v>8363</v>
      </c>
    </row>
    <row r="17261">
      <c r="A17261" s="2" t="s">
        <v>8293</v>
      </c>
      <c r="B17261" s="2" t="s">
        <v>8293</v>
      </c>
      <c r="C17261" s="2" t="s">
        <v>8399</v>
      </c>
      <c r="D17261" s="3" t="str">
        <f t="shared" si="4460"/>
        <v>12Go Link</v>
      </c>
      <c r="E17261" s="2" t="s">
        <v>8364</v>
      </c>
    </row>
    <row r="17262">
      <c r="A17262" s="2" t="s">
        <v>8293</v>
      </c>
      <c r="B17262" s="2" t="s">
        <v>8400</v>
      </c>
      <c r="C17262" s="2" t="s">
        <v>8401</v>
      </c>
      <c r="D17262" s="3" t="str">
        <f t="shared" ref="D17262:D17265" si="4461">HYPERLINK("https://12go.asia/en/travel/Dalaman-Airport/Dalyan-Hotel-Transfer", "12Go Link")</f>
        <v>12Go Link</v>
      </c>
      <c r="E17262" s="2" t="s">
        <v>4137</v>
      </c>
    </row>
    <row r="17263">
      <c r="A17263" s="2" t="s">
        <v>8293</v>
      </c>
      <c r="B17263" s="2" t="s">
        <v>8400</v>
      </c>
      <c r="C17263" s="2" t="s">
        <v>8401</v>
      </c>
      <c r="D17263" s="3" t="str">
        <f t="shared" si="4461"/>
        <v>12Go Link</v>
      </c>
      <c r="E17263" s="2" t="s">
        <v>4138</v>
      </c>
    </row>
    <row r="17264">
      <c r="A17264" s="2" t="s">
        <v>8293</v>
      </c>
      <c r="B17264" s="2" t="s">
        <v>8400</v>
      </c>
      <c r="C17264" s="2" t="s">
        <v>8401</v>
      </c>
      <c r="D17264" s="3" t="str">
        <f t="shared" si="4461"/>
        <v>12Go Link</v>
      </c>
      <c r="E17264" s="2" t="s">
        <v>8363</v>
      </c>
    </row>
    <row r="17265">
      <c r="A17265" s="2" t="s">
        <v>8293</v>
      </c>
      <c r="B17265" s="2" t="s">
        <v>8400</v>
      </c>
      <c r="C17265" s="2" t="s">
        <v>8401</v>
      </c>
      <c r="D17265" s="3" t="str">
        <f t="shared" si="4461"/>
        <v>12Go Link</v>
      </c>
      <c r="E17265" s="2" t="s">
        <v>8364</v>
      </c>
    </row>
    <row r="17266">
      <c r="A17266" s="2" t="s">
        <v>8293</v>
      </c>
      <c r="B17266" s="2" t="s">
        <v>8402</v>
      </c>
      <c r="C17266" s="2" t="s">
        <v>8403</v>
      </c>
      <c r="D17266" s="3" t="str">
        <f>HYPERLINK("https://12go.asia/en/travel/Dalaman-Airport/Datca-Hotel-Transfer", "12Go Link")</f>
        <v>12Go Link</v>
      </c>
      <c r="E17266" s="2" t="s">
        <v>4137</v>
      </c>
    </row>
    <row r="17267">
      <c r="A17267" s="2" t="s">
        <v>8293</v>
      </c>
      <c r="B17267" s="2" t="s">
        <v>8404</v>
      </c>
      <c r="C17267" s="2" t="s">
        <v>8405</v>
      </c>
      <c r="D17267" s="3" t="str">
        <f t="shared" ref="D17267:D17272" si="4462">HYPERLINK("https://12go.asia/en/travel/Dalaman-Airport/Faralya-Hotel-Transfer", "12Go Link")</f>
        <v>12Go Link</v>
      </c>
      <c r="E17267" s="2" t="s">
        <v>8295</v>
      </c>
    </row>
    <row r="17268">
      <c r="A17268" s="2" t="s">
        <v>8293</v>
      </c>
      <c r="B17268" s="2" t="s">
        <v>8404</v>
      </c>
      <c r="C17268" s="2" t="s">
        <v>8405</v>
      </c>
      <c r="D17268" s="3" t="str">
        <f t="shared" si="4462"/>
        <v>12Go Link</v>
      </c>
      <c r="E17268" s="2" t="s">
        <v>4137</v>
      </c>
    </row>
    <row r="17269">
      <c r="A17269" s="2" t="s">
        <v>8293</v>
      </c>
      <c r="B17269" s="2" t="s">
        <v>8404</v>
      </c>
      <c r="C17269" s="2" t="s">
        <v>8405</v>
      </c>
      <c r="D17269" s="3" t="str">
        <f t="shared" si="4462"/>
        <v>12Go Link</v>
      </c>
      <c r="E17269" s="2" t="s">
        <v>4138</v>
      </c>
    </row>
    <row r="17270">
      <c r="A17270" s="2" t="s">
        <v>8293</v>
      </c>
      <c r="B17270" s="2" t="s">
        <v>8404</v>
      </c>
      <c r="C17270" s="2" t="s">
        <v>8405</v>
      </c>
      <c r="D17270" s="3" t="str">
        <f t="shared" si="4462"/>
        <v>12Go Link</v>
      </c>
      <c r="E17270" s="2" t="s">
        <v>8363</v>
      </c>
    </row>
    <row r="17271">
      <c r="A17271" s="2" t="s">
        <v>8293</v>
      </c>
      <c r="B17271" s="2" t="s">
        <v>8404</v>
      </c>
      <c r="C17271" s="2" t="s">
        <v>8405</v>
      </c>
      <c r="D17271" s="3" t="str">
        <f t="shared" si="4462"/>
        <v>12Go Link</v>
      </c>
      <c r="E17271" s="2" t="s">
        <v>8364</v>
      </c>
    </row>
    <row r="17272">
      <c r="A17272" s="2" t="s">
        <v>8293</v>
      </c>
      <c r="B17272" s="2" t="s">
        <v>8404</v>
      </c>
      <c r="C17272" s="2" t="s">
        <v>8405</v>
      </c>
      <c r="D17272" s="3" t="str">
        <f t="shared" si="4462"/>
        <v>12Go Link</v>
      </c>
      <c r="E17272" s="2" t="s">
        <v>8296</v>
      </c>
    </row>
    <row r="17273">
      <c r="A17273" s="2" t="s">
        <v>8293</v>
      </c>
      <c r="B17273" s="2" t="s">
        <v>8365</v>
      </c>
      <c r="C17273" s="2" t="s">
        <v>8406</v>
      </c>
      <c r="D17273" s="3" t="str">
        <f t="shared" ref="D17273:D17276" si="4463">HYPERLINK("https://12go.asia/en/travel/Dalaman-Airport/Calis-Beach", "12Go Link")</f>
        <v>12Go Link</v>
      </c>
      <c r="E17273" s="2" t="s">
        <v>4137</v>
      </c>
    </row>
    <row r="17274">
      <c r="A17274" s="2" t="s">
        <v>8293</v>
      </c>
      <c r="B17274" s="2" t="s">
        <v>8365</v>
      </c>
      <c r="C17274" s="2" t="s">
        <v>8406</v>
      </c>
      <c r="D17274" s="3" t="str">
        <f t="shared" si="4463"/>
        <v>12Go Link</v>
      </c>
      <c r="E17274" s="2" t="s">
        <v>4138</v>
      </c>
    </row>
    <row r="17275">
      <c r="A17275" s="2" t="s">
        <v>8293</v>
      </c>
      <c r="B17275" s="2" t="s">
        <v>8365</v>
      </c>
      <c r="C17275" s="2" t="s">
        <v>8406</v>
      </c>
      <c r="D17275" s="3" t="str">
        <f t="shared" si="4463"/>
        <v>12Go Link</v>
      </c>
      <c r="E17275" s="2" t="s">
        <v>8363</v>
      </c>
    </row>
    <row r="17276">
      <c r="A17276" s="2" t="s">
        <v>8293</v>
      </c>
      <c r="B17276" s="2" t="s">
        <v>8365</v>
      </c>
      <c r="C17276" s="2" t="s">
        <v>8406</v>
      </c>
      <c r="D17276" s="3" t="str">
        <f t="shared" si="4463"/>
        <v>12Go Link</v>
      </c>
      <c r="E17276" s="2" t="s">
        <v>8364</v>
      </c>
    </row>
    <row r="17277">
      <c r="A17277" s="2" t="s">
        <v>8293</v>
      </c>
      <c r="B17277" s="2" t="s">
        <v>8365</v>
      </c>
      <c r="C17277" s="2" t="s">
        <v>8407</v>
      </c>
      <c r="D17277" s="3" t="str">
        <f t="shared" ref="D17277:D17280" si="4464">HYPERLINK("https://12go.asia/en/travel/Dalaman-Airport/Ciftlik-Hotel-Transfer", "12Go Link")</f>
        <v>12Go Link</v>
      </c>
      <c r="E17277" s="2" t="s">
        <v>4137</v>
      </c>
    </row>
    <row r="17278">
      <c r="A17278" s="2" t="s">
        <v>8293</v>
      </c>
      <c r="B17278" s="2" t="s">
        <v>8365</v>
      </c>
      <c r="C17278" s="2" t="s">
        <v>8407</v>
      </c>
      <c r="D17278" s="3" t="str">
        <f t="shared" si="4464"/>
        <v>12Go Link</v>
      </c>
      <c r="E17278" s="2" t="s">
        <v>4138</v>
      </c>
    </row>
    <row r="17279">
      <c r="A17279" s="2" t="s">
        <v>8293</v>
      </c>
      <c r="B17279" s="2" t="s">
        <v>8365</v>
      </c>
      <c r="C17279" s="2" t="s">
        <v>8407</v>
      </c>
      <c r="D17279" s="3" t="str">
        <f t="shared" si="4464"/>
        <v>12Go Link</v>
      </c>
      <c r="E17279" s="2" t="s">
        <v>8363</v>
      </c>
    </row>
    <row r="17280">
      <c r="A17280" s="2" t="s">
        <v>8293</v>
      </c>
      <c r="B17280" s="2" t="s">
        <v>8365</v>
      </c>
      <c r="C17280" s="2" t="s">
        <v>8407</v>
      </c>
      <c r="D17280" s="3" t="str">
        <f t="shared" si="4464"/>
        <v>12Go Link</v>
      </c>
      <c r="E17280" s="2" t="s">
        <v>8364</v>
      </c>
    </row>
    <row r="17281">
      <c r="A17281" s="2" t="s">
        <v>8293</v>
      </c>
      <c r="B17281" s="2" t="s">
        <v>8365</v>
      </c>
      <c r="C17281" s="2" t="s">
        <v>8408</v>
      </c>
      <c r="D17281" s="3" t="str">
        <f t="shared" ref="D17281:D17286" si="4465">HYPERLINK("https://12go.asia/en/travel/Dalaman-Airport/Fethiye-Hotel-Transfer", "12Go Link")</f>
        <v>12Go Link</v>
      </c>
      <c r="E17281" s="2" t="s">
        <v>8295</v>
      </c>
    </row>
    <row r="17282">
      <c r="A17282" s="2" t="s">
        <v>8293</v>
      </c>
      <c r="B17282" s="2" t="s">
        <v>8365</v>
      </c>
      <c r="C17282" s="2" t="s">
        <v>8408</v>
      </c>
      <c r="D17282" s="3" t="str">
        <f t="shared" si="4465"/>
        <v>12Go Link</v>
      </c>
      <c r="E17282" s="2" t="s">
        <v>4137</v>
      </c>
    </row>
    <row r="17283">
      <c r="A17283" s="2" t="s">
        <v>8293</v>
      </c>
      <c r="B17283" s="2" t="s">
        <v>8365</v>
      </c>
      <c r="C17283" s="2" t="s">
        <v>8408</v>
      </c>
      <c r="D17283" s="3" t="str">
        <f t="shared" si="4465"/>
        <v>12Go Link</v>
      </c>
      <c r="E17283" s="2" t="s">
        <v>4138</v>
      </c>
    </row>
    <row r="17284">
      <c r="A17284" s="2" t="s">
        <v>8293</v>
      </c>
      <c r="B17284" s="2" t="s">
        <v>8365</v>
      </c>
      <c r="C17284" s="2" t="s">
        <v>8408</v>
      </c>
      <c r="D17284" s="3" t="str">
        <f t="shared" si="4465"/>
        <v>12Go Link</v>
      </c>
      <c r="E17284" s="2" t="s">
        <v>8363</v>
      </c>
    </row>
    <row r="17285">
      <c r="A17285" s="2" t="s">
        <v>8293</v>
      </c>
      <c r="B17285" s="2" t="s">
        <v>8365</v>
      </c>
      <c r="C17285" s="2" t="s">
        <v>8408</v>
      </c>
      <c r="D17285" s="3" t="str">
        <f t="shared" si="4465"/>
        <v>12Go Link</v>
      </c>
      <c r="E17285" s="2" t="s">
        <v>8364</v>
      </c>
    </row>
    <row r="17286">
      <c r="A17286" s="2" t="s">
        <v>8293</v>
      </c>
      <c r="B17286" s="2" t="s">
        <v>8365</v>
      </c>
      <c r="C17286" s="2" t="s">
        <v>8408</v>
      </c>
      <c r="D17286" s="3" t="str">
        <f t="shared" si="4465"/>
        <v>12Go Link</v>
      </c>
      <c r="E17286" s="2" t="s">
        <v>8296</v>
      </c>
    </row>
    <row r="17287">
      <c r="A17287" s="2" t="s">
        <v>8293</v>
      </c>
      <c r="B17287" s="2" t="s">
        <v>8365</v>
      </c>
      <c r="C17287" s="2" t="s">
        <v>8409</v>
      </c>
      <c r="D17287" s="3" t="str">
        <f>HYPERLINK("https://12go.asia/en/travel/Dalaman-Airport/Fethiye-Transfer", "12Go Link")</f>
        <v>12Go Link</v>
      </c>
      <c r="E17287" s="2" t="s">
        <v>4190</v>
      </c>
    </row>
    <row r="17288">
      <c r="A17288" s="2" t="s">
        <v>8293</v>
      </c>
      <c r="B17288" s="2" t="s">
        <v>8365</v>
      </c>
      <c r="C17288" s="2" t="s">
        <v>8410</v>
      </c>
      <c r="D17288" s="3" t="str">
        <f t="shared" ref="D17288:D17291" si="4466">HYPERLINK("https://12go.asia/en/travel/Dalaman-Airport/Karagozler-Transfer", "12Go Link")</f>
        <v>12Go Link</v>
      </c>
      <c r="E17288" s="2" t="s">
        <v>4138</v>
      </c>
    </row>
    <row r="17289">
      <c r="A17289" s="2" t="s">
        <v>8293</v>
      </c>
      <c r="B17289" s="2" t="s">
        <v>8365</v>
      </c>
      <c r="C17289" s="2" t="s">
        <v>8410</v>
      </c>
      <c r="D17289" s="3" t="str">
        <f t="shared" si="4466"/>
        <v>12Go Link</v>
      </c>
      <c r="E17289" s="2" t="s">
        <v>8363</v>
      </c>
    </row>
    <row r="17290">
      <c r="A17290" s="2" t="s">
        <v>8293</v>
      </c>
      <c r="B17290" s="2" t="s">
        <v>8365</v>
      </c>
      <c r="C17290" s="2" t="s">
        <v>8410</v>
      </c>
      <c r="D17290" s="3" t="str">
        <f t="shared" si="4466"/>
        <v>12Go Link</v>
      </c>
      <c r="E17290" s="2" t="s">
        <v>8364</v>
      </c>
    </row>
    <row r="17291">
      <c r="A17291" s="2" t="s">
        <v>8293</v>
      </c>
      <c r="B17291" s="2" t="s">
        <v>8365</v>
      </c>
      <c r="C17291" s="2" t="s">
        <v>8410</v>
      </c>
      <c r="D17291" s="3" t="str">
        <f t="shared" si="4466"/>
        <v>12Go Link</v>
      </c>
      <c r="E17291" s="2" t="s">
        <v>4190</v>
      </c>
    </row>
    <row r="17292">
      <c r="A17292" s="2" t="s">
        <v>8293</v>
      </c>
      <c r="B17292" s="2" t="s">
        <v>8411</v>
      </c>
      <c r="C17292" s="2" t="s">
        <v>8412</v>
      </c>
      <c r="D17292" s="3" t="str">
        <f t="shared" ref="D17292:D17294" si="4467">HYPERLINK("https://12go.asia/en/travel/Dalaman-Airport/Patara-Beach", "12Go Link")</f>
        <v>12Go Link</v>
      </c>
      <c r="E17292" s="2" t="s">
        <v>4138</v>
      </c>
    </row>
    <row r="17293">
      <c r="A17293" s="2" t="s">
        <v>8293</v>
      </c>
      <c r="B17293" s="2" t="s">
        <v>8411</v>
      </c>
      <c r="C17293" s="2" t="s">
        <v>8412</v>
      </c>
      <c r="D17293" s="3" t="str">
        <f t="shared" si="4467"/>
        <v>12Go Link</v>
      </c>
      <c r="E17293" s="2" t="s">
        <v>8363</v>
      </c>
    </row>
    <row r="17294">
      <c r="A17294" s="2" t="s">
        <v>8293</v>
      </c>
      <c r="B17294" s="2" t="s">
        <v>8411</v>
      </c>
      <c r="C17294" s="2" t="s">
        <v>8412</v>
      </c>
      <c r="D17294" s="3" t="str">
        <f t="shared" si="4467"/>
        <v>12Go Link</v>
      </c>
      <c r="E17294" s="2" t="s">
        <v>8364</v>
      </c>
    </row>
    <row r="17295">
      <c r="A17295" s="2" t="s">
        <v>8293</v>
      </c>
      <c r="B17295" s="2" t="s">
        <v>8413</v>
      </c>
      <c r="C17295" s="2" t="s">
        <v>8414</v>
      </c>
      <c r="D17295" s="3" t="str">
        <f t="shared" ref="D17295:D17300" si="4468">HYPERLINK("https://12go.asia/en/travel/Dalaman-Airport/Gocek-Hotel-Transfer", "12Go Link")</f>
        <v>12Go Link</v>
      </c>
      <c r="E17295" s="2" t="s">
        <v>8295</v>
      </c>
    </row>
    <row r="17296">
      <c r="A17296" s="2" t="s">
        <v>8293</v>
      </c>
      <c r="B17296" s="2" t="s">
        <v>8413</v>
      </c>
      <c r="C17296" s="2" t="s">
        <v>8414</v>
      </c>
      <c r="D17296" s="3" t="str">
        <f t="shared" si="4468"/>
        <v>12Go Link</v>
      </c>
      <c r="E17296" s="2" t="s">
        <v>4137</v>
      </c>
    </row>
    <row r="17297">
      <c r="A17297" s="2" t="s">
        <v>8293</v>
      </c>
      <c r="B17297" s="2" t="s">
        <v>8413</v>
      </c>
      <c r="C17297" s="2" t="s">
        <v>8414</v>
      </c>
      <c r="D17297" s="3" t="str">
        <f t="shared" si="4468"/>
        <v>12Go Link</v>
      </c>
      <c r="E17297" s="2" t="s">
        <v>4138</v>
      </c>
    </row>
    <row r="17298">
      <c r="A17298" s="2" t="s">
        <v>8293</v>
      </c>
      <c r="B17298" s="2" t="s">
        <v>8413</v>
      </c>
      <c r="C17298" s="2" t="s">
        <v>8414</v>
      </c>
      <c r="D17298" s="3" t="str">
        <f t="shared" si="4468"/>
        <v>12Go Link</v>
      </c>
      <c r="E17298" s="2" t="s">
        <v>8363</v>
      </c>
    </row>
    <row r="17299">
      <c r="A17299" s="2" t="s">
        <v>8293</v>
      </c>
      <c r="B17299" s="2" t="s">
        <v>8413</v>
      </c>
      <c r="C17299" s="2" t="s">
        <v>8414</v>
      </c>
      <c r="D17299" s="3" t="str">
        <f t="shared" si="4468"/>
        <v>12Go Link</v>
      </c>
      <c r="E17299" s="2" t="s">
        <v>8364</v>
      </c>
    </row>
    <row r="17300">
      <c r="A17300" s="2" t="s">
        <v>8293</v>
      </c>
      <c r="B17300" s="2" t="s">
        <v>8413</v>
      </c>
      <c r="C17300" s="2" t="s">
        <v>8414</v>
      </c>
      <c r="D17300" s="3" t="str">
        <f t="shared" si="4468"/>
        <v>12Go Link</v>
      </c>
      <c r="E17300" s="2" t="s">
        <v>8296</v>
      </c>
    </row>
    <row r="17301">
      <c r="A17301" s="2" t="s">
        <v>8293</v>
      </c>
      <c r="B17301" s="2" t="s">
        <v>8413</v>
      </c>
      <c r="C17301" s="2" t="s">
        <v>8415</v>
      </c>
      <c r="D17301" s="3" t="str">
        <f>HYPERLINK("https://12go.asia/en/travel/Dalaman-Airport/Gocek-Transfer", "12Go Link")</f>
        <v>12Go Link</v>
      </c>
      <c r="E17301" s="2" t="s">
        <v>4190</v>
      </c>
    </row>
    <row r="17302">
      <c r="A17302" s="2" t="s">
        <v>8293</v>
      </c>
      <c r="B17302" s="2" t="s">
        <v>8416</v>
      </c>
      <c r="C17302" s="2" t="s">
        <v>8417</v>
      </c>
      <c r="D17302" s="3" t="str">
        <f t="shared" ref="D17302:D17304" si="4469">HYPERLINK("https://12go.asia/en/travel/Dalaman-Airport/Marmaris-Hisaronu-Hotel-Transfer", "12Go Link")</f>
        <v>12Go Link</v>
      </c>
      <c r="E17302" s="2" t="s">
        <v>8295</v>
      </c>
    </row>
    <row r="17303">
      <c r="A17303" s="2" t="s">
        <v>8293</v>
      </c>
      <c r="B17303" s="2" t="s">
        <v>8416</v>
      </c>
      <c r="C17303" s="2" t="s">
        <v>8417</v>
      </c>
      <c r="D17303" s="3" t="str">
        <f t="shared" si="4469"/>
        <v>12Go Link</v>
      </c>
      <c r="E17303" s="2" t="s">
        <v>4137</v>
      </c>
    </row>
    <row r="17304">
      <c r="A17304" s="2" t="s">
        <v>8293</v>
      </c>
      <c r="B17304" s="2" t="s">
        <v>8416</v>
      </c>
      <c r="C17304" s="2" t="s">
        <v>8417</v>
      </c>
      <c r="D17304" s="3" t="str">
        <f t="shared" si="4469"/>
        <v>12Go Link</v>
      </c>
      <c r="E17304" s="2" t="s">
        <v>8296</v>
      </c>
    </row>
    <row r="17305">
      <c r="A17305" s="2" t="s">
        <v>8293</v>
      </c>
      <c r="B17305" s="2" t="s">
        <v>8418</v>
      </c>
      <c r="C17305" s="2" t="s">
        <v>8419</v>
      </c>
      <c r="D17305" s="3" t="str">
        <f t="shared" ref="D17305:D17307" si="4470">HYPERLINK("https://12go.asia/en/travel/Dalaman-Airport/Icmeler-Hotel-Transfer", "12Go Link")</f>
        <v>12Go Link</v>
      </c>
      <c r="E17305" s="2" t="s">
        <v>8295</v>
      </c>
    </row>
    <row r="17306">
      <c r="A17306" s="2" t="s">
        <v>8293</v>
      </c>
      <c r="B17306" s="2" t="s">
        <v>8418</v>
      </c>
      <c r="C17306" s="2" t="s">
        <v>8419</v>
      </c>
      <c r="D17306" s="3" t="str">
        <f t="shared" si="4470"/>
        <v>12Go Link</v>
      </c>
      <c r="E17306" s="2" t="s">
        <v>4137</v>
      </c>
    </row>
    <row r="17307">
      <c r="A17307" s="2" t="s">
        <v>8293</v>
      </c>
      <c r="B17307" s="2" t="s">
        <v>8418</v>
      </c>
      <c r="C17307" s="2" t="s">
        <v>8419</v>
      </c>
      <c r="D17307" s="3" t="str">
        <f t="shared" si="4470"/>
        <v>12Go Link</v>
      </c>
      <c r="E17307" s="2" t="s">
        <v>8296</v>
      </c>
    </row>
    <row r="17308">
      <c r="A17308" s="2" t="s">
        <v>8293</v>
      </c>
      <c r="B17308" s="2" t="s">
        <v>8420</v>
      </c>
      <c r="C17308" s="2" t="s">
        <v>8421</v>
      </c>
      <c r="D17308" s="3" t="str">
        <f t="shared" ref="D17308:D17310" si="4471">HYPERLINK("https://12go.asia/en/travel/Dalaman-Airport/Izmir-Hotel-Transfer", "12Go Link")</f>
        <v>12Go Link</v>
      </c>
      <c r="E17308" s="2" t="s">
        <v>8295</v>
      </c>
    </row>
    <row r="17309">
      <c r="A17309" s="2" t="s">
        <v>8293</v>
      </c>
      <c r="B17309" s="2" t="s">
        <v>8420</v>
      </c>
      <c r="C17309" s="2" t="s">
        <v>8421</v>
      </c>
      <c r="D17309" s="3" t="str">
        <f t="shared" si="4471"/>
        <v>12Go Link</v>
      </c>
      <c r="E17309" s="2" t="s">
        <v>4137</v>
      </c>
    </row>
    <row r="17310">
      <c r="A17310" s="2" t="s">
        <v>8293</v>
      </c>
      <c r="B17310" s="2" t="s">
        <v>8420</v>
      </c>
      <c r="C17310" s="2" t="s">
        <v>8421</v>
      </c>
      <c r="D17310" s="3" t="str">
        <f t="shared" si="4471"/>
        <v>12Go Link</v>
      </c>
      <c r="E17310" s="2" t="s">
        <v>8296</v>
      </c>
    </row>
    <row r="17311">
      <c r="A17311" s="2" t="s">
        <v>8293</v>
      </c>
      <c r="B17311" s="2" t="s">
        <v>8422</v>
      </c>
      <c r="C17311" s="2" t="s">
        <v>8423</v>
      </c>
      <c r="D17311" s="3" t="str">
        <f t="shared" ref="D17311:D17313" si="4472">HYPERLINK("https://12go.asia/en/travel/Dalaman-Airport/Kabak-Hotel-Transfer", "12Go Link")</f>
        <v>12Go Link</v>
      </c>
      <c r="E17311" s="2" t="s">
        <v>4138</v>
      </c>
    </row>
    <row r="17312">
      <c r="A17312" s="2" t="s">
        <v>8293</v>
      </c>
      <c r="B17312" s="2" t="s">
        <v>8422</v>
      </c>
      <c r="C17312" s="2" t="s">
        <v>8423</v>
      </c>
      <c r="D17312" s="3" t="str">
        <f t="shared" si="4472"/>
        <v>12Go Link</v>
      </c>
      <c r="E17312" s="2" t="s">
        <v>8363</v>
      </c>
    </row>
    <row r="17313">
      <c r="A17313" s="2" t="s">
        <v>8293</v>
      </c>
      <c r="B17313" s="2" t="s">
        <v>8422</v>
      </c>
      <c r="C17313" s="2" t="s">
        <v>8423</v>
      </c>
      <c r="D17313" s="3" t="str">
        <f t="shared" si="4472"/>
        <v>12Go Link</v>
      </c>
      <c r="E17313" s="2" t="s">
        <v>8364</v>
      </c>
    </row>
    <row r="17314">
      <c r="A17314" s="2" t="s">
        <v>8293</v>
      </c>
      <c r="B17314" s="2" t="s">
        <v>8424</v>
      </c>
      <c r="C17314" s="2" t="s">
        <v>8425</v>
      </c>
      <c r="D17314" s="3" t="str">
        <f t="shared" ref="D17314:D17319" si="4473">HYPERLINK("https://12go.asia/en/travel/Dalaman-Airport/Kalkan-Hotel-Transfer", "12Go Link")</f>
        <v>12Go Link</v>
      </c>
      <c r="E17314" s="2" t="s">
        <v>8295</v>
      </c>
    </row>
    <row r="17315">
      <c r="A17315" s="2" t="s">
        <v>8293</v>
      </c>
      <c r="B17315" s="2" t="s">
        <v>8424</v>
      </c>
      <c r="C17315" s="2" t="s">
        <v>8425</v>
      </c>
      <c r="D17315" s="3" t="str">
        <f t="shared" si="4473"/>
        <v>12Go Link</v>
      </c>
      <c r="E17315" s="2" t="s">
        <v>4137</v>
      </c>
    </row>
    <row r="17316">
      <c r="A17316" s="2" t="s">
        <v>8293</v>
      </c>
      <c r="B17316" s="2" t="s">
        <v>8424</v>
      </c>
      <c r="C17316" s="2" t="s">
        <v>8425</v>
      </c>
      <c r="D17316" s="3" t="str">
        <f t="shared" si="4473"/>
        <v>12Go Link</v>
      </c>
      <c r="E17316" s="2" t="s">
        <v>4138</v>
      </c>
    </row>
    <row r="17317">
      <c r="A17317" s="2" t="s">
        <v>8293</v>
      </c>
      <c r="B17317" s="2" t="s">
        <v>8424</v>
      </c>
      <c r="C17317" s="2" t="s">
        <v>8425</v>
      </c>
      <c r="D17317" s="3" t="str">
        <f t="shared" si="4473"/>
        <v>12Go Link</v>
      </c>
      <c r="E17317" s="2" t="s">
        <v>8363</v>
      </c>
    </row>
    <row r="17318">
      <c r="A17318" s="2" t="s">
        <v>8293</v>
      </c>
      <c r="B17318" s="2" t="s">
        <v>8424</v>
      </c>
      <c r="C17318" s="2" t="s">
        <v>8425</v>
      </c>
      <c r="D17318" s="3" t="str">
        <f t="shared" si="4473"/>
        <v>12Go Link</v>
      </c>
      <c r="E17318" s="2" t="s">
        <v>8364</v>
      </c>
    </row>
    <row r="17319">
      <c r="A17319" s="2" t="s">
        <v>8293</v>
      </c>
      <c r="B17319" s="2" t="s">
        <v>8424</v>
      </c>
      <c r="C17319" s="2" t="s">
        <v>8425</v>
      </c>
      <c r="D17319" s="3" t="str">
        <f t="shared" si="4473"/>
        <v>12Go Link</v>
      </c>
      <c r="E17319" s="2" t="s">
        <v>8296</v>
      </c>
    </row>
    <row r="17320">
      <c r="A17320" s="2" t="s">
        <v>8293</v>
      </c>
      <c r="B17320" s="2" t="s">
        <v>8426</v>
      </c>
      <c r="C17320" s="2" t="s">
        <v>8427</v>
      </c>
      <c r="D17320" s="3" t="str">
        <f t="shared" ref="D17320:D17322" si="4474">HYPERLINK("https://12go.asia/en/travel/Dalaman-Airport/Sarsala-Bay", "12Go Link")</f>
        <v>12Go Link</v>
      </c>
      <c r="E17320" s="2" t="s">
        <v>4138</v>
      </c>
    </row>
    <row r="17321">
      <c r="A17321" s="2" t="s">
        <v>8293</v>
      </c>
      <c r="B17321" s="2" t="s">
        <v>8426</v>
      </c>
      <c r="C17321" s="2" t="s">
        <v>8427</v>
      </c>
      <c r="D17321" s="3" t="str">
        <f t="shared" si="4474"/>
        <v>12Go Link</v>
      </c>
      <c r="E17321" s="2" t="s">
        <v>8363</v>
      </c>
    </row>
    <row r="17322">
      <c r="A17322" s="2" t="s">
        <v>8293</v>
      </c>
      <c r="B17322" s="2" t="s">
        <v>8426</v>
      </c>
      <c r="C17322" s="2" t="s">
        <v>8427</v>
      </c>
      <c r="D17322" s="3" t="str">
        <f t="shared" si="4474"/>
        <v>12Go Link</v>
      </c>
      <c r="E17322" s="2" t="s">
        <v>8364</v>
      </c>
    </row>
    <row r="17323">
      <c r="A17323" s="2" t="s">
        <v>8293</v>
      </c>
      <c r="B17323" s="2" t="s">
        <v>8428</v>
      </c>
      <c r="C17323" s="2" t="s">
        <v>8429</v>
      </c>
      <c r="D17323" s="3" t="str">
        <f t="shared" ref="D17323:D17328" si="4475">HYPERLINK("https://12go.asia/en/travel/Dalaman-Airport/Kas-Hotel-Transfer", "12Go Link")</f>
        <v>12Go Link</v>
      </c>
      <c r="E17323" s="2" t="s">
        <v>8295</v>
      </c>
    </row>
    <row r="17324">
      <c r="A17324" s="2" t="s">
        <v>8293</v>
      </c>
      <c r="B17324" s="2" t="s">
        <v>8428</v>
      </c>
      <c r="C17324" s="2" t="s">
        <v>8429</v>
      </c>
      <c r="D17324" s="3" t="str">
        <f t="shared" si="4475"/>
        <v>12Go Link</v>
      </c>
      <c r="E17324" s="2" t="s">
        <v>4137</v>
      </c>
    </row>
    <row r="17325">
      <c r="A17325" s="2" t="s">
        <v>8293</v>
      </c>
      <c r="B17325" s="2" t="s">
        <v>8428</v>
      </c>
      <c r="C17325" s="2" t="s">
        <v>8429</v>
      </c>
      <c r="D17325" s="3" t="str">
        <f t="shared" si="4475"/>
        <v>12Go Link</v>
      </c>
      <c r="E17325" s="2" t="s">
        <v>4138</v>
      </c>
    </row>
    <row r="17326">
      <c r="A17326" s="2" t="s">
        <v>8293</v>
      </c>
      <c r="B17326" s="2" t="s">
        <v>8428</v>
      </c>
      <c r="C17326" s="2" t="s">
        <v>8429</v>
      </c>
      <c r="D17326" s="3" t="str">
        <f t="shared" si="4475"/>
        <v>12Go Link</v>
      </c>
      <c r="E17326" s="2" t="s">
        <v>8363</v>
      </c>
    </row>
    <row r="17327">
      <c r="A17327" s="2" t="s">
        <v>8293</v>
      </c>
      <c r="B17327" s="2" t="s">
        <v>8428</v>
      </c>
      <c r="C17327" s="2" t="s">
        <v>8429</v>
      </c>
      <c r="D17327" s="3" t="str">
        <f t="shared" si="4475"/>
        <v>12Go Link</v>
      </c>
      <c r="E17327" s="2" t="s">
        <v>8364</v>
      </c>
    </row>
    <row r="17328">
      <c r="A17328" s="2" t="s">
        <v>8293</v>
      </c>
      <c r="B17328" s="2" t="s">
        <v>8428</v>
      </c>
      <c r="C17328" s="2" t="s">
        <v>8429</v>
      </c>
      <c r="D17328" s="3" t="str">
        <f t="shared" si="4475"/>
        <v>12Go Link</v>
      </c>
      <c r="E17328" s="2" t="s">
        <v>8296</v>
      </c>
    </row>
    <row r="17329">
      <c r="A17329" s="2" t="s">
        <v>8293</v>
      </c>
      <c r="B17329" s="2" t="s">
        <v>8430</v>
      </c>
      <c r="C17329" s="2" t="s">
        <v>8431</v>
      </c>
      <c r="D17329" s="3" t="str">
        <f t="shared" ref="D17329:D17334" si="4476">HYPERLINK("https://12go.asia/en/travel/Dalaman-Airport/Kayakoy-Hotel-Transfer", "12Go Link")</f>
        <v>12Go Link</v>
      </c>
      <c r="E17329" s="2" t="s">
        <v>8295</v>
      </c>
    </row>
    <row r="17330">
      <c r="A17330" s="2" t="s">
        <v>8293</v>
      </c>
      <c r="B17330" s="2" t="s">
        <v>8430</v>
      </c>
      <c r="C17330" s="2" t="s">
        <v>8431</v>
      </c>
      <c r="D17330" s="3" t="str">
        <f t="shared" si="4476"/>
        <v>12Go Link</v>
      </c>
      <c r="E17330" s="2" t="s">
        <v>4137</v>
      </c>
    </row>
    <row r="17331">
      <c r="A17331" s="2" t="s">
        <v>8293</v>
      </c>
      <c r="B17331" s="2" t="s">
        <v>8430</v>
      </c>
      <c r="C17331" s="2" t="s">
        <v>8431</v>
      </c>
      <c r="D17331" s="3" t="str">
        <f t="shared" si="4476"/>
        <v>12Go Link</v>
      </c>
      <c r="E17331" s="2" t="s">
        <v>4138</v>
      </c>
    </row>
    <row r="17332">
      <c r="A17332" s="2" t="s">
        <v>8293</v>
      </c>
      <c r="B17332" s="2" t="s">
        <v>8430</v>
      </c>
      <c r="C17332" s="2" t="s">
        <v>8431</v>
      </c>
      <c r="D17332" s="3" t="str">
        <f t="shared" si="4476"/>
        <v>12Go Link</v>
      </c>
      <c r="E17332" s="2" t="s">
        <v>8363</v>
      </c>
    </row>
    <row r="17333">
      <c r="A17333" s="2" t="s">
        <v>8293</v>
      </c>
      <c r="B17333" s="2" t="s">
        <v>8430</v>
      </c>
      <c r="C17333" s="2" t="s">
        <v>8431</v>
      </c>
      <c r="D17333" s="3" t="str">
        <f t="shared" si="4476"/>
        <v>12Go Link</v>
      </c>
      <c r="E17333" s="2" t="s">
        <v>8364</v>
      </c>
    </row>
    <row r="17334">
      <c r="A17334" s="2" t="s">
        <v>8293</v>
      </c>
      <c r="B17334" s="2" t="s">
        <v>8430</v>
      </c>
      <c r="C17334" s="2" t="s">
        <v>8431</v>
      </c>
      <c r="D17334" s="3" t="str">
        <f t="shared" si="4476"/>
        <v>12Go Link</v>
      </c>
      <c r="E17334" s="2" t="s">
        <v>8296</v>
      </c>
    </row>
    <row r="17335">
      <c r="A17335" s="2" t="s">
        <v>8293</v>
      </c>
      <c r="B17335" s="2" t="s">
        <v>8432</v>
      </c>
      <c r="C17335" s="2" t="s">
        <v>8433</v>
      </c>
      <c r="D17335" s="3" t="str">
        <f t="shared" ref="D17335:D17337" si="4477">HYPERLINK("https://12go.asia/en/travel/Dalaman-Airport/Koycegiz-Hotel-Transfer", "12Go Link")</f>
        <v>12Go Link</v>
      </c>
      <c r="E17335" s="2" t="s">
        <v>8295</v>
      </c>
    </row>
    <row r="17336">
      <c r="A17336" s="2" t="s">
        <v>8293</v>
      </c>
      <c r="B17336" s="2" t="s">
        <v>8432</v>
      </c>
      <c r="C17336" s="2" t="s">
        <v>8433</v>
      </c>
      <c r="D17336" s="3" t="str">
        <f t="shared" si="4477"/>
        <v>12Go Link</v>
      </c>
      <c r="E17336" s="2" t="s">
        <v>4137</v>
      </c>
    </row>
    <row r="17337">
      <c r="A17337" s="2" t="s">
        <v>8293</v>
      </c>
      <c r="B17337" s="2" t="s">
        <v>8432</v>
      </c>
      <c r="C17337" s="2" t="s">
        <v>8433</v>
      </c>
      <c r="D17337" s="3" t="str">
        <f t="shared" si="4477"/>
        <v>12Go Link</v>
      </c>
      <c r="E17337" s="2" t="s">
        <v>8296</v>
      </c>
    </row>
    <row r="17338">
      <c r="A17338" s="2" t="s">
        <v>8293</v>
      </c>
      <c r="B17338" s="2" t="s">
        <v>8434</v>
      </c>
      <c r="C17338" s="2" t="s">
        <v>8435</v>
      </c>
      <c r="D17338" s="3" t="str">
        <f t="shared" ref="D17338:D17340" si="4478">HYPERLINK("https://12go.asia/en/travel/Dalaman-Airport/Kusadasi-Hotel-Transfer", "12Go Link")</f>
        <v>12Go Link</v>
      </c>
      <c r="E17338" s="2" t="s">
        <v>8295</v>
      </c>
    </row>
    <row r="17339">
      <c r="A17339" s="2" t="s">
        <v>8293</v>
      </c>
      <c r="B17339" s="2" t="s">
        <v>8434</v>
      </c>
      <c r="C17339" s="2" t="s">
        <v>8435</v>
      </c>
      <c r="D17339" s="3" t="str">
        <f t="shared" si="4478"/>
        <v>12Go Link</v>
      </c>
      <c r="E17339" s="2" t="s">
        <v>4137</v>
      </c>
    </row>
    <row r="17340">
      <c r="A17340" s="2" t="s">
        <v>8293</v>
      </c>
      <c r="B17340" s="2" t="s">
        <v>8434</v>
      </c>
      <c r="C17340" s="2" t="s">
        <v>8435</v>
      </c>
      <c r="D17340" s="3" t="str">
        <f t="shared" si="4478"/>
        <v>12Go Link</v>
      </c>
      <c r="E17340" s="2" t="s">
        <v>8296</v>
      </c>
    </row>
    <row r="17341">
      <c r="A17341" s="2" t="s">
        <v>8293</v>
      </c>
      <c r="B17341" s="2" t="s">
        <v>8436</v>
      </c>
      <c r="C17341" s="2" t="s">
        <v>8437</v>
      </c>
      <c r="D17341" s="3" t="str">
        <f t="shared" ref="D17341:D17343" si="4479">HYPERLINK("https://12go.asia/en/travel/Dalaman-Airport/Marmaris-Hotel-Transfer", "12Go Link")</f>
        <v>12Go Link</v>
      </c>
      <c r="E17341" s="2" t="s">
        <v>8295</v>
      </c>
    </row>
    <row r="17342">
      <c r="A17342" s="2" t="s">
        <v>8293</v>
      </c>
      <c r="B17342" s="2" t="s">
        <v>8436</v>
      </c>
      <c r="C17342" s="2" t="s">
        <v>8437</v>
      </c>
      <c r="D17342" s="3" t="str">
        <f t="shared" si="4479"/>
        <v>12Go Link</v>
      </c>
      <c r="E17342" s="2" t="s">
        <v>4137</v>
      </c>
    </row>
    <row r="17343">
      <c r="A17343" s="2" t="s">
        <v>8293</v>
      </c>
      <c r="B17343" s="2" t="s">
        <v>8436</v>
      </c>
      <c r="C17343" s="2" t="s">
        <v>8437</v>
      </c>
      <c r="D17343" s="3" t="str">
        <f t="shared" si="4479"/>
        <v>12Go Link</v>
      </c>
      <c r="E17343" s="2" t="s">
        <v>8296</v>
      </c>
    </row>
    <row r="17344">
      <c r="A17344" s="2" t="s">
        <v>8293</v>
      </c>
      <c r="B17344" s="2" t="s">
        <v>8438</v>
      </c>
      <c r="C17344" s="2" t="s">
        <v>8439</v>
      </c>
      <c r="D17344" s="3" t="str">
        <f t="shared" ref="D17344:D17346" si="4480">HYPERLINK("https://12go.asia/en/travel/Dalaman-Airport/Fethiye-Hisaronu-Hotel-Transfer", "12Go Link")</f>
        <v>12Go Link</v>
      </c>
      <c r="E17344" s="2" t="s">
        <v>4138</v>
      </c>
    </row>
    <row r="17345">
      <c r="A17345" s="2" t="s">
        <v>8293</v>
      </c>
      <c r="B17345" s="2" t="s">
        <v>8438</v>
      </c>
      <c r="C17345" s="2" t="s">
        <v>8439</v>
      </c>
      <c r="D17345" s="3" t="str">
        <f t="shared" si="4480"/>
        <v>12Go Link</v>
      </c>
      <c r="E17345" s="2" t="s">
        <v>8363</v>
      </c>
    </row>
    <row r="17346">
      <c r="A17346" s="2" t="s">
        <v>8293</v>
      </c>
      <c r="B17346" s="2" t="s">
        <v>8438</v>
      </c>
      <c r="C17346" s="2" t="s">
        <v>8439</v>
      </c>
      <c r="D17346" s="3" t="str">
        <f t="shared" si="4480"/>
        <v>12Go Link</v>
      </c>
      <c r="E17346" s="2" t="s">
        <v>8364</v>
      </c>
    </row>
    <row r="17347">
      <c r="A17347" s="2" t="s">
        <v>8293</v>
      </c>
      <c r="B17347" s="2" t="s">
        <v>8438</v>
      </c>
      <c r="C17347" s="2" t="s">
        <v>8440</v>
      </c>
      <c r="D17347" s="3" t="str">
        <f>HYPERLINK("https://12go.asia/en/travel/Dalaman-Airport/Hisaronu-Hotel-Transfer", "12Go Link")</f>
        <v>12Go Link</v>
      </c>
      <c r="E17347" s="2" t="s">
        <v>4190</v>
      </c>
    </row>
    <row r="17348">
      <c r="A17348" s="2" t="s">
        <v>8293</v>
      </c>
      <c r="B17348" s="2" t="s">
        <v>8438</v>
      </c>
      <c r="C17348" s="2" t="s">
        <v>8441</v>
      </c>
      <c r="D17348" s="3" t="str">
        <f t="shared" ref="D17348:D17353" si="4481">HYPERLINK("https://12go.asia/en/travel/Dalaman-Airport/Oludeniz-Hotel-Transfer", "12Go Link")</f>
        <v>12Go Link</v>
      </c>
      <c r="E17348" s="2" t="s">
        <v>8295</v>
      </c>
    </row>
    <row r="17349">
      <c r="A17349" s="2" t="s">
        <v>8293</v>
      </c>
      <c r="B17349" s="2" t="s">
        <v>8438</v>
      </c>
      <c r="C17349" s="2" t="s">
        <v>8441</v>
      </c>
      <c r="D17349" s="3" t="str">
        <f t="shared" si="4481"/>
        <v>12Go Link</v>
      </c>
      <c r="E17349" s="2" t="s">
        <v>4137</v>
      </c>
    </row>
    <row r="17350">
      <c r="A17350" s="2" t="s">
        <v>8293</v>
      </c>
      <c r="B17350" s="2" t="s">
        <v>8438</v>
      </c>
      <c r="C17350" s="2" t="s">
        <v>8441</v>
      </c>
      <c r="D17350" s="3" t="str">
        <f t="shared" si="4481"/>
        <v>12Go Link</v>
      </c>
      <c r="E17350" s="2" t="s">
        <v>4138</v>
      </c>
    </row>
    <row r="17351">
      <c r="A17351" s="2" t="s">
        <v>8293</v>
      </c>
      <c r="B17351" s="2" t="s">
        <v>8438</v>
      </c>
      <c r="C17351" s="2" t="s">
        <v>8441</v>
      </c>
      <c r="D17351" s="3" t="str">
        <f t="shared" si="4481"/>
        <v>12Go Link</v>
      </c>
      <c r="E17351" s="2" t="s">
        <v>8363</v>
      </c>
    </row>
    <row r="17352">
      <c r="A17352" s="2" t="s">
        <v>8293</v>
      </c>
      <c r="B17352" s="2" t="s">
        <v>8438</v>
      </c>
      <c r="C17352" s="2" t="s">
        <v>8441</v>
      </c>
      <c r="D17352" s="3" t="str">
        <f t="shared" si="4481"/>
        <v>12Go Link</v>
      </c>
      <c r="E17352" s="2" t="s">
        <v>8364</v>
      </c>
    </row>
    <row r="17353">
      <c r="A17353" s="2" t="s">
        <v>8293</v>
      </c>
      <c r="B17353" s="2" t="s">
        <v>8438</v>
      </c>
      <c r="C17353" s="2" t="s">
        <v>8441</v>
      </c>
      <c r="D17353" s="3" t="str">
        <f t="shared" si="4481"/>
        <v>12Go Link</v>
      </c>
      <c r="E17353" s="2" t="s">
        <v>8296</v>
      </c>
    </row>
    <row r="17354">
      <c r="A17354" s="2" t="s">
        <v>8293</v>
      </c>
      <c r="B17354" s="2" t="s">
        <v>8438</v>
      </c>
      <c r="C17354" s="2" t="s">
        <v>8442</v>
      </c>
      <c r="D17354" s="3" t="str">
        <f>HYPERLINK("https://12go.asia/en/travel/Dalaman-Airport/Oludeniz-Transfer", "12Go Link")</f>
        <v>12Go Link</v>
      </c>
      <c r="E17354" s="2" t="s">
        <v>4190</v>
      </c>
    </row>
    <row r="17355">
      <c r="A17355" s="2" t="s">
        <v>8293</v>
      </c>
      <c r="B17355" s="2" t="s">
        <v>8438</v>
      </c>
      <c r="C17355" s="2" t="s">
        <v>8443</v>
      </c>
      <c r="D17355" s="3" t="str">
        <f t="shared" ref="D17355:D17361" si="4482">HYPERLINK("https://12go.asia/en/travel/Dalaman-Airport/Ovacik-Hotel-Transfer", "12Go Link")</f>
        <v>12Go Link</v>
      </c>
      <c r="E17355" s="2" t="s">
        <v>8295</v>
      </c>
    </row>
    <row r="17356">
      <c r="A17356" s="2" t="s">
        <v>8293</v>
      </c>
      <c r="B17356" s="2" t="s">
        <v>8438</v>
      </c>
      <c r="C17356" s="2" t="s">
        <v>8443</v>
      </c>
      <c r="D17356" s="3" t="str">
        <f t="shared" si="4482"/>
        <v>12Go Link</v>
      </c>
      <c r="E17356" s="2" t="s">
        <v>4137</v>
      </c>
    </row>
    <row r="17357">
      <c r="A17357" s="2" t="s">
        <v>8293</v>
      </c>
      <c r="B17357" s="2" t="s">
        <v>8438</v>
      </c>
      <c r="C17357" s="2" t="s">
        <v>8443</v>
      </c>
      <c r="D17357" s="3" t="str">
        <f t="shared" si="4482"/>
        <v>12Go Link</v>
      </c>
      <c r="E17357" s="2" t="s">
        <v>4138</v>
      </c>
    </row>
    <row r="17358">
      <c r="A17358" s="2" t="s">
        <v>8293</v>
      </c>
      <c r="B17358" s="2" t="s">
        <v>8438</v>
      </c>
      <c r="C17358" s="2" t="s">
        <v>8443</v>
      </c>
      <c r="D17358" s="3" t="str">
        <f t="shared" si="4482"/>
        <v>12Go Link</v>
      </c>
      <c r="E17358" s="2" t="s">
        <v>8363</v>
      </c>
    </row>
    <row r="17359">
      <c r="A17359" s="2" t="s">
        <v>8293</v>
      </c>
      <c r="B17359" s="2" t="s">
        <v>8438</v>
      </c>
      <c r="C17359" s="2" t="s">
        <v>8443</v>
      </c>
      <c r="D17359" s="3" t="str">
        <f t="shared" si="4482"/>
        <v>12Go Link</v>
      </c>
      <c r="E17359" s="2" t="s">
        <v>8364</v>
      </c>
    </row>
    <row r="17360">
      <c r="A17360" s="2" t="s">
        <v>8293</v>
      </c>
      <c r="B17360" s="2" t="s">
        <v>8438</v>
      </c>
      <c r="C17360" s="2" t="s">
        <v>8443</v>
      </c>
      <c r="D17360" s="3" t="str">
        <f t="shared" si="4482"/>
        <v>12Go Link</v>
      </c>
      <c r="E17360" s="2" t="s">
        <v>8296</v>
      </c>
    </row>
    <row r="17361">
      <c r="A17361" s="2" t="s">
        <v>8293</v>
      </c>
      <c r="B17361" s="2" t="s">
        <v>8438</v>
      </c>
      <c r="C17361" s="2" t="s">
        <v>8443</v>
      </c>
      <c r="D17361" s="3" t="str">
        <f t="shared" si="4482"/>
        <v>12Go Link</v>
      </c>
      <c r="E17361" s="2" t="s">
        <v>4190</v>
      </c>
    </row>
    <row r="17362">
      <c r="A17362" s="2" t="s">
        <v>8293</v>
      </c>
      <c r="B17362" s="2" t="s">
        <v>8444</v>
      </c>
      <c r="C17362" s="2" t="s">
        <v>8445</v>
      </c>
      <c r="D17362" s="3" t="str">
        <f t="shared" ref="D17362:D17364" si="4483">HYPERLINK("https://12go.asia/en/travel/Dalaman-Airport/Orhaniye-Hotel-Transfer", "12Go Link")</f>
        <v>12Go Link</v>
      </c>
      <c r="E17362" s="2" t="s">
        <v>8295</v>
      </c>
    </row>
    <row r="17363">
      <c r="A17363" s="2" t="s">
        <v>8293</v>
      </c>
      <c r="B17363" s="2" t="s">
        <v>8444</v>
      </c>
      <c r="C17363" s="2" t="s">
        <v>8445</v>
      </c>
      <c r="D17363" s="3" t="str">
        <f t="shared" si="4483"/>
        <v>12Go Link</v>
      </c>
      <c r="E17363" s="2" t="s">
        <v>4137</v>
      </c>
    </row>
    <row r="17364">
      <c r="A17364" s="2" t="s">
        <v>8293</v>
      </c>
      <c r="B17364" s="2" t="s">
        <v>8444</v>
      </c>
      <c r="C17364" s="2" t="s">
        <v>8445</v>
      </c>
      <c r="D17364" s="3" t="str">
        <f t="shared" si="4483"/>
        <v>12Go Link</v>
      </c>
      <c r="E17364" s="2" t="s">
        <v>8296</v>
      </c>
    </row>
    <row r="17365">
      <c r="A17365" s="2" t="s">
        <v>8293</v>
      </c>
      <c r="B17365" s="2" t="s">
        <v>8446</v>
      </c>
      <c r="C17365" s="2" t="s">
        <v>8447</v>
      </c>
      <c r="D17365" s="3" t="str">
        <f>HYPERLINK("https://12go.asia/en/travel/Dalaman-Airport/Ortaca-Hotel-Transfer", "12Go Link")</f>
        <v>12Go Link</v>
      </c>
      <c r="E17365" s="2" t="s">
        <v>4137</v>
      </c>
    </row>
    <row r="17366">
      <c r="A17366" s="2" t="s">
        <v>8293</v>
      </c>
      <c r="B17366" s="2" t="s">
        <v>8448</v>
      </c>
      <c r="C17366" s="2" t="s">
        <v>8449</v>
      </c>
      <c r="D17366" s="3" t="str">
        <f t="shared" ref="D17366:D17371" si="4484">HYPERLINK("https://12go.asia/en/travel/Dalaman-Airport/Sarigerme-Hotel-Transfer", "12Go Link")</f>
        <v>12Go Link</v>
      </c>
      <c r="E17366" s="2" t="s">
        <v>8295</v>
      </c>
    </row>
    <row r="17367">
      <c r="A17367" s="2" t="s">
        <v>8293</v>
      </c>
      <c r="B17367" s="2" t="s">
        <v>8448</v>
      </c>
      <c r="C17367" s="2" t="s">
        <v>8449</v>
      </c>
      <c r="D17367" s="3" t="str">
        <f t="shared" si="4484"/>
        <v>12Go Link</v>
      </c>
      <c r="E17367" s="2" t="s">
        <v>4137</v>
      </c>
    </row>
    <row r="17368">
      <c r="A17368" s="2" t="s">
        <v>8293</v>
      </c>
      <c r="B17368" s="2" t="s">
        <v>8448</v>
      </c>
      <c r="C17368" s="2" t="s">
        <v>8449</v>
      </c>
      <c r="D17368" s="3" t="str">
        <f t="shared" si="4484"/>
        <v>12Go Link</v>
      </c>
      <c r="E17368" s="2" t="s">
        <v>4138</v>
      </c>
    </row>
    <row r="17369">
      <c r="A17369" s="2" t="s">
        <v>8293</v>
      </c>
      <c r="B17369" s="2" t="s">
        <v>8448</v>
      </c>
      <c r="C17369" s="2" t="s">
        <v>8449</v>
      </c>
      <c r="D17369" s="3" t="str">
        <f t="shared" si="4484"/>
        <v>12Go Link</v>
      </c>
      <c r="E17369" s="2" t="s">
        <v>8363</v>
      </c>
    </row>
    <row r="17370">
      <c r="A17370" s="2" t="s">
        <v>8293</v>
      </c>
      <c r="B17370" s="2" t="s">
        <v>8448</v>
      </c>
      <c r="C17370" s="2" t="s">
        <v>8449</v>
      </c>
      <c r="D17370" s="3" t="str">
        <f t="shared" si="4484"/>
        <v>12Go Link</v>
      </c>
      <c r="E17370" s="2" t="s">
        <v>8364</v>
      </c>
    </row>
    <row r="17371">
      <c r="A17371" s="2" t="s">
        <v>8293</v>
      </c>
      <c r="B17371" s="2" t="s">
        <v>8448</v>
      </c>
      <c r="C17371" s="2" t="s">
        <v>8449</v>
      </c>
      <c r="D17371" s="3" t="str">
        <f t="shared" si="4484"/>
        <v>12Go Link</v>
      </c>
      <c r="E17371" s="2" t="s">
        <v>8296</v>
      </c>
    </row>
    <row r="17372">
      <c r="A17372" s="2" t="s">
        <v>8293</v>
      </c>
      <c r="B17372" s="2" t="s">
        <v>8450</v>
      </c>
      <c r="C17372" s="2" t="s">
        <v>8451</v>
      </c>
      <c r="D17372" s="3" t="str">
        <f t="shared" ref="D17372:D17374" si="4485">HYPERLINK("https://12go.asia/en/travel/Dalaman-Airport/Selimiye-Hotel-Transfer", "12Go Link")</f>
        <v>12Go Link</v>
      </c>
      <c r="E17372" s="2" t="s">
        <v>8295</v>
      </c>
    </row>
    <row r="17373">
      <c r="A17373" s="2" t="s">
        <v>8293</v>
      </c>
      <c r="B17373" s="2" t="s">
        <v>8450</v>
      </c>
      <c r="C17373" s="2" t="s">
        <v>8451</v>
      </c>
      <c r="D17373" s="3" t="str">
        <f t="shared" si="4485"/>
        <v>12Go Link</v>
      </c>
      <c r="E17373" s="2" t="s">
        <v>4137</v>
      </c>
    </row>
    <row r="17374">
      <c r="A17374" s="2" t="s">
        <v>8293</v>
      </c>
      <c r="B17374" s="2" t="s">
        <v>8450</v>
      </c>
      <c r="C17374" s="2" t="s">
        <v>8451</v>
      </c>
      <c r="D17374" s="3" t="str">
        <f t="shared" si="4485"/>
        <v>12Go Link</v>
      </c>
      <c r="E17374" s="2" t="s">
        <v>8296</v>
      </c>
    </row>
    <row r="17375">
      <c r="A17375" s="2" t="s">
        <v>8293</v>
      </c>
      <c r="B17375" s="2" t="s">
        <v>8452</v>
      </c>
      <c r="C17375" s="2" t="s">
        <v>8453</v>
      </c>
      <c r="D17375" s="3" t="str">
        <f>HYPERLINK("https://12go.asia/en/travel/Dalaman-Airport/Sogut-Hotel-Transfer", "12Go Link")</f>
        <v>12Go Link</v>
      </c>
      <c r="E17375" s="2" t="s">
        <v>4137</v>
      </c>
    </row>
    <row r="17376">
      <c r="A17376" s="2" t="s">
        <v>8293</v>
      </c>
      <c r="B17376" s="2" t="s">
        <v>8454</v>
      </c>
      <c r="C17376" s="2" t="s">
        <v>8455</v>
      </c>
      <c r="D17376" s="3" t="str">
        <f t="shared" ref="D17376:D17378" si="4486">HYPERLINK("https://12go.asia/en/travel/Dalaman-Airport/Turgutkoy-Hotel-Transfer", "12Go Link")</f>
        <v>12Go Link</v>
      </c>
      <c r="E17376" s="2" t="s">
        <v>8295</v>
      </c>
    </row>
    <row r="17377">
      <c r="A17377" s="2" t="s">
        <v>8293</v>
      </c>
      <c r="B17377" s="2" t="s">
        <v>8454</v>
      </c>
      <c r="C17377" s="2" t="s">
        <v>8455</v>
      </c>
      <c r="D17377" s="3" t="str">
        <f t="shared" si="4486"/>
        <v>12Go Link</v>
      </c>
      <c r="E17377" s="2" t="s">
        <v>4137</v>
      </c>
    </row>
    <row r="17378">
      <c r="A17378" s="2" t="s">
        <v>8293</v>
      </c>
      <c r="B17378" s="2" t="s">
        <v>8454</v>
      </c>
      <c r="C17378" s="2" t="s">
        <v>8455</v>
      </c>
      <c r="D17378" s="3" t="str">
        <f t="shared" si="4486"/>
        <v>12Go Link</v>
      </c>
      <c r="E17378" s="2" t="s">
        <v>8296</v>
      </c>
    </row>
    <row r="17379">
      <c r="A17379" s="2" t="s">
        <v>8293</v>
      </c>
      <c r="B17379" s="2" t="s">
        <v>8456</v>
      </c>
      <c r="C17379" s="2" t="s">
        <v>8457</v>
      </c>
      <c r="D17379" s="3" t="str">
        <f t="shared" ref="D17379:D17381" si="4487">HYPERLINK("https://12go.asia/en/travel/Dalaman-Airport/Turunc-Hotel-Transfer", "12Go Link")</f>
        <v>12Go Link</v>
      </c>
      <c r="E17379" s="2" t="s">
        <v>8295</v>
      </c>
    </row>
    <row r="17380">
      <c r="A17380" s="2" t="s">
        <v>8293</v>
      </c>
      <c r="B17380" s="2" t="s">
        <v>8456</v>
      </c>
      <c r="C17380" s="2" t="s">
        <v>8457</v>
      </c>
      <c r="D17380" s="3" t="str">
        <f t="shared" si="4487"/>
        <v>12Go Link</v>
      </c>
      <c r="E17380" s="2" t="s">
        <v>4137</v>
      </c>
    </row>
    <row r="17381">
      <c r="A17381" s="2" t="s">
        <v>8293</v>
      </c>
      <c r="B17381" s="2" t="s">
        <v>8456</v>
      </c>
      <c r="C17381" s="2" t="s">
        <v>8457</v>
      </c>
      <c r="D17381" s="3" t="str">
        <f t="shared" si="4487"/>
        <v>12Go Link</v>
      </c>
      <c r="E17381" s="2" t="s">
        <v>8296</v>
      </c>
    </row>
    <row r="17382">
      <c r="A17382" s="2" t="s">
        <v>8293</v>
      </c>
      <c r="B17382" s="2" t="s">
        <v>8458</v>
      </c>
      <c r="C17382" s="2" t="s">
        <v>8459</v>
      </c>
      <c r="D17382" s="3" t="str">
        <f t="shared" ref="D17382:D17384" si="4488">HYPERLINK("https://12go.asia/en/travel/Dalaman-Airport/Yesiluzumlu-Hotel-Transfer", "12Go Link")</f>
        <v>12Go Link</v>
      </c>
      <c r="E17382" s="2" t="s">
        <v>4138</v>
      </c>
    </row>
    <row r="17383">
      <c r="A17383" s="2" t="s">
        <v>8293</v>
      </c>
      <c r="B17383" s="2" t="s">
        <v>8458</v>
      </c>
      <c r="C17383" s="2" t="s">
        <v>8459</v>
      </c>
      <c r="D17383" s="3" t="str">
        <f t="shared" si="4488"/>
        <v>12Go Link</v>
      </c>
      <c r="E17383" s="2" t="s">
        <v>8363</v>
      </c>
    </row>
    <row r="17384">
      <c r="A17384" s="2" t="s">
        <v>8293</v>
      </c>
      <c r="B17384" s="2" t="s">
        <v>8458</v>
      </c>
      <c r="C17384" s="2" t="s">
        <v>8459</v>
      </c>
      <c r="D17384" s="3" t="str">
        <f t="shared" si="4488"/>
        <v>12Go Link</v>
      </c>
      <c r="E17384" s="2" t="s">
        <v>8364</v>
      </c>
    </row>
    <row r="17385">
      <c r="A17385" s="2" t="s">
        <v>8293</v>
      </c>
      <c r="B17385" s="2" t="s">
        <v>8460</v>
      </c>
      <c r="C17385" s="2" t="s">
        <v>8461</v>
      </c>
      <c r="D17385" s="3" t="str">
        <f t="shared" ref="D17385:D17390" si="4489">HYPERLINK("https://12go.asia/en/travel/Dalaman-Airport/Uzunyurt-Hotel-Transfer", "12Go Link")</f>
        <v>12Go Link</v>
      </c>
      <c r="E17385" s="2" t="s">
        <v>8295</v>
      </c>
    </row>
    <row r="17386">
      <c r="A17386" s="2" t="s">
        <v>8293</v>
      </c>
      <c r="B17386" s="2" t="s">
        <v>8460</v>
      </c>
      <c r="C17386" s="2" t="s">
        <v>8461</v>
      </c>
      <c r="D17386" s="3" t="str">
        <f t="shared" si="4489"/>
        <v>12Go Link</v>
      </c>
      <c r="E17386" s="2" t="s">
        <v>4137</v>
      </c>
    </row>
    <row r="17387">
      <c r="A17387" s="2" t="s">
        <v>8293</v>
      </c>
      <c r="B17387" s="2" t="s">
        <v>8460</v>
      </c>
      <c r="C17387" s="2" t="s">
        <v>8461</v>
      </c>
      <c r="D17387" s="3" t="str">
        <f t="shared" si="4489"/>
        <v>12Go Link</v>
      </c>
      <c r="E17387" s="2" t="s">
        <v>4138</v>
      </c>
    </row>
    <row r="17388">
      <c r="A17388" s="2" t="s">
        <v>8293</v>
      </c>
      <c r="B17388" s="2" t="s">
        <v>8460</v>
      </c>
      <c r="C17388" s="2" t="s">
        <v>8461</v>
      </c>
      <c r="D17388" s="3" t="str">
        <f t="shared" si="4489"/>
        <v>12Go Link</v>
      </c>
      <c r="E17388" s="2" t="s">
        <v>8363</v>
      </c>
    </row>
    <row r="17389">
      <c r="A17389" s="2" t="s">
        <v>8293</v>
      </c>
      <c r="B17389" s="2" t="s">
        <v>8460</v>
      </c>
      <c r="C17389" s="2" t="s">
        <v>8461</v>
      </c>
      <c r="D17389" s="3" t="str">
        <f t="shared" si="4489"/>
        <v>12Go Link</v>
      </c>
      <c r="E17389" s="2" t="s">
        <v>8364</v>
      </c>
    </row>
    <row r="17390">
      <c r="A17390" s="2" t="s">
        <v>8293</v>
      </c>
      <c r="B17390" s="2" t="s">
        <v>8460</v>
      </c>
      <c r="C17390" s="2" t="s">
        <v>8461</v>
      </c>
      <c r="D17390" s="3" t="str">
        <f t="shared" si="4489"/>
        <v>12Go Link</v>
      </c>
      <c r="E17390" s="2" t="s">
        <v>8296</v>
      </c>
    </row>
    <row r="17391">
      <c r="A17391" s="2" t="s">
        <v>8293</v>
      </c>
      <c r="B17391" s="2" t="s">
        <v>8462</v>
      </c>
      <c r="C17391" s="2" t="s">
        <v>8463</v>
      </c>
      <c r="D17391" s="3" t="str">
        <f t="shared" ref="D17391:D17396" si="4490">HYPERLINK("https://12go.asia/en/travel/Dalaman-Airport/Yaniklar-Hotel-Transfer", "12Go Link")</f>
        <v>12Go Link</v>
      </c>
      <c r="E17391" s="2" t="s">
        <v>8295</v>
      </c>
    </row>
    <row r="17392">
      <c r="A17392" s="2" t="s">
        <v>8293</v>
      </c>
      <c r="B17392" s="2" t="s">
        <v>8462</v>
      </c>
      <c r="C17392" s="2" t="s">
        <v>8463</v>
      </c>
      <c r="D17392" s="3" t="str">
        <f t="shared" si="4490"/>
        <v>12Go Link</v>
      </c>
      <c r="E17392" s="2" t="s">
        <v>4137</v>
      </c>
    </row>
    <row r="17393">
      <c r="A17393" s="2" t="s">
        <v>8293</v>
      </c>
      <c r="B17393" s="2" t="s">
        <v>8462</v>
      </c>
      <c r="C17393" s="2" t="s">
        <v>8463</v>
      </c>
      <c r="D17393" s="3" t="str">
        <f t="shared" si="4490"/>
        <v>12Go Link</v>
      </c>
      <c r="E17393" s="2" t="s">
        <v>4138</v>
      </c>
    </row>
    <row r="17394">
      <c r="A17394" s="2" t="s">
        <v>8293</v>
      </c>
      <c r="B17394" s="2" t="s">
        <v>8462</v>
      </c>
      <c r="C17394" s="2" t="s">
        <v>8463</v>
      </c>
      <c r="D17394" s="3" t="str">
        <f t="shared" si="4490"/>
        <v>12Go Link</v>
      </c>
      <c r="E17394" s="2" t="s">
        <v>8363</v>
      </c>
    </row>
    <row r="17395">
      <c r="A17395" s="2" t="s">
        <v>8293</v>
      </c>
      <c r="B17395" s="2" t="s">
        <v>8462</v>
      </c>
      <c r="C17395" s="2" t="s">
        <v>8463</v>
      </c>
      <c r="D17395" s="3" t="str">
        <f t="shared" si="4490"/>
        <v>12Go Link</v>
      </c>
      <c r="E17395" s="2" t="s">
        <v>8364</v>
      </c>
    </row>
    <row r="17396">
      <c r="A17396" s="2" t="s">
        <v>8293</v>
      </c>
      <c r="B17396" s="2" t="s">
        <v>8462</v>
      </c>
      <c r="C17396" s="2" t="s">
        <v>8463</v>
      </c>
      <c r="D17396" s="3" t="str">
        <f t="shared" si="4490"/>
        <v>12Go Link</v>
      </c>
      <c r="E17396" s="2" t="s">
        <v>8296</v>
      </c>
    </row>
    <row r="17397">
      <c r="A17397" s="2" t="s">
        <v>8293</v>
      </c>
      <c r="B17397" s="2" t="s">
        <v>8462</v>
      </c>
      <c r="C17397" s="2" t="s">
        <v>8464</v>
      </c>
      <c r="D17397" s="3" t="str">
        <f>HYPERLINK("https://12go.asia/en/travel/Dalaman-Airport/Yaniklar-Transfer", "12Go Link")</f>
        <v>12Go Link</v>
      </c>
      <c r="E17397" s="2" t="s">
        <v>4190</v>
      </c>
    </row>
    <row r="17398">
      <c r="A17398" s="2" t="s">
        <v>8400</v>
      </c>
      <c r="B17398" s="2" t="s">
        <v>8293</v>
      </c>
      <c r="C17398" s="2" t="s">
        <v>8465</v>
      </c>
      <c r="D17398" s="3" t="str">
        <f t="shared" ref="D17398:D17403" si="4491">HYPERLINK("https://12go.asia/en/travel/Dalyan-Hotel-Transfer/Dalaman-Airport", "12Go Link")</f>
        <v>12Go Link</v>
      </c>
      <c r="E17398" s="2" t="s">
        <v>8295</v>
      </c>
    </row>
    <row r="17399">
      <c r="A17399" s="2" t="s">
        <v>8400</v>
      </c>
      <c r="B17399" s="2" t="s">
        <v>8293</v>
      </c>
      <c r="C17399" s="2" t="s">
        <v>8465</v>
      </c>
      <c r="D17399" s="3" t="str">
        <f t="shared" si="4491"/>
        <v>12Go Link</v>
      </c>
      <c r="E17399" s="2" t="s">
        <v>4137</v>
      </c>
    </row>
    <row r="17400">
      <c r="A17400" s="2" t="s">
        <v>8400</v>
      </c>
      <c r="B17400" s="2" t="s">
        <v>8293</v>
      </c>
      <c r="C17400" s="2" t="s">
        <v>8465</v>
      </c>
      <c r="D17400" s="3" t="str">
        <f t="shared" si="4491"/>
        <v>12Go Link</v>
      </c>
      <c r="E17400" s="2" t="s">
        <v>4138</v>
      </c>
    </row>
    <row r="17401">
      <c r="A17401" s="2" t="s">
        <v>8400</v>
      </c>
      <c r="B17401" s="2" t="s">
        <v>8293</v>
      </c>
      <c r="C17401" s="2" t="s">
        <v>8465</v>
      </c>
      <c r="D17401" s="3" t="str">
        <f t="shared" si="4491"/>
        <v>12Go Link</v>
      </c>
      <c r="E17401" s="2" t="s">
        <v>8363</v>
      </c>
    </row>
    <row r="17402">
      <c r="A17402" s="2" t="s">
        <v>8400</v>
      </c>
      <c r="B17402" s="2" t="s">
        <v>8293</v>
      </c>
      <c r="C17402" s="2" t="s">
        <v>8465</v>
      </c>
      <c r="D17402" s="3" t="str">
        <f t="shared" si="4491"/>
        <v>12Go Link</v>
      </c>
      <c r="E17402" s="2" t="s">
        <v>8364</v>
      </c>
    </row>
    <row r="17403">
      <c r="A17403" s="2" t="s">
        <v>8400</v>
      </c>
      <c r="B17403" s="2" t="s">
        <v>8293</v>
      </c>
      <c r="C17403" s="2" t="s">
        <v>8465</v>
      </c>
      <c r="D17403" s="3" t="str">
        <f t="shared" si="4491"/>
        <v>12Go Link</v>
      </c>
      <c r="E17403" s="2" t="s">
        <v>8296</v>
      </c>
    </row>
    <row r="17404">
      <c r="A17404" s="2" t="s">
        <v>8400</v>
      </c>
      <c r="B17404" s="2" t="s">
        <v>8365</v>
      </c>
      <c r="C17404" s="2" t="s">
        <v>8466</v>
      </c>
      <c r="D17404" s="3" t="str">
        <f t="shared" ref="D17404:D17406" si="4492">HYPERLINK("https://12go.asia/en/travel/Dalyan-Hotel-Transfer/Fethiye-Hotel-Transfer", "12Go Link")</f>
        <v>12Go Link</v>
      </c>
      <c r="E17404" s="2" t="s">
        <v>4138</v>
      </c>
    </row>
    <row r="17405">
      <c r="A17405" s="2" t="s">
        <v>8400</v>
      </c>
      <c r="B17405" s="2" t="s">
        <v>8365</v>
      </c>
      <c r="C17405" s="2" t="s">
        <v>8466</v>
      </c>
      <c r="D17405" s="3" t="str">
        <f t="shared" si="4492"/>
        <v>12Go Link</v>
      </c>
      <c r="E17405" s="2" t="s">
        <v>8363</v>
      </c>
    </row>
    <row r="17406">
      <c r="A17406" s="2" t="s">
        <v>8400</v>
      </c>
      <c r="B17406" s="2" t="s">
        <v>8365</v>
      </c>
      <c r="C17406" s="2" t="s">
        <v>8466</v>
      </c>
      <c r="D17406" s="3" t="str">
        <f t="shared" si="4492"/>
        <v>12Go Link</v>
      </c>
      <c r="E17406" s="2" t="s">
        <v>8364</v>
      </c>
    </row>
    <row r="17407">
      <c r="A17407" s="2" t="s">
        <v>8402</v>
      </c>
      <c r="B17407" s="2" t="s">
        <v>8293</v>
      </c>
      <c r="C17407" s="2" t="s">
        <v>8467</v>
      </c>
      <c r="D17407" s="3" t="str">
        <f t="shared" ref="D17407:D17409" si="4493">HYPERLINK("https://12go.asia/en/travel/Datca-Hotel-Transfer/Dalaman-Airport", "12Go Link")</f>
        <v>12Go Link</v>
      </c>
      <c r="E17407" s="2" t="s">
        <v>8295</v>
      </c>
    </row>
    <row r="17408">
      <c r="A17408" s="2" t="s">
        <v>8402</v>
      </c>
      <c r="B17408" s="2" t="s">
        <v>8293</v>
      </c>
      <c r="C17408" s="2" t="s">
        <v>8467</v>
      </c>
      <c r="D17408" s="3" t="str">
        <f t="shared" si="4493"/>
        <v>12Go Link</v>
      </c>
      <c r="E17408" s="2" t="s">
        <v>4137</v>
      </c>
    </row>
    <row r="17409">
      <c r="A17409" s="2" t="s">
        <v>8402</v>
      </c>
      <c r="B17409" s="2" t="s">
        <v>8293</v>
      </c>
      <c r="C17409" s="2" t="s">
        <v>8467</v>
      </c>
      <c r="D17409" s="3" t="str">
        <f t="shared" si="4493"/>
        <v>12Go Link</v>
      </c>
      <c r="E17409" s="2" t="s">
        <v>8296</v>
      </c>
    </row>
    <row r="17410">
      <c r="A17410" s="2" t="s">
        <v>8404</v>
      </c>
      <c r="B17410" s="2" t="s">
        <v>8293</v>
      </c>
      <c r="C17410" s="2" t="s">
        <v>8468</v>
      </c>
      <c r="D17410" s="3" t="str">
        <f t="shared" ref="D17410:D17415" si="4494">HYPERLINK("https://12go.asia/en/travel/Faralya-Hotel-Transfer/Dalaman-Airport", "12Go Link")</f>
        <v>12Go Link</v>
      </c>
      <c r="E17410" s="2" t="s">
        <v>8295</v>
      </c>
    </row>
    <row r="17411">
      <c r="A17411" s="2" t="s">
        <v>8404</v>
      </c>
      <c r="B17411" s="2" t="s">
        <v>8293</v>
      </c>
      <c r="C17411" s="2" t="s">
        <v>8468</v>
      </c>
      <c r="D17411" s="3" t="str">
        <f t="shared" si="4494"/>
        <v>12Go Link</v>
      </c>
      <c r="E17411" s="2" t="s">
        <v>4137</v>
      </c>
    </row>
    <row r="17412">
      <c r="A17412" s="2" t="s">
        <v>8404</v>
      </c>
      <c r="B17412" s="2" t="s">
        <v>8293</v>
      </c>
      <c r="C17412" s="2" t="s">
        <v>8468</v>
      </c>
      <c r="D17412" s="3" t="str">
        <f t="shared" si="4494"/>
        <v>12Go Link</v>
      </c>
      <c r="E17412" s="2" t="s">
        <v>4138</v>
      </c>
    </row>
    <row r="17413">
      <c r="A17413" s="2" t="s">
        <v>8404</v>
      </c>
      <c r="B17413" s="2" t="s">
        <v>8293</v>
      </c>
      <c r="C17413" s="2" t="s">
        <v>8468</v>
      </c>
      <c r="D17413" s="3" t="str">
        <f t="shared" si="4494"/>
        <v>12Go Link</v>
      </c>
      <c r="E17413" s="2" t="s">
        <v>8363</v>
      </c>
    </row>
    <row r="17414">
      <c r="A17414" s="2" t="s">
        <v>8404</v>
      </c>
      <c r="B17414" s="2" t="s">
        <v>8293</v>
      </c>
      <c r="C17414" s="2" t="s">
        <v>8468</v>
      </c>
      <c r="D17414" s="3" t="str">
        <f t="shared" si="4494"/>
        <v>12Go Link</v>
      </c>
      <c r="E17414" s="2" t="s">
        <v>8364</v>
      </c>
    </row>
    <row r="17415">
      <c r="A17415" s="2" t="s">
        <v>8404</v>
      </c>
      <c r="B17415" s="2" t="s">
        <v>8293</v>
      </c>
      <c r="C17415" s="2" t="s">
        <v>8468</v>
      </c>
      <c r="D17415" s="3" t="str">
        <f t="shared" si="4494"/>
        <v>12Go Link</v>
      </c>
      <c r="E17415" s="2" t="s">
        <v>8296</v>
      </c>
    </row>
    <row r="17416">
      <c r="A17416" s="2" t="s">
        <v>8365</v>
      </c>
      <c r="B17416" s="2" t="s">
        <v>8298</v>
      </c>
      <c r="C17416" s="2" t="s">
        <v>8469</v>
      </c>
      <c r="D17416" s="3" t="str">
        <f t="shared" ref="D17416:D17418" si="4495">HYPERLINK("https://12go.asia/en/travel/Fethiye-Hotel-Transfer/Antalya-Airport", "12Go Link")</f>
        <v>12Go Link</v>
      </c>
      <c r="E17416" s="2" t="s">
        <v>4138</v>
      </c>
    </row>
    <row r="17417">
      <c r="A17417" s="2" t="s">
        <v>8365</v>
      </c>
      <c r="B17417" s="2" t="s">
        <v>8298</v>
      </c>
      <c r="C17417" s="2" t="s">
        <v>8469</v>
      </c>
      <c r="D17417" s="3" t="str">
        <f t="shared" si="4495"/>
        <v>12Go Link</v>
      </c>
      <c r="E17417" s="2" t="s">
        <v>8363</v>
      </c>
    </row>
    <row r="17418">
      <c r="A17418" s="2" t="s">
        <v>8365</v>
      </c>
      <c r="B17418" s="2" t="s">
        <v>8298</v>
      </c>
      <c r="C17418" s="2" t="s">
        <v>8469</v>
      </c>
      <c r="D17418" s="3" t="str">
        <f t="shared" si="4495"/>
        <v>12Go Link</v>
      </c>
      <c r="E17418" s="2" t="s">
        <v>8364</v>
      </c>
    </row>
    <row r="17419">
      <c r="A17419" s="2" t="s">
        <v>8365</v>
      </c>
      <c r="B17419" s="2" t="s">
        <v>8373</v>
      </c>
      <c r="C17419" s="2" t="s">
        <v>8470</v>
      </c>
      <c r="D17419" s="3" t="str">
        <f t="shared" ref="D17419:D17421" si="4496">HYPERLINK("https://12go.asia/en/travel/Fethiye-Hotel-Transfer/Bodrum-City-Center", "12Go Link")</f>
        <v>12Go Link</v>
      </c>
      <c r="E17419" s="2" t="s">
        <v>4138</v>
      </c>
    </row>
    <row r="17420">
      <c r="A17420" s="2" t="s">
        <v>8365</v>
      </c>
      <c r="B17420" s="2" t="s">
        <v>8373</v>
      </c>
      <c r="C17420" s="2" t="s">
        <v>8470</v>
      </c>
      <c r="D17420" s="3" t="str">
        <f t="shared" si="4496"/>
        <v>12Go Link</v>
      </c>
      <c r="E17420" s="2" t="s">
        <v>8363</v>
      </c>
    </row>
    <row r="17421">
      <c r="A17421" s="2" t="s">
        <v>8365</v>
      </c>
      <c r="B17421" s="2" t="s">
        <v>8373</v>
      </c>
      <c r="C17421" s="2" t="s">
        <v>8470</v>
      </c>
      <c r="D17421" s="3" t="str">
        <f t="shared" si="4496"/>
        <v>12Go Link</v>
      </c>
      <c r="E17421" s="2" t="s">
        <v>8364</v>
      </c>
    </row>
    <row r="17422">
      <c r="A17422" s="2" t="s">
        <v>8365</v>
      </c>
      <c r="B17422" s="2" t="s">
        <v>8373</v>
      </c>
      <c r="C17422" s="2" t="s">
        <v>8471</v>
      </c>
      <c r="D17422" s="3" t="str">
        <f t="shared" ref="D17422:D17424" si="4497">HYPERLINK("https://12go.asia/en/travel/Fethiye-Hotel-Transfer/Bodrum-Milas-Airport", "12Go Link")</f>
        <v>12Go Link</v>
      </c>
      <c r="E17422" s="2" t="s">
        <v>4138</v>
      </c>
    </row>
    <row r="17423">
      <c r="A17423" s="2" t="s">
        <v>8365</v>
      </c>
      <c r="B17423" s="2" t="s">
        <v>8373</v>
      </c>
      <c r="C17423" s="2" t="s">
        <v>8471</v>
      </c>
      <c r="D17423" s="3" t="str">
        <f t="shared" si="4497"/>
        <v>12Go Link</v>
      </c>
      <c r="E17423" s="2" t="s">
        <v>8363</v>
      </c>
    </row>
    <row r="17424">
      <c r="A17424" s="2" t="s">
        <v>8365</v>
      </c>
      <c r="B17424" s="2" t="s">
        <v>8373</v>
      </c>
      <c r="C17424" s="2" t="s">
        <v>8471</v>
      </c>
      <c r="D17424" s="3" t="str">
        <f t="shared" si="4497"/>
        <v>12Go Link</v>
      </c>
      <c r="E17424" s="2" t="s">
        <v>8364</v>
      </c>
    </row>
    <row r="17425">
      <c r="A17425" s="2" t="s">
        <v>8365</v>
      </c>
      <c r="B17425" s="2" t="s">
        <v>8293</v>
      </c>
      <c r="C17425" s="2" t="s">
        <v>8472</v>
      </c>
      <c r="D17425" s="3" t="str">
        <f t="shared" ref="D17425:D17431" si="4498">HYPERLINK("https://12go.asia/en/travel/Calis-Beach/Dalaman-Airport", "12Go Link")</f>
        <v>12Go Link</v>
      </c>
      <c r="E17425" s="2" t="s">
        <v>8295</v>
      </c>
    </row>
    <row r="17426">
      <c r="A17426" s="2" t="s">
        <v>8365</v>
      </c>
      <c r="B17426" s="2" t="s">
        <v>8293</v>
      </c>
      <c r="C17426" s="2" t="s">
        <v>8472</v>
      </c>
      <c r="D17426" s="3" t="str">
        <f t="shared" si="4498"/>
        <v>12Go Link</v>
      </c>
      <c r="E17426" s="2" t="s">
        <v>4137</v>
      </c>
    </row>
    <row r="17427">
      <c r="A17427" s="2" t="s">
        <v>8365</v>
      </c>
      <c r="B17427" s="2" t="s">
        <v>8293</v>
      </c>
      <c r="C17427" s="2" t="s">
        <v>8472</v>
      </c>
      <c r="D17427" s="3" t="str">
        <f t="shared" si="4498"/>
        <v>12Go Link</v>
      </c>
      <c r="E17427" s="2" t="s">
        <v>4138</v>
      </c>
    </row>
    <row r="17428">
      <c r="A17428" s="2" t="s">
        <v>8365</v>
      </c>
      <c r="B17428" s="2" t="s">
        <v>8293</v>
      </c>
      <c r="C17428" s="2" t="s">
        <v>8472</v>
      </c>
      <c r="D17428" s="3" t="str">
        <f t="shared" si="4498"/>
        <v>12Go Link</v>
      </c>
      <c r="E17428" s="2" t="s">
        <v>8363</v>
      </c>
    </row>
    <row r="17429">
      <c r="A17429" s="2" t="s">
        <v>8365</v>
      </c>
      <c r="B17429" s="2" t="s">
        <v>8293</v>
      </c>
      <c r="C17429" s="2" t="s">
        <v>8472</v>
      </c>
      <c r="D17429" s="3" t="str">
        <f t="shared" si="4498"/>
        <v>12Go Link</v>
      </c>
      <c r="E17429" s="2" t="s">
        <v>8364</v>
      </c>
    </row>
    <row r="17430">
      <c r="A17430" s="2" t="s">
        <v>8365</v>
      </c>
      <c r="B17430" s="2" t="s">
        <v>8293</v>
      </c>
      <c r="C17430" s="2" t="s">
        <v>8472</v>
      </c>
      <c r="D17430" s="3" t="str">
        <f t="shared" si="4498"/>
        <v>12Go Link</v>
      </c>
      <c r="E17430" s="2" t="s">
        <v>8296</v>
      </c>
    </row>
    <row r="17431">
      <c r="A17431" s="2" t="s">
        <v>8365</v>
      </c>
      <c r="B17431" s="2" t="s">
        <v>8293</v>
      </c>
      <c r="C17431" s="2" t="s">
        <v>8472</v>
      </c>
      <c r="D17431" s="3" t="str">
        <f t="shared" si="4498"/>
        <v>12Go Link</v>
      </c>
      <c r="E17431" s="2" t="s">
        <v>4190</v>
      </c>
    </row>
    <row r="17432">
      <c r="A17432" s="2" t="s">
        <v>8365</v>
      </c>
      <c r="B17432" s="2" t="s">
        <v>8293</v>
      </c>
      <c r="C17432" s="2" t="s">
        <v>8473</v>
      </c>
      <c r="D17432" s="3" t="str">
        <f t="shared" ref="D17432:D17438" si="4499">HYPERLINK("https://12go.asia/en/travel/Ciftlik-Hotel-Transfer/Dalaman-Airport", "12Go Link")</f>
        <v>12Go Link</v>
      </c>
      <c r="E17432" s="2" t="s">
        <v>8295</v>
      </c>
    </row>
    <row r="17433">
      <c r="A17433" s="2" t="s">
        <v>8365</v>
      </c>
      <c r="B17433" s="2" t="s">
        <v>8293</v>
      </c>
      <c r="C17433" s="2" t="s">
        <v>8473</v>
      </c>
      <c r="D17433" s="3" t="str">
        <f t="shared" si="4499"/>
        <v>12Go Link</v>
      </c>
      <c r="E17433" s="2" t="s">
        <v>4137</v>
      </c>
    </row>
    <row r="17434">
      <c r="A17434" s="2" t="s">
        <v>8365</v>
      </c>
      <c r="B17434" s="2" t="s">
        <v>8293</v>
      </c>
      <c r="C17434" s="2" t="s">
        <v>8473</v>
      </c>
      <c r="D17434" s="3" t="str">
        <f t="shared" si="4499"/>
        <v>12Go Link</v>
      </c>
      <c r="E17434" s="2" t="s">
        <v>4138</v>
      </c>
    </row>
    <row r="17435">
      <c r="A17435" s="2" t="s">
        <v>8365</v>
      </c>
      <c r="B17435" s="2" t="s">
        <v>8293</v>
      </c>
      <c r="C17435" s="2" t="s">
        <v>8473</v>
      </c>
      <c r="D17435" s="3" t="str">
        <f t="shared" si="4499"/>
        <v>12Go Link</v>
      </c>
      <c r="E17435" s="2" t="s">
        <v>8363</v>
      </c>
    </row>
    <row r="17436">
      <c r="A17436" s="2" t="s">
        <v>8365</v>
      </c>
      <c r="B17436" s="2" t="s">
        <v>8293</v>
      </c>
      <c r="C17436" s="2" t="s">
        <v>8473</v>
      </c>
      <c r="D17436" s="3" t="str">
        <f t="shared" si="4499"/>
        <v>12Go Link</v>
      </c>
      <c r="E17436" s="2" t="s">
        <v>8364</v>
      </c>
    </row>
    <row r="17437">
      <c r="A17437" s="2" t="s">
        <v>8365</v>
      </c>
      <c r="B17437" s="2" t="s">
        <v>8293</v>
      </c>
      <c r="C17437" s="2" t="s">
        <v>8473</v>
      </c>
      <c r="D17437" s="3" t="str">
        <f t="shared" si="4499"/>
        <v>12Go Link</v>
      </c>
      <c r="E17437" s="2" t="s">
        <v>8296</v>
      </c>
    </row>
    <row r="17438">
      <c r="A17438" s="2" t="s">
        <v>8365</v>
      </c>
      <c r="B17438" s="2" t="s">
        <v>8293</v>
      </c>
      <c r="C17438" s="2" t="s">
        <v>8473</v>
      </c>
      <c r="D17438" s="3" t="str">
        <f t="shared" si="4499"/>
        <v>12Go Link</v>
      </c>
      <c r="E17438" s="2" t="s">
        <v>4190</v>
      </c>
    </row>
    <row r="17439">
      <c r="A17439" s="2" t="s">
        <v>8365</v>
      </c>
      <c r="B17439" s="2" t="s">
        <v>8293</v>
      </c>
      <c r="C17439" s="2" t="s">
        <v>8474</v>
      </c>
      <c r="D17439" s="3" t="str">
        <f t="shared" ref="D17439:D17444" si="4500">HYPERLINK("https://12go.asia/en/travel/Fethiye-Hotel-Transfer/Dalaman-Airport", "12Go Link")</f>
        <v>12Go Link</v>
      </c>
      <c r="E17439" s="2" t="s">
        <v>8295</v>
      </c>
    </row>
    <row r="17440">
      <c r="A17440" s="2" t="s">
        <v>8365</v>
      </c>
      <c r="B17440" s="2" t="s">
        <v>8293</v>
      </c>
      <c r="C17440" s="2" t="s">
        <v>8474</v>
      </c>
      <c r="D17440" s="3" t="str">
        <f t="shared" si="4500"/>
        <v>12Go Link</v>
      </c>
      <c r="E17440" s="2" t="s">
        <v>4137</v>
      </c>
    </row>
    <row r="17441">
      <c r="A17441" s="2" t="s">
        <v>8365</v>
      </c>
      <c r="B17441" s="2" t="s">
        <v>8293</v>
      </c>
      <c r="C17441" s="2" t="s">
        <v>8474</v>
      </c>
      <c r="D17441" s="3" t="str">
        <f t="shared" si="4500"/>
        <v>12Go Link</v>
      </c>
      <c r="E17441" s="2" t="s">
        <v>4138</v>
      </c>
    </row>
    <row r="17442">
      <c r="A17442" s="2" t="s">
        <v>8365</v>
      </c>
      <c r="B17442" s="2" t="s">
        <v>8293</v>
      </c>
      <c r="C17442" s="2" t="s">
        <v>8474</v>
      </c>
      <c r="D17442" s="3" t="str">
        <f t="shared" si="4500"/>
        <v>12Go Link</v>
      </c>
      <c r="E17442" s="2" t="s">
        <v>8363</v>
      </c>
    </row>
    <row r="17443">
      <c r="A17443" s="2" t="s">
        <v>8365</v>
      </c>
      <c r="B17443" s="2" t="s">
        <v>8293</v>
      </c>
      <c r="C17443" s="2" t="s">
        <v>8474</v>
      </c>
      <c r="D17443" s="3" t="str">
        <f t="shared" si="4500"/>
        <v>12Go Link</v>
      </c>
      <c r="E17443" s="2" t="s">
        <v>8364</v>
      </c>
    </row>
    <row r="17444">
      <c r="A17444" s="2" t="s">
        <v>8365</v>
      </c>
      <c r="B17444" s="2" t="s">
        <v>8293</v>
      </c>
      <c r="C17444" s="2" t="s">
        <v>8474</v>
      </c>
      <c r="D17444" s="3" t="str">
        <f t="shared" si="4500"/>
        <v>12Go Link</v>
      </c>
      <c r="E17444" s="2" t="s">
        <v>8296</v>
      </c>
    </row>
    <row r="17445">
      <c r="A17445" s="2" t="s">
        <v>8365</v>
      </c>
      <c r="B17445" s="2" t="s">
        <v>8293</v>
      </c>
      <c r="C17445" s="2" t="s">
        <v>8475</v>
      </c>
      <c r="D17445" s="3" t="str">
        <f>HYPERLINK("https://12go.asia/en/travel/Fethiye-Transfer/Dalaman-Airport", "12Go Link")</f>
        <v>12Go Link</v>
      </c>
      <c r="E17445" s="2" t="s">
        <v>4190</v>
      </c>
    </row>
    <row r="17446">
      <c r="A17446" s="2" t="s">
        <v>8365</v>
      </c>
      <c r="B17446" s="2" t="s">
        <v>8293</v>
      </c>
      <c r="C17446" s="2" t="s">
        <v>8476</v>
      </c>
      <c r="D17446" s="3" t="str">
        <f t="shared" ref="D17446:D17449" si="4501">HYPERLINK("https://12go.asia/en/travel/Karagozler-Transfer/Dalaman-Airport", "12Go Link")</f>
        <v>12Go Link</v>
      </c>
      <c r="E17446" s="2" t="s">
        <v>4138</v>
      </c>
    </row>
    <row r="17447">
      <c r="A17447" s="2" t="s">
        <v>8365</v>
      </c>
      <c r="B17447" s="2" t="s">
        <v>8293</v>
      </c>
      <c r="C17447" s="2" t="s">
        <v>8476</v>
      </c>
      <c r="D17447" s="3" t="str">
        <f t="shared" si="4501"/>
        <v>12Go Link</v>
      </c>
      <c r="E17447" s="2" t="s">
        <v>8363</v>
      </c>
    </row>
    <row r="17448">
      <c r="A17448" s="2" t="s">
        <v>8365</v>
      </c>
      <c r="B17448" s="2" t="s">
        <v>8293</v>
      </c>
      <c r="C17448" s="2" t="s">
        <v>8476</v>
      </c>
      <c r="D17448" s="3" t="str">
        <f t="shared" si="4501"/>
        <v>12Go Link</v>
      </c>
      <c r="E17448" s="2" t="s">
        <v>8364</v>
      </c>
    </row>
    <row r="17449">
      <c r="A17449" s="2" t="s">
        <v>8365</v>
      </c>
      <c r="B17449" s="2" t="s">
        <v>8293</v>
      </c>
      <c r="C17449" s="2" t="s">
        <v>8476</v>
      </c>
      <c r="D17449" s="3" t="str">
        <f t="shared" si="4501"/>
        <v>12Go Link</v>
      </c>
      <c r="E17449" s="2" t="s">
        <v>4190</v>
      </c>
    </row>
    <row r="17450">
      <c r="A17450" s="2" t="s">
        <v>8365</v>
      </c>
      <c r="B17450" s="2" t="s">
        <v>8400</v>
      </c>
      <c r="C17450" s="2" t="s">
        <v>8477</v>
      </c>
      <c r="D17450" s="3" t="str">
        <f t="shared" ref="D17450:D17452" si="4502">HYPERLINK("https://12go.asia/en/travel/Fethiye-Hotel-Transfer/Dalyan-Hotel-Transfer", "12Go Link")</f>
        <v>12Go Link</v>
      </c>
      <c r="E17450" s="2" t="s">
        <v>4138</v>
      </c>
    </row>
    <row r="17451">
      <c r="A17451" s="2" t="s">
        <v>8365</v>
      </c>
      <c r="B17451" s="2" t="s">
        <v>8400</v>
      </c>
      <c r="C17451" s="2" t="s">
        <v>8477</v>
      </c>
      <c r="D17451" s="3" t="str">
        <f t="shared" si="4502"/>
        <v>12Go Link</v>
      </c>
      <c r="E17451" s="2" t="s">
        <v>8363</v>
      </c>
    </row>
    <row r="17452">
      <c r="A17452" s="2" t="s">
        <v>8365</v>
      </c>
      <c r="B17452" s="2" t="s">
        <v>8400</v>
      </c>
      <c r="C17452" s="2" t="s">
        <v>8477</v>
      </c>
      <c r="D17452" s="3" t="str">
        <f t="shared" si="4502"/>
        <v>12Go Link</v>
      </c>
      <c r="E17452" s="2" t="s">
        <v>8364</v>
      </c>
    </row>
    <row r="17453">
      <c r="A17453" s="2" t="s">
        <v>8365</v>
      </c>
      <c r="B17453" s="2" t="s">
        <v>8420</v>
      </c>
      <c r="C17453" s="2" t="s">
        <v>8478</v>
      </c>
      <c r="D17453" s="3" t="str">
        <f t="shared" ref="D17453:D17455" si="4503">HYPERLINK("https://12go.asia/en/travel/Fethiye-Hotel-Transfer/Adnan-Menderes-Airport", "12Go Link")</f>
        <v>12Go Link</v>
      </c>
      <c r="E17453" s="2" t="s">
        <v>4138</v>
      </c>
    </row>
    <row r="17454">
      <c r="A17454" s="2" t="s">
        <v>8365</v>
      </c>
      <c r="B17454" s="2" t="s">
        <v>8420</v>
      </c>
      <c r="C17454" s="2" t="s">
        <v>8478</v>
      </c>
      <c r="D17454" s="3" t="str">
        <f t="shared" si="4503"/>
        <v>12Go Link</v>
      </c>
      <c r="E17454" s="2" t="s">
        <v>8363</v>
      </c>
    </row>
    <row r="17455">
      <c r="A17455" s="2" t="s">
        <v>8365</v>
      </c>
      <c r="B17455" s="2" t="s">
        <v>8420</v>
      </c>
      <c r="C17455" s="2" t="s">
        <v>8478</v>
      </c>
      <c r="D17455" s="3" t="str">
        <f t="shared" si="4503"/>
        <v>12Go Link</v>
      </c>
      <c r="E17455" s="2" t="s">
        <v>8364</v>
      </c>
    </row>
    <row r="17456">
      <c r="A17456" s="2" t="s">
        <v>8365</v>
      </c>
      <c r="B17456" s="2" t="s">
        <v>8436</v>
      </c>
      <c r="C17456" s="2" t="s">
        <v>8479</v>
      </c>
      <c r="D17456" s="3" t="str">
        <f t="shared" ref="D17456:D17458" si="4504">HYPERLINK("https://12go.asia/en/travel/Fethiye-Hotel-Transfer/Marmaris-Hotel-Transfer", "12Go Link")</f>
        <v>12Go Link</v>
      </c>
      <c r="E17456" s="2" t="s">
        <v>4138</v>
      </c>
    </row>
    <row r="17457">
      <c r="A17457" s="2" t="s">
        <v>8365</v>
      </c>
      <c r="B17457" s="2" t="s">
        <v>8436</v>
      </c>
      <c r="C17457" s="2" t="s">
        <v>8479</v>
      </c>
      <c r="D17457" s="3" t="str">
        <f t="shared" si="4504"/>
        <v>12Go Link</v>
      </c>
      <c r="E17457" s="2" t="s">
        <v>8363</v>
      </c>
    </row>
    <row r="17458">
      <c r="A17458" s="2" t="s">
        <v>8365</v>
      </c>
      <c r="B17458" s="2" t="s">
        <v>8436</v>
      </c>
      <c r="C17458" s="2" t="s">
        <v>8479</v>
      </c>
      <c r="D17458" s="3" t="str">
        <f t="shared" si="4504"/>
        <v>12Go Link</v>
      </c>
      <c r="E17458" s="2" t="s">
        <v>8364</v>
      </c>
    </row>
    <row r="17459">
      <c r="A17459" s="2" t="s">
        <v>8315</v>
      </c>
      <c r="B17459" s="2" t="s">
        <v>8302</v>
      </c>
      <c r="C17459" s="2" t="s">
        <v>8480</v>
      </c>
      <c r="D17459" s="3" t="str">
        <f t="shared" ref="D17459:D17463" si="4505">HYPERLINK("https://12go.asia/en/travel/Gazipasa-Hotel-Transfer/Gazipasa-Alanya-Airport", "12Go Link")</f>
        <v>12Go Link</v>
      </c>
      <c r="E17459" s="2" t="s">
        <v>4507</v>
      </c>
    </row>
    <row r="17460">
      <c r="A17460" s="2" t="s">
        <v>8315</v>
      </c>
      <c r="B17460" s="2" t="s">
        <v>8302</v>
      </c>
      <c r="C17460" s="2" t="s">
        <v>8480</v>
      </c>
      <c r="D17460" s="3" t="str">
        <f t="shared" si="4505"/>
        <v>12Go Link</v>
      </c>
      <c r="E17460" s="2" t="s">
        <v>286</v>
      </c>
    </row>
    <row r="17461">
      <c r="A17461" s="2" t="s">
        <v>8315</v>
      </c>
      <c r="B17461" s="2" t="s">
        <v>8302</v>
      </c>
      <c r="C17461" s="2" t="s">
        <v>8480</v>
      </c>
      <c r="D17461" s="3" t="str">
        <f t="shared" si="4505"/>
        <v>12Go Link</v>
      </c>
      <c r="E17461" s="2" t="s">
        <v>8295</v>
      </c>
    </row>
    <row r="17462">
      <c r="A17462" s="2" t="s">
        <v>8315</v>
      </c>
      <c r="B17462" s="2" t="s">
        <v>8302</v>
      </c>
      <c r="C17462" s="2" t="s">
        <v>8480</v>
      </c>
      <c r="D17462" s="3" t="str">
        <f t="shared" si="4505"/>
        <v>12Go Link</v>
      </c>
      <c r="E17462" s="2" t="s">
        <v>4137</v>
      </c>
    </row>
    <row r="17463">
      <c r="A17463" s="2" t="s">
        <v>8315</v>
      </c>
      <c r="B17463" s="2" t="s">
        <v>8302</v>
      </c>
      <c r="C17463" s="2" t="s">
        <v>8480</v>
      </c>
      <c r="D17463" s="3" t="str">
        <f t="shared" si="4505"/>
        <v>12Go Link</v>
      </c>
      <c r="E17463" s="2" t="s">
        <v>8296</v>
      </c>
    </row>
    <row r="17464">
      <c r="A17464" s="2" t="s">
        <v>8411</v>
      </c>
      <c r="B17464" s="2" t="s">
        <v>8293</v>
      </c>
      <c r="C17464" s="2" t="s">
        <v>8481</v>
      </c>
      <c r="D17464" s="3" t="str">
        <f t="shared" ref="D17464:D17466" si="4506">HYPERLINK("https://12go.asia/en/travel/Patara-Beach/Dalaman-Airport", "12Go Link")</f>
        <v>12Go Link</v>
      </c>
      <c r="E17464" s="2" t="s">
        <v>4138</v>
      </c>
    </row>
    <row r="17465">
      <c r="A17465" s="2" t="s">
        <v>8411</v>
      </c>
      <c r="B17465" s="2" t="s">
        <v>8293</v>
      </c>
      <c r="C17465" s="2" t="s">
        <v>8481</v>
      </c>
      <c r="D17465" s="3" t="str">
        <f t="shared" si="4506"/>
        <v>12Go Link</v>
      </c>
      <c r="E17465" s="2" t="s">
        <v>8363</v>
      </c>
    </row>
    <row r="17466">
      <c r="A17466" s="2" t="s">
        <v>8411</v>
      </c>
      <c r="B17466" s="2" t="s">
        <v>8293</v>
      </c>
      <c r="C17466" s="2" t="s">
        <v>8481</v>
      </c>
      <c r="D17466" s="3" t="str">
        <f t="shared" si="4506"/>
        <v>12Go Link</v>
      </c>
      <c r="E17466" s="2" t="s">
        <v>8364</v>
      </c>
    </row>
    <row r="17467">
      <c r="A17467" s="2" t="s">
        <v>8413</v>
      </c>
      <c r="B17467" s="2" t="s">
        <v>8293</v>
      </c>
      <c r="C17467" s="2" t="s">
        <v>8482</v>
      </c>
      <c r="D17467" s="3" t="str">
        <f t="shared" ref="D17467:D17472" si="4507">HYPERLINK("https://12go.asia/en/travel/Gocek-Hotel-Transfer/Dalaman-Airport", "12Go Link")</f>
        <v>12Go Link</v>
      </c>
      <c r="E17467" s="2" t="s">
        <v>8295</v>
      </c>
    </row>
    <row r="17468">
      <c r="A17468" s="2" t="s">
        <v>8413</v>
      </c>
      <c r="B17468" s="2" t="s">
        <v>8293</v>
      </c>
      <c r="C17468" s="2" t="s">
        <v>8482</v>
      </c>
      <c r="D17468" s="3" t="str">
        <f t="shared" si="4507"/>
        <v>12Go Link</v>
      </c>
      <c r="E17468" s="2" t="s">
        <v>4137</v>
      </c>
    </row>
    <row r="17469">
      <c r="A17469" s="2" t="s">
        <v>8413</v>
      </c>
      <c r="B17469" s="2" t="s">
        <v>8293</v>
      </c>
      <c r="C17469" s="2" t="s">
        <v>8482</v>
      </c>
      <c r="D17469" s="3" t="str">
        <f t="shared" si="4507"/>
        <v>12Go Link</v>
      </c>
      <c r="E17469" s="2" t="s">
        <v>4138</v>
      </c>
    </row>
    <row r="17470">
      <c r="A17470" s="2" t="s">
        <v>8413</v>
      </c>
      <c r="B17470" s="2" t="s">
        <v>8293</v>
      </c>
      <c r="C17470" s="2" t="s">
        <v>8482</v>
      </c>
      <c r="D17470" s="3" t="str">
        <f t="shared" si="4507"/>
        <v>12Go Link</v>
      </c>
      <c r="E17470" s="2" t="s">
        <v>8363</v>
      </c>
    </row>
    <row r="17471">
      <c r="A17471" s="2" t="s">
        <v>8413</v>
      </c>
      <c r="B17471" s="2" t="s">
        <v>8293</v>
      </c>
      <c r="C17471" s="2" t="s">
        <v>8482</v>
      </c>
      <c r="D17471" s="3" t="str">
        <f t="shared" si="4507"/>
        <v>12Go Link</v>
      </c>
      <c r="E17471" s="2" t="s">
        <v>8364</v>
      </c>
    </row>
    <row r="17472">
      <c r="A17472" s="2" t="s">
        <v>8413</v>
      </c>
      <c r="B17472" s="2" t="s">
        <v>8293</v>
      </c>
      <c r="C17472" s="2" t="s">
        <v>8482</v>
      </c>
      <c r="D17472" s="3" t="str">
        <f t="shared" si="4507"/>
        <v>12Go Link</v>
      </c>
      <c r="E17472" s="2" t="s">
        <v>8296</v>
      </c>
    </row>
    <row r="17473">
      <c r="A17473" s="2" t="s">
        <v>8413</v>
      </c>
      <c r="B17473" s="2" t="s">
        <v>8293</v>
      </c>
      <c r="C17473" s="2" t="s">
        <v>8483</v>
      </c>
      <c r="D17473" s="3" t="str">
        <f>HYPERLINK("https://12go.asia/en/travel/Gocek-Transfer/Dalaman-Airport", "12Go Link")</f>
        <v>12Go Link</v>
      </c>
      <c r="E17473" s="2" t="s">
        <v>4190</v>
      </c>
    </row>
    <row r="17474">
      <c r="A17474" s="2" t="s">
        <v>8484</v>
      </c>
      <c r="B17474" s="2" t="s">
        <v>8484</v>
      </c>
      <c r="C17474" s="2" t="s">
        <v>8485</v>
      </c>
      <c r="D17474" s="3" t="str">
        <f>HYPERLINK("https://12go.asia/en/travel/Goreme-Hotel-Transfer/Goreme-Hotel-Transfer", "12Go Link")</f>
        <v>12Go Link</v>
      </c>
      <c r="E17474" s="2" t="s">
        <v>3812</v>
      </c>
    </row>
    <row r="17475">
      <c r="A17475" s="2" t="s">
        <v>8317</v>
      </c>
      <c r="B17475" s="2" t="s">
        <v>8302</v>
      </c>
      <c r="C17475" s="2" t="s">
        <v>8486</v>
      </c>
      <c r="D17475" s="3" t="str">
        <f t="shared" ref="D17475:D17479" si="4508">HYPERLINK("https://12go.asia/en/travel/Gundogdu-Hotel-Transfer/Gazipasa-Alanya-Airport", "12Go Link")</f>
        <v>12Go Link</v>
      </c>
      <c r="E17475" s="2" t="s">
        <v>4507</v>
      </c>
    </row>
    <row r="17476">
      <c r="A17476" s="2" t="s">
        <v>8317</v>
      </c>
      <c r="B17476" s="2" t="s">
        <v>8302</v>
      </c>
      <c r="C17476" s="2" t="s">
        <v>8486</v>
      </c>
      <c r="D17476" s="3" t="str">
        <f t="shared" si="4508"/>
        <v>12Go Link</v>
      </c>
      <c r="E17476" s="2" t="s">
        <v>286</v>
      </c>
    </row>
    <row r="17477">
      <c r="A17477" s="2" t="s">
        <v>8317</v>
      </c>
      <c r="B17477" s="2" t="s">
        <v>8302</v>
      </c>
      <c r="C17477" s="2" t="s">
        <v>8486</v>
      </c>
      <c r="D17477" s="3" t="str">
        <f t="shared" si="4508"/>
        <v>12Go Link</v>
      </c>
      <c r="E17477" s="2" t="s">
        <v>8295</v>
      </c>
    </row>
    <row r="17478">
      <c r="A17478" s="2" t="s">
        <v>8317</v>
      </c>
      <c r="B17478" s="2" t="s">
        <v>8302</v>
      </c>
      <c r="C17478" s="2" t="s">
        <v>8486</v>
      </c>
      <c r="D17478" s="3" t="str">
        <f t="shared" si="4508"/>
        <v>12Go Link</v>
      </c>
      <c r="E17478" s="2" t="s">
        <v>4137</v>
      </c>
    </row>
    <row r="17479">
      <c r="A17479" s="2" t="s">
        <v>8317</v>
      </c>
      <c r="B17479" s="2" t="s">
        <v>8302</v>
      </c>
      <c r="C17479" s="2" t="s">
        <v>8486</v>
      </c>
      <c r="D17479" s="3" t="str">
        <f t="shared" si="4508"/>
        <v>12Go Link</v>
      </c>
      <c r="E17479" s="2" t="s">
        <v>8296</v>
      </c>
    </row>
    <row r="17480">
      <c r="A17480" s="2" t="s">
        <v>8416</v>
      </c>
      <c r="B17480" s="2" t="s">
        <v>8293</v>
      </c>
      <c r="C17480" s="2" t="s">
        <v>8487</v>
      </c>
      <c r="D17480" s="3" t="str">
        <f t="shared" ref="D17480:D17482" si="4509">HYPERLINK("https://12go.asia/en/travel/Marmaris-Hisaronu-Hotel-Transfer/Dalaman-Airport", "12Go Link")</f>
        <v>12Go Link</v>
      </c>
      <c r="E17480" s="2" t="s">
        <v>8295</v>
      </c>
    </row>
    <row r="17481">
      <c r="A17481" s="2" t="s">
        <v>8416</v>
      </c>
      <c r="B17481" s="2" t="s">
        <v>8293</v>
      </c>
      <c r="C17481" s="2" t="s">
        <v>8487</v>
      </c>
      <c r="D17481" s="3" t="str">
        <f t="shared" si="4509"/>
        <v>12Go Link</v>
      </c>
      <c r="E17481" s="2" t="s">
        <v>4137</v>
      </c>
    </row>
    <row r="17482">
      <c r="A17482" s="2" t="s">
        <v>8416</v>
      </c>
      <c r="B17482" s="2" t="s">
        <v>8293</v>
      </c>
      <c r="C17482" s="2" t="s">
        <v>8487</v>
      </c>
      <c r="D17482" s="3" t="str">
        <f t="shared" si="4509"/>
        <v>12Go Link</v>
      </c>
      <c r="E17482" s="2" t="s">
        <v>8296</v>
      </c>
    </row>
    <row r="17483">
      <c r="A17483" s="2" t="s">
        <v>8418</v>
      </c>
      <c r="B17483" s="2" t="s">
        <v>8293</v>
      </c>
      <c r="C17483" s="2" t="s">
        <v>8488</v>
      </c>
      <c r="D17483" s="3" t="str">
        <f t="shared" ref="D17483:D17485" si="4510">HYPERLINK("https://12go.asia/en/travel/Icmeler-Hotel-Transfer/Dalaman-Airport", "12Go Link")</f>
        <v>12Go Link</v>
      </c>
      <c r="E17483" s="2" t="s">
        <v>8295</v>
      </c>
    </row>
    <row r="17484">
      <c r="A17484" s="2" t="s">
        <v>8418</v>
      </c>
      <c r="B17484" s="2" t="s">
        <v>8293</v>
      </c>
      <c r="C17484" s="2" t="s">
        <v>8488</v>
      </c>
      <c r="D17484" s="3" t="str">
        <f t="shared" si="4510"/>
        <v>12Go Link</v>
      </c>
      <c r="E17484" s="2" t="s">
        <v>4137</v>
      </c>
    </row>
    <row r="17485">
      <c r="A17485" s="2" t="s">
        <v>8418</v>
      </c>
      <c r="B17485" s="2" t="s">
        <v>8293</v>
      </c>
      <c r="C17485" s="2" t="s">
        <v>8488</v>
      </c>
      <c r="D17485" s="3" t="str">
        <f t="shared" si="4510"/>
        <v>12Go Link</v>
      </c>
      <c r="E17485" s="2" t="s">
        <v>8296</v>
      </c>
    </row>
    <row r="17486">
      <c r="A17486" s="2" t="s">
        <v>8319</v>
      </c>
      <c r="B17486" s="2" t="s">
        <v>8302</v>
      </c>
      <c r="C17486" s="2" t="s">
        <v>8489</v>
      </c>
      <c r="D17486" s="3" t="str">
        <f t="shared" ref="D17486:D17488" si="4511">HYPERLINK("https://12go.asia/en/travel/Incekum-Hotel-Transfer/Gazipasa-Alanya-Airport", "12Go Link")</f>
        <v>12Go Link</v>
      </c>
      <c r="E17486" s="2" t="s">
        <v>4507</v>
      </c>
    </row>
    <row r="17487">
      <c r="A17487" s="2" t="s">
        <v>8319</v>
      </c>
      <c r="B17487" s="2" t="s">
        <v>8302</v>
      </c>
      <c r="C17487" s="2" t="s">
        <v>8489</v>
      </c>
      <c r="D17487" s="3" t="str">
        <f t="shared" si="4511"/>
        <v>12Go Link</v>
      </c>
      <c r="E17487" s="2" t="s">
        <v>286</v>
      </c>
    </row>
    <row r="17488">
      <c r="A17488" s="2" t="s">
        <v>8319</v>
      </c>
      <c r="B17488" s="2" t="s">
        <v>8302</v>
      </c>
      <c r="C17488" s="2" t="s">
        <v>8489</v>
      </c>
      <c r="D17488" s="3" t="str">
        <f t="shared" si="4511"/>
        <v>12Go Link</v>
      </c>
      <c r="E17488" s="2" t="s">
        <v>4137</v>
      </c>
    </row>
    <row r="17489">
      <c r="A17489" s="2" t="s">
        <v>8382</v>
      </c>
      <c r="B17489" s="2" t="s">
        <v>8381</v>
      </c>
      <c r="C17489" s="2" t="s">
        <v>8490</v>
      </c>
      <c r="D17489" s="3" t="str">
        <f t="shared" ref="D17489:D17491" si="4512">HYPERLINK("https://12go.asia/en/travel/Sabiha-Gokcen-Airport/Bursa-Hotel-Transfer", "12Go Link")</f>
        <v>12Go Link</v>
      </c>
      <c r="E17489" s="2" t="s">
        <v>8384</v>
      </c>
    </row>
    <row r="17490">
      <c r="A17490" s="2" t="s">
        <v>8382</v>
      </c>
      <c r="B17490" s="2" t="s">
        <v>8381</v>
      </c>
      <c r="C17490" s="2" t="s">
        <v>8490</v>
      </c>
      <c r="D17490" s="3" t="str">
        <f t="shared" si="4512"/>
        <v>12Go Link</v>
      </c>
      <c r="E17490" s="2" t="s">
        <v>4194</v>
      </c>
    </row>
    <row r="17491">
      <c r="A17491" s="2" t="s">
        <v>8382</v>
      </c>
      <c r="B17491" s="2" t="s">
        <v>8381</v>
      </c>
      <c r="C17491" s="2" t="s">
        <v>8490</v>
      </c>
      <c r="D17491" s="3" t="str">
        <f t="shared" si="4512"/>
        <v>12Go Link</v>
      </c>
      <c r="E17491" s="2" t="s">
        <v>8364</v>
      </c>
    </row>
    <row r="17492">
      <c r="A17492" s="2" t="s">
        <v>8382</v>
      </c>
      <c r="B17492" s="2" t="s">
        <v>8382</v>
      </c>
      <c r="C17492" s="2" t="s">
        <v>8491</v>
      </c>
      <c r="D17492" s="3" t="str">
        <f t="shared" ref="D17492:D17494" si="4513">HYPERLINK("https://12go.asia/en/travel/Arnavutkoy-Hotel-Transfer/Sabiha-Gokcen-Airport", "12Go Link")</f>
        <v>12Go Link</v>
      </c>
      <c r="E17492" s="2" t="s">
        <v>8384</v>
      </c>
    </row>
    <row r="17493">
      <c r="A17493" s="2" t="s">
        <v>8382</v>
      </c>
      <c r="B17493" s="2" t="s">
        <v>8382</v>
      </c>
      <c r="C17493" s="2" t="s">
        <v>8491</v>
      </c>
      <c r="D17493" s="3" t="str">
        <f t="shared" si="4513"/>
        <v>12Go Link</v>
      </c>
      <c r="E17493" s="2" t="s">
        <v>4194</v>
      </c>
    </row>
    <row r="17494">
      <c r="A17494" s="2" t="s">
        <v>8382</v>
      </c>
      <c r="B17494" s="2" t="s">
        <v>8382</v>
      </c>
      <c r="C17494" s="2" t="s">
        <v>8491</v>
      </c>
      <c r="D17494" s="3" t="str">
        <f t="shared" si="4513"/>
        <v>12Go Link</v>
      </c>
      <c r="E17494" s="2" t="s">
        <v>8364</v>
      </c>
    </row>
    <row r="17495">
      <c r="A17495" s="2" t="s">
        <v>8382</v>
      </c>
      <c r="B17495" s="2" t="s">
        <v>8382</v>
      </c>
      <c r="C17495" s="2" t="s">
        <v>8492</v>
      </c>
      <c r="D17495" s="3" t="str">
        <f t="shared" ref="D17495:D17497" si="4514">HYPERLINK("https://12go.asia/en/travel/Atasehir-Hotel-Transfer/Sabiha-Gokcen-Airport", "12Go Link")</f>
        <v>12Go Link</v>
      </c>
      <c r="E17495" s="2" t="s">
        <v>8384</v>
      </c>
    </row>
    <row r="17496">
      <c r="A17496" s="2" t="s">
        <v>8382</v>
      </c>
      <c r="B17496" s="2" t="s">
        <v>8382</v>
      </c>
      <c r="C17496" s="2" t="s">
        <v>8492</v>
      </c>
      <c r="D17496" s="3" t="str">
        <f t="shared" si="4514"/>
        <v>12Go Link</v>
      </c>
      <c r="E17496" s="2" t="s">
        <v>4194</v>
      </c>
    </row>
    <row r="17497">
      <c r="A17497" s="2" t="s">
        <v>8382</v>
      </c>
      <c r="B17497" s="2" t="s">
        <v>8382</v>
      </c>
      <c r="C17497" s="2" t="s">
        <v>8492</v>
      </c>
      <c r="D17497" s="3" t="str">
        <f t="shared" si="4514"/>
        <v>12Go Link</v>
      </c>
      <c r="E17497" s="2" t="s">
        <v>8364</v>
      </c>
    </row>
    <row r="17498">
      <c r="A17498" s="2" t="s">
        <v>8382</v>
      </c>
      <c r="B17498" s="2" t="s">
        <v>8382</v>
      </c>
      <c r="C17498" s="2" t="s">
        <v>8493</v>
      </c>
      <c r="D17498" s="3" t="str">
        <f t="shared" ref="D17498:D17500" si="4515">HYPERLINK("https://12go.asia/en/travel/Bakirkoy-Hotel-Transfer/Sabiha-Gokcen-Airport", "12Go Link")</f>
        <v>12Go Link</v>
      </c>
      <c r="E17498" s="2" t="s">
        <v>8384</v>
      </c>
    </row>
    <row r="17499">
      <c r="A17499" s="2" t="s">
        <v>8382</v>
      </c>
      <c r="B17499" s="2" t="s">
        <v>8382</v>
      </c>
      <c r="C17499" s="2" t="s">
        <v>8493</v>
      </c>
      <c r="D17499" s="3" t="str">
        <f t="shared" si="4515"/>
        <v>12Go Link</v>
      </c>
      <c r="E17499" s="2" t="s">
        <v>4194</v>
      </c>
    </row>
    <row r="17500">
      <c r="A17500" s="2" t="s">
        <v>8382</v>
      </c>
      <c r="B17500" s="2" t="s">
        <v>8382</v>
      </c>
      <c r="C17500" s="2" t="s">
        <v>8493</v>
      </c>
      <c r="D17500" s="3" t="str">
        <f t="shared" si="4515"/>
        <v>12Go Link</v>
      </c>
      <c r="E17500" s="2" t="s">
        <v>8364</v>
      </c>
    </row>
    <row r="17501">
      <c r="A17501" s="2" t="s">
        <v>8382</v>
      </c>
      <c r="B17501" s="2" t="s">
        <v>8382</v>
      </c>
      <c r="C17501" s="2" t="s">
        <v>8494</v>
      </c>
      <c r="D17501" s="3" t="str">
        <f t="shared" ref="D17501:D17503" si="4516">HYPERLINK("https://12go.asia/en/travel/Besiktas-Hotel-Transfer/Sabiha-Gokcen-Airport", "12Go Link")</f>
        <v>12Go Link</v>
      </c>
      <c r="E17501" s="2" t="s">
        <v>8384</v>
      </c>
    </row>
    <row r="17502">
      <c r="A17502" s="2" t="s">
        <v>8382</v>
      </c>
      <c r="B17502" s="2" t="s">
        <v>8382</v>
      </c>
      <c r="C17502" s="2" t="s">
        <v>8494</v>
      </c>
      <c r="D17502" s="3" t="str">
        <f t="shared" si="4516"/>
        <v>12Go Link</v>
      </c>
      <c r="E17502" s="2" t="s">
        <v>4194</v>
      </c>
    </row>
    <row r="17503">
      <c r="A17503" s="2" t="s">
        <v>8382</v>
      </c>
      <c r="B17503" s="2" t="s">
        <v>8382</v>
      </c>
      <c r="C17503" s="2" t="s">
        <v>8494</v>
      </c>
      <c r="D17503" s="3" t="str">
        <f t="shared" si="4516"/>
        <v>12Go Link</v>
      </c>
      <c r="E17503" s="2" t="s">
        <v>8364</v>
      </c>
    </row>
    <row r="17504">
      <c r="A17504" s="2" t="s">
        <v>8382</v>
      </c>
      <c r="B17504" s="2" t="s">
        <v>8382</v>
      </c>
      <c r="C17504" s="2" t="s">
        <v>8495</v>
      </c>
      <c r="D17504" s="3" t="str">
        <f t="shared" ref="D17504:D17506" si="4517">HYPERLINK("https://12go.asia/en/travel/Beyoglu-Hotel-Transfer/Sabiha-Gokcen-Airport", "12Go Link")</f>
        <v>12Go Link</v>
      </c>
      <c r="E17504" s="2" t="s">
        <v>8384</v>
      </c>
    </row>
    <row r="17505">
      <c r="A17505" s="2" t="s">
        <v>8382</v>
      </c>
      <c r="B17505" s="2" t="s">
        <v>8382</v>
      </c>
      <c r="C17505" s="2" t="s">
        <v>8495</v>
      </c>
      <c r="D17505" s="3" t="str">
        <f t="shared" si="4517"/>
        <v>12Go Link</v>
      </c>
      <c r="E17505" s="2" t="s">
        <v>4194</v>
      </c>
    </row>
    <row r="17506">
      <c r="A17506" s="2" t="s">
        <v>8382</v>
      </c>
      <c r="B17506" s="2" t="s">
        <v>8382</v>
      </c>
      <c r="C17506" s="2" t="s">
        <v>8495</v>
      </c>
      <c r="D17506" s="3" t="str">
        <f t="shared" si="4517"/>
        <v>12Go Link</v>
      </c>
      <c r="E17506" s="2" t="s">
        <v>8364</v>
      </c>
    </row>
    <row r="17507">
      <c r="A17507" s="2" t="s">
        <v>8382</v>
      </c>
      <c r="B17507" s="2" t="s">
        <v>8382</v>
      </c>
      <c r="C17507" s="2" t="s">
        <v>8496</v>
      </c>
      <c r="D17507" s="3" t="str">
        <f t="shared" ref="D17507:D17509" si="4518">HYPERLINK("https://12go.asia/en/travel/Buyukcekmece-Hotel-Transfer/Sabiha-Gokcen-Airport", "12Go Link")</f>
        <v>12Go Link</v>
      </c>
      <c r="E17507" s="2" t="s">
        <v>8384</v>
      </c>
    </row>
    <row r="17508">
      <c r="A17508" s="2" t="s">
        <v>8382</v>
      </c>
      <c r="B17508" s="2" t="s">
        <v>8382</v>
      </c>
      <c r="C17508" s="2" t="s">
        <v>8496</v>
      </c>
      <c r="D17508" s="3" t="str">
        <f t="shared" si="4518"/>
        <v>12Go Link</v>
      </c>
      <c r="E17508" s="2" t="s">
        <v>4194</v>
      </c>
    </row>
    <row r="17509">
      <c r="A17509" s="2" t="s">
        <v>8382</v>
      </c>
      <c r="B17509" s="2" t="s">
        <v>8382</v>
      </c>
      <c r="C17509" s="2" t="s">
        <v>8496</v>
      </c>
      <c r="D17509" s="3" t="str">
        <f t="shared" si="4518"/>
        <v>12Go Link</v>
      </c>
      <c r="E17509" s="2" t="s">
        <v>8364</v>
      </c>
    </row>
    <row r="17510">
      <c r="A17510" s="2" t="s">
        <v>8382</v>
      </c>
      <c r="B17510" s="2" t="s">
        <v>8382</v>
      </c>
      <c r="C17510" s="2" t="s">
        <v>8497</v>
      </c>
      <c r="D17510" s="3" t="str">
        <f t="shared" ref="D17510:D17512" si="4519">HYPERLINK("https://12go.asia/en/travel/Fatih-Hotel-Transfer/Sabiha-Gokcen-Airport", "12Go Link")</f>
        <v>12Go Link</v>
      </c>
      <c r="E17510" s="2" t="s">
        <v>8384</v>
      </c>
    </row>
    <row r="17511">
      <c r="A17511" s="2" t="s">
        <v>8382</v>
      </c>
      <c r="B17511" s="2" t="s">
        <v>8382</v>
      </c>
      <c r="C17511" s="2" t="s">
        <v>8497</v>
      </c>
      <c r="D17511" s="3" t="str">
        <f t="shared" si="4519"/>
        <v>12Go Link</v>
      </c>
      <c r="E17511" s="2" t="s">
        <v>4194</v>
      </c>
    </row>
    <row r="17512">
      <c r="A17512" s="2" t="s">
        <v>8382</v>
      </c>
      <c r="B17512" s="2" t="s">
        <v>8382</v>
      </c>
      <c r="C17512" s="2" t="s">
        <v>8497</v>
      </c>
      <c r="D17512" s="3" t="str">
        <f t="shared" si="4519"/>
        <v>12Go Link</v>
      </c>
      <c r="E17512" s="2" t="s">
        <v>8364</v>
      </c>
    </row>
    <row r="17513">
      <c r="A17513" s="2" t="s">
        <v>8382</v>
      </c>
      <c r="B17513" s="2" t="s">
        <v>8382</v>
      </c>
      <c r="C17513" s="2" t="s">
        <v>8498</v>
      </c>
      <c r="D17513" s="3" t="str">
        <f t="shared" ref="D17513:D17515" si="4520">HYPERLINK("https://12go.asia/en/travel/Kadikoy-Hotel-Transfer/Sabiha-Gokcen-Airport", "12Go Link")</f>
        <v>12Go Link</v>
      </c>
      <c r="E17513" s="2" t="s">
        <v>8384</v>
      </c>
    </row>
    <row r="17514">
      <c r="A17514" s="2" t="s">
        <v>8382</v>
      </c>
      <c r="B17514" s="2" t="s">
        <v>8382</v>
      </c>
      <c r="C17514" s="2" t="s">
        <v>8498</v>
      </c>
      <c r="D17514" s="3" t="str">
        <f t="shared" si="4520"/>
        <v>12Go Link</v>
      </c>
      <c r="E17514" s="2" t="s">
        <v>4194</v>
      </c>
    </row>
    <row r="17515">
      <c r="A17515" s="2" t="s">
        <v>8382</v>
      </c>
      <c r="B17515" s="2" t="s">
        <v>8382</v>
      </c>
      <c r="C17515" s="2" t="s">
        <v>8498</v>
      </c>
      <c r="D17515" s="3" t="str">
        <f t="shared" si="4520"/>
        <v>12Go Link</v>
      </c>
      <c r="E17515" s="2" t="s">
        <v>8364</v>
      </c>
    </row>
    <row r="17516">
      <c r="A17516" s="2" t="s">
        <v>8382</v>
      </c>
      <c r="B17516" s="2" t="s">
        <v>8382</v>
      </c>
      <c r="C17516" s="2" t="s">
        <v>8499</v>
      </c>
      <c r="D17516" s="3" t="str">
        <f t="shared" ref="D17516:D17518" si="4521">HYPERLINK("https://12go.asia/en/travel/Sabiha-Gokcen-Airport/Arnavutkoy-Hotel-Transfer", "12Go Link")</f>
        <v>12Go Link</v>
      </c>
      <c r="E17516" s="2" t="s">
        <v>8384</v>
      </c>
    </row>
    <row r="17517">
      <c r="A17517" s="2" t="s">
        <v>8382</v>
      </c>
      <c r="B17517" s="2" t="s">
        <v>8382</v>
      </c>
      <c r="C17517" s="2" t="s">
        <v>8499</v>
      </c>
      <c r="D17517" s="3" t="str">
        <f t="shared" si="4521"/>
        <v>12Go Link</v>
      </c>
      <c r="E17517" s="2" t="s">
        <v>4194</v>
      </c>
    </row>
    <row r="17518">
      <c r="A17518" s="2" t="s">
        <v>8382</v>
      </c>
      <c r="B17518" s="2" t="s">
        <v>8382</v>
      </c>
      <c r="C17518" s="2" t="s">
        <v>8499</v>
      </c>
      <c r="D17518" s="3" t="str">
        <f t="shared" si="4521"/>
        <v>12Go Link</v>
      </c>
      <c r="E17518" s="2" t="s">
        <v>8364</v>
      </c>
    </row>
    <row r="17519">
      <c r="A17519" s="2" t="s">
        <v>8382</v>
      </c>
      <c r="B17519" s="2" t="s">
        <v>8382</v>
      </c>
      <c r="C17519" s="2" t="s">
        <v>8500</v>
      </c>
      <c r="D17519" s="3" t="str">
        <f t="shared" ref="D17519:D17521" si="4522">HYPERLINK("https://12go.asia/en/travel/Sabiha-Gokcen-Airport/Atasehir-Hotel-Transfer", "12Go Link")</f>
        <v>12Go Link</v>
      </c>
      <c r="E17519" s="2" t="s">
        <v>8384</v>
      </c>
    </row>
    <row r="17520">
      <c r="A17520" s="2" t="s">
        <v>8382</v>
      </c>
      <c r="B17520" s="2" t="s">
        <v>8382</v>
      </c>
      <c r="C17520" s="2" t="s">
        <v>8500</v>
      </c>
      <c r="D17520" s="3" t="str">
        <f t="shared" si="4522"/>
        <v>12Go Link</v>
      </c>
      <c r="E17520" s="2" t="s">
        <v>4194</v>
      </c>
    </row>
    <row r="17521">
      <c r="A17521" s="2" t="s">
        <v>8382</v>
      </c>
      <c r="B17521" s="2" t="s">
        <v>8382</v>
      </c>
      <c r="C17521" s="2" t="s">
        <v>8500</v>
      </c>
      <c r="D17521" s="3" t="str">
        <f t="shared" si="4522"/>
        <v>12Go Link</v>
      </c>
      <c r="E17521" s="2" t="s">
        <v>8364</v>
      </c>
    </row>
    <row r="17522">
      <c r="A17522" s="2" t="s">
        <v>8382</v>
      </c>
      <c r="B17522" s="2" t="s">
        <v>8382</v>
      </c>
      <c r="C17522" s="2" t="s">
        <v>8501</v>
      </c>
      <c r="D17522" s="3" t="str">
        <f t="shared" ref="D17522:D17524" si="4523">HYPERLINK("https://12go.asia/en/travel/Sabiha-Gokcen-Airport/Bakirkoy-Hotel-Transfer", "12Go Link")</f>
        <v>12Go Link</v>
      </c>
      <c r="E17522" s="2" t="s">
        <v>8384</v>
      </c>
    </row>
    <row r="17523">
      <c r="A17523" s="2" t="s">
        <v>8382</v>
      </c>
      <c r="B17523" s="2" t="s">
        <v>8382</v>
      </c>
      <c r="C17523" s="2" t="s">
        <v>8501</v>
      </c>
      <c r="D17523" s="3" t="str">
        <f t="shared" si="4523"/>
        <v>12Go Link</v>
      </c>
      <c r="E17523" s="2" t="s">
        <v>4194</v>
      </c>
    </row>
    <row r="17524">
      <c r="A17524" s="2" t="s">
        <v>8382</v>
      </c>
      <c r="B17524" s="2" t="s">
        <v>8382</v>
      </c>
      <c r="C17524" s="2" t="s">
        <v>8501</v>
      </c>
      <c r="D17524" s="3" t="str">
        <f t="shared" si="4523"/>
        <v>12Go Link</v>
      </c>
      <c r="E17524" s="2" t="s">
        <v>8364</v>
      </c>
    </row>
    <row r="17525">
      <c r="A17525" s="2" t="s">
        <v>8382</v>
      </c>
      <c r="B17525" s="2" t="s">
        <v>8382</v>
      </c>
      <c r="C17525" s="2" t="s">
        <v>8502</v>
      </c>
      <c r="D17525" s="3" t="str">
        <f t="shared" ref="D17525:D17527" si="4524">HYPERLINK("https://12go.asia/en/travel/Sabiha-Gokcen-Airport/Besiktas-Hotel-Transfer", "12Go Link")</f>
        <v>12Go Link</v>
      </c>
      <c r="E17525" s="2" t="s">
        <v>8384</v>
      </c>
    </row>
    <row r="17526">
      <c r="A17526" s="2" t="s">
        <v>8382</v>
      </c>
      <c r="B17526" s="2" t="s">
        <v>8382</v>
      </c>
      <c r="C17526" s="2" t="s">
        <v>8502</v>
      </c>
      <c r="D17526" s="3" t="str">
        <f t="shared" si="4524"/>
        <v>12Go Link</v>
      </c>
      <c r="E17526" s="2" t="s">
        <v>4194</v>
      </c>
    </row>
    <row r="17527">
      <c r="A17527" s="2" t="s">
        <v>8382</v>
      </c>
      <c r="B17527" s="2" t="s">
        <v>8382</v>
      </c>
      <c r="C17527" s="2" t="s">
        <v>8502</v>
      </c>
      <c r="D17527" s="3" t="str">
        <f t="shared" si="4524"/>
        <v>12Go Link</v>
      </c>
      <c r="E17527" s="2" t="s">
        <v>8364</v>
      </c>
    </row>
    <row r="17528">
      <c r="A17528" s="2" t="s">
        <v>8382</v>
      </c>
      <c r="B17528" s="2" t="s">
        <v>8382</v>
      </c>
      <c r="C17528" s="2" t="s">
        <v>8503</v>
      </c>
      <c r="D17528" s="3" t="str">
        <f t="shared" ref="D17528:D17530" si="4525">HYPERLINK("https://12go.asia/en/travel/Sabiha-Gokcen-Airport/Beyoglu-Hotel-Transfer", "12Go Link")</f>
        <v>12Go Link</v>
      </c>
      <c r="E17528" s="2" t="s">
        <v>8384</v>
      </c>
    </row>
    <row r="17529">
      <c r="A17529" s="2" t="s">
        <v>8382</v>
      </c>
      <c r="B17529" s="2" t="s">
        <v>8382</v>
      </c>
      <c r="C17529" s="2" t="s">
        <v>8503</v>
      </c>
      <c r="D17529" s="3" t="str">
        <f t="shared" si="4525"/>
        <v>12Go Link</v>
      </c>
      <c r="E17529" s="2" t="s">
        <v>4194</v>
      </c>
    </row>
    <row r="17530">
      <c r="A17530" s="2" t="s">
        <v>8382</v>
      </c>
      <c r="B17530" s="2" t="s">
        <v>8382</v>
      </c>
      <c r="C17530" s="2" t="s">
        <v>8503</v>
      </c>
      <c r="D17530" s="3" t="str">
        <f t="shared" si="4525"/>
        <v>12Go Link</v>
      </c>
      <c r="E17530" s="2" t="s">
        <v>8364</v>
      </c>
    </row>
    <row r="17531">
      <c r="A17531" s="2" t="s">
        <v>8382</v>
      </c>
      <c r="B17531" s="2" t="s">
        <v>8382</v>
      </c>
      <c r="C17531" s="2" t="s">
        <v>8504</v>
      </c>
      <c r="D17531" s="3" t="str">
        <f t="shared" ref="D17531:D17533" si="4526">HYPERLINK("https://12go.asia/en/travel/Sabiha-Gokcen-Airport/Buyukcekmece-Hotel-Transfer", "12Go Link")</f>
        <v>12Go Link</v>
      </c>
      <c r="E17531" s="2" t="s">
        <v>8384</v>
      </c>
    </row>
    <row r="17532">
      <c r="A17532" s="2" t="s">
        <v>8382</v>
      </c>
      <c r="B17532" s="2" t="s">
        <v>8382</v>
      </c>
      <c r="C17532" s="2" t="s">
        <v>8504</v>
      </c>
      <c r="D17532" s="3" t="str">
        <f t="shared" si="4526"/>
        <v>12Go Link</v>
      </c>
      <c r="E17532" s="2" t="s">
        <v>4194</v>
      </c>
    </row>
    <row r="17533">
      <c r="A17533" s="2" t="s">
        <v>8382</v>
      </c>
      <c r="B17533" s="2" t="s">
        <v>8382</v>
      </c>
      <c r="C17533" s="2" t="s">
        <v>8504</v>
      </c>
      <c r="D17533" s="3" t="str">
        <f t="shared" si="4526"/>
        <v>12Go Link</v>
      </c>
      <c r="E17533" s="2" t="s">
        <v>8364</v>
      </c>
    </row>
    <row r="17534">
      <c r="A17534" s="2" t="s">
        <v>8382</v>
      </c>
      <c r="B17534" s="2" t="s">
        <v>8382</v>
      </c>
      <c r="C17534" s="2" t="s">
        <v>8505</v>
      </c>
      <c r="D17534" s="3" t="str">
        <f t="shared" ref="D17534:D17536" si="4527">HYPERLINK("https://12go.asia/en/travel/Sabiha-Gokcen-Airport/Fatih-Hotel-Transfer", "12Go Link")</f>
        <v>12Go Link</v>
      </c>
      <c r="E17534" s="2" t="s">
        <v>8384</v>
      </c>
    </row>
    <row r="17535">
      <c r="A17535" s="2" t="s">
        <v>8382</v>
      </c>
      <c r="B17535" s="2" t="s">
        <v>8382</v>
      </c>
      <c r="C17535" s="2" t="s">
        <v>8505</v>
      </c>
      <c r="D17535" s="3" t="str">
        <f t="shared" si="4527"/>
        <v>12Go Link</v>
      </c>
      <c r="E17535" s="2" t="s">
        <v>4194</v>
      </c>
    </row>
    <row r="17536">
      <c r="A17536" s="2" t="s">
        <v>8382</v>
      </c>
      <c r="B17536" s="2" t="s">
        <v>8382</v>
      </c>
      <c r="C17536" s="2" t="s">
        <v>8505</v>
      </c>
      <c r="D17536" s="3" t="str">
        <f t="shared" si="4527"/>
        <v>12Go Link</v>
      </c>
      <c r="E17536" s="2" t="s">
        <v>8364</v>
      </c>
    </row>
    <row r="17537">
      <c r="A17537" s="2" t="s">
        <v>8382</v>
      </c>
      <c r="B17537" s="2" t="s">
        <v>8382</v>
      </c>
      <c r="C17537" s="2" t="s">
        <v>8506</v>
      </c>
      <c r="D17537" s="3" t="str">
        <f t="shared" ref="D17537:D17539" si="4528">HYPERLINK("https://12go.asia/en/travel/Sabiha-Gokcen-Airport/Kadikoy-Hotel-Transfer", "12Go Link")</f>
        <v>12Go Link</v>
      </c>
      <c r="E17537" s="2" t="s">
        <v>8384</v>
      </c>
    </row>
    <row r="17538">
      <c r="A17538" s="2" t="s">
        <v>8382</v>
      </c>
      <c r="B17538" s="2" t="s">
        <v>8382</v>
      </c>
      <c r="C17538" s="2" t="s">
        <v>8506</v>
      </c>
      <c r="D17538" s="3" t="str">
        <f t="shared" si="4528"/>
        <v>12Go Link</v>
      </c>
      <c r="E17538" s="2" t="s">
        <v>4194</v>
      </c>
    </row>
    <row r="17539">
      <c r="A17539" s="2" t="s">
        <v>8382</v>
      </c>
      <c r="B17539" s="2" t="s">
        <v>8382</v>
      </c>
      <c r="C17539" s="2" t="s">
        <v>8506</v>
      </c>
      <c r="D17539" s="3" t="str">
        <f t="shared" si="4528"/>
        <v>12Go Link</v>
      </c>
      <c r="E17539" s="2" t="s">
        <v>8364</v>
      </c>
    </row>
    <row r="17540">
      <c r="A17540" s="2" t="s">
        <v>8382</v>
      </c>
      <c r="B17540" s="2" t="s">
        <v>8382</v>
      </c>
      <c r="C17540" s="2" t="s">
        <v>8507</v>
      </c>
      <c r="D17540" s="3" t="str">
        <f t="shared" ref="D17540:D17542" si="4529">HYPERLINK("https://12go.asia/en/travel/Sabiha-Gokcen-Airport/Tarabya-Hotel-Transfer", "12Go Link")</f>
        <v>12Go Link</v>
      </c>
      <c r="E17540" s="2" t="s">
        <v>8384</v>
      </c>
    </row>
    <row r="17541">
      <c r="A17541" s="2" t="s">
        <v>8382</v>
      </c>
      <c r="B17541" s="2" t="s">
        <v>8382</v>
      </c>
      <c r="C17541" s="2" t="s">
        <v>8507</v>
      </c>
      <c r="D17541" s="3" t="str">
        <f t="shared" si="4529"/>
        <v>12Go Link</v>
      </c>
      <c r="E17541" s="2" t="s">
        <v>4194</v>
      </c>
    </row>
    <row r="17542">
      <c r="A17542" s="2" t="s">
        <v>8382</v>
      </c>
      <c r="B17542" s="2" t="s">
        <v>8382</v>
      </c>
      <c r="C17542" s="2" t="s">
        <v>8507</v>
      </c>
      <c r="D17542" s="3" t="str">
        <f t="shared" si="4529"/>
        <v>12Go Link</v>
      </c>
      <c r="E17542" s="2" t="s">
        <v>8364</v>
      </c>
    </row>
    <row r="17543">
      <c r="A17543" s="2" t="s">
        <v>8382</v>
      </c>
      <c r="B17543" s="2" t="s">
        <v>8382</v>
      </c>
      <c r="C17543" s="2" t="s">
        <v>8508</v>
      </c>
      <c r="D17543" s="3" t="str">
        <f t="shared" ref="D17543:D17545" si="4530">HYPERLINK("https://12go.asia/en/travel/Sabiha-Gokcen-Airport/Tayakadin-Hotel-Transfer", "12Go Link")</f>
        <v>12Go Link</v>
      </c>
      <c r="E17543" s="2" t="s">
        <v>8384</v>
      </c>
    </row>
    <row r="17544">
      <c r="A17544" s="2" t="s">
        <v>8382</v>
      </c>
      <c r="B17544" s="2" t="s">
        <v>8382</v>
      </c>
      <c r="C17544" s="2" t="s">
        <v>8508</v>
      </c>
      <c r="D17544" s="3" t="str">
        <f t="shared" si="4530"/>
        <v>12Go Link</v>
      </c>
      <c r="E17544" s="2" t="s">
        <v>4194</v>
      </c>
    </row>
    <row r="17545">
      <c r="A17545" s="2" t="s">
        <v>8382</v>
      </c>
      <c r="B17545" s="2" t="s">
        <v>8382</v>
      </c>
      <c r="C17545" s="2" t="s">
        <v>8508</v>
      </c>
      <c r="D17545" s="3" t="str">
        <f t="shared" si="4530"/>
        <v>12Go Link</v>
      </c>
      <c r="E17545" s="2" t="s">
        <v>8364</v>
      </c>
    </row>
    <row r="17546">
      <c r="A17546" s="2" t="s">
        <v>8382</v>
      </c>
      <c r="B17546" s="2" t="s">
        <v>8382</v>
      </c>
      <c r="C17546" s="2" t="s">
        <v>8509</v>
      </c>
      <c r="D17546" s="3" t="str">
        <f t="shared" ref="D17546:D17548" si="4531">HYPERLINK("https://12go.asia/en/travel/Sabiha-Gokcen-Airport/Umraniye-Hotel-Transfer", "12Go Link")</f>
        <v>12Go Link</v>
      </c>
      <c r="E17546" s="2" t="s">
        <v>8384</v>
      </c>
    </row>
    <row r="17547">
      <c r="A17547" s="2" t="s">
        <v>8382</v>
      </c>
      <c r="B17547" s="2" t="s">
        <v>8382</v>
      </c>
      <c r="C17547" s="2" t="s">
        <v>8509</v>
      </c>
      <c r="D17547" s="3" t="str">
        <f t="shared" si="4531"/>
        <v>12Go Link</v>
      </c>
      <c r="E17547" s="2" t="s">
        <v>4194</v>
      </c>
    </row>
    <row r="17548">
      <c r="A17548" s="2" t="s">
        <v>8382</v>
      </c>
      <c r="B17548" s="2" t="s">
        <v>8382</v>
      </c>
      <c r="C17548" s="2" t="s">
        <v>8509</v>
      </c>
      <c r="D17548" s="3" t="str">
        <f t="shared" si="4531"/>
        <v>12Go Link</v>
      </c>
      <c r="E17548" s="2" t="s">
        <v>8364</v>
      </c>
    </row>
    <row r="17549">
      <c r="A17549" s="2" t="s">
        <v>8382</v>
      </c>
      <c r="B17549" s="2" t="s">
        <v>8382</v>
      </c>
      <c r="C17549" s="2" t="s">
        <v>8510</v>
      </c>
      <c r="D17549" s="3" t="str">
        <f t="shared" ref="D17549:D17551" si="4532">HYPERLINK("https://12go.asia/en/travel/Sabiha-Gokcen-Airport/Uskudar-Hotel-Transfer", "12Go Link")</f>
        <v>12Go Link</v>
      </c>
      <c r="E17549" s="2" t="s">
        <v>8384</v>
      </c>
    </row>
    <row r="17550">
      <c r="A17550" s="2" t="s">
        <v>8382</v>
      </c>
      <c r="B17550" s="2" t="s">
        <v>8382</v>
      </c>
      <c r="C17550" s="2" t="s">
        <v>8510</v>
      </c>
      <c r="D17550" s="3" t="str">
        <f t="shared" si="4532"/>
        <v>12Go Link</v>
      </c>
      <c r="E17550" s="2" t="s">
        <v>4194</v>
      </c>
    </row>
    <row r="17551">
      <c r="A17551" s="2" t="s">
        <v>8382</v>
      </c>
      <c r="B17551" s="2" t="s">
        <v>8382</v>
      </c>
      <c r="C17551" s="2" t="s">
        <v>8510</v>
      </c>
      <c r="D17551" s="3" t="str">
        <f t="shared" si="4532"/>
        <v>12Go Link</v>
      </c>
      <c r="E17551" s="2" t="s">
        <v>8364</v>
      </c>
    </row>
    <row r="17552">
      <c r="A17552" s="2" t="s">
        <v>8382</v>
      </c>
      <c r="B17552" s="2" t="s">
        <v>8382</v>
      </c>
      <c r="C17552" s="2" t="s">
        <v>8511</v>
      </c>
      <c r="D17552" s="3" t="str">
        <f t="shared" ref="D17552:D17554" si="4533">HYPERLINK("https://12go.asia/en/travel/Sabiha-Gokcen-Airport/Zeytinburnu-Hotel-Transfer", "12Go Link")</f>
        <v>12Go Link</v>
      </c>
      <c r="E17552" s="2" t="s">
        <v>8384</v>
      </c>
    </row>
    <row r="17553">
      <c r="A17553" s="2" t="s">
        <v>8382</v>
      </c>
      <c r="B17553" s="2" t="s">
        <v>8382</v>
      </c>
      <c r="C17553" s="2" t="s">
        <v>8511</v>
      </c>
      <c r="D17553" s="3" t="str">
        <f t="shared" si="4533"/>
        <v>12Go Link</v>
      </c>
      <c r="E17553" s="2" t="s">
        <v>4194</v>
      </c>
    </row>
    <row r="17554">
      <c r="A17554" s="2" t="s">
        <v>8382</v>
      </c>
      <c r="B17554" s="2" t="s">
        <v>8382</v>
      </c>
      <c r="C17554" s="2" t="s">
        <v>8511</v>
      </c>
      <c r="D17554" s="3" t="str">
        <f t="shared" si="4533"/>
        <v>12Go Link</v>
      </c>
      <c r="E17554" s="2" t="s">
        <v>8364</v>
      </c>
    </row>
    <row r="17555">
      <c r="A17555" s="2" t="s">
        <v>8382</v>
      </c>
      <c r="B17555" s="2" t="s">
        <v>8382</v>
      </c>
      <c r="C17555" s="2" t="s">
        <v>8512</v>
      </c>
      <c r="D17555" s="3" t="str">
        <f t="shared" ref="D17555:D17557" si="4534">HYPERLINK("https://12go.asia/en/travel/Tarabya-Hotel-Transfer/Sabiha-Gokcen-Airport", "12Go Link")</f>
        <v>12Go Link</v>
      </c>
      <c r="E17555" s="2" t="s">
        <v>8384</v>
      </c>
    </row>
    <row r="17556">
      <c r="A17556" s="2" t="s">
        <v>8382</v>
      </c>
      <c r="B17556" s="2" t="s">
        <v>8382</v>
      </c>
      <c r="C17556" s="2" t="s">
        <v>8512</v>
      </c>
      <c r="D17556" s="3" t="str">
        <f t="shared" si="4534"/>
        <v>12Go Link</v>
      </c>
      <c r="E17556" s="2" t="s">
        <v>4194</v>
      </c>
    </row>
    <row r="17557">
      <c r="A17557" s="2" t="s">
        <v>8382</v>
      </c>
      <c r="B17557" s="2" t="s">
        <v>8382</v>
      </c>
      <c r="C17557" s="2" t="s">
        <v>8512</v>
      </c>
      <c r="D17557" s="3" t="str">
        <f t="shared" si="4534"/>
        <v>12Go Link</v>
      </c>
      <c r="E17557" s="2" t="s">
        <v>8364</v>
      </c>
    </row>
    <row r="17558">
      <c r="A17558" s="2" t="s">
        <v>8382</v>
      </c>
      <c r="B17558" s="2" t="s">
        <v>8382</v>
      </c>
      <c r="C17558" s="2" t="s">
        <v>8513</v>
      </c>
      <c r="D17558" s="3" t="str">
        <f t="shared" ref="D17558:D17560" si="4535">HYPERLINK("https://12go.asia/en/travel/Tayakadin-Hotel-Transfer/Sabiha-Gokcen-Airport", "12Go Link")</f>
        <v>12Go Link</v>
      </c>
      <c r="E17558" s="2" t="s">
        <v>8384</v>
      </c>
    </row>
    <row r="17559">
      <c r="A17559" s="2" t="s">
        <v>8382</v>
      </c>
      <c r="B17559" s="2" t="s">
        <v>8382</v>
      </c>
      <c r="C17559" s="2" t="s">
        <v>8513</v>
      </c>
      <c r="D17559" s="3" t="str">
        <f t="shared" si="4535"/>
        <v>12Go Link</v>
      </c>
      <c r="E17559" s="2" t="s">
        <v>4194</v>
      </c>
    </row>
    <row r="17560">
      <c r="A17560" s="2" t="s">
        <v>8382</v>
      </c>
      <c r="B17560" s="2" t="s">
        <v>8382</v>
      </c>
      <c r="C17560" s="2" t="s">
        <v>8513</v>
      </c>
      <c r="D17560" s="3" t="str">
        <f t="shared" si="4535"/>
        <v>12Go Link</v>
      </c>
      <c r="E17560" s="2" t="s">
        <v>8364</v>
      </c>
    </row>
    <row r="17561">
      <c r="A17561" s="2" t="s">
        <v>8382</v>
      </c>
      <c r="B17561" s="2" t="s">
        <v>8382</v>
      </c>
      <c r="C17561" s="2" t="s">
        <v>8514</v>
      </c>
      <c r="D17561" s="3" t="str">
        <f t="shared" ref="D17561:D17563" si="4536">HYPERLINK("https://12go.asia/en/travel/Umraniye-Hotel-Transfer/Sabiha-Gokcen-Airport", "12Go Link")</f>
        <v>12Go Link</v>
      </c>
      <c r="E17561" s="2" t="s">
        <v>8384</v>
      </c>
    </row>
    <row r="17562">
      <c r="A17562" s="2" t="s">
        <v>8382</v>
      </c>
      <c r="B17562" s="2" t="s">
        <v>8382</v>
      </c>
      <c r="C17562" s="2" t="s">
        <v>8514</v>
      </c>
      <c r="D17562" s="3" t="str">
        <f t="shared" si="4536"/>
        <v>12Go Link</v>
      </c>
      <c r="E17562" s="2" t="s">
        <v>4194</v>
      </c>
    </row>
    <row r="17563">
      <c r="A17563" s="2" t="s">
        <v>8382</v>
      </c>
      <c r="B17563" s="2" t="s">
        <v>8382</v>
      </c>
      <c r="C17563" s="2" t="s">
        <v>8514</v>
      </c>
      <c r="D17563" s="3" t="str">
        <f t="shared" si="4536"/>
        <v>12Go Link</v>
      </c>
      <c r="E17563" s="2" t="s">
        <v>8364</v>
      </c>
    </row>
    <row r="17564">
      <c r="A17564" s="2" t="s">
        <v>8382</v>
      </c>
      <c r="B17564" s="2" t="s">
        <v>8382</v>
      </c>
      <c r="C17564" s="2" t="s">
        <v>8515</v>
      </c>
      <c r="D17564" s="3" t="str">
        <f t="shared" ref="D17564:D17566" si="4537">HYPERLINK("https://12go.asia/en/travel/Uskudar-Hotel-Transfer/Sabiha-Gokcen-Airport", "12Go Link")</f>
        <v>12Go Link</v>
      </c>
      <c r="E17564" s="2" t="s">
        <v>8384</v>
      </c>
    </row>
    <row r="17565">
      <c r="A17565" s="2" t="s">
        <v>8382</v>
      </c>
      <c r="B17565" s="2" t="s">
        <v>8382</v>
      </c>
      <c r="C17565" s="2" t="s">
        <v>8515</v>
      </c>
      <c r="D17565" s="3" t="str">
        <f t="shared" si="4537"/>
        <v>12Go Link</v>
      </c>
      <c r="E17565" s="2" t="s">
        <v>4194</v>
      </c>
    </row>
    <row r="17566">
      <c r="A17566" s="2" t="s">
        <v>8382</v>
      </c>
      <c r="B17566" s="2" t="s">
        <v>8382</v>
      </c>
      <c r="C17566" s="2" t="s">
        <v>8515</v>
      </c>
      <c r="D17566" s="3" t="str">
        <f t="shared" si="4537"/>
        <v>12Go Link</v>
      </c>
      <c r="E17566" s="2" t="s">
        <v>8364</v>
      </c>
    </row>
    <row r="17567">
      <c r="A17567" s="2" t="s">
        <v>8382</v>
      </c>
      <c r="B17567" s="2" t="s">
        <v>8382</v>
      </c>
      <c r="C17567" s="2" t="s">
        <v>8516</v>
      </c>
      <c r="D17567" s="3" t="str">
        <f t="shared" ref="D17567:D17569" si="4538">HYPERLINK("https://12go.asia/en/travel/Zeytinburnu-Hotel-Transfer/Sabiha-Gokcen-Airport", "12Go Link")</f>
        <v>12Go Link</v>
      </c>
      <c r="E17567" s="2" t="s">
        <v>8384</v>
      </c>
    </row>
    <row r="17568">
      <c r="A17568" s="2" t="s">
        <v>8382</v>
      </c>
      <c r="B17568" s="2" t="s">
        <v>8382</v>
      </c>
      <c r="C17568" s="2" t="s">
        <v>8516</v>
      </c>
      <c r="D17568" s="3" t="str">
        <f t="shared" si="4538"/>
        <v>12Go Link</v>
      </c>
      <c r="E17568" s="2" t="s">
        <v>4194</v>
      </c>
    </row>
    <row r="17569">
      <c r="A17569" s="2" t="s">
        <v>8382</v>
      </c>
      <c r="B17569" s="2" t="s">
        <v>8382</v>
      </c>
      <c r="C17569" s="2" t="s">
        <v>8516</v>
      </c>
      <c r="D17569" s="3" t="str">
        <f t="shared" si="4538"/>
        <v>12Go Link</v>
      </c>
      <c r="E17569" s="2" t="s">
        <v>8364</v>
      </c>
    </row>
    <row r="17570">
      <c r="A17570" s="2" t="s">
        <v>8382</v>
      </c>
      <c r="B17570" s="2" t="s">
        <v>8385</v>
      </c>
      <c r="C17570" s="2" t="s">
        <v>8517</v>
      </c>
      <c r="D17570" s="3" t="str">
        <f t="shared" ref="D17570:D17572" si="4539">HYPERLINK("https://12go.asia/en/travel/Arnavutkoy-Hotel-Transfer/Istanbul-Airport", "12Go Link")</f>
        <v>12Go Link</v>
      </c>
      <c r="E17570" s="2" t="s">
        <v>8384</v>
      </c>
    </row>
    <row r="17571">
      <c r="A17571" s="2" t="s">
        <v>8382</v>
      </c>
      <c r="B17571" s="2" t="s">
        <v>8385</v>
      </c>
      <c r="C17571" s="2" t="s">
        <v>8517</v>
      </c>
      <c r="D17571" s="3" t="str">
        <f t="shared" si="4539"/>
        <v>12Go Link</v>
      </c>
      <c r="E17571" s="2" t="s">
        <v>4194</v>
      </c>
    </row>
    <row r="17572">
      <c r="A17572" s="2" t="s">
        <v>8382</v>
      </c>
      <c r="B17572" s="2" t="s">
        <v>8385</v>
      </c>
      <c r="C17572" s="2" t="s">
        <v>8517</v>
      </c>
      <c r="D17572" s="3" t="str">
        <f t="shared" si="4539"/>
        <v>12Go Link</v>
      </c>
      <c r="E17572" s="2" t="s">
        <v>8364</v>
      </c>
    </row>
    <row r="17573">
      <c r="A17573" s="2" t="s">
        <v>8382</v>
      </c>
      <c r="B17573" s="2" t="s">
        <v>8385</v>
      </c>
      <c r="C17573" s="2" t="s">
        <v>8518</v>
      </c>
      <c r="D17573" s="3" t="str">
        <f t="shared" ref="D17573:D17575" si="4540">HYPERLINK("https://12go.asia/en/travel/Atasehir-Hotel-Transfer/Istanbul-Airport", "12Go Link")</f>
        <v>12Go Link</v>
      </c>
      <c r="E17573" s="2" t="s">
        <v>8384</v>
      </c>
    </row>
    <row r="17574">
      <c r="A17574" s="2" t="s">
        <v>8382</v>
      </c>
      <c r="B17574" s="2" t="s">
        <v>8385</v>
      </c>
      <c r="C17574" s="2" t="s">
        <v>8518</v>
      </c>
      <c r="D17574" s="3" t="str">
        <f t="shared" si="4540"/>
        <v>12Go Link</v>
      </c>
      <c r="E17574" s="2" t="s">
        <v>4194</v>
      </c>
    </row>
    <row r="17575">
      <c r="A17575" s="2" t="s">
        <v>8382</v>
      </c>
      <c r="B17575" s="2" t="s">
        <v>8385</v>
      </c>
      <c r="C17575" s="2" t="s">
        <v>8518</v>
      </c>
      <c r="D17575" s="3" t="str">
        <f t="shared" si="4540"/>
        <v>12Go Link</v>
      </c>
      <c r="E17575" s="2" t="s">
        <v>8364</v>
      </c>
    </row>
    <row r="17576">
      <c r="A17576" s="2" t="s">
        <v>8382</v>
      </c>
      <c r="B17576" s="2" t="s">
        <v>8385</v>
      </c>
      <c r="C17576" s="2" t="s">
        <v>8519</v>
      </c>
      <c r="D17576" s="3" t="str">
        <f t="shared" ref="D17576:D17578" si="4541">HYPERLINK("https://12go.asia/en/travel/Bakirkoy-Hotel-Transfer/Istanbul-Airport", "12Go Link")</f>
        <v>12Go Link</v>
      </c>
      <c r="E17576" s="2" t="s">
        <v>8384</v>
      </c>
    </row>
    <row r="17577">
      <c r="A17577" s="2" t="s">
        <v>8382</v>
      </c>
      <c r="B17577" s="2" t="s">
        <v>8385</v>
      </c>
      <c r="C17577" s="2" t="s">
        <v>8519</v>
      </c>
      <c r="D17577" s="3" t="str">
        <f t="shared" si="4541"/>
        <v>12Go Link</v>
      </c>
      <c r="E17577" s="2" t="s">
        <v>4194</v>
      </c>
    </row>
    <row r="17578">
      <c r="A17578" s="2" t="s">
        <v>8382</v>
      </c>
      <c r="B17578" s="2" t="s">
        <v>8385</v>
      </c>
      <c r="C17578" s="2" t="s">
        <v>8519</v>
      </c>
      <c r="D17578" s="3" t="str">
        <f t="shared" si="4541"/>
        <v>12Go Link</v>
      </c>
      <c r="E17578" s="2" t="s">
        <v>8364</v>
      </c>
    </row>
    <row r="17579">
      <c r="A17579" s="2" t="s">
        <v>8382</v>
      </c>
      <c r="B17579" s="2" t="s">
        <v>8385</v>
      </c>
      <c r="C17579" s="2" t="s">
        <v>8520</v>
      </c>
      <c r="D17579" s="3" t="str">
        <f t="shared" ref="D17579:D17581" si="4542">HYPERLINK("https://12go.asia/en/travel/Besiktas-Hotel-Transfer/Istanbul-Airport", "12Go Link")</f>
        <v>12Go Link</v>
      </c>
      <c r="E17579" s="2" t="s">
        <v>8384</v>
      </c>
    </row>
    <row r="17580">
      <c r="A17580" s="2" t="s">
        <v>8382</v>
      </c>
      <c r="B17580" s="2" t="s">
        <v>8385</v>
      </c>
      <c r="C17580" s="2" t="s">
        <v>8520</v>
      </c>
      <c r="D17580" s="3" t="str">
        <f t="shared" si="4542"/>
        <v>12Go Link</v>
      </c>
      <c r="E17580" s="2" t="s">
        <v>4194</v>
      </c>
    </row>
    <row r="17581">
      <c r="A17581" s="2" t="s">
        <v>8382</v>
      </c>
      <c r="B17581" s="2" t="s">
        <v>8385</v>
      </c>
      <c r="C17581" s="2" t="s">
        <v>8520</v>
      </c>
      <c r="D17581" s="3" t="str">
        <f t="shared" si="4542"/>
        <v>12Go Link</v>
      </c>
      <c r="E17581" s="2" t="s">
        <v>8364</v>
      </c>
    </row>
    <row r="17582">
      <c r="A17582" s="2" t="s">
        <v>8382</v>
      </c>
      <c r="B17582" s="2" t="s">
        <v>8385</v>
      </c>
      <c r="C17582" s="2" t="s">
        <v>8521</v>
      </c>
      <c r="D17582" s="3" t="str">
        <f t="shared" ref="D17582:D17584" si="4543">HYPERLINK("https://12go.asia/en/travel/Beyoglu-Hotel-Transfer/Istanbul-Airport", "12Go Link")</f>
        <v>12Go Link</v>
      </c>
      <c r="E17582" s="2" t="s">
        <v>8384</v>
      </c>
    </row>
    <row r="17583">
      <c r="A17583" s="2" t="s">
        <v>8382</v>
      </c>
      <c r="B17583" s="2" t="s">
        <v>8385</v>
      </c>
      <c r="C17583" s="2" t="s">
        <v>8521</v>
      </c>
      <c r="D17583" s="3" t="str">
        <f t="shared" si="4543"/>
        <v>12Go Link</v>
      </c>
      <c r="E17583" s="2" t="s">
        <v>4194</v>
      </c>
    </row>
    <row r="17584">
      <c r="A17584" s="2" t="s">
        <v>8382</v>
      </c>
      <c r="B17584" s="2" t="s">
        <v>8385</v>
      </c>
      <c r="C17584" s="2" t="s">
        <v>8521</v>
      </c>
      <c r="D17584" s="3" t="str">
        <f t="shared" si="4543"/>
        <v>12Go Link</v>
      </c>
      <c r="E17584" s="2" t="s">
        <v>8364</v>
      </c>
    </row>
    <row r="17585">
      <c r="A17585" s="2" t="s">
        <v>8382</v>
      </c>
      <c r="B17585" s="2" t="s">
        <v>8385</v>
      </c>
      <c r="C17585" s="2" t="s">
        <v>8522</v>
      </c>
      <c r="D17585" s="3" t="str">
        <f t="shared" ref="D17585:D17587" si="4544">HYPERLINK("https://12go.asia/en/travel/Buyukcekmece-Hotel-Transfer/Istanbul-Airport", "12Go Link")</f>
        <v>12Go Link</v>
      </c>
      <c r="E17585" s="2" t="s">
        <v>8384</v>
      </c>
    </row>
    <row r="17586">
      <c r="A17586" s="2" t="s">
        <v>8382</v>
      </c>
      <c r="B17586" s="2" t="s">
        <v>8385</v>
      </c>
      <c r="C17586" s="2" t="s">
        <v>8522</v>
      </c>
      <c r="D17586" s="3" t="str">
        <f t="shared" si="4544"/>
        <v>12Go Link</v>
      </c>
      <c r="E17586" s="2" t="s">
        <v>4194</v>
      </c>
    </row>
    <row r="17587">
      <c r="A17587" s="2" t="s">
        <v>8382</v>
      </c>
      <c r="B17587" s="2" t="s">
        <v>8385</v>
      </c>
      <c r="C17587" s="2" t="s">
        <v>8522</v>
      </c>
      <c r="D17587" s="3" t="str">
        <f t="shared" si="4544"/>
        <v>12Go Link</v>
      </c>
      <c r="E17587" s="2" t="s">
        <v>8364</v>
      </c>
    </row>
    <row r="17588">
      <c r="A17588" s="2" t="s">
        <v>8382</v>
      </c>
      <c r="B17588" s="2" t="s">
        <v>8385</v>
      </c>
      <c r="C17588" s="2" t="s">
        <v>8523</v>
      </c>
      <c r="D17588" s="3" t="str">
        <f t="shared" ref="D17588:D17590" si="4545">HYPERLINK("https://12go.asia/en/travel/Fatih-Hotel-Transfer/Istanbul-Airport", "12Go Link")</f>
        <v>12Go Link</v>
      </c>
      <c r="E17588" s="2" t="s">
        <v>8384</v>
      </c>
    </row>
    <row r="17589">
      <c r="A17589" s="2" t="s">
        <v>8382</v>
      </c>
      <c r="B17589" s="2" t="s">
        <v>8385</v>
      </c>
      <c r="C17589" s="2" t="s">
        <v>8523</v>
      </c>
      <c r="D17589" s="3" t="str">
        <f t="shared" si="4545"/>
        <v>12Go Link</v>
      </c>
      <c r="E17589" s="2" t="s">
        <v>4194</v>
      </c>
    </row>
    <row r="17590">
      <c r="A17590" s="2" t="s">
        <v>8382</v>
      </c>
      <c r="B17590" s="2" t="s">
        <v>8385</v>
      </c>
      <c r="C17590" s="2" t="s">
        <v>8523</v>
      </c>
      <c r="D17590" s="3" t="str">
        <f t="shared" si="4545"/>
        <v>12Go Link</v>
      </c>
      <c r="E17590" s="2" t="s">
        <v>8364</v>
      </c>
    </row>
    <row r="17591">
      <c r="A17591" s="2" t="s">
        <v>8382</v>
      </c>
      <c r="B17591" s="2" t="s">
        <v>8385</v>
      </c>
      <c r="C17591" s="2" t="s">
        <v>8524</v>
      </c>
      <c r="D17591" s="3" t="str">
        <f t="shared" ref="D17591:D17593" si="4546">HYPERLINK("https://12go.asia/en/travel/Kadikoy-Hotel-Transfer/Istanbul-Airport", "12Go Link")</f>
        <v>12Go Link</v>
      </c>
      <c r="E17591" s="2" t="s">
        <v>8384</v>
      </c>
    </row>
    <row r="17592">
      <c r="A17592" s="2" t="s">
        <v>8382</v>
      </c>
      <c r="B17592" s="2" t="s">
        <v>8385</v>
      </c>
      <c r="C17592" s="2" t="s">
        <v>8524</v>
      </c>
      <c r="D17592" s="3" t="str">
        <f t="shared" si="4546"/>
        <v>12Go Link</v>
      </c>
      <c r="E17592" s="2" t="s">
        <v>4194</v>
      </c>
    </row>
    <row r="17593">
      <c r="A17593" s="2" t="s">
        <v>8382</v>
      </c>
      <c r="B17593" s="2" t="s">
        <v>8385</v>
      </c>
      <c r="C17593" s="2" t="s">
        <v>8524</v>
      </c>
      <c r="D17593" s="3" t="str">
        <f t="shared" si="4546"/>
        <v>12Go Link</v>
      </c>
      <c r="E17593" s="2" t="s">
        <v>8364</v>
      </c>
    </row>
    <row r="17594">
      <c r="A17594" s="2" t="s">
        <v>8382</v>
      </c>
      <c r="B17594" s="2" t="s">
        <v>8385</v>
      </c>
      <c r="C17594" s="2" t="s">
        <v>8525</v>
      </c>
      <c r="D17594" s="3" t="str">
        <f t="shared" ref="D17594:D17596" si="4547">HYPERLINK("https://12go.asia/en/travel/Sabiha-Gokcen-Airport/Istanbul-Airport", "12Go Link")</f>
        <v>12Go Link</v>
      </c>
      <c r="E17594" s="2" t="s">
        <v>8384</v>
      </c>
    </row>
    <row r="17595">
      <c r="A17595" s="2" t="s">
        <v>8382</v>
      </c>
      <c r="B17595" s="2" t="s">
        <v>8385</v>
      </c>
      <c r="C17595" s="2" t="s">
        <v>8525</v>
      </c>
      <c r="D17595" s="3" t="str">
        <f t="shared" si="4547"/>
        <v>12Go Link</v>
      </c>
      <c r="E17595" s="2" t="s">
        <v>4194</v>
      </c>
    </row>
    <row r="17596">
      <c r="A17596" s="2" t="s">
        <v>8382</v>
      </c>
      <c r="B17596" s="2" t="s">
        <v>8385</v>
      </c>
      <c r="C17596" s="2" t="s">
        <v>8525</v>
      </c>
      <c r="D17596" s="3" t="str">
        <f t="shared" si="4547"/>
        <v>12Go Link</v>
      </c>
      <c r="E17596" s="2" t="s">
        <v>8364</v>
      </c>
    </row>
    <row r="17597">
      <c r="A17597" s="2" t="s">
        <v>8382</v>
      </c>
      <c r="B17597" s="2" t="s">
        <v>8385</v>
      </c>
      <c r="C17597" s="2" t="s">
        <v>8526</v>
      </c>
      <c r="D17597" s="3" t="str">
        <f t="shared" ref="D17597:D17599" si="4548">HYPERLINK("https://12go.asia/en/travel/Tarabya-Hotel-Transfer/Istanbul-Airport", "12Go Link")</f>
        <v>12Go Link</v>
      </c>
      <c r="E17597" s="2" t="s">
        <v>8384</v>
      </c>
    </row>
    <row r="17598">
      <c r="A17598" s="2" t="s">
        <v>8382</v>
      </c>
      <c r="B17598" s="2" t="s">
        <v>8385</v>
      </c>
      <c r="C17598" s="2" t="s">
        <v>8526</v>
      </c>
      <c r="D17598" s="3" t="str">
        <f t="shared" si="4548"/>
        <v>12Go Link</v>
      </c>
      <c r="E17598" s="2" t="s">
        <v>4194</v>
      </c>
    </row>
    <row r="17599">
      <c r="A17599" s="2" t="s">
        <v>8382</v>
      </c>
      <c r="B17599" s="2" t="s">
        <v>8385</v>
      </c>
      <c r="C17599" s="2" t="s">
        <v>8526</v>
      </c>
      <c r="D17599" s="3" t="str">
        <f t="shared" si="4548"/>
        <v>12Go Link</v>
      </c>
      <c r="E17599" s="2" t="s">
        <v>8364</v>
      </c>
    </row>
    <row r="17600">
      <c r="A17600" s="2" t="s">
        <v>8382</v>
      </c>
      <c r="B17600" s="2" t="s">
        <v>8385</v>
      </c>
      <c r="C17600" s="2" t="s">
        <v>8527</v>
      </c>
      <c r="D17600" s="3" t="str">
        <f t="shared" ref="D17600:D17602" si="4549">HYPERLINK("https://12go.asia/en/travel/Tayakadin-Hotel-Transfer/Istanbul-Airport", "12Go Link")</f>
        <v>12Go Link</v>
      </c>
      <c r="E17600" s="2" t="s">
        <v>8384</v>
      </c>
    </row>
    <row r="17601">
      <c r="A17601" s="2" t="s">
        <v>8382</v>
      </c>
      <c r="B17601" s="2" t="s">
        <v>8385</v>
      </c>
      <c r="C17601" s="2" t="s">
        <v>8527</v>
      </c>
      <c r="D17601" s="3" t="str">
        <f t="shared" si="4549"/>
        <v>12Go Link</v>
      </c>
      <c r="E17601" s="2" t="s">
        <v>4194</v>
      </c>
    </row>
    <row r="17602">
      <c r="A17602" s="2" t="s">
        <v>8382</v>
      </c>
      <c r="B17602" s="2" t="s">
        <v>8385</v>
      </c>
      <c r="C17602" s="2" t="s">
        <v>8527</v>
      </c>
      <c r="D17602" s="3" t="str">
        <f t="shared" si="4549"/>
        <v>12Go Link</v>
      </c>
      <c r="E17602" s="2" t="s">
        <v>8364</v>
      </c>
    </row>
    <row r="17603">
      <c r="A17603" s="2" t="s">
        <v>8382</v>
      </c>
      <c r="B17603" s="2" t="s">
        <v>8385</v>
      </c>
      <c r="C17603" s="2" t="s">
        <v>8528</v>
      </c>
      <c r="D17603" s="3" t="str">
        <f t="shared" ref="D17603:D17605" si="4550">HYPERLINK("https://12go.asia/en/travel/Umraniye-Hotel-Transfer/Istanbul-Airport", "12Go Link")</f>
        <v>12Go Link</v>
      </c>
      <c r="E17603" s="2" t="s">
        <v>8384</v>
      </c>
    </row>
    <row r="17604">
      <c r="A17604" s="2" t="s">
        <v>8382</v>
      </c>
      <c r="B17604" s="2" t="s">
        <v>8385</v>
      </c>
      <c r="C17604" s="2" t="s">
        <v>8528</v>
      </c>
      <c r="D17604" s="3" t="str">
        <f t="shared" si="4550"/>
        <v>12Go Link</v>
      </c>
      <c r="E17604" s="2" t="s">
        <v>4194</v>
      </c>
    </row>
    <row r="17605">
      <c r="A17605" s="2" t="s">
        <v>8382</v>
      </c>
      <c r="B17605" s="2" t="s">
        <v>8385</v>
      </c>
      <c r="C17605" s="2" t="s">
        <v>8528</v>
      </c>
      <c r="D17605" s="3" t="str">
        <f t="shared" si="4550"/>
        <v>12Go Link</v>
      </c>
      <c r="E17605" s="2" t="s">
        <v>8364</v>
      </c>
    </row>
    <row r="17606">
      <c r="A17606" s="2" t="s">
        <v>8382</v>
      </c>
      <c r="B17606" s="2" t="s">
        <v>8385</v>
      </c>
      <c r="C17606" s="2" t="s">
        <v>8529</v>
      </c>
      <c r="D17606" s="3" t="str">
        <f t="shared" ref="D17606:D17608" si="4551">HYPERLINK("https://12go.asia/en/travel/Uskudar-Hotel-Transfer/Istanbul-Airport", "12Go Link")</f>
        <v>12Go Link</v>
      </c>
      <c r="E17606" s="2" t="s">
        <v>8384</v>
      </c>
    </row>
    <row r="17607">
      <c r="A17607" s="2" t="s">
        <v>8382</v>
      </c>
      <c r="B17607" s="2" t="s">
        <v>8385</v>
      </c>
      <c r="C17607" s="2" t="s">
        <v>8529</v>
      </c>
      <c r="D17607" s="3" t="str">
        <f t="shared" si="4551"/>
        <v>12Go Link</v>
      </c>
      <c r="E17607" s="2" t="s">
        <v>4194</v>
      </c>
    </row>
    <row r="17608">
      <c r="A17608" s="2" t="s">
        <v>8382</v>
      </c>
      <c r="B17608" s="2" t="s">
        <v>8385</v>
      </c>
      <c r="C17608" s="2" t="s">
        <v>8529</v>
      </c>
      <c r="D17608" s="3" t="str">
        <f t="shared" si="4551"/>
        <v>12Go Link</v>
      </c>
      <c r="E17608" s="2" t="s">
        <v>8364</v>
      </c>
    </row>
    <row r="17609">
      <c r="A17609" s="2" t="s">
        <v>8382</v>
      </c>
      <c r="B17609" s="2" t="s">
        <v>8385</v>
      </c>
      <c r="C17609" s="2" t="s">
        <v>8530</v>
      </c>
      <c r="D17609" s="3" t="str">
        <f t="shared" ref="D17609:D17611" si="4552">HYPERLINK("https://12go.asia/en/travel/Zeytinburnu-Hotel-Transfer/Istanbul-Airport", "12Go Link")</f>
        <v>12Go Link</v>
      </c>
      <c r="E17609" s="2" t="s">
        <v>8384</v>
      </c>
    </row>
    <row r="17610">
      <c r="A17610" s="2" t="s">
        <v>8382</v>
      </c>
      <c r="B17610" s="2" t="s">
        <v>8385</v>
      </c>
      <c r="C17610" s="2" t="s">
        <v>8530</v>
      </c>
      <c r="D17610" s="3" t="str">
        <f t="shared" si="4552"/>
        <v>12Go Link</v>
      </c>
      <c r="E17610" s="2" t="s">
        <v>4194</v>
      </c>
    </row>
    <row r="17611">
      <c r="A17611" s="2" t="s">
        <v>8382</v>
      </c>
      <c r="B17611" s="2" t="s">
        <v>8385</v>
      </c>
      <c r="C17611" s="2" t="s">
        <v>8530</v>
      </c>
      <c r="D17611" s="3" t="str">
        <f t="shared" si="4552"/>
        <v>12Go Link</v>
      </c>
      <c r="E17611" s="2" t="s">
        <v>8364</v>
      </c>
    </row>
    <row r="17612">
      <c r="A17612" s="2" t="s">
        <v>8382</v>
      </c>
      <c r="B17612" s="2" t="s">
        <v>8531</v>
      </c>
      <c r="C17612" s="2" t="s">
        <v>8532</v>
      </c>
      <c r="D17612" s="3" t="str">
        <f t="shared" ref="D17612:D17614" si="4553">HYPERLINK("https://12go.asia/en/travel/Sabiha-Gokcen-Airport/Sapanca-Hotel-Transfer", "12Go Link")</f>
        <v>12Go Link</v>
      </c>
      <c r="E17612" s="2" t="s">
        <v>8384</v>
      </c>
    </row>
    <row r="17613">
      <c r="A17613" s="2" t="s">
        <v>8382</v>
      </c>
      <c r="B17613" s="2" t="s">
        <v>8531</v>
      </c>
      <c r="C17613" s="2" t="s">
        <v>8532</v>
      </c>
      <c r="D17613" s="3" t="str">
        <f t="shared" si="4553"/>
        <v>12Go Link</v>
      </c>
      <c r="E17613" s="2" t="s">
        <v>4194</v>
      </c>
    </row>
    <row r="17614">
      <c r="A17614" s="2" t="s">
        <v>8382</v>
      </c>
      <c r="B17614" s="2" t="s">
        <v>8531</v>
      </c>
      <c r="C17614" s="2" t="s">
        <v>8532</v>
      </c>
      <c r="D17614" s="3" t="str">
        <f t="shared" si="4553"/>
        <v>12Go Link</v>
      </c>
      <c r="E17614" s="2" t="s">
        <v>8364</v>
      </c>
    </row>
    <row r="17615">
      <c r="A17615" s="2" t="s">
        <v>8382</v>
      </c>
      <c r="B17615" s="2" t="s">
        <v>8533</v>
      </c>
      <c r="C17615" s="2" t="s">
        <v>8534</v>
      </c>
      <c r="D17615" s="3" t="str">
        <f t="shared" ref="D17615:D17617" si="4554">HYPERLINK("https://12go.asia/en/travel/Sabiha-Gokcen-Airport/Yalova-Hotel-Transfer", "12Go Link")</f>
        <v>12Go Link</v>
      </c>
      <c r="E17615" s="2" t="s">
        <v>8384</v>
      </c>
    </row>
    <row r="17616">
      <c r="A17616" s="2" t="s">
        <v>8382</v>
      </c>
      <c r="B17616" s="2" t="s">
        <v>8533</v>
      </c>
      <c r="C17616" s="2" t="s">
        <v>8534</v>
      </c>
      <c r="D17616" s="3" t="str">
        <f t="shared" si="4554"/>
        <v>12Go Link</v>
      </c>
      <c r="E17616" s="2" t="s">
        <v>4194</v>
      </c>
    </row>
    <row r="17617">
      <c r="A17617" s="2" t="s">
        <v>8382</v>
      </c>
      <c r="B17617" s="2" t="s">
        <v>8533</v>
      </c>
      <c r="C17617" s="2" t="s">
        <v>8534</v>
      </c>
      <c r="D17617" s="3" t="str">
        <f t="shared" si="4554"/>
        <v>12Go Link</v>
      </c>
      <c r="E17617" s="2" t="s">
        <v>8364</v>
      </c>
    </row>
    <row r="17618">
      <c r="A17618" s="2" t="s">
        <v>8385</v>
      </c>
      <c r="B17618" s="2" t="s">
        <v>8381</v>
      </c>
      <c r="C17618" s="2" t="s">
        <v>8535</v>
      </c>
      <c r="D17618" s="3" t="str">
        <f t="shared" ref="D17618:D17620" si="4555">HYPERLINK("https://12go.asia/en/travel/Istanbul-Airport/Bursa-Hotel-Transfer", "12Go Link")</f>
        <v>12Go Link</v>
      </c>
      <c r="E17618" s="2" t="s">
        <v>8384</v>
      </c>
    </row>
    <row r="17619">
      <c r="A17619" s="2" t="s">
        <v>8385</v>
      </c>
      <c r="B17619" s="2" t="s">
        <v>8381</v>
      </c>
      <c r="C17619" s="2" t="s">
        <v>8535</v>
      </c>
      <c r="D17619" s="3" t="str">
        <f t="shared" si="4555"/>
        <v>12Go Link</v>
      </c>
      <c r="E17619" s="2" t="s">
        <v>4194</v>
      </c>
    </row>
    <row r="17620">
      <c r="A17620" s="2" t="s">
        <v>8385</v>
      </c>
      <c r="B17620" s="2" t="s">
        <v>8381</v>
      </c>
      <c r="C17620" s="2" t="s">
        <v>8535</v>
      </c>
      <c r="D17620" s="3" t="str">
        <f t="shared" si="4555"/>
        <v>12Go Link</v>
      </c>
      <c r="E17620" s="2" t="s">
        <v>8364</v>
      </c>
    </row>
    <row r="17621">
      <c r="A17621" s="2" t="s">
        <v>8385</v>
      </c>
      <c r="B17621" s="2" t="s">
        <v>8382</v>
      </c>
      <c r="C17621" s="2" t="s">
        <v>8536</v>
      </c>
      <c r="D17621" s="3" t="str">
        <f t="shared" ref="D17621:D17623" si="4556">HYPERLINK("https://12go.asia/en/travel/Istanbul-Airport/Arnavutkoy-Hotel-Transfer", "12Go Link")</f>
        <v>12Go Link</v>
      </c>
      <c r="E17621" s="2" t="s">
        <v>8384</v>
      </c>
    </row>
    <row r="17622">
      <c r="A17622" s="2" t="s">
        <v>8385</v>
      </c>
      <c r="B17622" s="2" t="s">
        <v>8382</v>
      </c>
      <c r="C17622" s="2" t="s">
        <v>8536</v>
      </c>
      <c r="D17622" s="3" t="str">
        <f t="shared" si="4556"/>
        <v>12Go Link</v>
      </c>
      <c r="E17622" s="2" t="s">
        <v>4194</v>
      </c>
    </row>
    <row r="17623">
      <c r="A17623" s="2" t="s">
        <v>8385</v>
      </c>
      <c r="B17623" s="2" t="s">
        <v>8382</v>
      </c>
      <c r="C17623" s="2" t="s">
        <v>8536</v>
      </c>
      <c r="D17623" s="3" t="str">
        <f t="shared" si="4556"/>
        <v>12Go Link</v>
      </c>
      <c r="E17623" s="2" t="s">
        <v>8364</v>
      </c>
    </row>
    <row r="17624">
      <c r="A17624" s="2" t="s">
        <v>8385</v>
      </c>
      <c r="B17624" s="2" t="s">
        <v>8382</v>
      </c>
      <c r="C17624" s="2" t="s">
        <v>8537</v>
      </c>
      <c r="D17624" s="3" t="str">
        <f t="shared" ref="D17624:D17626" si="4557">HYPERLINK("https://12go.asia/en/travel/Istanbul-Airport/Atasehir-Hotel-Transfer", "12Go Link")</f>
        <v>12Go Link</v>
      </c>
      <c r="E17624" s="2" t="s">
        <v>8384</v>
      </c>
    </row>
    <row r="17625">
      <c r="A17625" s="2" t="s">
        <v>8385</v>
      </c>
      <c r="B17625" s="2" t="s">
        <v>8382</v>
      </c>
      <c r="C17625" s="2" t="s">
        <v>8537</v>
      </c>
      <c r="D17625" s="3" t="str">
        <f t="shared" si="4557"/>
        <v>12Go Link</v>
      </c>
      <c r="E17625" s="2" t="s">
        <v>4194</v>
      </c>
    </row>
    <row r="17626">
      <c r="A17626" s="2" t="s">
        <v>8385</v>
      </c>
      <c r="B17626" s="2" t="s">
        <v>8382</v>
      </c>
      <c r="C17626" s="2" t="s">
        <v>8537</v>
      </c>
      <c r="D17626" s="3" t="str">
        <f t="shared" si="4557"/>
        <v>12Go Link</v>
      </c>
      <c r="E17626" s="2" t="s">
        <v>8364</v>
      </c>
    </row>
    <row r="17627">
      <c r="A17627" s="2" t="s">
        <v>8385</v>
      </c>
      <c r="B17627" s="2" t="s">
        <v>8382</v>
      </c>
      <c r="C17627" s="2" t="s">
        <v>8538</v>
      </c>
      <c r="D17627" s="3" t="str">
        <f t="shared" ref="D17627:D17629" si="4558">HYPERLINK("https://12go.asia/en/travel/Istanbul-Airport/Bakirkoy-Hotel-Transfer", "12Go Link")</f>
        <v>12Go Link</v>
      </c>
      <c r="E17627" s="2" t="s">
        <v>8384</v>
      </c>
    </row>
    <row r="17628">
      <c r="A17628" s="2" t="s">
        <v>8385</v>
      </c>
      <c r="B17628" s="2" t="s">
        <v>8382</v>
      </c>
      <c r="C17628" s="2" t="s">
        <v>8538</v>
      </c>
      <c r="D17628" s="3" t="str">
        <f t="shared" si="4558"/>
        <v>12Go Link</v>
      </c>
      <c r="E17628" s="2" t="s">
        <v>4194</v>
      </c>
    </row>
    <row r="17629">
      <c r="A17629" s="2" t="s">
        <v>8385</v>
      </c>
      <c r="B17629" s="2" t="s">
        <v>8382</v>
      </c>
      <c r="C17629" s="2" t="s">
        <v>8538</v>
      </c>
      <c r="D17629" s="3" t="str">
        <f t="shared" si="4558"/>
        <v>12Go Link</v>
      </c>
      <c r="E17629" s="2" t="s">
        <v>8364</v>
      </c>
    </row>
    <row r="17630">
      <c r="A17630" s="2" t="s">
        <v>8385</v>
      </c>
      <c r="B17630" s="2" t="s">
        <v>8382</v>
      </c>
      <c r="C17630" s="2" t="s">
        <v>8539</v>
      </c>
      <c r="D17630" s="3" t="str">
        <f t="shared" ref="D17630:D17632" si="4559">HYPERLINK("https://12go.asia/en/travel/Istanbul-Airport/Besiktas-Hotel-Transfer", "12Go Link")</f>
        <v>12Go Link</v>
      </c>
      <c r="E17630" s="2" t="s">
        <v>8384</v>
      </c>
    </row>
    <row r="17631">
      <c r="A17631" s="2" t="s">
        <v>8385</v>
      </c>
      <c r="B17631" s="2" t="s">
        <v>8382</v>
      </c>
      <c r="C17631" s="2" t="s">
        <v>8539</v>
      </c>
      <c r="D17631" s="3" t="str">
        <f t="shared" si="4559"/>
        <v>12Go Link</v>
      </c>
      <c r="E17631" s="2" t="s">
        <v>4194</v>
      </c>
    </row>
    <row r="17632">
      <c r="A17632" s="2" t="s">
        <v>8385</v>
      </c>
      <c r="B17632" s="2" t="s">
        <v>8382</v>
      </c>
      <c r="C17632" s="2" t="s">
        <v>8539</v>
      </c>
      <c r="D17632" s="3" t="str">
        <f t="shared" si="4559"/>
        <v>12Go Link</v>
      </c>
      <c r="E17632" s="2" t="s">
        <v>8364</v>
      </c>
    </row>
    <row r="17633">
      <c r="A17633" s="2" t="s">
        <v>8385</v>
      </c>
      <c r="B17633" s="2" t="s">
        <v>8382</v>
      </c>
      <c r="C17633" s="2" t="s">
        <v>8540</v>
      </c>
      <c r="D17633" s="3" t="str">
        <f t="shared" ref="D17633:D17635" si="4560">HYPERLINK("https://12go.asia/en/travel/Istanbul-Airport/Beyoglu-Hotel-Transfer", "12Go Link")</f>
        <v>12Go Link</v>
      </c>
      <c r="E17633" s="2" t="s">
        <v>8384</v>
      </c>
    </row>
    <row r="17634">
      <c r="A17634" s="2" t="s">
        <v>8385</v>
      </c>
      <c r="B17634" s="2" t="s">
        <v>8382</v>
      </c>
      <c r="C17634" s="2" t="s">
        <v>8540</v>
      </c>
      <c r="D17634" s="3" t="str">
        <f t="shared" si="4560"/>
        <v>12Go Link</v>
      </c>
      <c r="E17634" s="2" t="s">
        <v>4194</v>
      </c>
    </row>
    <row r="17635">
      <c r="A17635" s="2" t="s">
        <v>8385</v>
      </c>
      <c r="B17635" s="2" t="s">
        <v>8382</v>
      </c>
      <c r="C17635" s="2" t="s">
        <v>8540</v>
      </c>
      <c r="D17635" s="3" t="str">
        <f t="shared" si="4560"/>
        <v>12Go Link</v>
      </c>
      <c r="E17635" s="2" t="s">
        <v>8364</v>
      </c>
    </row>
    <row r="17636">
      <c r="A17636" s="2" t="s">
        <v>8385</v>
      </c>
      <c r="B17636" s="2" t="s">
        <v>8382</v>
      </c>
      <c r="C17636" s="2" t="s">
        <v>8541</v>
      </c>
      <c r="D17636" s="3" t="str">
        <f t="shared" ref="D17636:D17638" si="4561">HYPERLINK("https://12go.asia/en/travel/Istanbul-Airport/Buyukcekmece-Hotel-Transfer", "12Go Link")</f>
        <v>12Go Link</v>
      </c>
      <c r="E17636" s="2" t="s">
        <v>8384</v>
      </c>
    </row>
    <row r="17637">
      <c r="A17637" s="2" t="s">
        <v>8385</v>
      </c>
      <c r="B17637" s="2" t="s">
        <v>8382</v>
      </c>
      <c r="C17637" s="2" t="s">
        <v>8541</v>
      </c>
      <c r="D17637" s="3" t="str">
        <f t="shared" si="4561"/>
        <v>12Go Link</v>
      </c>
      <c r="E17637" s="2" t="s">
        <v>4194</v>
      </c>
    </row>
    <row r="17638">
      <c r="A17638" s="2" t="s">
        <v>8385</v>
      </c>
      <c r="B17638" s="2" t="s">
        <v>8382</v>
      </c>
      <c r="C17638" s="2" t="s">
        <v>8541</v>
      </c>
      <c r="D17638" s="3" t="str">
        <f t="shared" si="4561"/>
        <v>12Go Link</v>
      </c>
      <c r="E17638" s="2" t="s">
        <v>8364</v>
      </c>
    </row>
    <row r="17639">
      <c r="A17639" s="2" t="s">
        <v>8385</v>
      </c>
      <c r="B17639" s="2" t="s">
        <v>8382</v>
      </c>
      <c r="C17639" s="2" t="s">
        <v>8542</v>
      </c>
      <c r="D17639" s="3" t="str">
        <f t="shared" ref="D17639:D17641" si="4562">HYPERLINK("https://12go.asia/en/travel/Istanbul-Airport/Fatih-Hotel-Transfer", "12Go Link")</f>
        <v>12Go Link</v>
      </c>
      <c r="E17639" s="2" t="s">
        <v>8384</v>
      </c>
    </row>
    <row r="17640">
      <c r="A17640" s="2" t="s">
        <v>8385</v>
      </c>
      <c r="B17640" s="2" t="s">
        <v>8382</v>
      </c>
      <c r="C17640" s="2" t="s">
        <v>8542</v>
      </c>
      <c r="D17640" s="3" t="str">
        <f t="shared" si="4562"/>
        <v>12Go Link</v>
      </c>
      <c r="E17640" s="2" t="s">
        <v>4194</v>
      </c>
    </row>
    <row r="17641">
      <c r="A17641" s="2" t="s">
        <v>8385</v>
      </c>
      <c r="B17641" s="2" t="s">
        <v>8382</v>
      </c>
      <c r="C17641" s="2" t="s">
        <v>8542</v>
      </c>
      <c r="D17641" s="3" t="str">
        <f t="shared" si="4562"/>
        <v>12Go Link</v>
      </c>
      <c r="E17641" s="2" t="s">
        <v>8364</v>
      </c>
    </row>
    <row r="17642">
      <c r="A17642" s="2" t="s">
        <v>8385</v>
      </c>
      <c r="B17642" s="2" t="s">
        <v>8382</v>
      </c>
      <c r="C17642" s="2" t="s">
        <v>8543</v>
      </c>
      <c r="D17642" s="3" t="str">
        <f t="shared" ref="D17642:D17644" si="4563">HYPERLINK("https://12go.asia/en/travel/Istanbul-Airport/Kadikoy-Hotel-Transfer", "12Go Link")</f>
        <v>12Go Link</v>
      </c>
      <c r="E17642" s="2" t="s">
        <v>8384</v>
      </c>
    </row>
    <row r="17643">
      <c r="A17643" s="2" t="s">
        <v>8385</v>
      </c>
      <c r="B17643" s="2" t="s">
        <v>8382</v>
      </c>
      <c r="C17643" s="2" t="s">
        <v>8543</v>
      </c>
      <c r="D17643" s="3" t="str">
        <f t="shared" si="4563"/>
        <v>12Go Link</v>
      </c>
      <c r="E17643" s="2" t="s">
        <v>4194</v>
      </c>
    </row>
    <row r="17644">
      <c r="A17644" s="2" t="s">
        <v>8385</v>
      </c>
      <c r="B17644" s="2" t="s">
        <v>8382</v>
      </c>
      <c r="C17644" s="2" t="s">
        <v>8543</v>
      </c>
      <c r="D17644" s="3" t="str">
        <f t="shared" si="4563"/>
        <v>12Go Link</v>
      </c>
      <c r="E17644" s="2" t="s">
        <v>8364</v>
      </c>
    </row>
    <row r="17645">
      <c r="A17645" s="2" t="s">
        <v>8385</v>
      </c>
      <c r="B17645" s="2" t="s">
        <v>8382</v>
      </c>
      <c r="C17645" s="2" t="s">
        <v>8544</v>
      </c>
      <c r="D17645" s="3" t="str">
        <f t="shared" ref="D17645:D17647" si="4564">HYPERLINK("https://12go.asia/en/travel/Istanbul-Airport/Sabiha-Gokcen-Airport", "12Go Link")</f>
        <v>12Go Link</v>
      </c>
      <c r="E17645" s="2" t="s">
        <v>8384</v>
      </c>
    </row>
    <row r="17646">
      <c r="A17646" s="2" t="s">
        <v>8385</v>
      </c>
      <c r="B17646" s="2" t="s">
        <v>8382</v>
      </c>
      <c r="C17646" s="2" t="s">
        <v>8544</v>
      </c>
      <c r="D17646" s="3" t="str">
        <f t="shared" si="4564"/>
        <v>12Go Link</v>
      </c>
      <c r="E17646" s="2" t="s">
        <v>4194</v>
      </c>
    </row>
    <row r="17647">
      <c r="A17647" s="2" t="s">
        <v>8385</v>
      </c>
      <c r="B17647" s="2" t="s">
        <v>8382</v>
      </c>
      <c r="C17647" s="2" t="s">
        <v>8544</v>
      </c>
      <c r="D17647" s="3" t="str">
        <f t="shared" si="4564"/>
        <v>12Go Link</v>
      </c>
      <c r="E17647" s="2" t="s">
        <v>8364</v>
      </c>
    </row>
    <row r="17648">
      <c r="A17648" s="2" t="s">
        <v>8385</v>
      </c>
      <c r="B17648" s="2" t="s">
        <v>8382</v>
      </c>
      <c r="C17648" s="2" t="s">
        <v>8545</v>
      </c>
      <c r="D17648" s="3" t="str">
        <f t="shared" ref="D17648:D17650" si="4565">HYPERLINK("https://12go.asia/en/travel/Istanbul-Airport/Tarabya-Hotel-Transfer", "12Go Link")</f>
        <v>12Go Link</v>
      </c>
      <c r="E17648" s="2" t="s">
        <v>8384</v>
      </c>
    </row>
    <row r="17649">
      <c r="A17649" s="2" t="s">
        <v>8385</v>
      </c>
      <c r="B17649" s="2" t="s">
        <v>8382</v>
      </c>
      <c r="C17649" s="2" t="s">
        <v>8545</v>
      </c>
      <c r="D17649" s="3" t="str">
        <f t="shared" si="4565"/>
        <v>12Go Link</v>
      </c>
      <c r="E17649" s="2" t="s">
        <v>4194</v>
      </c>
    </row>
    <row r="17650">
      <c r="A17650" s="2" t="s">
        <v>8385</v>
      </c>
      <c r="B17650" s="2" t="s">
        <v>8382</v>
      </c>
      <c r="C17650" s="2" t="s">
        <v>8545</v>
      </c>
      <c r="D17650" s="3" t="str">
        <f t="shared" si="4565"/>
        <v>12Go Link</v>
      </c>
      <c r="E17650" s="2" t="s">
        <v>8364</v>
      </c>
    </row>
    <row r="17651">
      <c r="A17651" s="2" t="s">
        <v>8385</v>
      </c>
      <c r="B17651" s="2" t="s">
        <v>8382</v>
      </c>
      <c r="C17651" s="2" t="s">
        <v>8546</v>
      </c>
      <c r="D17651" s="3" t="str">
        <f t="shared" ref="D17651:D17653" si="4566">HYPERLINK("https://12go.asia/en/travel/Istanbul-Airport/Tayakadin-Hotel-Transfer", "12Go Link")</f>
        <v>12Go Link</v>
      </c>
      <c r="E17651" s="2" t="s">
        <v>8384</v>
      </c>
    </row>
    <row r="17652">
      <c r="A17652" s="2" t="s">
        <v>8385</v>
      </c>
      <c r="B17652" s="2" t="s">
        <v>8382</v>
      </c>
      <c r="C17652" s="2" t="s">
        <v>8546</v>
      </c>
      <c r="D17652" s="3" t="str">
        <f t="shared" si="4566"/>
        <v>12Go Link</v>
      </c>
      <c r="E17652" s="2" t="s">
        <v>4194</v>
      </c>
    </row>
    <row r="17653">
      <c r="A17653" s="2" t="s">
        <v>8385</v>
      </c>
      <c r="B17653" s="2" t="s">
        <v>8382</v>
      </c>
      <c r="C17653" s="2" t="s">
        <v>8546</v>
      </c>
      <c r="D17653" s="3" t="str">
        <f t="shared" si="4566"/>
        <v>12Go Link</v>
      </c>
      <c r="E17653" s="2" t="s">
        <v>8364</v>
      </c>
    </row>
    <row r="17654">
      <c r="A17654" s="2" t="s">
        <v>8385</v>
      </c>
      <c r="B17654" s="2" t="s">
        <v>8382</v>
      </c>
      <c r="C17654" s="2" t="s">
        <v>8547</v>
      </c>
      <c r="D17654" s="3" t="str">
        <f t="shared" ref="D17654:D17656" si="4567">HYPERLINK("https://12go.asia/en/travel/Istanbul-Airport/Umraniye-Hotel-Transfer", "12Go Link")</f>
        <v>12Go Link</v>
      </c>
      <c r="E17654" s="2" t="s">
        <v>8384</v>
      </c>
    </row>
    <row r="17655">
      <c r="A17655" s="2" t="s">
        <v>8385</v>
      </c>
      <c r="B17655" s="2" t="s">
        <v>8382</v>
      </c>
      <c r="C17655" s="2" t="s">
        <v>8547</v>
      </c>
      <c r="D17655" s="3" t="str">
        <f t="shared" si="4567"/>
        <v>12Go Link</v>
      </c>
      <c r="E17655" s="2" t="s">
        <v>4194</v>
      </c>
    </row>
    <row r="17656">
      <c r="A17656" s="2" t="s">
        <v>8385</v>
      </c>
      <c r="B17656" s="2" t="s">
        <v>8382</v>
      </c>
      <c r="C17656" s="2" t="s">
        <v>8547</v>
      </c>
      <c r="D17656" s="3" t="str">
        <f t="shared" si="4567"/>
        <v>12Go Link</v>
      </c>
      <c r="E17656" s="2" t="s">
        <v>8364</v>
      </c>
    </row>
    <row r="17657">
      <c r="A17657" s="2" t="s">
        <v>8385</v>
      </c>
      <c r="B17657" s="2" t="s">
        <v>8382</v>
      </c>
      <c r="C17657" s="2" t="s">
        <v>8548</v>
      </c>
      <c r="D17657" s="3" t="str">
        <f t="shared" ref="D17657:D17659" si="4568">HYPERLINK("https://12go.asia/en/travel/Istanbul-Airport/Uskudar-Hotel-Transfer", "12Go Link")</f>
        <v>12Go Link</v>
      </c>
      <c r="E17657" s="2" t="s">
        <v>8384</v>
      </c>
    </row>
    <row r="17658">
      <c r="A17658" s="2" t="s">
        <v>8385</v>
      </c>
      <c r="B17658" s="2" t="s">
        <v>8382</v>
      </c>
      <c r="C17658" s="2" t="s">
        <v>8548</v>
      </c>
      <c r="D17658" s="3" t="str">
        <f t="shared" si="4568"/>
        <v>12Go Link</v>
      </c>
      <c r="E17658" s="2" t="s">
        <v>4194</v>
      </c>
    </row>
    <row r="17659">
      <c r="A17659" s="2" t="s">
        <v>8385</v>
      </c>
      <c r="B17659" s="2" t="s">
        <v>8382</v>
      </c>
      <c r="C17659" s="2" t="s">
        <v>8548</v>
      </c>
      <c r="D17659" s="3" t="str">
        <f t="shared" si="4568"/>
        <v>12Go Link</v>
      </c>
      <c r="E17659" s="2" t="s">
        <v>8364</v>
      </c>
    </row>
    <row r="17660">
      <c r="A17660" s="2" t="s">
        <v>8385</v>
      </c>
      <c r="B17660" s="2" t="s">
        <v>8382</v>
      </c>
      <c r="C17660" s="2" t="s">
        <v>8549</v>
      </c>
      <c r="D17660" s="3" t="str">
        <f t="shared" ref="D17660:D17662" si="4569">HYPERLINK("https://12go.asia/en/travel/Istanbul-Airport/Zeytinburnu-Hotel-Transfer", "12Go Link")</f>
        <v>12Go Link</v>
      </c>
      <c r="E17660" s="2" t="s">
        <v>8384</v>
      </c>
    </row>
    <row r="17661">
      <c r="A17661" s="2" t="s">
        <v>8385</v>
      </c>
      <c r="B17661" s="2" t="s">
        <v>8382</v>
      </c>
      <c r="C17661" s="2" t="s">
        <v>8549</v>
      </c>
      <c r="D17661" s="3" t="str">
        <f t="shared" si="4569"/>
        <v>12Go Link</v>
      </c>
      <c r="E17661" s="2" t="s">
        <v>4194</v>
      </c>
    </row>
    <row r="17662">
      <c r="A17662" s="2" t="s">
        <v>8385</v>
      </c>
      <c r="B17662" s="2" t="s">
        <v>8382</v>
      </c>
      <c r="C17662" s="2" t="s">
        <v>8549</v>
      </c>
      <c r="D17662" s="3" t="str">
        <f t="shared" si="4569"/>
        <v>12Go Link</v>
      </c>
      <c r="E17662" s="2" t="s">
        <v>8364</v>
      </c>
    </row>
    <row r="17663">
      <c r="A17663" s="2" t="s">
        <v>8385</v>
      </c>
      <c r="B17663" s="2" t="s">
        <v>8531</v>
      </c>
      <c r="C17663" s="2" t="s">
        <v>8550</v>
      </c>
      <c r="D17663" s="3" t="str">
        <f t="shared" ref="D17663:D17665" si="4570">HYPERLINK("https://12go.asia/en/travel/Istanbul-Airport/Sapanca-Hotel-Transfer", "12Go Link")</f>
        <v>12Go Link</v>
      </c>
      <c r="E17663" s="2" t="s">
        <v>8384</v>
      </c>
    </row>
    <row r="17664">
      <c r="A17664" s="2" t="s">
        <v>8385</v>
      </c>
      <c r="B17664" s="2" t="s">
        <v>8531</v>
      </c>
      <c r="C17664" s="2" t="s">
        <v>8550</v>
      </c>
      <c r="D17664" s="3" t="str">
        <f t="shared" si="4570"/>
        <v>12Go Link</v>
      </c>
      <c r="E17664" s="2" t="s">
        <v>4194</v>
      </c>
    </row>
    <row r="17665">
      <c r="A17665" s="2" t="s">
        <v>8385</v>
      </c>
      <c r="B17665" s="2" t="s">
        <v>8531</v>
      </c>
      <c r="C17665" s="2" t="s">
        <v>8550</v>
      </c>
      <c r="D17665" s="3" t="str">
        <f t="shared" si="4570"/>
        <v>12Go Link</v>
      </c>
      <c r="E17665" s="2" t="s">
        <v>8364</v>
      </c>
    </row>
    <row r="17666">
      <c r="A17666" s="2" t="s">
        <v>8385</v>
      </c>
      <c r="B17666" s="2" t="s">
        <v>8533</v>
      </c>
      <c r="C17666" s="2" t="s">
        <v>8551</v>
      </c>
      <c r="D17666" s="3" t="str">
        <f t="shared" ref="D17666:D17668" si="4571">HYPERLINK("https://12go.asia/en/travel/Istanbul-Airport/Yalova-Hotel-Transfer", "12Go Link")</f>
        <v>12Go Link</v>
      </c>
      <c r="E17666" s="2" t="s">
        <v>8384</v>
      </c>
    </row>
    <row r="17667">
      <c r="A17667" s="2" t="s">
        <v>8385</v>
      </c>
      <c r="B17667" s="2" t="s">
        <v>8533</v>
      </c>
      <c r="C17667" s="2" t="s">
        <v>8551</v>
      </c>
      <c r="D17667" s="3" t="str">
        <f t="shared" si="4571"/>
        <v>12Go Link</v>
      </c>
      <c r="E17667" s="2" t="s">
        <v>4194</v>
      </c>
    </row>
    <row r="17668">
      <c r="A17668" s="2" t="s">
        <v>8385</v>
      </c>
      <c r="B17668" s="2" t="s">
        <v>8533</v>
      </c>
      <c r="C17668" s="2" t="s">
        <v>8551</v>
      </c>
      <c r="D17668" s="3" t="str">
        <f t="shared" si="4571"/>
        <v>12Go Link</v>
      </c>
      <c r="E17668" s="2" t="s">
        <v>8364</v>
      </c>
    </row>
    <row r="17669">
      <c r="A17669" s="2" t="s">
        <v>8420</v>
      </c>
      <c r="B17669" s="2" t="s">
        <v>8293</v>
      </c>
      <c r="C17669" s="2" t="s">
        <v>8552</v>
      </c>
      <c r="D17669" s="3" t="str">
        <f t="shared" ref="D17669:D17671" si="4572">HYPERLINK("https://12go.asia/en/travel/Izmir-Hotel-Transfer/Dalaman-Airport", "12Go Link")</f>
        <v>12Go Link</v>
      </c>
      <c r="E17669" s="2" t="s">
        <v>8295</v>
      </c>
    </row>
    <row r="17670">
      <c r="A17670" s="2" t="s">
        <v>8420</v>
      </c>
      <c r="B17670" s="2" t="s">
        <v>8293</v>
      </c>
      <c r="C17670" s="2" t="s">
        <v>8552</v>
      </c>
      <c r="D17670" s="3" t="str">
        <f t="shared" si="4572"/>
        <v>12Go Link</v>
      </c>
      <c r="E17670" s="2" t="s">
        <v>4137</v>
      </c>
    </row>
    <row r="17671">
      <c r="A17671" s="2" t="s">
        <v>8420</v>
      </c>
      <c r="B17671" s="2" t="s">
        <v>8293</v>
      </c>
      <c r="C17671" s="2" t="s">
        <v>8552</v>
      </c>
      <c r="D17671" s="3" t="str">
        <f t="shared" si="4572"/>
        <v>12Go Link</v>
      </c>
      <c r="E17671" s="2" t="s">
        <v>8296</v>
      </c>
    </row>
    <row r="17672">
      <c r="A17672" s="2" t="s">
        <v>8420</v>
      </c>
      <c r="B17672" s="2" t="s">
        <v>8365</v>
      </c>
      <c r="C17672" s="2" t="s">
        <v>8553</v>
      </c>
      <c r="D17672" s="3" t="str">
        <f t="shared" ref="D17672:D17674" si="4573">HYPERLINK("https://12go.asia/en/travel/Adnan-Menderes-Airport/Fethiye-Hotel-Transfer", "12Go Link")</f>
        <v>12Go Link</v>
      </c>
      <c r="E17672" s="2" t="s">
        <v>4138</v>
      </c>
    </row>
    <row r="17673">
      <c r="A17673" s="2" t="s">
        <v>8420</v>
      </c>
      <c r="B17673" s="2" t="s">
        <v>8365</v>
      </c>
      <c r="C17673" s="2" t="s">
        <v>8553</v>
      </c>
      <c r="D17673" s="3" t="str">
        <f t="shared" si="4573"/>
        <v>12Go Link</v>
      </c>
      <c r="E17673" s="2" t="s">
        <v>8363</v>
      </c>
    </row>
    <row r="17674">
      <c r="A17674" s="2" t="s">
        <v>8420</v>
      </c>
      <c r="B17674" s="2" t="s">
        <v>8365</v>
      </c>
      <c r="C17674" s="2" t="s">
        <v>8553</v>
      </c>
      <c r="D17674" s="3" t="str">
        <f t="shared" si="4573"/>
        <v>12Go Link</v>
      </c>
      <c r="E17674" s="2" t="s">
        <v>8364</v>
      </c>
    </row>
    <row r="17675">
      <c r="A17675" s="2" t="s">
        <v>8422</v>
      </c>
      <c r="B17675" s="2" t="s">
        <v>8293</v>
      </c>
      <c r="C17675" s="2" t="s">
        <v>8554</v>
      </c>
      <c r="D17675" s="3" t="str">
        <f t="shared" ref="D17675:D17677" si="4574">HYPERLINK("https://12go.asia/en/travel/Kabak-Hotel-Transfer/Dalaman-Airport", "12Go Link")</f>
        <v>12Go Link</v>
      </c>
      <c r="E17675" s="2" t="s">
        <v>4138</v>
      </c>
    </row>
    <row r="17676">
      <c r="A17676" s="2" t="s">
        <v>8422</v>
      </c>
      <c r="B17676" s="2" t="s">
        <v>8293</v>
      </c>
      <c r="C17676" s="2" t="s">
        <v>8554</v>
      </c>
      <c r="D17676" s="3" t="str">
        <f t="shared" si="4574"/>
        <v>12Go Link</v>
      </c>
      <c r="E17676" s="2" t="s">
        <v>8363</v>
      </c>
    </row>
    <row r="17677">
      <c r="A17677" s="2" t="s">
        <v>8422</v>
      </c>
      <c r="B17677" s="2" t="s">
        <v>8293</v>
      </c>
      <c r="C17677" s="2" t="s">
        <v>8554</v>
      </c>
      <c r="D17677" s="3" t="str">
        <f t="shared" si="4574"/>
        <v>12Go Link</v>
      </c>
      <c r="E17677" s="2" t="s">
        <v>8364</v>
      </c>
    </row>
    <row r="17678">
      <c r="A17678" s="2" t="s">
        <v>8424</v>
      </c>
      <c r="B17678" s="2" t="s">
        <v>8293</v>
      </c>
      <c r="C17678" s="2" t="s">
        <v>8555</v>
      </c>
      <c r="D17678" s="3" t="str">
        <f t="shared" ref="D17678:D17683" si="4575">HYPERLINK("https://12go.asia/en/travel/Kalkan-Hotel-Transfer/Dalaman-Airport", "12Go Link")</f>
        <v>12Go Link</v>
      </c>
      <c r="E17678" s="2" t="s">
        <v>8295</v>
      </c>
    </row>
    <row r="17679">
      <c r="A17679" s="2" t="s">
        <v>8424</v>
      </c>
      <c r="B17679" s="2" t="s">
        <v>8293</v>
      </c>
      <c r="C17679" s="2" t="s">
        <v>8555</v>
      </c>
      <c r="D17679" s="3" t="str">
        <f t="shared" si="4575"/>
        <v>12Go Link</v>
      </c>
      <c r="E17679" s="2" t="s">
        <v>4137</v>
      </c>
    </row>
    <row r="17680">
      <c r="A17680" s="2" t="s">
        <v>8424</v>
      </c>
      <c r="B17680" s="2" t="s">
        <v>8293</v>
      </c>
      <c r="C17680" s="2" t="s">
        <v>8555</v>
      </c>
      <c r="D17680" s="3" t="str">
        <f t="shared" si="4575"/>
        <v>12Go Link</v>
      </c>
      <c r="E17680" s="2" t="s">
        <v>4138</v>
      </c>
    </row>
    <row r="17681">
      <c r="A17681" s="2" t="s">
        <v>8424</v>
      </c>
      <c r="B17681" s="2" t="s">
        <v>8293</v>
      </c>
      <c r="C17681" s="2" t="s">
        <v>8555</v>
      </c>
      <c r="D17681" s="3" t="str">
        <f t="shared" si="4575"/>
        <v>12Go Link</v>
      </c>
      <c r="E17681" s="2" t="s">
        <v>8363</v>
      </c>
    </row>
    <row r="17682">
      <c r="A17682" s="2" t="s">
        <v>8424</v>
      </c>
      <c r="B17682" s="2" t="s">
        <v>8293</v>
      </c>
      <c r="C17682" s="2" t="s">
        <v>8555</v>
      </c>
      <c r="D17682" s="3" t="str">
        <f t="shared" si="4575"/>
        <v>12Go Link</v>
      </c>
      <c r="E17682" s="2" t="s">
        <v>8364</v>
      </c>
    </row>
    <row r="17683">
      <c r="A17683" s="2" t="s">
        <v>8424</v>
      </c>
      <c r="B17683" s="2" t="s">
        <v>8293</v>
      </c>
      <c r="C17683" s="2" t="s">
        <v>8555</v>
      </c>
      <c r="D17683" s="3" t="str">
        <f t="shared" si="4575"/>
        <v>12Go Link</v>
      </c>
      <c r="E17683" s="2" t="s">
        <v>8296</v>
      </c>
    </row>
    <row r="17684">
      <c r="A17684" s="2" t="s">
        <v>8426</v>
      </c>
      <c r="B17684" s="2" t="s">
        <v>8293</v>
      </c>
      <c r="C17684" s="2" t="s">
        <v>8556</v>
      </c>
      <c r="D17684" s="3" t="str">
        <f t="shared" ref="D17684:D17686" si="4576">HYPERLINK("https://12go.asia/en/travel/Sarsala-Bay/Dalaman-Airport", "12Go Link")</f>
        <v>12Go Link</v>
      </c>
      <c r="E17684" s="2" t="s">
        <v>4138</v>
      </c>
    </row>
    <row r="17685">
      <c r="A17685" s="2" t="s">
        <v>8426</v>
      </c>
      <c r="B17685" s="2" t="s">
        <v>8293</v>
      </c>
      <c r="C17685" s="2" t="s">
        <v>8556</v>
      </c>
      <c r="D17685" s="3" t="str">
        <f t="shared" si="4576"/>
        <v>12Go Link</v>
      </c>
      <c r="E17685" s="2" t="s">
        <v>8363</v>
      </c>
    </row>
    <row r="17686">
      <c r="A17686" s="2" t="s">
        <v>8426</v>
      </c>
      <c r="B17686" s="2" t="s">
        <v>8293</v>
      </c>
      <c r="C17686" s="2" t="s">
        <v>8556</v>
      </c>
      <c r="D17686" s="3" t="str">
        <f t="shared" si="4576"/>
        <v>12Go Link</v>
      </c>
      <c r="E17686" s="2" t="s">
        <v>8364</v>
      </c>
    </row>
    <row r="17687">
      <c r="A17687" s="2" t="s">
        <v>8321</v>
      </c>
      <c r="B17687" s="2" t="s">
        <v>8302</v>
      </c>
      <c r="C17687" s="2" t="s">
        <v>8557</v>
      </c>
      <c r="D17687" s="3" t="str">
        <f t="shared" ref="D17687:D17689" si="4577">HYPERLINK("https://12go.asia/en/travel/Kargicak-Hotel-Transfer/Gazipasa-Alanya-Airport", "12Go Link")</f>
        <v>12Go Link</v>
      </c>
      <c r="E17687" s="2" t="s">
        <v>4507</v>
      </c>
    </row>
    <row r="17688">
      <c r="A17688" s="2" t="s">
        <v>8321</v>
      </c>
      <c r="B17688" s="2" t="s">
        <v>8302</v>
      </c>
      <c r="C17688" s="2" t="s">
        <v>8557</v>
      </c>
      <c r="D17688" s="3" t="str">
        <f t="shared" si="4577"/>
        <v>12Go Link</v>
      </c>
      <c r="E17688" s="2" t="s">
        <v>286</v>
      </c>
    </row>
    <row r="17689">
      <c r="A17689" s="2" t="s">
        <v>8321</v>
      </c>
      <c r="B17689" s="2" t="s">
        <v>8302</v>
      </c>
      <c r="C17689" s="2" t="s">
        <v>8557</v>
      </c>
      <c r="D17689" s="3" t="str">
        <f t="shared" si="4577"/>
        <v>12Go Link</v>
      </c>
      <c r="E17689" s="2" t="s">
        <v>4137</v>
      </c>
    </row>
    <row r="17690">
      <c r="A17690" s="2" t="s">
        <v>8428</v>
      </c>
      <c r="B17690" s="2" t="s">
        <v>8293</v>
      </c>
      <c r="C17690" s="2" t="s">
        <v>8558</v>
      </c>
      <c r="D17690" s="3" t="str">
        <f t="shared" ref="D17690:D17695" si="4578">HYPERLINK("https://12go.asia/en/travel/Kas-Hotel-Transfer/Dalaman-Airport", "12Go Link")</f>
        <v>12Go Link</v>
      </c>
      <c r="E17690" s="2" t="s">
        <v>8295</v>
      </c>
    </row>
    <row r="17691">
      <c r="A17691" s="2" t="s">
        <v>8428</v>
      </c>
      <c r="B17691" s="2" t="s">
        <v>8293</v>
      </c>
      <c r="C17691" s="2" t="s">
        <v>8558</v>
      </c>
      <c r="D17691" s="3" t="str">
        <f t="shared" si="4578"/>
        <v>12Go Link</v>
      </c>
      <c r="E17691" s="2" t="s">
        <v>4137</v>
      </c>
    </row>
    <row r="17692">
      <c r="A17692" s="2" t="s">
        <v>8428</v>
      </c>
      <c r="B17692" s="2" t="s">
        <v>8293</v>
      </c>
      <c r="C17692" s="2" t="s">
        <v>8558</v>
      </c>
      <c r="D17692" s="3" t="str">
        <f t="shared" si="4578"/>
        <v>12Go Link</v>
      </c>
      <c r="E17692" s="2" t="s">
        <v>4138</v>
      </c>
    </row>
    <row r="17693">
      <c r="A17693" s="2" t="s">
        <v>8428</v>
      </c>
      <c r="B17693" s="2" t="s">
        <v>8293</v>
      </c>
      <c r="C17693" s="2" t="s">
        <v>8558</v>
      </c>
      <c r="D17693" s="3" t="str">
        <f t="shared" si="4578"/>
        <v>12Go Link</v>
      </c>
      <c r="E17693" s="2" t="s">
        <v>8363</v>
      </c>
    </row>
    <row r="17694">
      <c r="A17694" s="2" t="s">
        <v>8428</v>
      </c>
      <c r="B17694" s="2" t="s">
        <v>8293</v>
      </c>
      <c r="C17694" s="2" t="s">
        <v>8558</v>
      </c>
      <c r="D17694" s="3" t="str">
        <f t="shared" si="4578"/>
        <v>12Go Link</v>
      </c>
      <c r="E17694" s="2" t="s">
        <v>8364</v>
      </c>
    </row>
    <row r="17695">
      <c r="A17695" s="2" t="s">
        <v>8428</v>
      </c>
      <c r="B17695" s="2" t="s">
        <v>8293</v>
      </c>
      <c r="C17695" s="2" t="s">
        <v>8558</v>
      </c>
      <c r="D17695" s="3" t="str">
        <f t="shared" si="4578"/>
        <v>12Go Link</v>
      </c>
      <c r="E17695" s="2" t="s">
        <v>8296</v>
      </c>
    </row>
    <row r="17696">
      <c r="A17696" s="2" t="s">
        <v>8430</v>
      </c>
      <c r="B17696" s="2" t="s">
        <v>8293</v>
      </c>
      <c r="C17696" s="2" t="s">
        <v>8559</v>
      </c>
      <c r="D17696" s="3" t="str">
        <f t="shared" ref="D17696:D17701" si="4579">HYPERLINK("https://12go.asia/en/travel/Kayakoy-Hotel-Transfer/Dalaman-Airport", "12Go Link")</f>
        <v>12Go Link</v>
      </c>
      <c r="E17696" s="2" t="s">
        <v>8295</v>
      </c>
    </row>
    <row r="17697">
      <c r="A17697" s="2" t="s">
        <v>8430</v>
      </c>
      <c r="B17697" s="2" t="s">
        <v>8293</v>
      </c>
      <c r="C17697" s="2" t="s">
        <v>8559</v>
      </c>
      <c r="D17697" s="3" t="str">
        <f t="shared" si="4579"/>
        <v>12Go Link</v>
      </c>
      <c r="E17697" s="2" t="s">
        <v>4137</v>
      </c>
    </row>
    <row r="17698">
      <c r="A17698" s="2" t="s">
        <v>8430</v>
      </c>
      <c r="B17698" s="2" t="s">
        <v>8293</v>
      </c>
      <c r="C17698" s="2" t="s">
        <v>8559</v>
      </c>
      <c r="D17698" s="3" t="str">
        <f t="shared" si="4579"/>
        <v>12Go Link</v>
      </c>
      <c r="E17698" s="2" t="s">
        <v>4138</v>
      </c>
    </row>
    <row r="17699">
      <c r="A17699" s="2" t="s">
        <v>8430</v>
      </c>
      <c r="B17699" s="2" t="s">
        <v>8293</v>
      </c>
      <c r="C17699" s="2" t="s">
        <v>8559</v>
      </c>
      <c r="D17699" s="3" t="str">
        <f t="shared" si="4579"/>
        <v>12Go Link</v>
      </c>
      <c r="E17699" s="2" t="s">
        <v>8363</v>
      </c>
    </row>
    <row r="17700">
      <c r="A17700" s="2" t="s">
        <v>8430</v>
      </c>
      <c r="B17700" s="2" t="s">
        <v>8293</v>
      </c>
      <c r="C17700" s="2" t="s">
        <v>8559</v>
      </c>
      <c r="D17700" s="3" t="str">
        <f t="shared" si="4579"/>
        <v>12Go Link</v>
      </c>
      <c r="E17700" s="2" t="s">
        <v>8364</v>
      </c>
    </row>
    <row r="17701">
      <c r="A17701" s="2" t="s">
        <v>8430</v>
      </c>
      <c r="B17701" s="2" t="s">
        <v>8293</v>
      </c>
      <c r="C17701" s="2" t="s">
        <v>8559</v>
      </c>
      <c r="D17701" s="3" t="str">
        <f t="shared" si="4579"/>
        <v>12Go Link</v>
      </c>
      <c r="E17701" s="2" t="s">
        <v>8296</v>
      </c>
    </row>
    <row r="17702">
      <c r="A17702" s="2" t="s">
        <v>8323</v>
      </c>
      <c r="B17702" s="2" t="s">
        <v>8302</v>
      </c>
      <c r="C17702" s="2" t="s">
        <v>8560</v>
      </c>
      <c r="D17702" s="3" t="str">
        <f t="shared" ref="D17702:D17704" si="4580">HYPERLINK("https://12go.asia/en/travel/Kestel-Hotel-Transfer/Gazipasa-Alanya-Airport", "12Go Link")</f>
        <v>12Go Link</v>
      </c>
      <c r="E17702" s="2" t="s">
        <v>4507</v>
      </c>
    </row>
    <row r="17703">
      <c r="A17703" s="2" t="s">
        <v>8323</v>
      </c>
      <c r="B17703" s="2" t="s">
        <v>8302</v>
      </c>
      <c r="C17703" s="2" t="s">
        <v>8560</v>
      </c>
      <c r="D17703" s="3" t="str">
        <f t="shared" si="4580"/>
        <v>12Go Link</v>
      </c>
      <c r="E17703" s="2" t="s">
        <v>286</v>
      </c>
    </row>
    <row r="17704">
      <c r="A17704" s="2" t="s">
        <v>8323</v>
      </c>
      <c r="B17704" s="2" t="s">
        <v>8302</v>
      </c>
      <c r="C17704" s="2" t="s">
        <v>8560</v>
      </c>
      <c r="D17704" s="3" t="str">
        <f t="shared" si="4580"/>
        <v>12Go Link</v>
      </c>
      <c r="E17704" s="2" t="s">
        <v>4137</v>
      </c>
    </row>
    <row r="17705">
      <c r="A17705" s="2" t="s">
        <v>8325</v>
      </c>
      <c r="B17705" s="2" t="s">
        <v>8302</v>
      </c>
      <c r="C17705" s="2" t="s">
        <v>8561</v>
      </c>
      <c r="D17705" s="3" t="str">
        <f t="shared" ref="D17705:D17707" si="4581">HYPERLINK("https://12go.asia/en/travel/Kizilagac-Hotel-Transfer/Gazipasa-Alanya-Airport", "12Go Link")</f>
        <v>12Go Link</v>
      </c>
      <c r="E17705" s="2" t="s">
        <v>4507</v>
      </c>
    </row>
    <row r="17706">
      <c r="A17706" s="2" t="s">
        <v>8325</v>
      </c>
      <c r="B17706" s="2" t="s">
        <v>8302</v>
      </c>
      <c r="C17706" s="2" t="s">
        <v>8561</v>
      </c>
      <c r="D17706" s="3" t="str">
        <f t="shared" si="4581"/>
        <v>12Go Link</v>
      </c>
      <c r="E17706" s="2" t="s">
        <v>286</v>
      </c>
    </row>
    <row r="17707">
      <c r="A17707" s="2" t="s">
        <v>8325</v>
      </c>
      <c r="B17707" s="2" t="s">
        <v>8302</v>
      </c>
      <c r="C17707" s="2" t="s">
        <v>8561</v>
      </c>
      <c r="D17707" s="3" t="str">
        <f t="shared" si="4581"/>
        <v>12Go Link</v>
      </c>
      <c r="E17707" s="2" t="s">
        <v>4137</v>
      </c>
    </row>
    <row r="17708">
      <c r="A17708" s="2" t="s">
        <v>8327</v>
      </c>
      <c r="B17708" s="2" t="s">
        <v>8302</v>
      </c>
      <c r="C17708" s="2" t="s">
        <v>8562</v>
      </c>
      <c r="D17708" s="3" t="str">
        <f t="shared" ref="D17708:D17710" si="4582">HYPERLINK("https://12go.asia/en/travel/Kizilot-Hotel-Transfer/Gazipasa-Alanya-Airport", "12Go Link")</f>
        <v>12Go Link</v>
      </c>
      <c r="E17708" s="2" t="s">
        <v>4507</v>
      </c>
    </row>
    <row r="17709">
      <c r="A17709" s="2" t="s">
        <v>8327</v>
      </c>
      <c r="B17709" s="2" t="s">
        <v>8302</v>
      </c>
      <c r="C17709" s="2" t="s">
        <v>8562</v>
      </c>
      <c r="D17709" s="3" t="str">
        <f t="shared" si="4582"/>
        <v>12Go Link</v>
      </c>
      <c r="E17709" s="2" t="s">
        <v>286</v>
      </c>
    </row>
    <row r="17710">
      <c r="A17710" s="2" t="s">
        <v>8327</v>
      </c>
      <c r="B17710" s="2" t="s">
        <v>8302</v>
      </c>
      <c r="C17710" s="2" t="s">
        <v>8562</v>
      </c>
      <c r="D17710" s="3" t="str">
        <f t="shared" si="4582"/>
        <v>12Go Link</v>
      </c>
      <c r="E17710" s="2" t="s">
        <v>4137</v>
      </c>
    </row>
    <row r="17711">
      <c r="A17711" s="2" t="s">
        <v>8329</v>
      </c>
      <c r="B17711" s="2" t="s">
        <v>8302</v>
      </c>
      <c r="C17711" s="2" t="s">
        <v>8563</v>
      </c>
      <c r="D17711" s="3" t="str">
        <f t="shared" ref="D17711:D17713" si="4583">HYPERLINK("https://12go.asia/en/travel/Konakli-Hotel-Transfer/Gazipasa-Alanya-Airport", "12Go Link")</f>
        <v>12Go Link</v>
      </c>
      <c r="E17711" s="2" t="s">
        <v>4507</v>
      </c>
    </row>
    <row r="17712">
      <c r="A17712" s="2" t="s">
        <v>8329</v>
      </c>
      <c r="B17712" s="2" t="s">
        <v>8302</v>
      </c>
      <c r="C17712" s="2" t="s">
        <v>8563</v>
      </c>
      <c r="D17712" s="3" t="str">
        <f t="shared" si="4583"/>
        <v>12Go Link</v>
      </c>
      <c r="E17712" s="2" t="s">
        <v>286</v>
      </c>
    </row>
    <row r="17713">
      <c r="A17713" s="2" t="s">
        <v>8329</v>
      </c>
      <c r="B17713" s="2" t="s">
        <v>8302</v>
      </c>
      <c r="C17713" s="2" t="s">
        <v>8563</v>
      </c>
      <c r="D17713" s="3" t="str">
        <f t="shared" si="4583"/>
        <v>12Go Link</v>
      </c>
      <c r="E17713" s="2" t="s">
        <v>4137</v>
      </c>
    </row>
    <row r="17714">
      <c r="A17714" s="2" t="s">
        <v>8434</v>
      </c>
      <c r="B17714" s="2" t="s">
        <v>8293</v>
      </c>
      <c r="C17714" s="2" t="s">
        <v>8564</v>
      </c>
      <c r="D17714" s="3" t="str">
        <f t="shared" ref="D17714:D17716" si="4584">HYPERLINK("https://12go.asia/en/travel/Kusadasi-Hotel-Transfer/Dalaman-Airport", "12Go Link")</f>
        <v>12Go Link</v>
      </c>
      <c r="E17714" s="2" t="s">
        <v>8295</v>
      </c>
    </row>
    <row r="17715">
      <c r="A17715" s="2" t="s">
        <v>8434</v>
      </c>
      <c r="B17715" s="2" t="s">
        <v>8293</v>
      </c>
      <c r="C17715" s="2" t="s">
        <v>8564</v>
      </c>
      <c r="D17715" s="3" t="str">
        <f t="shared" si="4584"/>
        <v>12Go Link</v>
      </c>
      <c r="E17715" s="2" t="s">
        <v>4137</v>
      </c>
    </row>
    <row r="17716">
      <c r="A17716" s="2" t="s">
        <v>8434</v>
      </c>
      <c r="B17716" s="2" t="s">
        <v>8293</v>
      </c>
      <c r="C17716" s="2" t="s">
        <v>8564</v>
      </c>
      <c r="D17716" s="3" t="str">
        <f t="shared" si="4584"/>
        <v>12Go Link</v>
      </c>
      <c r="E17716" s="2" t="s">
        <v>8296</v>
      </c>
    </row>
    <row r="17717">
      <c r="A17717" s="2" t="s">
        <v>8331</v>
      </c>
      <c r="B17717" s="2" t="s">
        <v>8302</v>
      </c>
      <c r="C17717" s="2" t="s">
        <v>8565</v>
      </c>
      <c r="D17717" s="3" t="str">
        <f t="shared" ref="D17717:D17719" si="4585">HYPERLINK("https://12go.asia/en/travel/Mahmutlar-Hotel-Transfer/Gazipasa-Alanya-Airport", "12Go Link")</f>
        <v>12Go Link</v>
      </c>
      <c r="E17717" s="2" t="s">
        <v>4507</v>
      </c>
    </row>
    <row r="17718">
      <c r="A17718" s="2" t="s">
        <v>8331</v>
      </c>
      <c r="B17718" s="2" t="s">
        <v>8302</v>
      </c>
      <c r="C17718" s="2" t="s">
        <v>8565</v>
      </c>
      <c r="D17718" s="3" t="str">
        <f t="shared" si="4585"/>
        <v>12Go Link</v>
      </c>
      <c r="E17718" s="2" t="s">
        <v>286</v>
      </c>
    </row>
    <row r="17719">
      <c r="A17719" s="2" t="s">
        <v>8331</v>
      </c>
      <c r="B17719" s="2" t="s">
        <v>8302</v>
      </c>
      <c r="C17719" s="2" t="s">
        <v>8565</v>
      </c>
      <c r="D17719" s="3" t="str">
        <f t="shared" si="4585"/>
        <v>12Go Link</v>
      </c>
      <c r="E17719" s="2" t="s">
        <v>4137</v>
      </c>
    </row>
    <row r="17720">
      <c r="A17720" s="2" t="s">
        <v>8333</v>
      </c>
      <c r="B17720" s="2" t="s">
        <v>8302</v>
      </c>
      <c r="C17720" s="2" t="s">
        <v>8566</v>
      </c>
      <c r="D17720" s="3" t="str">
        <f t="shared" ref="D17720:D17724" si="4586">HYPERLINK("https://12go.asia/en/travel/Manavgat-Hotel-Transfer/Gazipasa-Alanya-Airport", "12Go Link")</f>
        <v>12Go Link</v>
      </c>
      <c r="E17720" s="2" t="s">
        <v>4507</v>
      </c>
    </row>
    <row r="17721">
      <c r="A17721" s="2" t="s">
        <v>8333</v>
      </c>
      <c r="B17721" s="2" t="s">
        <v>8302</v>
      </c>
      <c r="C17721" s="2" t="s">
        <v>8566</v>
      </c>
      <c r="D17721" s="3" t="str">
        <f t="shared" si="4586"/>
        <v>12Go Link</v>
      </c>
      <c r="E17721" s="2" t="s">
        <v>286</v>
      </c>
    </row>
    <row r="17722">
      <c r="A17722" s="2" t="s">
        <v>8333</v>
      </c>
      <c r="B17722" s="2" t="s">
        <v>8302</v>
      </c>
      <c r="C17722" s="2" t="s">
        <v>8566</v>
      </c>
      <c r="D17722" s="3" t="str">
        <f t="shared" si="4586"/>
        <v>12Go Link</v>
      </c>
      <c r="E17722" s="2" t="s">
        <v>8295</v>
      </c>
    </row>
    <row r="17723">
      <c r="A17723" s="2" t="s">
        <v>8333</v>
      </c>
      <c r="B17723" s="2" t="s">
        <v>8302</v>
      </c>
      <c r="C17723" s="2" t="s">
        <v>8566</v>
      </c>
      <c r="D17723" s="3" t="str">
        <f t="shared" si="4586"/>
        <v>12Go Link</v>
      </c>
      <c r="E17723" s="2" t="s">
        <v>4137</v>
      </c>
    </row>
    <row r="17724">
      <c r="A17724" s="2" t="s">
        <v>8333</v>
      </c>
      <c r="B17724" s="2" t="s">
        <v>8302</v>
      </c>
      <c r="C17724" s="2" t="s">
        <v>8566</v>
      </c>
      <c r="D17724" s="3" t="str">
        <f t="shared" si="4586"/>
        <v>12Go Link</v>
      </c>
      <c r="E17724" s="2" t="s">
        <v>8296</v>
      </c>
    </row>
    <row r="17725">
      <c r="A17725" s="2" t="s">
        <v>8333</v>
      </c>
      <c r="B17725" s="2" t="s">
        <v>8302</v>
      </c>
      <c r="C17725" s="2" t="s">
        <v>8567</v>
      </c>
      <c r="D17725" s="3" t="str">
        <f t="shared" ref="D17725:D17729" si="4587">HYPERLINK("https://12go.asia/en/travel/Sorgun-Hotel-Transfer/Gazipasa-Alanya-Airport", "12Go Link")</f>
        <v>12Go Link</v>
      </c>
      <c r="E17725" s="2" t="s">
        <v>4507</v>
      </c>
    </row>
    <row r="17726">
      <c r="A17726" s="2" t="s">
        <v>8333</v>
      </c>
      <c r="B17726" s="2" t="s">
        <v>8302</v>
      </c>
      <c r="C17726" s="2" t="s">
        <v>8567</v>
      </c>
      <c r="D17726" s="3" t="str">
        <f t="shared" si="4587"/>
        <v>12Go Link</v>
      </c>
      <c r="E17726" s="2" t="s">
        <v>286</v>
      </c>
    </row>
    <row r="17727">
      <c r="A17727" s="2" t="s">
        <v>8333</v>
      </c>
      <c r="B17727" s="2" t="s">
        <v>8302</v>
      </c>
      <c r="C17727" s="2" t="s">
        <v>8567</v>
      </c>
      <c r="D17727" s="3" t="str">
        <f t="shared" si="4587"/>
        <v>12Go Link</v>
      </c>
      <c r="E17727" s="2" t="s">
        <v>8295</v>
      </c>
    </row>
    <row r="17728">
      <c r="A17728" s="2" t="s">
        <v>8333</v>
      </c>
      <c r="B17728" s="2" t="s">
        <v>8302</v>
      </c>
      <c r="C17728" s="2" t="s">
        <v>8567</v>
      </c>
      <c r="D17728" s="3" t="str">
        <f t="shared" si="4587"/>
        <v>12Go Link</v>
      </c>
      <c r="E17728" s="2" t="s">
        <v>4137</v>
      </c>
    </row>
    <row r="17729">
      <c r="A17729" s="2" t="s">
        <v>8333</v>
      </c>
      <c r="B17729" s="2" t="s">
        <v>8302</v>
      </c>
      <c r="C17729" s="2" t="s">
        <v>8567</v>
      </c>
      <c r="D17729" s="3" t="str">
        <f t="shared" si="4587"/>
        <v>12Go Link</v>
      </c>
      <c r="E17729" s="2" t="s">
        <v>8296</v>
      </c>
    </row>
    <row r="17730">
      <c r="A17730" s="2" t="s">
        <v>8436</v>
      </c>
      <c r="B17730" s="2" t="s">
        <v>8293</v>
      </c>
      <c r="C17730" s="2" t="s">
        <v>8568</v>
      </c>
      <c r="D17730" s="3" t="str">
        <f t="shared" ref="D17730:D17732" si="4588">HYPERLINK("https://12go.asia/en/travel/Marmaris-Hotel-Transfer/Dalaman-Airport", "12Go Link")</f>
        <v>12Go Link</v>
      </c>
      <c r="E17730" s="2" t="s">
        <v>8295</v>
      </c>
    </row>
    <row r="17731">
      <c r="A17731" s="2" t="s">
        <v>8436</v>
      </c>
      <c r="B17731" s="2" t="s">
        <v>8293</v>
      </c>
      <c r="C17731" s="2" t="s">
        <v>8568</v>
      </c>
      <c r="D17731" s="3" t="str">
        <f t="shared" si="4588"/>
        <v>12Go Link</v>
      </c>
      <c r="E17731" s="2" t="s">
        <v>4137</v>
      </c>
    </row>
    <row r="17732">
      <c r="A17732" s="2" t="s">
        <v>8436</v>
      </c>
      <c r="B17732" s="2" t="s">
        <v>8293</v>
      </c>
      <c r="C17732" s="2" t="s">
        <v>8568</v>
      </c>
      <c r="D17732" s="3" t="str">
        <f t="shared" si="4588"/>
        <v>12Go Link</v>
      </c>
      <c r="E17732" s="2" t="s">
        <v>8296</v>
      </c>
    </row>
    <row r="17733">
      <c r="A17733" s="2" t="s">
        <v>8436</v>
      </c>
      <c r="B17733" s="2" t="s">
        <v>8365</v>
      </c>
      <c r="C17733" s="2" t="s">
        <v>8569</v>
      </c>
      <c r="D17733" s="3" t="str">
        <f t="shared" ref="D17733:D17735" si="4589">HYPERLINK("https://12go.asia/en/travel/Marmaris-Hotel-Transfer/Fethiye-Hotel-Transfer", "12Go Link")</f>
        <v>12Go Link</v>
      </c>
      <c r="E17733" s="2" t="s">
        <v>4138</v>
      </c>
    </row>
    <row r="17734">
      <c r="A17734" s="2" t="s">
        <v>8436</v>
      </c>
      <c r="B17734" s="2" t="s">
        <v>8365</v>
      </c>
      <c r="C17734" s="2" t="s">
        <v>8569</v>
      </c>
      <c r="D17734" s="3" t="str">
        <f t="shared" si="4589"/>
        <v>12Go Link</v>
      </c>
      <c r="E17734" s="2" t="s">
        <v>8363</v>
      </c>
    </row>
    <row r="17735">
      <c r="A17735" s="2" t="s">
        <v>8436</v>
      </c>
      <c r="B17735" s="2" t="s">
        <v>8365</v>
      </c>
      <c r="C17735" s="2" t="s">
        <v>8569</v>
      </c>
      <c r="D17735" s="3" t="str">
        <f t="shared" si="4589"/>
        <v>12Go Link</v>
      </c>
      <c r="E17735" s="2" t="s">
        <v>8364</v>
      </c>
    </row>
    <row r="17736">
      <c r="A17736" s="2" t="s">
        <v>8336</v>
      </c>
      <c r="B17736" s="2" t="s">
        <v>8302</v>
      </c>
      <c r="C17736" s="2" t="s">
        <v>8570</v>
      </c>
      <c r="D17736" s="3" t="str">
        <f t="shared" ref="D17736:D17738" si="4590">HYPERLINK("https://12go.asia/en/travel/Oba-Hotel-Transfer/Gazipasa-Alanya-Airport", "12Go Link")</f>
        <v>12Go Link</v>
      </c>
      <c r="E17736" s="2" t="s">
        <v>4507</v>
      </c>
    </row>
    <row r="17737">
      <c r="A17737" s="2" t="s">
        <v>8336</v>
      </c>
      <c r="B17737" s="2" t="s">
        <v>8302</v>
      </c>
      <c r="C17737" s="2" t="s">
        <v>8570</v>
      </c>
      <c r="D17737" s="3" t="str">
        <f t="shared" si="4590"/>
        <v>12Go Link</v>
      </c>
      <c r="E17737" s="2" t="s">
        <v>286</v>
      </c>
    </row>
    <row r="17738">
      <c r="A17738" s="2" t="s">
        <v>8336</v>
      </c>
      <c r="B17738" s="2" t="s">
        <v>8302</v>
      </c>
      <c r="C17738" s="2" t="s">
        <v>8570</v>
      </c>
      <c r="D17738" s="3" t="str">
        <f t="shared" si="4590"/>
        <v>12Go Link</v>
      </c>
      <c r="E17738" s="2" t="s">
        <v>4137</v>
      </c>
    </row>
    <row r="17739">
      <c r="A17739" s="2" t="s">
        <v>8338</v>
      </c>
      <c r="B17739" s="2" t="s">
        <v>8302</v>
      </c>
      <c r="C17739" s="2" t="s">
        <v>8571</v>
      </c>
      <c r="D17739" s="3" t="str">
        <f t="shared" ref="D17739:D17741" si="4591">HYPERLINK("https://12go.asia/en/travel/Okurcalar-Hotel-Transfer/Gazipasa-Alanya-Airport", "12Go Link")</f>
        <v>12Go Link</v>
      </c>
      <c r="E17739" s="2" t="s">
        <v>4507</v>
      </c>
    </row>
    <row r="17740">
      <c r="A17740" s="2" t="s">
        <v>8338</v>
      </c>
      <c r="B17740" s="2" t="s">
        <v>8302</v>
      </c>
      <c r="C17740" s="2" t="s">
        <v>8571</v>
      </c>
      <c r="D17740" s="3" t="str">
        <f t="shared" si="4591"/>
        <v>12Go Link</v>
      </c>
      <c r="E17740" s="2" t="s">
        <v>286</v>
      </c>
    </row>
    <row r="17741">
      <c r="A17741" s="2" t="s">
        <v>8338</v>
      </c>
      <c r="B17741" s="2" t="s">
        <v>8302</v>
      </c>
      <c r="C17741" s="2" t="s">
        <v>8571</v>
      </c>
      <c r="D17741" s="3" t="str">
        <f t="shared" si="4591"/>
        <v>12Go Link</v>
      </c>
      <c r="E17741" s="2" t="s">
        <v>4137</v>
      </c>
    </row>
    <row r="17742">
      <c r="A17742" s="2" t="s">
        <v>8438</v>
      </c>
      <c r="B17742" s="2" t="s">
        <v>8293</v>
      </c>
      <c r="C17742" s="2" t="s">
        <v>8572</v>
      </c>
      <c r="D17742" s="3" t="str">
        <f t="shared" ref="D17742:D17744" si="4592">HYPERLINK("https://12go.asia/en/travel/Fethiye-Hisaronu-Hotel-Transfer/Dalaman-Airport", "12Go Link")</f>
        <v>12Go Link</v>
      </c>
      <c r="E17742" s="2" t="s">
        <v>4138</v>
      </c>
    </row>
    <row r="17743">
      <c r="A17743" s="2" t="s">
        <v>8438</v>
      </c>
      <c r="B17743" s="2" t="s">
        <v>8293</v>
      </c>
      <c r="C17743" s="2" t="s">
        <v>8572</v>
      </c>
      <c r="D17743" s="3" t="str">
        <f t="shared" si="4592"/>
        <v>12Go Link</v>
      </c>
      <c r="E17743" s="2" t="s">
        <v>8363</v>
      </c>
    </row>
    <row r="17744">
      <c r="A17744" s="2" t="s">
        <v>8438</v>
      </c>
      <c r="B17744" s="2" t="s">
        <v>8293</v>
      </c>
      <c r="C17744" s="2" t="s">
        <v>8572</v>
      </c>
      <c r="D17744" s="3" t="str">
        <f t="shared" si="4592"/>
        <v>12Go Link</v>
      </c>
      <c r="E17744" s="2" t="s">
        <v>8364</v>
      </c>
    </row>
    <row r="17745">
      <c r="A17745" s="2" t="s">
        <v>8438</v>
      </c>
      <c r="B17745" s="2" t="s">
        <v>8293</v>
      </c>
      <c r="C17745" s="2" t="s">
        <v>8573</v>
      </c>
      <c r="D17745" s="3" t="str">
        <f>HYPERLINK("https://12go.asia/en/travel/Hisaronu-Hotel-Transfer/Dalaman-Airport", "12Go Link")</f>
        <v>12Go Link</v>
      </c>
      <c r="E17745" s="2" t="s">
        <v>4190</v>
      </c>
    </row>
    <row r="17746">
      <c r="A17746" s="2" t="s">
        <v>8438</v>
      </c>
      <c r="B17746" s="2" t="s">
        <v>8293</v>
      </c>
      <c r="C17746" s="2" t="s">
        <v>8574</v>
      </c>
      <c r="D17746" s="3" t="str">
        <f t="shared" ref="D17746:D17751" si="4593">HYPERLINK("https://12go.asia/en/travel/Oludeniz-Hotel-Transfer/Dalaman-Airport", "12Go Link")</f>
        <v>12Go Link</v>
      </c>
      <c r="E17746" s="2" t="s">
        <v>8295</v>
      </c>
    </row>
    <row r="17747">
      <c r="A17747" s="2" t="s">
        <v>8438</v>
      </c>
      <c r="B17747" s="2" t="s">
        <v>8293</v>
      </c>
      <c r="C17747" s="2" t="s">
        <v>8574</v>
      </c>
      <c r="D17747" s="3" t="str">
        <f t="shared" si="4593"/>
        <v>12Go Link</v>
      </c>
      <c r="E17747" s="2" t="s">
        <v>4137</v>
      </c>
    </row>
    <row r="17748">
      <c r="A17748" s="2" t="s">
        <v>8438</v>
      </c>
      <c r="B17748" s="2" t="s">
        <v>8293</v>
      </c>
      <c r="C17748" s="2" t="s">
        <v>8574</v>
      </c>
      <c r="D17748" s="3" t="str">
        <f t="shared" si="4593"/>
        <v>12Go Link</v>
      </c>
      <c r="E17748" s="2" t="s">
        <v>4138</v>
      </c>
    </row>
    <row r="17749">
      <c r="A17749" s="2" t="s">
        <v>8438</v>
      </c>
      <c r="B17749" s="2" t="s">
        <v>8293</v>
      </c>
      <c r="C17749" s="2" t="s">
        <v>8574</v>
      </c>
      <c r="D17749" s="3" t="str">
        <f t="shared" si="4593"/>
        <v>12Go Link</v>
      </c>
      <c r="E17749" s="2" t="s">
        <v>8363</v>
      </c>
    </row>
    <row r="17750">
      <c r="A17750" s="2" t="s">
        <v>8438</v>
      </c>
      <c r="B17750" s="2" t="s">
        <v>8293</v>
      </c>
      <c r="C17750" s="2" t="s">
        <v>8574</v>
      </c>
      <c r="D17750" s="3" t="str">
        <f t="shared" si="4593"/>
        <v>12Go Link</v>
      </c>
      <c r="E17750" s="2" t="s">
        <v>8364</v>
      </c>
    </row>
    <row r="17751">
      <c r="A17751" s="2" t="s">
        <v>8438</v>
      </c>
      <c r="B17751" s="2" t="s">
        <v>8293</v>
      </c>
      <c r="C17751" s="2" t="s">
        <v>8574</v>
      </c>
      <c r="D17751" s="3" t="str">
        <f t="shared" si="4593"/>
        <v>12Go Link</v>
      </c>
      <c r="E17751" s="2" t="s">
        <v>8296</v>
      </c>
    </row>
    <row r="17752">
      <c r="A17752" s="2" t="s">
        <v>8438</v>
      </c>
      <c r="B17752" s="2" t="s">
        <v>8293</v>
      </c>
      <c r="C17752" s="2" t="s">
        <v>8575</v>
      </c>
      <c r="D17752" s="3" t="str">
        <f>HYPERLINK("https://12go.asia/en/travel/Oludeniz-Transfer/Dalaman-Airport", "12Go Link")</f>
        <v>12Go Link</v>
      </c>
      <c r="E17752" s="2" t="s">
        <v>4190</v>
      </c>
    </row>
    <row r="17753">
      <c r="A17753" s="2" t="s">
        <v>8438</v>
      </c>
      <c r="B17753" s="2" t="s">
        <v>8293</v>
      </c>
      <c r="C17753" s="2" t="s">
        <v>8576</v>
      </c>
      <c r="D17753" s="3" t="str">
        <f t="shared" ref="D17753:D17759" si="4594">HYPERLINK("https://12go.asia/en/travel/Ovacik-Hotel-Transfer/Dalaman-Airport", "12Go Link")</f>
        <v>12Go Link</v>
      </c>
      <c r="E17753" s="2" t="s">
        <v>8295</v>
      </c>
    </row>
    <row r="17754">
      <c r="A17754" s="2" t="s">
        <v>8438</v>
      </c>
      <c r="B17754" s="2" t="s">
        <v>8293</v>
      </c>
      <c r="C17754" s="2" t="s">
        <v>8576</v>
      </c>
      <c r="D17754" s="3" t="str">
        <f t="shared" si="4594"/>
        <v>12Go Link</v>
      </c>
      <c r="E17754" s="2" t="s">
        <v>4137</v>
      </c>
    </row>
    <row r="17755">
      <c r="A17755" s="2" t="s">
        <v>8438</v>
      </c>
      <c r="B17755" s="2" t="s">
        <v>8293</v>
      </c>
      <c r="C17755" s="2" t="s">
        <v>8576</v>
      </c>
      <c r="D17755" s="3" t="str">
        <f t="shared" si="4594"/>
        <v>12Go Link</v>
      </c>
      <c r="E17755" s="2" t="s">
        <v>4138</v>
      </c>
    </row>
    <row r="17756">
      <c r="A17756" s="2" t="s">
        <v>8438</v>
      </c>
      <c r="B17756" s="2" t="s">
        <v>8293</v>
      </c>
      <c r="C17756" s="2" t="s">
        <v>8576</v>
      </c>
      <c r="D17756" s="3" t="str">
        <f t="shared" si="4594"/>
        <v>12Go Link</v>
      </c>
      <c r="E17756" s="2" t="s">
        <v>8363</v>
      </c>
    </row>
    <row r="17757">
      <c r="A17757" s="2" t="s">
        <v>8438</v>
      </c>
      <c r="B17757" s="2" t="s">
        <v>8293</v>
      </c>
      <c r="C17757" s="2" t="s">
        <v>8576</v>
      </c>
      <c r="D17757" s="3" t="str">
        <f t="shared" si="4594"/>
        <v>12Go Link</v>
      </c>
      <c r="E17757" s="2" t="s">
        <v>8364</v>
      </c>
    </row>
    <row r="17758">
      <c r="A17758" s="2" t="s">
        <v>8438</v>
      </c>
      <c r="B17758" s="2" t="s">
        <v>8293</v>
      </c>
      <c r="C17758" s="2" t="s">
        <v>8576</v>
      </c>
      <c r="D17758" s="3" t="str">
        <f t="shared" si="4594"/>
        <v>12Go Link</v>
      </c>
      <c r="E17758" s="2" t="s">
        <v>8296</v>
      </c>
    </row>
    <row r="17759">
      <c r="A17759" s="2" t="s">
        <v>8438</v>
      </c>
      <c r="B17759" s="2" t="s">
        <v>8293</v>
      </c>
      <c r="C17759" s="2" t="s">
        <v>8576</v>
      </c>
      <c r="D17759" s="3" t="str">
        <f t="shared" si="4594"/>
        <v>12Go Link</v>
      </c>
      <c r="E17759" s="2" t="s">
        <v>4190</v>
      </c>
    </row>
    <row r="17760">
      <c r="A17760" s="2" t="s">
        <v>8340</v>
      </c>
      <c r="B17760" s="2" t="s">
        <v>8302</v>
      </c>
      <c r="C17760" s="2" t="s">
        <v>8577</v>
      </c>
      <c r="D17760" s="3" t="str">
        <f t="shared" ref="D17760:D17762" si="4595">HYPERLINK("https://12go.asia/en/travel/Orensehir-Hotel-Transfer/Gazipasa-Alanya-Airport", "12Go Link")</f>
        <v>12Go Link</v>
      </c>
      <c r="E17760" s="2" t="s">
        <v>4507</v>
      </c>
    </row>
    <row r="17761">
      <c r="A17761" s="2" t="s">
        <v>8340</v>
      </c>
      <c r="B17761" s="2" t="s">
        <v>8302</v>
      </c>
      <c r="C17761" s="2" t="s">
        <v>8577</v>
      </c>
      <c r="D17761" s="3" t="str">
        <f t="shared" si="4595"/>
        <v>12Go Link</v>
      </c>
      <c r="E17761" s="2" t="s">
        <v>286</v>
      </c>
    </row>
    <row r="17762">
      <c r="A17762" s="2" t="s">
        <v>8340</v>
      </c>
      <c r="B17762" s="2" t="s">
        <v>8302</v>
      </c>
      <c r="C17762" s="2" t="s">
        <v>8577</v>
      </c>
      <c r="D17762" s="3" t="str">
        <f t="shared" si="4595"/>
        <v>12Go Link</v>
      </c>
      <c r="E17762" s="2" t="s">
        <v>4137</v>
      </c>
    </row>
    <row r="17763">
      <c r="A17763" s="2" t="s">
        <v>8444</v>
      </c>
      <c r="B17763" s="2" t="s">
        <v>8293</v>
      </c>
      <c r="C17763" s="2" t="s">
        <v>8578</v>
      </c>
      <c r="D17763" s="3" t="str">
        <f t="shared" ref="D17763:D17765" si="4596">HYPERLINK("https://12go.asia/en/travel/Orhaniye-Hotel-Transfer/Dalaman-Airport", "12Go Link")</f>
        <v>12Go Link</v>
      </c>
      <c r="E17763" s="2" t="s">
        <v>8295</v>
      </c>
    </row>
    <row r="17764">
      <c r="A17764" s="2" t="s">
        <v>8444</v>
      </c>
      <c r="B17764" s="2" t="s">
        <v>8293</v>
      </c>
      <c r="C17764" s="2" t="s">
        <v>8578</v>
      </c>
      <c r="D17764" s="3" t="str">
        <f t="shared" si="4596"/>
        <v>12Go Link</v>
      </c>
      <c r="E17764" s="2" t="s">
        <v>4137</v>
      </c>
    </row>
    <row r="17765">
      <c r="A17765" s="2" t="s">
        <v>8444</v>
      </c>
      <c r="B17765" s="2" t="s">
        <v>8293</v>
      </c>
      <c r="C17765" s="2" t="s">
        <v>8578</v>
      </c>
      <c r="D17765" s="3" t="str">
        <f t="shared" si="4596"/>
        <v>12Go Link</v>
      </c>
      <c r="E17765" s="2" t="s">
        <v>8296</v>
      </c>
    </row>
    <row r="17766">
      <c r="A17766" s="2" t="s">
        <v>8446</v>
      </c>
      <c r="B17766" s="2" t="s">
        <v>8293</v>
      </c>
      <c r="C17766" s="2" t="s">
        <v>8579</v>
      </c>
      <c r="D17766" s="3" t="str">
        <f>HYPERLINK("https://12go.asia/en/travel/Ortaca-Hotel-Transfer/Dalaman-Airport", "12Go Link")</f>
        <v>12Go Link</v>
      </c>
      <c r="E17766" s="2" t="s">
        <v>4137</v>
      </c>
    </row>
    <row r="17767">
      <c r="A17767" s="2" t="s">
        <v>8342</v>
      </c>
      <c r="B17767" s="2" t="s">
        <v>8302</v>
      </c>
      <c r="C17767" s="2" t="s">
        <v>8580</v>
      </c>
      <c r="D17767" s="3" t="str">
        <f t="shared" ref="D17767:D17769" si="4597">HYPERLINK("https://12go.asia/en/travel/Payallar-Hotel-Transfer/Gazipasa-Alanya-Airport", "12Go Link")</f>
        <v>12Go Link</v>
      </c>
      <c r="E17767" s="2" t="s">
        <v>4507</v>
      </c>
    </row>
    <row r="17768">
      <c r="A17768" s="2" t="s">
        <v>8342</v>
      </c>
      <c r="B17768" s="2" t="s">
        <v>8302</v>
      </c>
      <c r="C17768" s="2" t="s">
        <v>8580</v>
      </c>
      <c r="D17768" s="3" t="str">
        <f t="shared" si="4597"/>
        <v>12Go Link</v>
      </c>
      <c r="E17768" s="2" t="s">
        <v>286</v>
      </c>
    </row>
    <row r="17769">
      <c r="A17769" s="2" t="s">
        <v>8342</v>
      </c>
      <c r="B17769" s="2" t="s">
        <v>8302</v>
      </c>
      <c r="C17769" s="2" t="s">
        <v>8580</v>
      </c>
      <c r="D17769" s="3" t="str">
        <f t="shared" si="4597"/>
        <v>12Go Link</v>
      </c>
      <c r="E17769" s="2" t="s">
        <v>4137</v>
      </c>
    </row>
    <row r="17770">
      <c r="A17770" s="2" t="s">
        <v>8531</v>
      </c>
      <c r="B17770" s="2" t="s">
        <v>8382</v>
      </c>
      <c r="C17770" s="2" t="s">
        <v>8581</v>
      </c>
      <c r="D17770" s="3" t="str">
        <f t="shared" ref="D17770:D17772" si="4598">HYPERLINK("https://12go.asia/en/travel/Sapanca-Hotel-Transfer/Sabiha-Gokcen-Airport", "12Go Link")</f>
        <v>12Go Link</v>
      </c>
      <c r="E17770" s="2" t="s">
        <v>8384</v>
      </c>
    </row>
    <row r="17771">
      <c r="A17771" s="2" t="s">
        <v>8531</v>
      </c>
      <c r="B17771" s="2" t="s">
        <v>8382</v>
      </c>
      <c r="C17771" s="2" t="s">
        <v>8581</v>
      </c>
      <c r="D17771" s="3" t="str">
        <f t="shared" si="4598"/>
        <v>12Go Link</v>
      </c>
      <c r="E17771" s="2" t="s">
        <v>4194</v>
      </c>
    </row>
    <row r="17772">
      <c r="A17772" s="2" t="s">
        <v>8531</v>
      </c>
      <c r="B17772" s="2" t="s">
        <v>8382</v>
      </c>
      <c r="C17772" s="2" t="s">
        <v>8581</v>
      </c>
      <c r="D17772" s="3" t="str">
        <f t="shared" si="4598"/>
        <v>12Go Link</v>
      </c>
      <c r="E17772" s="2" t="s">
        <v>8364</v>
      </c>
    </row>
    <row r="17773">
      <c r="A17773" s="2" t="s">
        <v>8531</v>
      </c>
      <c r="B17773" s="2" t="s">
        <v>8385</v>
      </c>
      <c r="C17773" s="2" t="s">
        <v>8582</v>
      </c>
      <c r="D17773" s="3" t="str">
        <f t="shared" ref="D17773:D17775" si="4599">HYPERLINK("https://12go.asia/en/travel/Sapanca-Hotel-Transfer/Istanbul-Airport", "12Go Link")</f>
        <v>12Go Link</v>
      </c>
      <c r="E17773" s="2" t="s">
        <v>8384</v>
      </c>
    </row>
    <row r="17774">
      <c r="A17774" s="2" t="s">
        <v>8531</v>
      </c>
      <c r="B17774" s="2" t="s">
        <v>8385</v>
      </c>
      <c r="C17774" s="2" t="s">
        <v>8582</v>
      </c>
      <c r="D17774" s="3" t="str">
        <f t="shared" si="4599"/>
        <v>12Go Link</v>
      </c>
      <c r="E17774" s="2" t="s">
        <v>4194</v>
      </c>
    </row>
    <row r="17775">
      <c r="A17775" s="2" t="s">
        <v>8531</v>
      </c>
      <c r="B17775" s="2" t="s">
        <v>8385</v>
      </c>
      <c r="C17775" s="2" t="s">
        <v>8582</v>
      </c>
      <c r="D17775" s="3" t="str">
        <f t="shared" si="4599"/>
        <v>12Go Link</v>
      </c>
      <c r="E17775" s="2" t="s">
        <v>8364</v>
      </c>
    </row>
    <row r="17776">
      <c r="A17776" s="2" t="s">
        <v>8448</v>
      </c>
      <c r="B17776" s="2" t="s">
        <v>8293</v>
      </c>
      <c r="C17776" s="2" t="s">
        <v>8583</v>
      </c>
      <c r="D17776" s="3" t="str">
        <f t="shared" ref="D17776:D17781" si="4600">HYPERLINK("https://12go.asia/en/travel/Sarigerme-Hotel-Transfer/Dalaman-Airport", "12Go Link")</f>
        <v>12Go Link</v>
      </c>
      <c r="E17776" s="2" t="s">
        <v>8295</v>
      </c>
    </row>
    <row r="17777">
      <c r="A17777" s="2" t="s">
        <v>8448</v>
      </c>
      <c r="B17777" s="2" t="s">
        <v>8293</v>
      </c>
      <c r="C17777" s="2" t="s">
        <v>8583</v>
      </c>
      <c r="D17777" s="3" t="str">
        <f t="shared" si="4600"/>
        <v>12Go Link</v>
      </c>
      <c r="E17777" s="2" t="s">
        <v>4137</v>
      </c>
    </row>
    <row r="17778">
      <c r="A17778" s="2" t="s">
        <v>8448</v>
      </c>
      <c r="B17778" s="2" t="s">
        <v>8293</v>
      </c>
      <c r="C17778" s="2" t="s">
        <v>8583</v>
      </c>
      <c r="D17778" s="3" t="str">
        <f t="shared" si="4600"/>
        <v>12Go Link</v>
      </c>
      <c r="E17778" s="2" t="s">
        <v>4138</v>
      </c>
    </row>
    <row r="17779">
      <c r="A17779" s="2" t="s">
        <v>8448</v>
      </c>
      <c r="B17779" s="2" t="s">
        <v>8293</v>
      </c>
      <c r="C17779" s="2" t="s">
        <v>8583</v>
      </c>
      <c r="D17779" s="3" t="str">
        <f t="shared" si="4600"/>
        <v>12Go Link</v>
      </c>
      <c r="E17779" s="2" t="s">
        <v>8363</v>
      </c>
    </row>
    <row r="17780">
      <c r="A17780" s="2" t="s">
        <v>8448</v>
      </c>
      <c r="B17780" s="2" t="s">
        <v>8293</v>
      </c>
      <c r="C17780" s="2" t="s">
        <v>8583</v>
      </c>
      <c r="D17780" s="3" t="str">
        <f t="shared" si="4600"/>
        <v>12Go Link</v>
      </c>
      <c r="E17780" s="2" t="s">
        <v>8364</v>
      </c>
    </row>
    <row r="17781">
      <c r="A17781" s="2" t="s">
        <v>8448</v>
      </c>
      <c r="B17781" s="2" t="s">
        <v>8293</v>
      </c>
      <c r="C17781" s="2" t="s">
        <v>8583</v>
      </c>
      <c r="D17781" s="3" t="str">
        <f t="shared" si="4600"/>
        <v>12Go Link</v>
      </c>
      <c r="E17781" s="2" t="s">
        <v>8296</v>
      </c>
    </row>
    <row r="17782">
      <c r="A17782" s="2" t="s">
        <v>8450</v>
      </c>
      <c r="B17782" s="2" t="s">
        <v>8293</v>
      </c>
      <c r="C17782" s="2" t="s">
        <v>8584</v>
      </c>
      <c r="D17782" s="3" t="str">
        <f t="shared" ref="D17782:D17784" si="4601">HYPERLINK("https://12go.asia/en/travel/Selimiye-Hotel-Transfer/Dalaman-Airport", "12Go Link")</f>
        <v>12Go Link</v>
      </c>
      <c r="E17782" s="2" t="s">
        <v>8295</v>
      </c>
    </row>
    <row r="17783">
      <c r="A17783" s="2" t="s">
        <v>8450</v>
      </c>
      <c r="B17783" s="2" t="s">
        <v>8293</v>
      </c>
      <c r="C17783" s="2" t="s">
        <v>8584</v>
      </c>
      <c r="D17783" s="3" t="str">
        <f t="shared" si="4601"/>
        <v>12Go Link</v>
      </c>
      <c r="E17783" s="2" t="s">
        <v>4137</v>
      </c>
    </row>
    <row r="17784">
      <c r="A17784" s="2" t="s">
        <v>8450</v>
      </c>
      <c r="B17784" s="2" t="s">
        <v>8293</v>
      </c>
      <c r="C17784" s="2" t="s">
        <v>8584</v>
      </c>
      <c r="D17784" s="3" t="str">
        <f t="shared" si="4601"/>
        <v>12Go Link</v>
      </c>
      <c r="E17784" s="2" t="s">
        <v>8296</v>
      </c>
    </row>
    <row r="17785">
      <c r="A17785" s="2" t="s">
        <v>8344</v>
      </c>
      <c r="B17785" s="2" t="s">
        <v>8302</v>
      </c>
      <c r="C17785" s="2" t="s">
        <v>8585</v>
      </c>
      <c r="D17785" s="3" t="str">
        <f t="shared" ref="D17785:D17787" si="4602">HYPERLINK("https://12go.asia/en/travel/Side-Hotel-Transfer/Gazipasa-Alanya-Airport", "12Go Link")</f>
        <v>12Go Link</v>
      </c>
      <c r="E17785" s="2" t="s">
        <v>4507</v>
      </c>
    </row>
    <row r="17786">
      <c r="A17786" s="2" t="s">
        <v>8344</v>
      </c>
      <c r="B17786" s="2" t="s">
        <v>8302</v>
      </c>
      <c r="C17786" s="2" t="s">
        <v>8585</v>
      </c>
      <c r="D17786" s="3" t="str">
        <f t="shared" si="4602"/>
        <v>12Go Link</v>
      </c>
      <c r="E17786" s="2" t="s">
        <v>286</v>
      </c>
    </row>
    <row r="17787">
      <c r="A17787" s="2" t="s">
        <v>8344</v>
      </c>
      <c r="B17787" s="2" t="s">
        <v>8302</v>
      </c>
      <c r="C17787" s="2" t="s">
        <v>8585</v>
      </c>
      <c r="D17787" s="3" t="str">
        <f t="shared" si="4602"/>
        <v>12Go Link</v>
      </c>
      <c r="E17787" s="2" t="s">
        <v>4137</v>
      </c>
    </row>
    <row r="17788">
      <c r="A17788" s="2" t="s">
        <v>8346</v>
      </c>
      <c r="B17788" s="2" t="s">
        <v>8302</v>
      </c>
      <c r="C17788" s="2" t="s">
        <v>8586</v>
      </c>
      <c r="D17788" s="3" t="str">
        <f t="shared" ref="D17788:D17790" si="4603">HYPERLINK("https://12go.asia/en/travel/Tosmur-Hotel-Transfer/Gazipasa-Alanya-Airport", "12Go Link")</f>
        <v>12Go Link</v>
      </c>
      <c r="E17788" s="2" t="s">
        <v>4507</v>
      </c>
    </row>
    <row r="17789">
      <c r="A17789" s="2" t="s">
        <v>8346</v>
      </c>
      <c r="B17789" s="2" t="s">
        <v>8302</v>
      </c>
      <c r="C17789" s="2" t="s">
        <v>8586</v>
      </c>
      <c r="D17789" s="3" t="str">
        <f t="shared" si="4603"/>
        <v>12Go Link</v>
      </c>
      <c r="E17789" s="2" t="s">
        <v>286</v>
      </c>
    </row>
    <row r="17790">
      <c r="A17790" s="2" t="s">
        <v>8346</v>
      </c>
      <c r="B17790" s="2" t="s">
        <v>8302</v>
      </c>
      <c r="C17790" s="2" t="s">
        <v>8586</v>
      </c>
      <c r="D17790" s="3" t="str">
        <f t="shared" si="4603"/>
        <v>12Go Link</v>
      </c>
      <c r="E17790" s="2" t="s">
        <v>4137</v>
      </c>
    </row>
    <row r="17791">
      <c r="A17791" s="2" t="s">
        <v>8454</v>
      </c>
      <c r="B17791" s="2" t="s">
        <v>8293</v>
      </c>
      <c r="C17791" s="2" t="s">
        <v>8587</v>
      </c>
      <c r="D17791" s="3" t="str">
        <f t="shared" ref="D17791:D17793" si="4604">HYPERLINK("https://12go.asia/en/travel/Turgutkoy-Hotel-Transfer/Dalaman-Airport", "12Go Link")</f>
        <v>12Go Link</v>
      </c>
      <c r="E17791" s="2" t="s">
        <v>8295</v>
      </c>
    </row>
    <row r="17792">
      <c r="A17792" s="2" t="s">
        <v>8454</v>
      </c>
      <c r="B17792" s="2" t="s">
        <v>8293</v>
      </c>
      <c r="C17792" s="2" t="s">
        <v>8587</v>
      </c>
      <c r="D17792" s="3" t="str">
        <f t="shared" si="4604"/>
        <v>12Go Link</v>
      </c>
      <c r="E17792" s="2" t="s">
        <v>4137</v>
      </c>
    </row>
    <row r="17793">
      <c r="A17793" s="2" t="s">
        <v>8454</v>
      </c>
      <c r="B17793" s="2" t="s">
        <v>8293</v>
      </c>
      <c r="C17793" s="2" t="s">
        <v>8587</v>
      </c>
      <c r="D17793" s="3" t="str">
        <f t="shared" si="4604"/>
        <v>12Go Link</v>
      </c>
      <c r="E17793" s="2" t="s">
        <v>8296</v>
      </c>
    </row>
    <row r="17794">
      <c r="A17794" s="2" t="s">
        <v>8348</v>
      </c>
      <c r="B17794" s="2" t="s">
        <v>8302</v>
      </c>
      <c r="C17794" s="2" t="s">
        <v>8588</v>
      </c>
      <c r="D17794" s="3" t="str">
        <f t="shared" ref="D17794:D17796" si="4605">HYPERLINK("https://12go.asia/en/travel/Turkler-Hotel-Transfer/Gazipasa-Alanya-Airport", "12Go Link")</f>
        <v>12Go Link</v>
      </c>
      <c r="E17794" s="2" t="s">
        <v>4507</v>
      </c>
    </row>
    <row r="17795">
      <c r="A17795" s="2" t="s">
        <v>8348</v>
      </c>
      <c r="B17795" s="2" t="s">
        <v>8302</v>
      </c>
      <c r="C17795" s="2" t="s">
        <v>8588</v>
      </c>
      <c r="D17795" s="3" t="str">
        <f t="shared" si="4605"/>
        <v>12Go Link</v>
      </c>
      <c r="E17795" s="2" t="s">
        <v>286</v>
      </c>
    </row>
    <row r="17796">
      <c r="A17796" s="2" t="s">
        <v>8348</v>
      </c>
      <c r="B17796" s="2" t="s">
        <v>8302</v>
      </c>
      <c r="C17796" s="2" t="s">
        <v>8588</v>
      </c>
      <c r="D17796" s="3" t="str">
        <f t="shared" si="4605"/>
        <v>12Go Link</v>
      </c>
      <c r="E17796" s="2" t="s">
        <v>4137</v>
      </c>
    </row>
    <row r="17797">
      <c r="A17797" s="2" t="s">
        <v>8456</v>
      </c>
      <c r="B17797" s="2" t="s">
        <v>8293</v>
      </c>
      <c r="C17797" s="2" t="s">
        <v>8589</v>
      </c>
      <c r="D17797" s="3" t="str">
        <f t="shared" ref="D17797:D17799" si="4606">HYPERLINK("https://12go.asia/en/travel/Turunc-Hotel-Transfer/Dalaman-Airport", "12Go Link")</f>
        <v>12Go Link</v>
      </c>
      <c r="E17797" s="2" t="s">
        <v>8295</v>
      </c>
    </row>
    <row r="17798">
      <c r="A17798" s="2" t="s">
        <v>8456</v>
      </c>
      <c r="B17798" s="2" t="s">
        <v>8293</v>
      </c>
      <c r="C17798" s="2" t="s">
        <v>8589</v>
      </c>
      <c r="D17798" s="3" t="str">
        <f t="shared" si="4606"/>
        <v>12Go Link</v>
      </c>
      <c r="E17798" s="2" t="s">
        <v>4137</v>
      </c>
    </row>
    <row r="17799">
      <c r="A17799" s="2" t="s">
        <v>8456</v>
      </c>
      <c r="B17799" s="2" t="s">
        <v>8293</v>
      </c>
      <c r="C17799" s="2" t="s">
        <v>8589</v>
      </c>
      <c r="D17799" s="3" t="str">
        <f t="shared" si="4606"/>
        <v>12Go Link</v>
      </c>
      <c r="E17799" s="2" t="s">
        <v>8296</v>
      </c>
    </row>
    <row r="17800">
      <c r="A17800" s="2" t="s">
        <v>8458</v>
      </c>
      <c r="B17800" s="2" t="s">
        <v>8293</v>
      </c>
      <c r="C17800" s="2" t="s">
        <v>8590</v>
      </c>
      <c r="D17800" s="3" t="str">
        <f t="shared" ref="D17800:D17802" si="4607">HYPERLINK("https://12go.asia/en/travel/Yesiluzumlu-Hotel-Transfer/Dalaman-Airport", "12Go Link")</f>
        <v>12Go Link</v>
      </c>
      <c r="E17800" s="2" t="s">
        <v>4138</v>
      </c>
    </row>
    <row r="17801">
      <c r="A17801" s="2" t="s">
        <v>8458</v>
      </c>
      <c r="B17801" s="2" t="s">
        <v>8293</v>
      </c>
      <c r="C17801" s="2" t="s">
        <v>8590</v>
      </c>
      <c r="D17801" s="3" t="str">
        <f t="shared" si="4607"/>
        <v>12Go Link</v>
      </c>
      <c r="E17801" s="2" t="s">
        <v>8363</v>
      </c>
    </row>
    <row r="17802">
      <c r="A17802" s="2" t="s">
        <v>8458</v>
      </c>
      <c r="B17802" s="2" t="s">
        <v>8293</v>
      </c>
      <c r="C17802" s="2" t="s">
        <v>8590</v>
      </c>
      <c r="D17802" s="3" t="str">
        <f t="shared" si="4607"/>
        <v>12Go Link</v>
      </c>
      <c r="E17802" s="2" t="s">
        <v>8364</v>
      </c>
    </row>
    <row r="17803">
      <c r="A17803" s="2" t="s">
        <v>8460</v>
      </c>
      <c r="B17803" s="2" t="s">
        <v>8293</v>
      </c>
      <c r="C17803" s="2" t="s">
        <v>8591</v>
      </c>
      <c r="D17803" s="3" t="str">
        <f t="shared" ref="D17803:D17808" si="4608">HYPERLINK("https://12go.asia/en/travel/Uzunyurt-Hotel-Transfer/Dalaman-Airport", "12Go Link")</f>
        <v>12Go Link</v>
      </c>
      <c r="E17803" s="2" t="s">
        <v>8295</v>
      </c>
    </row>
    <row r="17804">
      <c r="A17804" s="2" t="s">
        <v>8460</v>
      </c>
      <c r="B17804" s="2" t="s">
        <v>8293</v>
      </c>
      <c r="C17804" s="2" t="s">
        <v>8591</v>
      </c>
      <c r="D17804" s="3" t="str">
        <f t="shared" si="4608"/>
        <v>12Go Link</v>
      </c>
      <c r="E17804" s="2" t="s">
        <v>4137</v>
      </c>
    </row>
    <row r="17805">
      <c r="A17805" s="2" t="s">
        <v>8460</v>
      </c>
      <c r="B17805" s="2" t="s">
        <v>8293</v>
      </c>
      <c r="C17805" s="2" t="s">
        <v>8591</v>
      </c>
      <c r="D17805" s="3" t="str">
        <f t="shared" si="4608"/>
        <v>12Go Link</v>
      </c>
      <c r="E17805" s="2" t="s">
        <v>4138</v>
      </c>
    </row>
    <row r="17806">
      <c r="A17806" s="2" t="s">
        <v>8460</v>
      </c>
      <c r="B17806" s="2" t="s">
        <v>8293</v>
      </c>
      <c r="C17806" s="2" t="s">
        <v>8591</v>
      </c>
      <c r="D17806" s="3" t="str">
        <f t="shared" si="4608"/>
        <v>12Go Link</v>
      </c>
      <c r="E17806" s="2" t="s">
        <v>8363</v>
      </c>
    </row>
    <row r="17807">
      <c r="A17807" s="2" t="s">
        <v>8460</v>
      </c>
      <c r="B17807" s="2" t="s">
        <v>8293</v>
      </c>
      <c r="C17807" s="2" t="s">
        <v>8591</v>
      </c>
      <c r="D17807" s="3" t="str">
        <f t="shared" si="4608"/>
        <v>12Go Link</v>
      </c>
      <c r="E17807" s="2" t="s">
        <v>8364</v>
      </c>
    </row>
    <row r="17808">
      <c r="A17808" s="2" t="s">
        <v>8460</v>
      </c>
      <c r="B17808" s="2" t="s">
        <v>8293</v>
      </c>
      <c r="C17808" s="2" t="s">
        <v>8591</v>
      </c>
      <c r="D17808" s="3" t="str">
        <f t="shared" si="4608"/>
        <v>12Go Link</v>
      </c>
      <c r="E17808" s="2" t="s">
        <v>8296</v>
      </c>
    </row>
    <row r="17809">
      <c r="A17809" s="2" t="s">
        <v>8533</v>
      </c>
      <c r="B17809" s="2" t="s">
        <v>8382</v>
      </c>
      <c r="C17809" s="2" t="s">
        <v>8592</v>
      </c>
      <c r="D17809" s="3" t="str">
        <f t="shared" ref="D17809:D17811" si="4609">HYPERLINK("https://12go.asia/en/travel/Yalova-Hotel-Transfer/Sabiha-Gokcen-Airport", "12Go Link")</f>
        <v>12Go Link</v>
      </c>
      <c r="E17809" s="2" t="s">
        <v>8384</v>
      </c>
    </row>
    <row r="17810">
      <c r="A17810" s="2" t="s">
        <v>8533</v>
      </c>
      <c r="B17810" s="2" t="s">
        <v>8382</v>
      </c>
      <c r="C17810" s="2" t="s">
        <v>8592</v>
      </c>
      <c r="D17810" s="3" t="str">
        <f t="shared" si="4609"/>
        <v>12Go Link</v>
      </c>
      <c r="E17810" s="2" t="s">
        <v>4194</v>
      </c>
    </row>
    <row r="17811">
      <c r="A17811" s="2" t="s">
        <v>8533</v>
      </c>
      <c r="B17811" s="2" t="s">
        <v>8382</v>
      </c>
      <c r="C17811" s="2" t="s">
        <v>8592</v>
      </c>
      <c r="D17811" s="3" t="str">
        <f t="shared" si="4609"/>
        <v>12Go Link</v>
      </c>
      <c r="E17811" s="2" t="s">
        <v>8364</v>
      </c>
    </row>
    <row r="17812">
      <c r="A17812" s="2" t="s">
        <v>8533</v>
      </c>
      <c r="B17812" s="2" t="s">
        <v>8385</v>
      </c>
      <c r="C17812" s="2" t="s">
        <v>8593</v>
      </c>
      <c r="D17812" s="3" t="str">
        <f t="shared" ref="D17812:D17814" si="4610">HYPERLINK("https://12go.asia/en/travel/Yalova-Hotel-Transfer/Istanbul-Airport", "12Go Link")</f>
        <v>12Go Link</v>
      </c>
      <c r="E17812" s="2" t="s">
        <v>8384</v>
      </c>
    </row>
    <row r="17813">
      <c r="A17813" s="2" t="s">
        <v>8533</v>
      </c>
      <c r="B17813" s="2" t="s">
        <v>8385</v>
      </c>
      <c r="C17813" s="2" t="s">
        <v>8593</v>
      </c>
      <c r="D17813" s="3" t="str">
        <f t="shared" si="4610"/>
        <v>12Go Link</v>
      </c>
      <c r="E17813" s="2" t="s">
        <v>4194</v>
      </c>
    </row>
    <row r="17814">
      <c r="A17814" s="2" t="s">
        <v>8533</v>
      </c>
      <c r="B17814" s="2" t="s">
        <v>8385</v>
      </c>
      <c r="C17814" s="2" t="s">
        <v>8593</v>
      </c>
      <c r="D17814" s="3" t="str">
        <f t="shared" si="4610"/>
        <v>12Go Link</v>
      </c>
      <c r="E17814" s="2" t="s">
        <v>8364</v>
      </c>
    </row>
    <row r="17815">
      <c r="A17815" s="2" t="s">
        <v>8462</v>
      </c>
      <c r="B17815" s="2" t="s">
        <v>8293</v>
      </c>
      <c r="C17815" s="2" t="s">
        <v>8594</v>
      </c>
      <c r="D17815" s="3" t="str">
        <f t="shared" ref="D17815:D17817" si="4611">HYPERLINK("https://12go.asia/en/travel/Yaniklar-Hotel-Transfer/Dalaman-Airport", "12Go Link")</f>
        <v>12Go Link</v>
      </c>
      <c r="E17815" s="2" t="s">
        <v>4138</v>
      </c>
    </row>
    <row r="17816">
      <c r="A17816" s="2" t="s">
        <v>8462</v>
      </c>
      <c r="B17816" s="2" t="s">
        <v>8293</v>
      </c>
      <c r="C17816" s="2" t="s">
        <v>8594</v>
      </c>
      <c r="D17816" s="3" t="str">
        <f t="shared" si="4611"/>
        <v>12Go Link</v>
      </c>
      <c r="E17816" s="2" t="s">
        <v>8363</v>
      </c>
    </row>
    <row r="17817">
      <c r="A17817" s="2" t="s">
        <v>8462</v>
      </c>
      <c r="B17817" s="2" t="s">
        <v>8293</v>
      </c>
      <c r="C17817" s="2" t="s">
        <v>8594</v>
      </c>
      <c r="D17817" s="3" t="str">
        <f t="shared" si="4611"/>
        <v>12Go Link</v>
      </c>
      <c r="E17817" s="2" t="s">
        <v>8364</v>
      </c>
    </row>
    <row r="17818">
      <c r="A17818" s="2" t="s">
        <v>8462</v>
      </c>
      <c r="B17818" s="2" t="s">
        <v>8293</v>
      </c>
      <c r="C17818" s="2" t="s">
        <v>8595</v>
      </c>
      <c r="D17818" s="3" t="str">
        <f>HYPERLINK("https://12go.asia/en/travel/Yaniklar-Transfer/Dalaman-Airport", "12Go Link")</f>
        <v>12Go Link</v>
      </c>
      <c r="E17818" s="2" t="s">
        <v>4190</v>
      </c>
    </row>
    <row r="17819">
      <c r="A17819" s="2" t="s">
        <v>8596</v>
      </c>
      <c r="B17819" s="2" t="s">
        <v>82</v>
      </c>
      <c r="C17819" s="2" t="s">
        <v>8597</v>
      </c>
      <c r="D17819" s="3" t="str">
        <f>HYPERLINK("https://12go.asia/en/travel/southport/byron-bay", "12Go Link")</f>
        <v>12Go Link</v>
      </c>
      <c r="E17819" s="2" t="s">
        <v>59</v>
      </c>
    </row>
    <row r="17820">
      <c r="A17820" s="2" t="s">
        <v>8598</v>
      </c>
      <c r="B17820" s="2" t="s">
        <v>8599</v>
      </c>
      <c r="C17820" s="2" t="s">
        <v>8600</v>
      </c>
      <c r="D17820" s="3" t="str">
        <f>HYPERLINK("https://12go.asia/en/travel/dubai/al-ahsa", "12Go Link")</f>
        <v>12Go Link</v>
      </c>
      <c r="E17820" s="2" t="s">
        <v>155</v>
      </c>
    </row>
    <row r="17821">
      <c r="A17821" s="2" t="s">
        <v>8598</v>
      </c>
      <c r="B17821" s="2" t="s">
        <v>8601</v>
      </c>
      <c r="C17821" s="2" t="s">
        <v>8602</v>
      </c>
      <c r="D17821" s="3" t="str">
        <f>HYPERLINK("https://12go.asia/en/travel/dubai/al-mubarraz", "12Go Link")</f>
        <v>12Go Link</v>
      </c>
      <c r="E17821" s="2" t="s">
        <v>155</v>
      </c>
    </row>
    <row r="17822">
      <c r="A17822" s="2" t="s">
        <v>8603</v>
      </c>
      <c r="B17822" s="2" t="s">
        <v>8604</v>
      </c>
      <c r="C17822" s="2" t="s">
        <v>8605</v>
      </c>
      <c r="D17822" s="3" t="str">
        <f>HYPERLINK("https://12go.asia/en/travel/dubai-airport/khamis-mushayt", "12Go Link")</f>
        <v>12Go Link</v>
      </c>
      <c r="E17822" s="2" t="s">
        <v>155</v>
      </c>
    </row>
    <row r="17823">
      <c r="A17823" s="2" t="s">
        <v>8606</v>
      </c>
      <c r="B17823" s="2" t="s">
        <v>363</v>
      </c>
      <c r="C17823" s="2" t="s">
        <v>8607</v>
      </c>
      <c r="D17823" s="3" t="str">
        <f>HYPERLINK("https://12go.asia/en/travel/houston/burns-lake", "12Go Link")</f>
        <v>12Go Link</v>
      </c>
      <c r="E17823" s="2" t="s">
        <v>226</v>
      </c>
    </row>
    <row r="17824">
      <c r="A17824" s="2" t="s">
        <v>8608</v>
      </c>
      <c r="B17824" s="2" t="s">
        <v>4110</v>
      </c>
      <c r="C17824" s="2" t="s">
        <v>8609</v>
      </c>
      <c r="D17824" s="3" t="str">
        <f>HYPERLINK("https://12go.asia/en/travel/75-Nguyen-Dinh-Chieu/Da-Nang-Hanh-Cafe-Office", "12Go Link")</f>
        <v>12Go Link</v>
      </c>
      <c r="E17824" s="2" t="s">
        <v>8610</v>
      </c>
    </row>
    <row r="17825">
      <c r="A17825" s="2" t="s">
        <v>8608</v>
      </c>
      <c r="B17825" s="2" t="s">
        <v>8611</v>
      </c>
      <c r="C17825" s="2" t="s">
        <v>8612</v>
      </c>
      <c r="D17825" s="3" t="str">
        <f t="shared" ref="D17825:D17829" si="4612">HYPERLINK("https://12go.asia/en/travel/75-Nguyen-Dinh-Chieu/273-Pham-Ngu-Lao", "12Go Link")</f>
        <v>12Go Link</v>
      </c>
      <c r="E17825" s="2" t="s">
        <v>8613</v>
      </c>
    </row>
    <row r="17826">
      <c r="A17826" s="2" t="s">
        <v>8608</v>
      </c>
      <c r="B17826" s="2" t="s">
        <v>8611</v>
      </c>
      <c r="C17826" s="2" t="s">
        <v>8612</v>
      </c>
      <c r="D17826" s="3" t="str">
        <f t="shared" si="4612"/>
        <v>12Go Link</v>
      </c>
      <c r="E17826" s="2" t="s">
        <v>8614</v>
      </c>
    </row>
    <row r="17827">
      <c r="A17827" s="2" t="s">
        <v>8608</v>
      </c>
      <c r="B17827" s="2" t="s">
        <v>8611</v>
      </c>
      <c r="C17827" s="2" t="s">
        <v>8612</v>
      </c>
      <c r="D17827" s="3" t="str">
        <f t="shared" si="4612"/>
        <v>12Go Link</v>
      </c>
      <c r="E17827" s="2" t="s">
        <v>8615</v>
      </c>
    </row>
    <row r="17828">
      <c r="A17828" s="2" t="s">
        <v>8608</v>
      </c>
      <c r="B17828" s="2" t="s">
        <v>8611</v>
      </c>
      <c r="C17828" s="2" t="s">
        <v>8612</v>
      </c>
      <c r="D17828" s="3" t="str">
        <f t="shared" si="4612"/>
        <v>12Go Link</v>
      </c>
      <c r="E17828" s="2" t="s">
        <v>8616</v>
      </c>
    </row>
    <row r="17829">
      <c r="A17829" s="2" t="s">
        <v>8608</v>
      </c>
      <c r="B17829" s="2" t="s">
        <v>8611</v>
      </c>
      <c r="C17829" s="2" t="s">
        <v>8612</v>
      </c>
      <c r="D17829" s="3" t="str">
        <f t="shared" si="4612"/>
        <v>12Go Link</v>
      </c>
      <c r="E17829" s="2" t="s">
        <v>8610</v>
      </c>
    </row>
    <row r="17830">
      <c r="A17830" s="2" t="s">
        <v>8608</v>
      </c>
      <c r="B17830" s="2" t="s">
        <v>8611</v>
      </c>
      <c r="C17830" s="2" t="s">
        <v>8617</v>
      </c>
      <c r="D17830" s="3" t="str">
        <f>HYPERLINK("https://12go.asia/en/travel/Phan-Thiet-South-Bus-Station/121-Co-Giang", "12Go Link")</f>
        <v>12Go Link</v>
      </c>
      <c r="E17830" s="2" t="s">
        <v>8618</v>
      </c>
    </row>
    <row r="17831">
      <c r="A17831" s="2" t="s">
        <v>8608</v>
      </c>
      <c r="B17831" s="2" t="s">
        <v>8611</v>
      </c>
      <c r="C17831" s="2" t="s">
        <v>8619</v>
      </c>
      <c r="D17831" s="3" t="str">
        <f>HYPERLINK("https://12go.asia/en/travel/Phan-Thiet-South-Bus-Station/579-Vo-Chi-Cong", "12Go Link")</f>
        <v>12Go Link</v>
      </c>
      <c r="E17831" s="2" t="s">
        <v>8618</v>
      </c>
    </row>
    <row r="17832">
      <c r="A17832" s="2" t="s">
        <v>8608</v>
      </c>
      <c r="B17832" s="2" t="s">
        <v>8611</v>
      </c>
      <c r="C17832" s="2" t="s">
        <v>8620</v>
      </c>
      <c r="D17832" s="3" t="str">
        <f>HYPERLINK("https://12go.asia/en/travel/Phan-Thiet-South-Bus-Station/Mien-Dong-Moi", "12Go Link")</f>
        <v>12Go Link</v>
      </c>
      <c r="E17832" s="2" t="s">
        <v>8618</v>
      </c>
    </row>
    <row r="17833">
      <c r="A17833" s="2" t="s">
        <v>8608</v>
      </c>
      <c r="B17833" s="2" t="s">
        <v>8621</v>
      </c>
      <c r="C17833" s="2" t="s">
        <v>8622</v>
      </c>
      <c r="D17833" s="3" t="str">
        <f>HYPERLINK("https://12go.asia/en/travel/75-Nguyen-Dinh-Chieu/Hoi-An-Hanh-Cafe", "12Go Link")</f>
        <v>12Go Link</v>
      </c>
      <c r="E17833" s="2" t="s">
        <v>8610</v>
      </c>
    </row>
    <row r="17834">
      <c r="A17834" s="2" t="s">
        <v>8608</v>
      </c>
      <c r="B17834" s="2" t="s">
        <v>8623</v>
      </c>
      <c r="C17834" s="2" t="s">
        <v>8624</v>
      </c>
      <c r="D17834" s="3" t="str">
        <f>HYPERLINK("https://12go.asia/en/travel/75-Nguyen-Dinh-Chieu/28-Chu-Van-An", "12Go Link")</f>
        <v>12Go Link</v>
      </c>
      <c r="E17834" s="2" t="s">
        <v>8610</v>
      </c>
    </row>
    <row r="17835">
      <c r="A17835" s="2" t="s">
        <v>8625</v>
      </c>
      <c r="B17835" s="2" t="s">
        <v>8626</v>
      </c>
      <c r="C17835" s="2" t="s">
        <v>8627</v>
      </c>
      <c r="D17835" s="3" t="str">
        <f>HYPERLINK("https://12go.asia/en/travel/Buon-Ma-Thuot-Bus-Station/Provincial-Bus-Station-Da-Lat", "12Go Link")</f>
        <v>12Go Link</v>
      </c>
      <c r="E17835" s="2" t="s">
        <v>8628</v>
      </c>
    </row>
    <row r="17836">
      <c r="A17836" s="2" t="s">
        <v>8629</v>
      </c>
      <c r="B17836" s="2" t="s">
        <v>8630</v>
      </c>
      <c r="C17836" s="2" t="s">
        <v>8631</v>
      </c>
      <c r="D17836" s="3" t="str">
        <f t="shared" ref="D17836:D17837" si="4613">HYPERLINK("https://12go.asia/en/travel/Cao-Bang-Bus-Station/To-1-Cau-Me", "12Go Link")</f>
        <v>12Go Link</v>
      </c>
      <c r="E17836" s="2" t="s">
        <v>8632</v>
      </c>
    </row>
    <row r="17837">
      <c r="A17837" s="2" t="s">
        <v>8629</v>
      </c>
      <c r="B17837" s="2" t="s">
        <v>8630</v>
      </c>
      <c r="C17837" s="2" t="s">
        <v>8631</v>
      </c>
      <c r="D17837" s="3" t="str">
        <f t="shared" si="4613"/>
        <v>12Go Link</v>
      </c>
      <c r="E17837" s="2" t="s">
        <v>8633</v>
      </c>
    </row>
    <row r="17838">
      <c r="A17838" s="2" t="s">
        <v>8626</v>
      </c>
      <c r="B17838" s="2" t="s">
        <v>8625</v>
      </c>
      <c r="C17838" s="2" t="s">
        <v>8634</v>
      </c>
      <c r="D17838" s="3" t="str">
        <f>HYPERLINK("https://12go.asia/en/travel/Provincial-Bus-Station-Da-Lat/Buon-Ma-Thuot-Bus-Station", "12Go Link")</f>
        <v>12Go Link</v>
      </c>
      <c r="E17838" s="2" t="s">
        <v>8628</v>
      </c>
    </row>
    <row r="17839">
      <c r="A17839" s="2" t="s">
        <v>8626</v>
      </c>
      <c r="B17839" s="2" t="s">
        <v>8611</v>
      </c>
      <c r="C17839" s="2" t="s">
        <v>8635</v>
      </c>
      <c r="D17839" s="3" t="str">
        <f>HYPERLINK("https://12go.asia/en/travel/55-Phan-Boi-Chau/258-Le-Hong-Phong", "12Go Link")</f>
        <v>12Go Link</v>
      </c>
      <c r="E17839" s="2" t="s">
        <v>8636</v>
      </c>
    </row>
    <row r="17840">
      <c r="A17840" s="2" t="s">
        <v>8626</v>
      </c>
      <c r="B17840" s="2" t="s">
        <v>8611</v>
      </c>
      <c r="C17840" s="2" t="s">
        <v>8637</v>
      </c>
      <c r="D17840" s="3" t="str">
        <f t="shared" ref="D17840:D17841" si="4614">HYPERLINK("https://12go.asia/en/travel/55-Phan-Boi-Chau/266-Le-Hong-Phong", "12Go Link")</f>
        <v>12Go Link</v>
      </c>
      <c r="E17840" s="2" t="s">
        <v>8638</v>
      </c>
    </row>
    <row r="17841">
      <c r="A17841" s="2" t="s">
        <v>8626</v>
      </c>
      <c r="B17841" s="2" t="s">
        <v>8611</v>
      </c>
      <c r="C17841" s="2" t="s">
        <v>8637</v>
      </c>
      <c r="D17841" s="3" t="str">
        <f t="shared" si="4614"/>
        <v>12Go Link</v>
      </c>
      <c r="E17841" s="2" t="s">
        <v>8636</v>
      </c>
    </row>
    <row r="17842">
      <c r="A17842" s="2" t="s">
        <v>8626</v>
      </c>
      <c r="B17842" s="2" t="s">
        <v>8611</v>
      </c>
      <c r="C17842" s="2" t="s">
        <v>8639</v>
      </c>
      <c r="D17842" s="3" t="str">
        <f>HYPERLINK("https://12go.asia/en/travel/Da-Lat-ThanhBuoi/258-Le-Hong-Phong", "12Go Link")</f>
        <v>12Go Link</v>
      </c>
      <c r="E17842" s="2" t="s">
        <v>8636</v>
      </c>
    </row>
    <row r="17843">
      <c r="A17843" s="2" t="s">
        <v>8626</v>
      </c>
      <c r="B17843" s="2" t="s">
        <v>8611</v>
      </c>
      <c r="C17843" s="2" t="s">
        <v>8640</v>
      </c>
      <c r="D17843" s="3" t="str">
        <f t="shared" ref="D17843:D17844" si="4615">HYPERLINK("https://12go.asia/en/travel/Da-Lat-ThanhBuoi/266-Le-Hong-Phong", "12Go Link")</f>
        <v>12Go Link</v>
      </c>
      <c r="E17843" s="2" t="s">
        <v>8638</v>
      </c>
    </row>
    <row r="17844">
      <c r="A17844" s="2" t="s">
        <v>8626</v>
      </c>
      <c r="B17844" s="2" t="s">
        <v>8611</v>
      </c>
      <c r="C17844" s="2" t="s">
        <v>8640</v>
      </c>
      <c r="D17844" s="3" t="str">
        <f t="shared" si="4615"/>
        <v>12Go Link</v>
      </c>
      <c r="E17844" s="2" t="s">
        <v>8636</v>
      </c>
    </row>
    <row r="17845">
      <c r="A17845" s="2" t="s">
        <v>4110</v>
      </c>
      <c r="B17845" s="2" t="s">
        <v>4110</v>
      </c>
      <c r="C17845" s="2" t="s">
        <v>8641</v>
      </c>
      <c r="D17845" s="3" t="str">
        <f>HYPERLINK("https://12go.asia/en/travel/Da-Nang-Airport/Da-Nang-Airport", "12Go Link")</f>
        <v>12Go Link</v>
      </c>
      <c r="E17845" s="2" t="s">
        <v>3812</v>
      </c>
    </row>
    <row r="17846">
      <c r="A17846" s="2" t="s">
        <v>4110</v>
      </c>
      <c r="B17846" s="2" t="s">
        <v>4034</v>
      </c>
      <c r="C17846" s="2" t="s">
        <v>8642</v>
      </c>
      <c r="D17846" s="3" t="str">
        <f>HYPERLINK("https://12go.asia/en/travel/97-Vo-Van-Kiet/70-Nguyen-Huu-Huan", "12Go Link")</f>
        <v>12Go Link</v>
      </c>
      <c r="E17846" s="2" t="s">
        <v>8643</v>
      </c>
    </row>
    <row r="17847">
      <c r="A17847" s="2" t="s">
        <v>4110</v>
      </c>
      <c r="B17847" s="2" t="s">
        <v>4034</v>
      </c>
      <c r="C17847" s="2" t="s">
        <v>8644</v>
      </c>
      <c r="D17847" s="3" t="str">
        <f>HYPERLINK("https://12go.asia/en/travel/Da-Nang/Hanoi", "12Go Link")</f>
        <v>12Go Link</v>
      </c>
      <c r="E17847" s="2" t="s">
        <v>8645</v>
      </c>
    </row>
    <row r="17848">
      <c r="A17848" s="2" t="s">
        <v>4110</v>
      </c>
      <c r="B17848" s="2" t="s">
        <v>4034</v>
      </c>
      <c r="C17848" s="2" t="s">
        <v>8646</v>
      </c>
      <c r="D17848" s="3" t="str">
        <f>HYPERLINK("https://12go.asia/en/travel/Danava-Travel-16-Road-32/Parking-Lot-Tran-Vy", "12Go Link")</f>
        <v>12Go Link</v>
      </c>
      <c r="E17848" s="2" t="s">
        <v>8647</v>
      </c>
    </row>
    <row r="17849">
      <c r="A17849" s="2" t="s">
        <v>4110</v>
      </c>
      <c r="B17849" s="2" t="s">
        <v>8621</v>
      </c>
      <c r="C17849" s="2" t="s">
        <v>8648</v>
      </c>
      <c r="D17849" s="3" t="str">
        <f t="shared" ref="D17849:D17850" si="4616">HYPERLINK("https://12go.asia/en/travel/Da-Nang-City/Hoi-An-Office", "12Go Link")</f>
        <v>12Go Link</v>
      </c>
      <c r="E17849" s="2" t="s">
        <v>8649</v>
      </c>
    </row>
    <row r="17850">
      <c r="A17850" s="2" t="s">
        <v>4110</v>
      </c>
      <c r="B17850" s="2" t="s">
        <v>8621</v>
      </c>
      <c r="C17850" s="2" t="s">
        <v>8648</v>
      </c>
      <c r="D17850" s="3" t="str">
        <f t="shared" si="4616"/>
        <v>12Go Link</v>
      </c>
      <c r="E17850" s="2" t="s">
        <v>8650</v>
      </c>
    </row>
    <row r="17851">
      <c r="A17851" s="2" t="s">
        <v>4110</v>
      </c>
      <c r="B17851" s="2" t="s">
        <v>8623</v>
      </c>
      <c r="C17851" s="2" t="s">
        <v>8651</v>
      </c>
      <c r="D17851" s="3" t="str">
        <f>HYPERLINK("https://12go.asia/en/travel/Thanh-Khe-District/Hue-city-Vietnam", "12Go Link")</f>
        <v>12Go Link</v>
      </c>
      <c r="E17851" s="2" t="s">
        <v>8652</v>
      </c>
    </row>
    <row r="17852">
      <c r="A17852" s="2" t="s">
        <v>4110</v>
      </c>
      <c r="B17852" s="2" t="s">
        <v>8653</v>
      </c>
      <c r="C17852" s="2" t="s">
        <v>8654</v>
      </c>
      <c r="D17852" s="3" t="str">
        <f>HYPERLINK("https://12go.asia/en/travel/Da-Nang-Hanh-Cafe-Office/4-Hoang-Dieu", "12Go Link")</f>
        <v>12Go Link</v>
      </c>
      <c r="E17852" s="2" t="s">
        <v>8655</v>
      </c>
    </row>
    <row r="17853">
      <c r="A17853" s="2" t="s">
        <v>4110</v>
      </c>
      <c r="B17853" s="2" t="s">
        <v>8656</v>
      </c>
      <c r="C17853" s="2" t="s">
        <v>8657</v>
      </c>
      <c r="D17853" s="3" t="str">
        <f>HYPERLINK("https://12go.asia/en/travel/Da-Nang/Nha-Trang", "12Go Link")</f>
        <v>12Go Link</v>
      </c>
      <c r="E17853" s="2" t="s">
        <v>8645</v>
      </c>
    </row>
    <row r="17854">
      <c r="A17854" s="2" t="s">
        <v>4110</v>
      </c>
      <c r="B17854" s="2" t="s">
        <v>8658</v>
      </c>
      <c r="C17854" s="2" t="s">
        <v>8659</v>
      </c>
      <c r="D17854" s="3" t="str">
        <f>HYPERLINK("https://12go.asia/en/travel/Danava-Travel-16-Road-32/Mr-Khanh-Travel-Agency-Ninh-Binh", "12Go Link")</f>
        <v>12Go Link</v>
      </c>
      <c r="E17854" s="2" t="s">
        <v>8647</v>
      </c>
    </row>
    <row r="17855">
      <c r="A17855" s="2" t="s">
        <v>4110</v>
      </c>
      <c r="B17855" s="2" t="s">
        <v>8658</v>
      </c>
      <c r="C17855" s="2" t="s">
        <v>8660</v>
      </c>
      <c r="D17855" s="3" t="str">
        <f>HYPERLINK("https://12go.asia/en/travel/Danava-Travel-16-Road-32/Tam-Coc-NinhBinh", "12Go Link")</f>
        <v>12Go Link</v>
      </c>
      <c r="E17855" s="2" t="s">
        <v>8647</v>
      </c>
    </row>
    <row r="17856">
      <c r="A17856" s="2" t="s">
        <v>4110</v>
      </c>
      <c r="B17856" s="2" t="s">
        <v>8658</v>
      </c>
      <c r="C17856" s="2" t="s">
        <v>8661</v>
      </c>
      <c r="D17856" s="3" t="str">
        <f>HYPERLINK("https://12go.asia/en/travel/Queen-Cafe-Bus-Da-Nang/Mikes-Travel-Agency", "12Go Link")</f>
        <v>12Go Link</v>
      </c>
      <c r="E17856" s="2" t="s">
        <v>8662</v>
      </c>
    </row>
    <row r="17857">
      <c r="A17857" s="2" t="s">
        <v>4110</v>
      </c>
      <c r="B17857" s="2" t="s">
        <v>8663</v>
      </c>
      <c r="C17857" s="2" t="s">
        <v>8664</v>
      </c>
      <c r="D17857" s="3" t="str">
        <f>HYPERLINK("https://12go.asia/en/travel/Danava-Travel-16-Road-32/Nam-Anh-Hotel", "12Go Link")</f>
        <v>12Go Link</v>
      </c>
      <c r="E17857" s="2" t="s">
        <v>8647</v>
      </c>
    </row>
    <row r="17858">
      <c r="A17858" s="2" t="s">
        <v>4110</v>
      </c>
      <c r="B17858" s="2" t="s">
        <v>4037</v>
      </c>
      <c r="C17858" s="2" t="s">
        <v>8665</v>
      </c>
      <c r="D17858" s="3" t="str">
        <f>HYPERLINK("https://12go.asia/en/travel/97-Vo-Van-Kiet/100A-Dien-Bien-Phu", "12Go Link")</f>
        <v>12Go Link</v>
      </c>
      <c r="E17858" s="2" t="s">
        <v>8643</v>
      </c>
    </row>
    <row r="17859">
      <c r="A17859" s="2" t="s">
        <v>4110</v>
      </c>
      <c r="B17859" s="2" t="s">
        <v>8666</v>
      </c>
      <c r="C17859" s="2" t="s">
        <v>8667</v>
      </c>
      <c r="D17859" s="3" t="str">
        <f>HYPERLINK("https://12go.asia/en/travel/97-Vo-Van-Kiet/Tam-Coc-Bus-Station", "12Go Link")</f>
        <v>12Go Link</v>
      </c>
      <c r="E17859" s="2" t="s">
        <v>8643</v>
      </c>
    </row>
    <row r="17860">
      <c r="A17860" s="2" t="s">
        <v>8668</v>
      </c>
      <c r="B17860" s="2" t="s">
        <v>8629</v>
      </c>
      <c r="C17860" s="2" t="s">
        <v>8669</v>
      </c>
      <c r="D17860" s="3" t="str">
        <f t="shared" ref="D17860:D17861" si="4617">HYPERLINK("https://12go.asia/en/travel/178-Nui-Ngoc/132-Duong-Hien-Giang", "12Go Link")</f>
        <v>12Go Link</v>
      </c>
      <c r="E17860" s="2" t="s">
        <v>8670</v>
      </c>
    </row>
    <row r="17861">
      <c r="A17861" s="2" t="s">
        <v>8668</v>
      </c>
      <c r="B17861" s="2" t="s">
        <v>8629</v>
      </c>
      <c r="C17861" s="2" t="s">
        <v>8669</v>
      </c>
      <c r="D17861" s="3" t="str">
        <f t="shared" si="4617"/>
        <v>12Go Link</v>
      </c>
      <c r="E17861" s="2" t="s">
        <v>8671</v>
      </c>
    </row>
    <row r="17862">
      <c r="A17862" s="2" t="s">
        <v>8668</v>
      </c>
      <c r="B17862" s="2" t="s">
        <v>4110</v>
      </c>
      <c r="C17862" s="2" t="s">
        <v>8672</v>
      </c>
      <c r="D17862" s="3" t="str">
        <f>HYPERLINK("https://12go.asia/en/travel/178-Nui-Ngoc/90-Hoang-Thi-Loan", "12Go Link")</f>
        <v>12Go Link</v>
      </c>
      <c r="E17862" s="2" t="s">
        <v>8673</v>
      </c>
    </row>
    <row r="17863">
      <c r="A17863" s="2" t="s">
        <v>8668</v>
      </c>
      <c r="B17863" s="2" t="s">
        <v>8674</v>
      </c>
      <c r="C17863" s="2" t="s">
        <v>8675</v>
      </c>
      <c r="D17863" s="3" t="str">
        <f>HYPERLINK("https://12go.asia/en/travel/178-Nui-Ngoc/122-Ha-Huy-Tap", "12Go Link")</f>
        <v>12Go Link</v>
      </c>
      <c r="E17863" s="2" t="s">
        <v>8673</v>
      </c>
    </row>
    <row r="17864">
      <c r="A17864" s="2" t="s">
        <v>8668</v>
      </c>
      <c r="B17864" s="2" t="s">
        <v>8630</v>
      </c>
      <c r="C17864" s="2" t="s">
        <v>8676</v>
      </c>
      <c r="D17864" s="3" t="str">
        <f>HYPERLINK("https://12go.asia/en/travel/178-Nui-Ngoc/Ha-Giang-City-Hostel", "12Go Link")</f>
        <v>12Go Link</v>
      </c>
      <c r="E17864" s="2" t="s">
        <v>8671</v>
      </c>
    </row>
    <row r="17865">
      <c r="A17865" s="2" t="s">
        <v>8668</v>
      </c>
      <c r="B17865" s="2" t="s">
        <v>8630</v>
      </c>
      <c r="C17865" s="2" t="s">
        <v>8677</v>
      </c>
      <c r="D17865" s="3" t="str">
        <f t="shared" ref="D17865:D17866" si="4618">HYPERLINK("https://12go.asia/en/travel/Gia-Cat-Long-Hotel/To-1-Cau-Me", "12Go Link")</f>
        <v>12Go Link</v>
      </c>
      <c r="E17865" s="2" t="s">
        <v>8678</v>
      </c>
    </row>
    <row r="17866">
      <c r="A17866" s="2" t="s">
        <v>8668</v>
      </c>
      <c r="B17866" s="2" t="s">
        <v>8630</v>
      </c>
      <c r="C17866" s="2" t="s">
        <v>8677</v>
      </c>
      <c r="D17866" s="3" t="str">
        <f t="shared" si="4618"/>
        <v>12Go Link</v>
      </c>
      <c r="E17866" s="2" t="s">
        <v>8647</v>
      </c>
    </row>
    <row r="17867">
      <c r="A17867" s="2" t="s">
        <v>8668</v>
      </c>
      <c r="B17867" s="2" t="s">
        <v>4034</v>
      </c>
      <c r="C17867" s="2" t="s">
        <v>8679</v>
      </c>
      <c r="D17867" s="3" t="str">
        <f>HYPERLINK("https://12go.asia/en/travel/178-Nui-Ngoc/20-Hang-Muoi", "12Go Link")</f>
        <v>12Go Link</v>
      </c>
      <c r="E17867" s="2" t="s">
        <v>8680</v>
      </c>
    </row>
    <row r="17868">
      <c r="A17868" s="2" t="s">
        <v>8668</v>
      </c>
      <c r="B17868" s="2" t="s">
        <v>8681</v>
      </c>
      <c r="C17868" s="2" t="s">
        <v>8682</v>
      </c>
      <c r="D17868" s="3" t="str">
        <f>HYPERLINK("https://12go.asia/en/travel/178-Nui-Ngoc/Little-Mai-Chau-Homestay", "12Go Link")</f>
        <v>12Go Link</v>
      </c>
      <c r="E17868" s="2" t="s">
        <v>8683</v>
      </c>
    </row>
    <row r="17869">
      <c r="A17869" s="2" t="s">
        <v>8668</v>
      </c>
      <c r="B17869" s="2" t="s">
        <v>8621</v>
      </c>
      <c r="C17869" s="2" t="s">
        <v>8684</v>
      </c>
      <c r="D17869" s="3" t="str">
        <f>HYPERLINK("https://12go.asia/en/travel/178-Nui-Ngoc/Pool-Side-Villa", "12Go Link")</f>
        <v>12Go Link</v>
      </c>
      <c r="E17869" s="2" t="s">
        <v>8673</v>
      </c>
    </row>
    <row r="17870">
      <c r="A17870" s="2" t="s">
        <v>8668</v>
      </c>
      <c r="B17870" s="2" t="s">
        <v>8623</v>
      </c>
      <c r="C17870" s="2" t="s">
        <v>8685</v>
      </c>
      <c r="D17870" s="3" t="str">
        <f>HYPERLINK("https://12go.asia/en/travel/178-Nui-Ngoc/26-Nguyen-Hue", "12Go Link")</f>
        <v>12Go Link</v>
      </c>
      <c r="E17870" s="2" t="s">
        <v>8673</v>
      </c>
    </row>
    <row r="17871">
      <c r="A17871" s="2" t="s">
        <v>8668</v>
      </c>
      <c r="B17871" s="2" t="s">
        <v>8663</v>
      </c>
      <c r="C17871" s="2" t="s">
        <v>8686</v>
      </c>
      <c r="D17871" s="3" t="str">
        <f>HYPERLINK("https://12go.asia/en/travel/178-Nui-Ngoc/Phong-Nha-Midtown-Hotel", "12Go Link")</f>
        <v>12Go Link</v>
      </c>
      <c r="E17871" s="2" t="s">
        <v>8673</v>
      </c>
    </row>
    <row r="17872">
      <c r="A17872" s="2" t="s">
        <v>8668</v>
      </c>
      <c r="B17872" s="2" t="s">
        <v>4037</v>
      </c>
      <c r="C17872" s="2" t="s">
        <v>8687</v>
      </c>
      <c r="D17872" s="3" t="str">
        <f>HYPERLINK("https://12go.asia/en/travel/178-Nui-Ngoc/Sapa-Garden-Bungalow", "12Go Link")</f>
        <v>12Go Link</v>
      </c>
      <c r="E17872" s="2" t="s">
        <v>8671</v>
      </c>
    </row>
    <row r="17873">
      <c r="A17873" s="2" t="s">
        <v>8668</v>
      </c>
      <c r="B17873" s="2" t="s">
        <v>4037</v>
      </c>
      <c r="C17873" s="2" t="s">
        <v>8688</v>
      </c>
      <c r="D17873" s="3" t="str">
        <f>HYPERLINK("https://12go.asia/en/travel/Gia-Cat-Long-Hotel/100A-Dien-Bien-Phu", "12Go Link")</f>
        <v>12Go Link</v>
      </c>
      <c r="E17873" s="2" t="s">
        <v>8647</v>
      </c>
    </row>
    <row r="17874">
      <c r="A17874" s="2" t="s">
        <v>8668</v>
      </c>
      <c r="B17874" s="2" t="s">
        <v>8666</v>
      </c>
      <c r="C17874" s="2" t="s">
        <v>8689</v>
      </c>
      <c r="D17874" s="3" t="str">
        <f>HYPERLINK("https://12go.asia/en/travel/178-Nui-Ngoc/Tam-Coc-Sunshine-Hostel", "12Go Link")</f>
        <v>12Go Link</v>
      </c>
      <c r="E17874" s="2" t="s">
        <v>8683</v>
      </c>
    </row>
    <row r="17875">
      <c r="A17875" s="2" t="s">
        <v>8668</v>
      </c>
      <c r="B17875" s="2" t="s">
        <v>8690</v>
      </c>
      <c r="C17875" s="2" t="s">
        <v>8691</v>
      </c>
      <c r="D17875" s="3" t="str">
        <f>HYPERLINK("https://12go.asia/en/travel/178-Nui-Ngoc/OH-Pu-Luong-Homestay", "12Go Link")</f>
        <v>12Go Link</v>
      </c>
      <c r="E17875" s="2" t="s">
        <v>8683</v>
      </c>
    </row>
    <row r="17876">
      <c r="A17876" s="2" t="s">
        <v>4032</v>
      </c>
      <c r="B17876" s="2" t="s">
        <v>4020</v>
      </c>
      <c r="C17876" s="2" t="s">
        <v>8692</v>
      </c>
      <c r="D17876" s="3" t="str">
        <f>HYPERLINK("https://12go.asia/en/travel/A-Thia-Homestay-Villa/Luang-Prabang-Railway-Station", "12Go Link")</f>
        <v>12Go Link</v>
      </c>
      <c r="E17876" s="2" t="s">
        <v>8693</v>
      </c>
    </row>
    <row r="17877">
      <c r="A17877" s="2" t="s">
        <v>4032</v>
      </c>
      <c r="B17877" s="2" t="s">
        <v>4046</v>
      </c>
      <c r="C17877" s="2" t="s">
        <v>8694</v>
      </c>
      <c r="D17877" s="3" t="str">
        <f>HYPERLINK("https://12go.asia/en/travel/Pha-Din-Hotel/Ing-Ing-Mountain-View", "12Go Link")</f>
        <v>12Go Link</v>
      </c>
      <c r="E17877" s="2" t="s">
        <v>8</v>
      </c>
    </row>
    <row r="17878">
      <c r="A17878" s="2" t="s">
        <v>4032</v>
      </c>
      <c r="B17878" s="2" t="s">
        <v>4028</v>
      </c>
      <c r="C17878" s="2" t="s">
        <v>8695</v>
      </c>
      <c r="D17878" s="3" t="str">
        <f>HYPERLINK("https://12go.asia/en/travel/A-Thia-Homestay-Villa/Lao-Viet-Restaurant", "12Go Link")</f>
        <v>12Go Link</v>
      </c>
      <c r="E17878" s="2" t="s">
        <v>8633</v>
      </c>
    </row>
    <row r="17879">
      <c r="A17879" s="2" t="s">
        <v>4032</v>
      </c>
      <c r="B17879" s="2" t="s">
        <v>4030</v>
      </c>
      <c r="C17879" s="2" t="s">
        <v>8696</v>
      </c>
      <c r="D17879" s="3" t="str">
        <f>HYPERLINK("https://12go.asia/en/travel/A-Thia-Homestay-Villa/Muang-Khua", "12Go Link")</f>
        <v>12Go Link</v>
      </c>
      <c r="E17879" s="2" t="s">
        <v>8633</v>
      </c>
    </row>
    <row r="17880">
      <c r="A17880" s="2" t="s">
        <v>4032</v>
      </c>
      <c r="B17880" s="2" t="s">
        <v>4050</v>
      </c>
      <c r="C17880" s="2" t="s">
        <v>8697</v>
      </c>
      <c r="D17880" s="3" t="str">
        <f>HYPERLINK("https://12go.asia/en/travel/A-Thia-Homestay-Villa/Vang-Vieng-Railway-Station", "12Go Link")</f>
        <v>12Go Link</v>
      </c>
      <c r="E17880" s="2" t="s">
        <v>8693</v>
      </c>
    </row>
    <row r="17881">
      <c r="A17881" s="2" t="s">
        <v>4032</v>
      </c>
      <c r="B17881" s="2" t="s">
        <v>4054</v>
      </c>
      <c r="C17881" s="2" t="s">
        <v>8698</v>
      </c>
      <c r="D17881" s="3" t="str">
        <f>HYPERLINK("https://12go.asia/en/travel/A-Thia-Homestay-Villa/Vientiane-Railway-Station", "12Go Link")</f>
        <v>12Go Link</v>
      </c>
      <c r="E17881" s="2" t="s">
        <v>8693</v>
      </c>
    </row>
    <row r="17882">
      <c r="A17882" s="2" t="s">
        <v>4032</v>
      </c>
      <c r="B17882" s="2" t="s">
        <v>4034</v>
      </c>
      <c r="C17882" s="2" t="s">
        <v>8699</v>
      </c>
      <c r="D17882" s="3" t="str">
        <f>HYPERLINK("https://12go.asia/en/travel/A-Thia-Homestay-Villa/Hanoi-My-Dinh-Bus-Station", "12Go Link")</f>
        <v>12Go Link</v>
      </c>
      <c r="E17882" s="2" t="s">
        <v>8643</v>
      </c>
    </row>
    <row r="17883">
      <c r="A17883" s="2" t="s">
        <v>4032</v>
      </c>
      <c r="B17883" s="2" t="s">
        <v>4037</v>
      </c>
      <c r="C17883" s="2" t="s">
        <v>8700</v>
      </c>
      <c r="D17883" s="3" t="str">
        <f>HYPERLINK("https://12go.asia/en/travel/A-Thia-Homestay-Villa/100A-Dien-Bien-Phu", "12Go Link")</f>
        <v>12Go Link</v>
      </c>
      <c r="E17883" s="2" t="s">
        <v>8678</v>
      </c>
    </row>
    <row r="17884">
      <c r="A17884" s="2" t="s">
        <v>8674</v>
      </c>
      <c r="B17884" s="2" t="s">
        <v>8658</v>
      </c>
      <c r="C17884" s="2" t="s">
        <v>8701</v>
      </c>
      <c r="D17884" s="3" t="str">
        <f>HYPERLINK("https://12go.asia/en/travel/Dong-Hoi/Ninh-Binh", "12Go Link")</f>
        <v>12Go Link</v>
      </c>
      <c r="E17884" s="2" t="s">
        <v>8645</v>
      </c>
    </row>
    <row r="17885">
      <c r="A17885" s="2" t="s">
        <v>8630</v>
      </c>
      <c r="B17885" s="2" t="s">
        <v>8629</v>
      </c>
      <c r="C17885" s="2" t="s">
        <v>8702</v>
      </c>
      <c r="D17885" s="3" t="str">
        <f t="shared" ref="D17885:D17886" si="4619">HYPERLINK("https://12go.asia/en/travel/To-1-Cau-Me/Cao-Bang-Bus-Station", "12Go Link")</f>
        <v>12Go Link</v>
      </c>
      <c r="E17885" s="2" t="s">
        <v>8632</v>
      </c>
    </row>
    <row r="17886">
      <c r="A17886" s="2" t="s">
        <v>8630</v>
      </c>
      <c r="B17886" s="2" t="s">
        <v>8629</v>
      </c>
      <c r="C17886" s="2" t="s">
        <v>8702</v>
      </c>
      <c r="D17886" s="3" t="str">
        <f t="shared" si="4619"/>
        <v>12Go Link</v>
      </c>
      <c r="E17886" s="2" t="s">
        <v>8633</v>
      </c>
    </row>
    <row r="17887">
      <c r="A17887" s="2" t="s">
        <v>8630</v>
      </c>
      <c r="B17887" s="2" t="s">
        <v>8668</v>
      </c>
      <c r="C17887" s="2" t="s">
        <v>8703</v>
      </c>
      <c r="D17887" s="3" t="str">
        <f t="shared" ref="D17887:D17888" si="4620">HYPERLINK("https://12go.asia/en/travel/To-1-Cau-Me/Gia-Cat-Long-Hotel", "12Go Link")</f>
        <v>12Go Link</v>
      </c>
      <c r="E17887" s="2" t="s">
        <v>8678</v>
      </c>
    </row>
    <row r="17888">
      <c r="A17888" s="2" t="s">
        <v>8630</v>
      </c>
      <c r="B17888" s="2" t="s">
        <v>8668</v>
      </c>
      <c r="C17888" s="2" t="s">
        <v>8703</v>
      </c>
      <c r="D17888" s="3" t="str">
        <f t="shared" si="4620"/>
        <v>12Go Link</v>
      </c>
      <c r="E17888" s="2" t="s">
        <v>8647</v>
      </c>
    </row>
    <row r="17889">
      <c r="A17889" s="2" t="s">
        <v>8630</v>
      </c>
      <c r="B17889" s="2" t="s">
        <v>4034</v>
      </c>
      <c r="C17889" s="2" t="s">
        <v>8704</v>
      </c>
      <c r="D17889" s="3" t="str">
        <f>HYPERLINK("https://12go.asia/en/travel/Ha-Giang-Bus-Station/My-Dinh-Bus-Station", "12Go Link")</f>
        <v>12Go Link</v>
      </c>
      <c r="E17889" s="2" t="s">
        <v>8705</v>
      </c>
    </row>
    <row r="17890">
      <c r="A17890" s="2" t="s">
        <v>8630</v>
      </c>
      <c r="B17890" s="2" t="s">
        <v>4034</v>
      </c>
      <c r="C17890" s="2" t="s">
        <v>8706</v>
      </c>
      <c r="D17890" s="3" t="str">
        <f t="shared" ref="D17890:D17892" si="4621">HYPERLINK("https://12go.asia/en/travel/To-1-Cau-Me/204-Tran-Quang-Khai", "12Go Link")</f>
        <v>12Go Link</v>
      </c>
      <c r="E17890" s="2" t="s">
        <v>8707</v>
      </c>
    </row>
    <row r="17891">
      <c r="A17891" s="2" t="s">
        <v>8630</v>
      </c>
      <c r="B17891" s="2" t="s">
        <v>4034</v>
      </c>
      <c r="C17891" s="2" t="s">
        <v>8706</v>
      </c>
      <c r="D17891" s="3" t="str">
        <f t="shared" si="4621"/>
        <v>12Go Link</v>
      </c>
      <c r="E17891" s="2" t="s">
        <v>8643</v>
      </c>
    </row>
    <row r="17892">
      <c r="A17892" s="2" t="s">
        <v>8630</v>
      </c>
      <c r="B17892" s="2" t="s">
        <v>4034</v>
      </c>
      <c r="C17892" s="2" t="s">
        <v>8706</v>
      </c>
      <c r="D17892" s="3" t="str">
        <f t="shared" si="4621"/>
        <v>12Go Link</v>
      </c>
      <c r="E17892" s="2" t="s">
        <v>8647</v>
      </c>
    </row>
    <row r="17893">
      <c r="A17893" s="2" t="s">
        <v>8630</v>
      </c>
      <c r="B17893" s="2" t="s">
        <v>8708</v>
      </c>
      <c r="C17893" s="2" t="s">
        <v>8709</v>
      </c>
      <c r="D17893" s="3" t="str">
        <f t="shared" ref="D17893:D17894" si="4622">HYPERLINK("https://12go.asia/en/travel/To-1-Cau-Me/Toyota-Quang-Ninh", "12Go Link")</f>
        <v>12Go Link</v>
      </c>
      <c r="E17893" s="2" t="s">
        <v>8643</v>
      </c>
    </row>
    <row r="17894">
      <c r="A17894" s="2" t="s">
        <v>8630</v>
      </c>
      <c r="B17894" s="2" t="s">
        <v>8708</v>
      </c>
      <c r="C17894" s="2" t="s">
        <v>8709</v>
      </c>
      <c r="D17894" s="3" t="str">
        <f t="shared" si="4622"/>
        <v>12Go Link</v>
      </c>
      <c r="E17894" s="2" t="s">
        <v>8647</v>
      </c>
    </row>
    <row r="17895">
      <c r="A17895" s="2" t="s">
        <v>8630</v>
      </c>
      <c r="B17895" s="2" t="s">
        <v>4037</v>
      </c>
      <c r="C17895" s="2" t="s">
        <v>8710</v>
      </c>
      <c r="D17895" s="3" t="str">
        <f>HYPERLINK("https://12go.asia/en/travel/32-Nguyen-Trai-Street/599-Dien-Bien-Phu", "12Go Link")</f>
        <v>12Go Link</v>
      </c>
      <c r="E17895" s="2" t="s">
        <v>8711</v>
      </c>
    </row>
    <row r="17896">
      <c r="A17896" s="2" t="s">
        <v>8630</v>
      </c>
      <c r="B17896" s="2" t="s">
        <v>4037</v>
      </c>
      <c r="C17896" s="2" t="s">
        <v>8712</v>
      </c>
      <c r="D17896" s="3" t="str">
        <f t="shared" ref="D17896:D17897" si="4623">HYPERLINK("https://12go.asia/en/travel/To-1-Cau-Me/100A-Dien-Bien-Phu", "12Go Link")</f>
        <v>12Go Link</v>
      </c>
      <c r="E17896" s="2" t="s">
        <v>8707</v>
      </c>
    </row>
    <row r="17897">
      <c r="A17897" s="2" t="s">
        <v>8630</v>
      </c>
      <c r="B17897" s="2" t="s">
        <v>4037</v>
      </c>
      <c r="C17897" s="2" t="s">
        <v>8712</v>
      </c>
      <c r="D17897" s="3" t="str">
        <f t="shared" si="4623"/>
        <v>12Go Link</v>
      </c>
      <c r="E17897" s="2" t="s">
        <v>8713</v>
      </c>
    </row>
    <row r="17898">
      <c r="A17898" s="2" t="s">
        <v>8630</v>
      </c>
      <c r="B17898" s="2" t="s">
        <v>8666</v>
      </c>
      <c r="C17898" s="2" t="s">
        <v>8714</v>
      </c>
      <c r="D17898" s="3" t="str">
        <f t="shared" ref="D17898:D17899" si="4624">HYPERLINK("https://12go.asia/en/travel/To-1-Cau-Me/Tam-Coc-Bus-Station", "12Go Link")</f>
        <v>12Go Link</v>
      </c>
      <c r="E17898" s="2" t="s">
        <v>8643</v>
      </c>
    </row>
    <row r="17899">
      <c r="A17899" s="2" t="s">
        <v>8630</v>
      </c>
      <c r="B17899" s="2" t="s">
        <v>8666</v>
      </c>
      <c r="C17899" s="2" t="s">
        <v>8714</v>
      </c>
      <c r="D17899" s="3" t="str">
        <f t="shared" si="4624"/>
        <v>12Go Link</v>
      </c>
      <c r="E17899" s="2" t="s">
        <v>8647</v>
      </c>
    </row>
    <row r="17900">
      <c r="A17900" s="2" t="s">
        <v>8715</v>
      </c>
      <c r="B17900" s="2" t="s">
        <v>8663</v>
      </c>
      <c r="C17900" s="2" t="s">
        <v>8716</v>
      </c>
      <c r="D17900" s="3" t="str">
        <f>HYPERLINK("https://12go.asia/en/travel/ha-nam/phong-nha", "12Go Link")</f>
        <v>12Go Link</v>
      </c>
      <c r="E17900" s="2" t="s">
        <v>226</v>
      </c>
    </row>
    <row r="17901">
      <c r="A17901" s="2" t="s">
        <v>8717</v>
      </c>
      <c r="B17901" s="2" t="s">
        <v>289</v>
      </c>
      <c r="C17901" s="2" t="s">
        <v>8718</v>
      </c>
      <c r="D17901" s="3" t="str">
        <f>HYPERLINK("https://12go.asia/en/travel/Ha-Tien-Town/Kampot", "12Go Link")</f>
        <v>12Go Link</v>
      </c>
      <c r="E17901" s="2" t="s">
        <v>8719</v>
      </c>
    </row>
    <row r="17902">
      <c r="A17902" s="2" t="s">
        <v>8717</v>
      </c>
      <c r="B17902" s="2" t="s">
        <v>306</v>
      </c>
      <c r="C17902" s="2" t="s">
        <v>8720</v>
      </c>
      <c r="D17902" s="3" t="str">
        <f>HYPERLINK("https://12go.asia/en/travel/Ha-Tien-Town/Kep", "12Go Link")</f>
        <v>12Go Link</v>
      </c>
      <c r="E17902" s="2" t="s">
        <v>8719</v>
      </c>
    </row>
    <row r="17903">
      <c r="A17903" s="2" t="s">
        <v>8717</v>
      </c>
      <c r="B17903" s="2" t="s">
        <v>329</v>
      </c>
      <c r="C17903" s="2" t="s">
        <v>8721</v>
      </c>
      <c r="D17903" s="3" t="str">
        <f>HYPERLINK("https://12go.asia/en/travel/Ha-Tien-Town/Siem-Reap", "12Go Link")</f>
        <v>12Go Link</v>
      </c>
      <c r="E17903" s="2" t="s">
        <v>8722</v>
      </c>
    </row>
    <row r="17904">
      <c r="A17904" s="2" t="s">
        <v>8717</v>
      </c>
      <c r="B17904" s="2" t="s">
        <v>338</v>
      </c>
      <c r="C17904" s="2" t="s">
        <v>8723</v>
      </c>
      <c r="D17904" s="3" t="str">
        <f>HYPERLINK("https://12go.asia/en/travel/Ha-Tien-Town/Sihanoukville", "12Go Link")</f>
        <v>12Go Link</v>
      </c>
      <c r="E17904" s="2" t="s">
        <v>8719</v>
      </c>
    </row>
    <row r="17905">
      <c r="A17905" s="2" t="s">
        <v>8724</v>
      </c>
      <c r="B17905" s="2" t="s">
        <v>4034</v>
      </c>
      <c r="C17905" s="2" t="s">
        <v>8725</v>
      </c>
      <c r="D17905" s="3" t="str">
        <f t="shared" ref="D17905:D17909" si="4625">HYPERLINK("https://12go.asia/en/travel/Cai-Beo-Ferry-Terminal-and-Dock/Daily-Limousine-Office", "12Go Link")</f>
        <v>12Go Link</v>
      </c>
      <c r="E17905" s="2" t="s">
        <v>8726</v>
      </c>
    </row>
    <row r="17906">
      <c r="A17906" s="2" t="s">
        <v>8724</v>
      </c>
      <c r="B17906" s="2" t="s">
        <v>4034</v>
      </c>
      <c r="C17906" s="2" t="s">
        <v>8725</v>
      </c>
      <c r="D17906" s="3" t="str">
        <f t="shared" si="4625"/>
        <v>12Go Link</v>
      </c>
      <c r="E17906" s="2" t="s">
        <v>8727</v>
      </c>
    </row>
    <row r="17907">
      <c r="A17907" s="2" t="s">
        <v>8724</v>
      </c>
      <c r="B17907" s="2" t="s">
        <v>4034</v>
      </c>
      <c r="C17907" s="2" t="s">
        <v>8725</v>
      </c>
      <c r="D17907" s="3" t="str">
        <f t="shared" si="4625"/>
        <v>12Go Link</v>
      </c>
      <c r="E17907" s="2" t="s">
        <v>8680</v>
      </c>
    </row>
    <row r="17908">
      <c r="A17908" s="2" t="s">
        <v>8724</v>
      </c>
      <c r="B17908" s="2" t="s">
        <v>4034</v>
      </c>
      <c r="C17908" s="2" t="s">
        <v>8725</v>
      </c>
      <c r="D17908" s="3" t="str">
        <f t="shared" si="4625"/>
        <v>12Go Link</v>
      </c>
      <c r="E17908" s="2" t="s">
        <v>8728</v>
      </c>
    </row>
    <row r="17909">
      <c r="A17909" s="2" t="s">
        <v>8724</v>
      </c>
      <c r="B17909" s="2" t="s">
        <v>4034</v>
      </c>
      <c r="C17909" s="2" t="s">
        <v>8725</v>
      </c>
      <c r="D17909" s="3" t="str">
        <f t="shared" si="4625"/>
        <v>12Go Link</v>
      </c>
      <c r="E17909" s="2" t="s">
        <v>8729</v>
      </c>
    </row>
    <row r="17910">
      <c r="A17910" s="2" t="s">
        <v>8724</v>
      </c>
      <c r="B17910" s="2" t="s">
        <v>4034</v>
      </c>
      <c r="C17910" s="2" t="s">
        <v>8730</v>
      </c>
      <c r="D17910" s="3" t="str">
        <f t="shared" ref="D17910:D17914" si="4626">HYPERLINK("https://12go.asia/en/travel/Cat-Ba-New-Horizon-Hotel/206-Co-Linh", "12Go Link")</f>
        <v>12Go Link</v>
      </c>
      <c r="E17910" s="2" t="s">
        <v>8726</v>
      </c>
    </row>
    <row r="17911">
      <c r="A17911" s="2" t="s">
        <v>8724</v>
      </c>
      <c r="B17911" s="2" t="s">
        <v>4034</v>
      </c>
      <c r="C17911" s="2" t="s">
        <v>8730</v>
      </c>
      <c r="D17911" s="3" t="str">
        <f t="shared" si="4626"/>
        <v>12Go Link</v>
      </c>
      <c r="E17911" s="2" t="s">
        <v>8727</v>
      </c>
    </row>
    <row r="17912">
      <c r="A17912" s="2" t="s">
        <v>8724</v>
      </c>
      <c r="B17912" s="2" t="s">
        <v>4034</v>
      </c>
      <c r="C17912" s="2" t="s">
        <v>8730</v>
      </c>
      <c r="D17912" s="3" t="str">
        <f t="shared" si="4626"/>
        <v>12Go Link</v>
      </c>
      <c r="E17912" s="2" t="s">
        <v>8680</v>
      </c>
    </row>
    <row r="17913">
      <c r="A17913" s="2" t="s">
        <v>8724</v>
      </c>
      <c r="B17913" s="2" t="s">
        <v>4034</v>
      </c>
      <c r="C17913" s="2" t="s">
        <v>8730</v>
      </c>
      <c r="D17913" s="3" t="str">
        <f t="shared" si="4626"/>
        <v>12Go Link</v>
      </c>
      <c r="E17913" s="2" t="s">
        <v>8728</v>
      </c>
    </row>
    <row r="17914">
      <c r="A17914" s="2" t="s">
        <v>8724</v>
      </c>
      <c r="B17914" s="2" t="s">
        <v>4034</v>
      </c>
      <c r="C17914" s="2" t="s">
        <v>8730</v>
      </c>
      <c r="D17914" s="3" t="str">
        <f t="shared" si="4626"/>
        <v>12Go Link</v>
      </c>
      <c r="E17914" s="2" t="s">
        <v>8729</v>
      </c>
    </row>
    <row r="17915">
      <c r="A17915" s="2" t="s">
        <v>8724</v>
      </c>
      <c r="B17915" s="2" t="s">
        <v>4034</v>
      </c>
      <c r="C17915" s="2" t="s">
        <v>8731</v>
      </c>
      <c r="D17915" s="3" t="str">
        <f t="shared" ref="D17915:D17916" si="4627">HYPERLINK("https://12go.asia/en/travel/Cat-Ba-Transfer/Hanoi-Old-Quarter-Transfer", "12Go Link")</f>
        <v>12Go Link</v>
      </c>
      <c r="E17915" s="2" t="s">
        <v>8726</v>
      </c>
    </row>
    <row r="17916">
      <c r="A17916" s="2" t="s">
        <v>8724</v>
      </c>
      <c r="B17916" s="2" t="s">
        <v>4034</v>
      </c>
      <c r="C17916" s="2" t="s">
        <v>8731</v>
      </c>
      <c r="D17916" s="3" t="str">
        <f t="shared" si="4627"/>
        <v>12Go Link</v>
      </c>
      <c r="E17916" s="2" t="s">
        <v>8727</v>
      </c>
    </row>
    <row r="17917">
      <c r="A17917" s="2" t="s">
        <v>8724</v>
      </c>
      <c r="B17917" s="2" t="s">
        <v>4034</v>
      </c>
      <c r="C17917" s="2" t="s">
        <v>8732</v>
      </c>
      <c r="D17917" s="3" t="str">
        <f t="shared" ref="D17917:D17921" si="4628">HYPERLINK("https://12go.asia/en/travel/Oasis-Coffee-Bungalow-Restaurant/Hanoi-Opera-House", "12Go Link")</f>
        <v>12Go Link</v>
      </c>
      <c r="E17917" s="2" t="s">
        <v>8726</v>
      </c>
    </row>
    <row r="17918">
      <c r="A17918" s="2" t="s">
        <v>8724</v>
      </c>
      <c r="B17918" s="2" t="s">
        <v>4034</v>
      </c>
      <c r="C17918" s="2" t="s">
        <v>8732</v>
      </c>
      <c r="D17918" s="3" t="str">
        <f t="shared" si="4628"/>
        <v>12Go Link</v>
      </c>
      <c r="E17918" s="2" t="s">
        <v>8727</v>
      </c>
    </row>
    <row r="17919">
      <c r="A17919" s="2" t="s">
        <v>8724</v>
      </c>
      <c r="B17919" s="2" t="s">
        <v>4034</v>
      </c>
      <c r="C17919" s="2" t="s">
        <v>8732</v>
      </c>
      <c r="D17919" s="3" t="str">
        <f t="shared" si="4628"/>
        <v>12Go Link</v>
      </c>
      <c r="E17919" s="2" t="s">
        <v>8680</v>
      </c>
    </row>
    <row r="17920">
      <c r="A17920" s="2" t="s">
        <v>8724</v>
      </c>
      <c r="B17920" s="2" t="s">
        <v>4034</v>
      </c>
      <c r="C17920" s="2" t="s">
        <v>8732</v>
      </c>
      <c r="D17920" s="3" t="str">
        <f t="shared" si="4628"/>
        <v>12Go Link</v>
      </c>
      <c r="E17920" s="2" t="s">
        <v>8728</v>
      </c>
    </row>
    <row r="17921">
      <c r="A17921" s="2" t="s">
        <v>8724</v>
      </c>
      <c r="B17921" s="2" t="s">
        <v>4034</v>
      </c>
      <c r="C17921" s="2" t="s">
        <v>8732</v>
      </c>
      <c r="D17921" s="3" t="str">
        <f t="shared" si="4628"/>
        <v>12Go Link</v>
      </c>
      <c r="E17921" s="2" t="s">
        <v>8729</v>
      </c>
    </row>
    <row r="17922">
      <c r="A17922" s="2" t="s">
        <v>8724</v>
      </c>
      <c r="B17922" s="2" t="s">
        <v>4037</v>
      </c>
      <c r="C17922" s="2" t="s">
        <v>8733</v>
      </c>
      <c r="D17922" s="3" t="str">
        <f t="shared" ref="D17922:D17923" si="4629">HYPERLINK("https://12go.asia/en/travel/Vinh-Niem-Bus-Station/100A-Dien-Bien-Phu", "12Go Link")</f>
        <v>12Go Link</v>
      </c>
      <c r="E17922" s="2" t="s">
        <v>8643</v>
      </c>
    </row>
    <row r="17923">
      <c r="A17923" s="2" t="s">
        <v>8724</v>
      </c>
      <c r="B17923" s="2" t="s">
        <v>4037</v>
      </c>
      <c r="C17923" s="2" t="s">
        <v>8733</v>
      </c>
      <c r="D17923" s="3" t="str">
        <f t="shared" si="4629"/>
        <v>12Go Link</v>
      </c>
      <c r="E17923" s="2" t="s">
        <v>8647</v>
      </c>
    </row>
    <row r="17924">
      <c r="A17924" s="2" t="s">
        <v>8724</v>
      </c>
      <c r="B17924" s="2" t="s">
        <v>8690</v>
      </c>
      <c r="C17924" s="2" t="s">
        <v>8734</v>
      </c>
      <c r="D17924" s="3" t="str">
        <f>HYPERLINK("https://12go.asia/en/travel/186-April-1st-Cat-Ba/OH-Pu-Luong-Homestay", "12Go Link")</f>
        <v>12Go Link</v>
      </c>
      <c r="E17924" s="2" t="s">
        <v>8735</v>
      </c>
    </row>
    <row r="17925">
      <c r="A17925" s="2" t="s">
        <v>4034</v>
      </c>
      <c r="B17925" s="2" t="s">
        <v>4020</v>
      </c>
      <c r="C17925" s="2" t="s">
        <v>8736</v>
      </c>
      <c r="D17925" s="3" t="str">
        <f>HYPERLINK("https://12go.asia/en/travel/Hanoi-My-Dinh-Bus-Station/Luang-Prabang-Railway-Station", "12Go Link")</f>
        <v>12Go Link</v>
      </c>
      <c r="E17925" s="2" t="s">
        <v>8737</v>
      </c>
    </row>
    <row r="17926">
      <c r="A17926" s="2" t="s">
        <v>4034</v>
      </c>
      <c r="B17926" s="2" t="s">
        <v>4046</v>
      </c>
      <c r="C17926" s="2" t="s">
        <v>8738</v>
      </c>
      <c r="D17926" s="3" t="str">
        <f>HYPERLINK("https://12go.asia/en/travel/1P-Le-Lai/Ing-Ing-Mountain-View", "12Go Link")</f>
        <v>12Go Link</v>
      </c>
      <c r="E17926" s="2" t="s">
        <v>4036</v>
      </c>
    </row>
    <row r="17927">
      <c r="A17927" s="2" t="s">
        <v>4034</v>
      </c>
      <c r="B17927" s="2" t="s">
        <v>4028</v>
      </c>
      <c r="C17927" s="2" t="s">
        <v>8739</v>
      </c>
      <c r="D17927" s="3" t="str">
        <f>HYPERLINK("https://12go.asia/en/travel/Hanoi-My-Dinh-Bus-Station/Lao-Viet-Restaurant", "12Go Link")</f>
        <v>12Go Link</v>
      </c>
      <c r="E17927" s="2" t="s">
        <v>8740</v>
      </c>
    </row>
    <row r="17928">
      <c r="A17928" s="2" t="s">
        <v>4034</v>
      </c>
      <c r="B17928" s="2" t="s">
        <v>4030</v>
      </c>
      <c r="C17928" s="2" t="s">
        <v>8741</v>
      </c>
      <c r="D17928" s="3" t="str">
        <f>HYPERLINK("https://12go.asia/en/travel/Hanoi-My-Dinh-Bus-Station/Muang-Khua", "12Go Link")</f>
        <v>12Go Link</v>
      </c>
      <c r="E17928" s="2" t="s">
        <v>8740</v>
      </c>
    </row>
    <row r="17929">
      <c r="A17929" s="2" t="s">
        <v>4034</v>
      </c>
      <c r="B17929" s="2" t="s">
        <v>4050</v>
      </c>
      <c r="C17929" s="2" t="s">
        <v>8742</v>
      </c>
      <c r="D17929" s="3" t="str">
        <f>HYPERLINK("https://12go.asia/en/travel/Hanoi-My-Dinh-Bus-Station/Vang-Vieng-Railway-Station", "12Go Link")</f>
        <v>12Go Link</v>
      </c>
      <c r="E17929" s="2" t="s">
        <v>8740</v>
      </c>
    </row>
    <row r="17930">
      <c r="A17930" s="2" t="s">
        <v>4034</v>
      </c>
      <c r="B17930" s="2" t="s">
        <v>4054</v>
      </c>
      <c r="C17930" s="2" t="s">
        <v>8743</v>
      </c>
      <c r="D17930" s="3" t="str">
        <f>HYPERLINK("https://12go.asia/en/travel/Hanoi-My-Dinh-Bus-Station/Vientiane-Railway-Station", "12Go Link")</f>
        <v>12Go Link</v>
      </c>
      <c r="E17930" s="2" t="s">
        <v>8740</v>
      </c>
    </row>
    <row r="17931">
      <c r="A17931" s="2" t="s">
        <v>4034</v>
      </c>
      <c r="B17931" s="2" t="s">
        <v>4110</v>
      </c>
      <c r="C17931" s="2" t="s">
        <v>8744</v>
      </c>
      <c r="D17931" s="3" t="str">
        <f>HYPERLINK("https://12go.asia/en/travel/1-Nguyen-Hoang-My-Dinh/Danava-Travel-16-Road-32", "12Go Link")</f>
        <v>12Go Link</v>
      </c>
      <c r="E17931" s="2" t="s">
        <v>8647</v>
      </c>
    </row>
    <row r="17932">
      <c r="A17932" s="2" t="s">
        <v>4034</v>
      </c>
      <c r="B17932" s="2" t="s">
        <v>4110</v>
      </c>
      <c r="C17932" s="2" t="s">
        <v>8745</v>
      </c>
      <c r="D17932" s="3" t="str">
        <f>HYPERLINK("https://12go.asia/en/travel/15A-Bat-Su/Danava-Travel-16-Road-32", "12Go Link")</f>
        <v>12Go Link</v>
      </c>
      <c r="E17932" s="2" t="s">
        <v>8647</v>
      </c>
    </row>
    <row r="17933">
      <c r="A17933" s="2" t="s">
        <v>4034</v>
      </c>
      <c r="B17933" s="2" t="s">
        <v>4110</v>
      </c>
      <c r="C17933" s="2" t="s">
        <v>8746</v>
      </c>
      <c r="D17933" s="3" t="str">
        <f>HYPERLINK("https://12go.asia/en/travel/70-Nguyen-Huu-Huan/97-Vo-Van-Kiet", "12Go Link")</f>
        <v>12Go Link</v>
      </c>
      <c r="E17933" s="2" t="s">
        <v>8643</v>
      </c>
    </row>
    <row r="17934">
      <c r="A17934" s="2" t="s">
        <v>4034</v>
      </c>
      <c r="B17934" s="2" t="s">
        <v>4110</v>
      </c>
      <c r="C17934" s="2" t="s">
        <v>8747</v>
      </c>
      <c r="D17934" s="3" t="str">
        <f>HYPERLINK("https://12go.asia/en/travel/Hanoi/Da-Nang", "12Go Link")</f>
        <v>12Go Link</v>
      </c>
      <c r="E17934" s="2" t="s">
        <v>8645</v>
      </c>
    </row>
    <row r="17935">
      <c r="A17935" s="2" t="s">
        <v>4034</v>
      </c>
      <c r="B17935" s="2" t="s">
        <v>4110</v>
      </c>
      <c r="C17935" s="2" t="s">
        <v>8748</v>
      </c>
      <c r="D17935" s="3" t="str">
        <f>HYPERLINK("https://12go.asia/en/travel/Parking-Lot-Tran-Vy/Danava-Travel-16-Road-32", "12Go Link")</f>
        <v>12Go Link</v>
      </c>
      <c r="E17935" s="2" t="s">
        <v>8647</v>
      </c>
    </row>
    <row r="17936">
      <c r="A17936" s="2" t="s">
        <v>4034</v>
      </c>
      <c r="B17936" s="2" t="s">
        <v>8668</v>
      </c>
      <c r="C17936" s="2" t="s">
        <v>8749</v>
      </c>
      <c r="D17936" s="3" t="str">
        <f>HYPERLINK("https://12go.asia/en/travel/20-Hang-Muoi/178-Nui-Ngoc", "12Go Link")</f>
        <v>12Go Link</v>
      </c>
      <c r="E17936" s="2" t="s">
        <v>8680</v>
      </c>
    </row>
    <row r="17937">
      <c r="A17937" s="2" t="s">
        <v>4034</v>
      </c>
      <c r="B17937" s="2" t="s">
        <v>4032</v>
      </c>
      <c r="C17937" s="2" t="s">
        <v>8750</v>
      </c>
      <c r="D17937" s="3" t="str">
        <f>HYPERLINK("https://12go.asia/en/travel/Hanoi-My-Dinh-Bus-Station/A-Thia-Homestay-Villa", "12Go Link")</f>
        <v>12Go Link</v>
      </c>
      <c r="E17937" s="2" t="s">
        <v>8643</v>
      </c>
    </row>
    <row r="17938">
      <c r="A17938" s="2" t="s">
        <v>4034</v>
      </c>
      <c r="B17938" s="2" t="s">
        <v>8630</v>
      </c>
      <c r="C17938" s="2" t="s">
        <v>8751</v>
      </c>
      <c r="D17938" s="3" t="str">
        <f t="shared" ref="D17938:D17939" si="4630">HYPERLINK("https://12go.asia/en/travel/204-Tran-Quang-Khai/To-1-Cau-Me", "12Go Link")</f>
        <v>12Go Link</v>
      </c>
      <c r="E17938" s="2" t="s">
        <v>8707</v>
      </c>
    </row>
    <row r="17939">
      <c r="A17939" s="2" t="s">
        <v>4034</v>
      </c>
      <c r="B17939" s="2" t="s">
        <v>8630</v>
      </c>
      <c r="C17939" s="2" t="s">
        <v>8751</v>
      </c>
      <c r="D17939" s="3" t="str">
        <f t="shared" si="4630"/>
        <v>12Go Link</v>
      </c>
      <c r="E17939" s="2" t="s">
        <v>8643</v>
      </c>
    </row>
    <row r="17940">
      <c r="A17940" s="2" t="s">
        <v>4034</v>
      </c>
      <c r="B17940" s="2" t="s">
        <v>8630</v>
      </c>
      <c r="C17940" s="2" t="s">
        <v>8752</v>
      </c>
      <c r="D17940" s="3" t="str">
        <f>HYPERLINK("https://12go.asia/en/travel/57-Cua-Dong-Street/Ha-Giang", "12Go Link")</f>
        <v>12Go Link</v>
      </c>
      <c r="E17940" s="2" t="s">
        <v>8753</v>
      </c>
    </row>
    <row r="17941">
      <c r="A17941" s="2" t="s">
        <v>4034</v>
      </c>
      <c r="B17941" s="2" t="s">
        <v>8724</v>
      </c>
      <c r="C17941" s="2" t="s">
        <v>8754</v>
      </c>
      <c r="D17941" s="3" t="str">
        <f t="shared" ref="D17941:D17945" si="4631">HYPERLINK("https://12go.asia/en/travel/206-Co-Linh/Cat-Ba-New-Horizon-Hotel", "12Go Link")</f>
        <v>12Go Link</v>
      </c>
      <c r="E17941" s="2" t="s">
        <v>8726</v>
      </c>
    </row>
    <row r="17942">
      <c r="A17942" s="2" t="s">
        <v>4034</v>
      </c>
      <c r="B17942" s="2" t="s">
        <v>8724</v>
      </c>
      <c r="C17942" s="2" t="s">
        <v>8754</v>
      </c>
      <c r="D17942" s="3" t="str">
        <f t="shared" si="4631"/>
        <v>12Go Link</v>
      </c>
      <c r="E17942" s="2" t="s">
        <v>8727</v>
      </c>
    </row>
    <row r="17943">
      <c r="A17943" s="2" t="s">
        <v>4034</v>
      </c>
      <c r="B17943" s="2" t="s">
        <v>8724</v>
      </c>
      <c r="C17943" s="2" t="s">
        <v>8754</v>
      </c>
      <c r="D17943" s="3" t="str">
        <f t="shared" si="4631"/>
        <v>12Go Link</v>
      </c>
      <c r="E17943" s="2" t="s">
        <v>8680</v>
      </c>
    </row>
    <row r="17944">
      <c r="A17944" s="2" t="s">
        <v>4034</v>
      </c>
      <c r="B17944" s="2" t="s">
        <v>8724</v>
      </c>
      <c r="C17944" s="2" t="s">
        <v>8754</v>
      </c>
      <c r="D17944" s="3" t="str">
        <f t="shared" si="4631"/>
        <v>12Go Link</v>
      </c>
      <c r="E17944" s="2" t="s">
        <v>8728</v>
      </c>
    </row>
    <row r="17945">
      <c r="A17945" s="2" t="s">
        <v>4034</v>
      </c>
      <c r="B17945" s="2" t="s">
        <v>8724</v>
      </c>
      <c r="C17945" s="2" t="s">
        <v>8754</v>
      </c>
      <c r="D17945" s="3" t="str">
        <f t="shared" si="4631"/>
        <v>12Go Link</v>
      </c>
      <c r="E17945" s="2" t="s">
        <v>8729</v>
      </c>
    </row>
    <row r="17946">
      <c r="A17946" s="2" t="s">
        <v>4034</v>
      </c>
      <c r="B17946" s="2" t="s">
        <v>8724</v>
      </c>
      <c r="C17946" s="2" t="s">
        <v>8755</v>
      </c>
      <c r="D17946" s="3" t="str">
        <f t="shared" ref="D17946:D17950" si="4632">HYPERLINK("https://12go.asia/en/travel/Daily-Limousine-Office/Cai-Beo-Ferry-Terminal-and-Dock", "12Go Link")</f>
        <v>12Go Link</v>
      </c>
      <c r="E17946" s="2" t="s">
        <v>8726</v>
      </c>
    </row>
    <row r="17947">
      <c r="A17947" s="2" t="s">
        <v>4034</v>
      </c>
      <c r="B17947" s="2" t="s">
        <v>8724</v>
      </c>
      <c r="C17947" s="2" t="s">
        <v>8755</v>
      </c>
      <c r="D17947" s="3" t="str">
        <f t="shared" si="4632"/>
        <v>12Go Link</v>
      </c>
      <c r="E17947" s="2" t="s">
        <v>8727</v>
      </c>
    </row>
    <row r="17948">
      <c r="A17948" s="2" t="s">
        <v>4034</v>
      </c>
      <c r="B17948" s="2" t="s">
        <v>8724</v>
      </c>
      <c r="C17948" s="2" t="s">
        <v>8755</v>
      </c>
      <c r="D17948" s="3" t="str">
        <f t="shared" si="4632"/>
        <v>12Go Link</v>
      </c>
      <c r="E17948" s="2" t="s">
        <v>8680</v>
      </c>
    </row>
    <row r="17949">
      <c r="A17949" s="2" t="s">
        <v>4034</v>
      </c>
      <c r="B17949" s="2" t="s">
        <v>8724</v>
      </c>
      <c r="C17949" s="2" t="s">
        <v>8755</v>
      </c>
      <c r="D17949" s="3" t="str">
        <f t="shared" si="4632"/>
        <v>12Go Link</v>
      </c>
      <c r="E17949" s="2" t="s">
        <v>8728</v>
      </c>
    </row>
    <row r="17950">
      <c r="A17950" s="2" t="s">
        <v>4034</v>
      </c>
      <c r="B17950" s="2" t="s">
        <v>8724</v>
      </c>
      <c r="C17950" s="2" t="s">
        <v>8755</v>
      </c>
      <c r="D17950" s="3" t="str">
        <f t="shared" si="4632"/>
        <v>12Go Link</v>
      </c>
      <c r="E17950" s="2" t="s">
        <v>8729</v>
      </c>
    </row>
    <row r="17951">
      <c r="A17951" s="2" t="s">
        <v>4034</v>
      </c>
      <c r="B17951" s="2" t="s">
        <v>8724</v>
      </c>
      <c r="C17951" s="2" t="s">
        <v>8756</v>
      </c>
      <c r="D17951" s="3" t="str">
        <f t="shared" ref="D17951:D17952" si="4633">HYPERLINK("https://12go.asia/en/travel/Hanoi-Old-Quarter-Transfer/Cat-Ba-Transfer", "12Go Link")</f>
        <v>12Go Link</v>
      </c>
      <c r="E17951" s="2" t="s">
        <v>8726</v>
      </c>
    </row>
    <row r="17952">
      <c r="A17952" s="2" t="s">
        <v>4034</v>
      </c>
      <c r="B17952" s="2" t="s">
        <v>8724</v>
      </c>
      <c r="C17952" s="2" t="s">
        <v>8756</v>
      </c>
      <c r="D17952" s="3" t="str">
        <f t="shared" si="4633"/>
        <v>12Go Link</v>
      </c>
      <c r="E17952" s="2" t="s">
        <v>8727</v>
      </c>
    </row>
    <row r="17953">
      <c r="A17953" s="2" t="s">
        <v>4034</v>
      </c>
      <c r="B17953" s="2" t="s">
        <v>8724</v>
      </c>
      <c r="C17953" s="2" t="s">
        <v>8757</v>
      </c>
      <c r="D17953" s="3" t="str">
        <f t="shared" ref="D17953:D17957" si="4634">HYPERLINK("https://12go.asia/en/travel/Hanoi-Opera-House/Oasis-Coffee-Bungalow-Restaurant", "12Go Link")</f>
        <v>12Go Link</v>
      </c>
      <c r="E17953" s="2" t="s">
        <v>8726</v>
      </c>
    </row>
    <row r="17954">
      <c r="A17954" s="2" t="s">
        <v>4034</v>
      </c>
      <c r="B17954" s="2" t="s">
        <v>8724</v>
      </c>
      <c r="C17954" s="2" t="s">
        <v>8757</v>
      </c>
      <c r="D17954" s="3" t="str">
        <f t="shared" si="4634"/>
        <v>12Go Link</v>
      </c>
      <c r="E17954" s="2" t="s">
        <v>8727</v>
      </c>
    </row>
    <row r="17955">
      <c r="A17955" s="2" t="s">
        <v>4034</v>
      </c>
      <c r="B17955" s="2" t="s">
        <v>8724</v>
      </c>
      <c r="C17955" s="2" t="s">
        <v>8757</v>
      </c>
      <c r="D17955" s="3" t="str">
        <f t="shared" si="4634"/>
        <v>12Go Link</v>
      </c>
      <c r="E17955" s="2" t="s">
        <v>8680</v>
      </c>
    </row>
    <row r="17956">
      <c r="A17956" s="2" t="s">
        <v>4034</v>
      </c>
      <c r="B17956" s="2" t="s">
        <v>8724</v>
      </c>
      <c r="C17956" s="2" t="s">
        <v>8757</v>
      </c>
      <c r="D17956" s="3" t="str">
        <f t="shared" si="4634"/>
        <v>12Go Link</v>
      </c>
      <c r="E17956" s="2" t="s">
        <v>8728</v>
      </c>
    </row>
    <row r="17957">
      <c r="A17957" s="2" t="s">
        <v>4034</v>
      </c>
      <c r="B17957" s="2" t="s">
        <v>8724</v>
      </c>
      <c r="C17957" s="2" t="s">
        <v>8757</v>
      </c>
      <c r="D17957" s="3" t="str">
        <f t="shared" si="4634"/>
        <v>12Go Link</v>
      </c>
      <c r="E17957" s="2" t="s">
        <v>8729</v>
      </c>
    </row>
    <row r="17958">
      <c r="A17958" s="2" t="s">
        <v>4034</v>
      </c>
      <c r="B17958" s="2" t="s">
        <v>8621</v>
      </c>
      <c r="C17958" s="2" t="s">
        <v>8758</v>
      </c>
      <c r="D17958" s="3" t="str">
        <f>HYPERLINK("https://12go.asia/en/travel/1-Nguyen-Hoang-My-Dinh/23-Nguyen-Tat-Thanh", "12Go Link")</f>
        <v>12Go Link</v>
      </c>
      <c r="E17958" s="2" t="s">
        <v>8647</v>
      </c>
    </row>
    <row r="17959">
      <c r="A17959" s="2" t="s">
        <v>4034</v>
      </c>
      <c r="B17959" s="2" t="s">
        <v>8621</v>
      </c>
      <c r="C17959" s="2" t="s">
        <v>8759</v>
      </c>
      <c r="D17959" s="3" t="str">
        <f>HYPERLINK("https://12go.asia/en/travel/15A-Bat-Su/23-Nguyen-Tat-Thanh", "12Go Link")</f>
        <v>12Go Link</v>
      </c>
      <c r="E17959" s="2" t="s">
        <v>8647</v>
      </c>
    </row>
    <row r="17960">
      <c r="A17960" s="2" t="s">
        <v>4034</v>
      </c>
      <c r="B17960" s="2" t="s">
        <v>8621</v>
      </c>
      <c r="C17960" s="2" t="s">
        <v>8760</v>
      </c>
      <c r="D17960" s="3" t="str">
        <f>HYPERLINK("https://12go.asia/en/travel/70-Nguyen-Huu-Huan/107-Ton-Duc-Thang", "12Go Link")</f>
        <v>12Go Link</v>
      </c>
      <c r="E17960" s="2" t="s">
        <v>8643</v>
      </c>
    </row>
    <row r="17961">
      <c r="A17961" s="2" t="s">
        <v>4034</v>
      </c>
      <c r="B17961" s="2" t="s">
        <v>8621</v>
      </c>
      <c r="C17961" s="2" t="s">
        <v>8761</v>
      </c>
      <c r="D17961" s="3" t="str">
        <f>HYPERLINK("https://12go.asia/en/travel/Parking-Lot-Tran-Vy/23-Nguyen-Tat-Thanh", "12Go Link")</f>
        <v>12Go Link</v>
      </c>
      <c r="E17961" s="2" t="s">
        <v>8647</v>
      </c>
    </row>
    <row r="17962">
      <c r="A17962" s="2" t="s">
        <v>4034</v>
      </c>
      <c r="B17962" s="2" t="s">
        <v>8623</v>
      </c>
      <c r="C17962" s="2" t="s">
        <v>8762</v>
      </c>
      <c r="D17962" s="3" t="str">
        <f>HYPERLINK("https://12go.asia/en/travel/1-Nguyen-Hoang-My-Dinh/3-Doi-Cung", "12Go Link")</f>
        <v>12Go Link</v>
      </c>
      <c r="E17962" s="2" t="s">
        <v>8647</v>
      </c>
    </row>
    <row r="17963">
      <c r="A17963" s="2" t="s">
        <v>4034</v>
      </c>
      <c r="B17963" s="2" t="s">
        <v>8623</v>
      </c>
      <c r="C17963" s="2" t="s">
        <v>8763</v>
      </c>
      <c r="D17963" s="3" t="str">
        <f>HYPERLINK("https://12go.asia/en/travel/1-Nguyen-Hoang-My-Dinh/Toa-Kham-Marina", "12Go Link")</f>
        <v>12Go Link</v>
      </c>
      <c r="E17963" s="2" t="s">
        <v>8647</v>
      </c>
    </row>
    <row r="17964">
      <c r="A17964" s="2" t="s">
        <v>4034</v>
      </c>
      <c r="B17964" s="2" t="s">
        <v>8623</v>
      </c>
      <c r="C17964" s="2" t="s">
        <v>8764</v>
      </c>
      <c r="D17964" s="3" t="str">
        <f>HYPERLINK("https://12go.asia/en/travel/15A-Bat-Su/3-Doi-Cung", "12Go Link")</f>
        <v>12Go Link</v>
      </c>
      <c r="E17964" s="2" t="s">
        <v>8647</v>
      </c>
    </row>
    <row r="17965">
      <c r="A17965" s="2" t="s">
        <v>4034</v>
      </c>
      <c r="B17965" s="2" t="s">
        <v>8623</v>
      </c>
      <c r="C17965" s="2" t="s">
        <v>8765</v>
      </c>
      <c r="D17965" s="3" t="str">
        <f>HYPERLINK("https://12go.asia/en/travel/15A-Bat-Su/Toa-Kham-Marina", "12Go Link")</f>
        <v>12Go Link</v>
      </c>
      <c r="E17965" s="2" t="s">
        <v>8647</v>
      </c>
    </row>
    <row r="17966">
      <c r="A17966" s="2" t="s">
        <v>4034</v>
      </c>
      <c r="B17966" s="2" t="s">
        <v>8623</v>
      </c>
      <c r="C17966" s="2" t="s">
        <v>8766</v>
      </c>
      <c r="D17966" s="3" t="str">
        <f>HYPERLINK("https://12go.asia/en/travel/70-Nguyen-Huu-Huan/26-Nguyen-Hue", "12Go Link")</f>
        <v>12Go Link</v>
      </c>
      <c r="E17966" s="2" t="s">
        <v>8643</v>
      </c>
    </row>
    <row r="17967">
      <c r="A17967" s="2" t="s">
        <v>4034</v>
      </c>
      <c r="B17967" s="2" t="s">
        <v>8623</v>
      </c>
      <c r="C17967" s="2" t="s">
        <v>8767</v>
      </c>
      <c r="D17967" s="3" t="str">
        <f>HYPERLINK("https://12go.asia/en/travel/Hanoi/Hue", "12Go Link")</f>
        <v>12Go Link</v>
      </c>
      <c r="E17967" s="2" t="s">
        <v>8645</v>
      </c>
    </row>
    <row r="17968">
      <c r="A17968" s="2" t="s">
        <v>4034</v>
      </c>
      <c r="B17968" s="2" t="s">
        <v>8623</v>
      </c>
      <c r="C17968" s="2" t="s">
        <v>8768</v>
      </c>
      <c r="D17968" s="3" t="str">
        <f>HYPERLINK("https://12go.asia/en/travel/Parking-Lot-Tran-Vy/3-Doi-Cung", "12Go Link")</f>
        <v>12Go Link</v>
      </c>
      <c r="E17968" s="2" t="s">
        <v>8647</v>
      </c>
    </row>
    <row r="17969">
      <c r="A17969" s="2" t="s">
        <v>4034</v>
      </c>
      <c r="B17969" s="2" t="s">
        <v>8623</v>
      </c>
      <c r="C17969" s="2" t="s">
        <v>8769</v>
      </c>
      <c r="D17969" s="3" t="str">
        <f>HYPERLINK("https://12go.asia/en/travel/Parking-Lot-Tran-Vy/Toa-Kham-Marina", "12Go Link")</f>
        <v>12Go Link</v>
      </c>
      <c r="E17969" s="2" t="s">
        <v>8647</v>
      </c>
    </row>
    <row r="17970">
      <c r="A17970" s="2" t="s">
        <v>4034</v>
      </c>
      <c r="B17970" s="2" t="s">
        <v>8770</v>
      </c>
      <c r="C17970" s="2" t="s">
        <v>8771</v>
      </c>
      <c r="D17970" s="3" t="str">
        <f>HYPERLINK("https://12go.asia/en/travel/70-Nguyen-Huu-Huan/63-Phan-Dinh-Phung", "12Go Link")</f>
        <v>12Go Link</v>
      </c>
      <c r="E17970" s="2" t="s">
        <v>8643</v>
      </c>
    </row>
    <row r="17971">
      <c r="A17971" s="2" t="s">
        <v>4034</v>
      </c>
      <c r="B17971" s="2" t="s">
        <v>8770</v>
      </c>
      <c r="C17971" s="2" t="s">
        <v>8772</v>
      </c>
      <c r="D17971" s="3" t="str">
        <f>HYPERLINK("https://12go.asia/en/travel/70-Nguyen-Huu-Huan/Tram-dung-nghi-Coc-San", "12Go Link")</f>
        <v>12Go Link</v>
      </c>
      <c r="E17971" s="2" t="s">
        <v>8678</v>
      </c>
    </row>
    <row r="17972">
      <c r="A17972" s="2" t="s">
        <v>4034</v>
      </c>
      <c r="B17972" s="2" t="s">
        <v>8770</v>
      </c>
      <c r="C17972" s="2" t="s">
        <v>8773</v>
      </c>
      <c r="D17972" s="3" t="str">
        <f>HYPERLINK("https://12go.asia/en/travel/Hanoi/Sapa-Lao-Cai", "12Go Link")</f>
        <v>12Go Link</v>
      </c>
      <c r="E17972" s="2" t="s">
        <v>8645</v>
      </c>
    </row>
    <row r="17973">
      <c r="A17973" s="2" t="s">
        <v>4034</v>
      </c>
      <c r="B17973" s="2" t="s">
        <v>8658</v>
      </c>
      <c r="C17973" s="2" t="s">
        <v>8774</v>
      </c>
      <c r="D17973" s="3" t="str">
        <f t="shared" ref="D17973:D17974" si="4635">HYPERLINK("https://12go.asia/en/travel/208-Tran-Quang-Khai/Mikes-Travel-Agency", "12Go Link")</f>
        <v>12Go Link</v>
      </c>
      <c r="E17973" s="2" t="s">
        <v>8775</v>
      </c>
    </row>
    <row r="17974">
      <c r="A17974" s="2" t="s">
        <v>4034</v>
      </c>
      <c r="B17974" s="2" t="s">
        <v>8658</v>
      </c>
      <c r="C17974" s="2" t="s">
        <v>8774</v>
      </c>
      <c r="D17974" s="3" t="str">
        <f t="shared" si="4635"/>
        <v>12Go Link</v>
      </c>
      <c r="E17974" s="2" t="s">
        <v>8776</v>
      </c>
    </row>
    <row r="17975">
      <c r="A17975" s="2" t="s">
        <v>4034</v>
      </c>
      <c r="B17975" s="2" t="s">
        <v>8658</v>
      </c>
      <c r="C17975" s="2" t="s">
        <v>8777</v>
      </c>
      <c r="D17975" s="3" t="str">
        <f t="shared" ref="D17975:D17976" si="4636">HYPERLINK("https://12go.asia/en/travel/208-Tran-Quang-Khai/Mr-Khanh-Travel-Agency-Ninh-Binh", "12Go Link")</f>
        <v>12Go Link</v>
      </c>
      <c r="E17975" s="2" t="s">
        <v>8775</v>
      </c>
    </row>
    <row r="17976">
      <c r="A17976" s="2" t="s">
        <v>4034</v>
      </c>
      <c r="B17976" s="2" t="s">
        <v>8658</v>
      </c>
      <c r="C17976" s="2" t="s">
        <v>8777</v>
      </c>
      <c r="D17976" s="3" t="str">
        <f t="shared" si="4636"/>
        <v>12Go Link</v>
      </c>
      <c r="E17976" s="2" t="s">
        <v>8776</v>
      </c>
    </row>
    <row r="17977">
      <c r="A17977" s="2" t="s">
        <v>4034</v>
      </c>
      <c r="B17977" s="2" t="s">
        <v>8658</v>
      </c>
      <c r="C17977" s="2" t="s">
        <v>8778</v>
      </c>
      <c r="D17977" s="3" t="str">
        <f t="shared" ref="D17977:D17978" si="4637">HYPERLINK("https://12go.asia/en/travel/3-Tran-Phu/Trang-An-Boat-Station", "12Go Link")</f>
        <v>12Go Link</v>
      </c>
      <c r="E17977" s="2" t="s">
        <v>8728</v>
      </c>
    </row>
    <row r="17978">
      <c r="A17978" s="2" t="s">
        <v>4034</v>
      </c>
      <c r="B17978" s="2" t="s">
        <v>8658</v>
      </c>
      <c r="C17978" s="2" t="s">
        <v>8778</v>
      </c>
      <c r="D17978" s="3" t="str">
        <f t="shared" si="4637"/>
        <v>12Go Link</v>
      </c>
      <c r="E17978" s="2" t="s">
        <v>8729</v>
      </c>
    </row>
    <row r="17979">
      <c r="A17979" s="2" t="s">
        <v>4034</v>
      </c>
      <c r="B17979" s="2" t="s">
        <v>8658</v>
      </c>
      <c r="C17979" s="2" t="s">
        <v>8779</v>
      </c>
      <c r="D17979" s="3" t="str">
        <f>HYPERLINK("https://12go.asia/en/travel/64-Tran-Nhat-Duat/Tam-Coc-Boat-Station", "12Go Link")</f>
        <v>12Go Link</v>
      </c>
      <c r="E17979" s="2" t="s">
        <v>8780</v>
      </c>
    </row>
    <row r="17980">
      <c r="A17980" s="2" t="s">
        <v>4034</v>
      </c>
      <c r="B17980" s="2" t="s">
        <v>8658</v>
      </c>
      <c r="C17980" s="2" t="s">
        <v>8781</v>
      </c>
      <c r="D17980" s="3" t="str">
        <f t="shared" ref="D17980:D17981" si="4638">HYPERLINK("https://12go.asia/en/travel/Daily-Limousine-Office/Hang-Mua-Green-Retreat", "12Go Link")</f>
        <v>12Go Link</v>
      </c>
      <c r="E17980" s="2" t="s">
        <v>8728</v>
      </c>
    </row>
    <row r="17981">
      <c r="A17981" s="2" t="s">
        <v>4034</v>
      </c>
      <c r="B17981" s="2" t="s">
        <v>8658</v>
      </c>
      <c r="C17981" s="2" t="s">
        <v>8781</v>
      </c>
      <c r="D17981" s="3" t="str">
        <f t="shared" si="4638"/>
        <v>12Go Link</v>
      </c>
      <c r="E17981" s="2" t="s">
        <v>8729</v>
      </c>
    </row>
    <row r="17982">
      <c r="A17982" s="2" t="s">
        <v>4034</v>
      </c>
      <c r="B17982" s="2" t="s">
        <v>8658</v>
      </c>
      <c r="C17982" s="2" t="s">
        <v>8782</v>
      </c>
      <c r="D17982" s="3" t="str">
        <f t="shared" ref="D17982:D17983" si="4639">HYPERLINK("https://12go.asia/en/travel/Daily-Limousine-Office/Tam-Coc-Boat-Station", "12Go Link")</f>
        <v>12Go Link</v>
      </c>
      <c r="E17982" s="2" t="s">
        <v>8728</v>
      </c>
    </row>
    <row r="17983">
      <c r="A17983" s="2" t="s">
        <v>4034</v>
      </c>
      <c r="B17983" s="2" t="s">
        <v>8658</v>
      </c>
      <c r="C17983" s="2" t="s">
        <v>8782</v>
      </c>
      <c r="D17983" s="3" t="str">
        <f t="shared" si="4639"/>
        <v>12Go Link</v>
      </c>
      <c r="E17983" s="2" t="s">
        <v>8729</v>
      </c>
    </row>
    <row r="17984">
      <c r="A17984" s="2" t="s">
        <v>4034</v>
      </c>
      <c r="B17984" s="2" t="s">
        <v>8658</v>
      </c>
      <c r="C17984" s="2" t="s">
        <v>8783</v>
      </c>
      <c r="D17984" s="3" t="str">
        <f t="shared" ref="D17984:D17985" si="4640">HYPERLINK("https://12go.asia/en/travel/Ha-Noi-Railway-Station/Ninh-Binh-Railway-Station", "12Go Link")</f>
        <v>12Go Link</v>
      </c>
      <c r="E17984" s="2" t="s">
        <v>8728</v>
      </c>
    </row>
    <row r="17985">
      <c r="A17985" s="2" t="s">
        <v>4034</v>
      </c>
      <c r="B17985" s="2" t="s">
        <v>8658</v>
      </c>
      <c r="C17985" s="2" t="s">
        <v>8783</v>
      </c>
      <c r="D17985" s="3" t="str">
        <f t="shared" si="4640"/>
        <v>12Go Link</v>
      </c>
      <c r="E17985" s="2" t="s">
        <v>8729</v>
      </c>
    </row>
    <row r="17986">
      <c r="A17986" s="2" t="s">
        <v>4034</v>
      </c>
      <c r="B17986" s="2" t="s">
        <v>8663</v>
      </c>
      <c r="C17986" s="2" t="s">
        <v>8784</v>
      </c>
      <c r="D17986" s="3" t="str">
        <f>HYPERLINK("https://12go.asia/en/travel/1-Nguyen-Hoang-My-Dinh/Nam-Anh-Hotel", "12Go Link")</f>
        <v>12Go Link</v>
      </c>
      <c r="E17986" s="2" t="s">
        <v>8647</v>
      </c>
    </row>
    <row r="17987">
      <c r="A17987" s="2" t="s">
        <v>4034</v>
      </c>
      <c r="B17987" s="2" t="s">
        <v>8663</v>
      </c>
      <c r="C17987" s="2" t="s">
        <v>8785</v>
      </c>
      <c r="D17987" s="3" t="str">
        <f>HYPERLINK("https://12go.asia/en/travel/15A-Bat-Su/Nam-Anh-Hotel", "12Go Link")</f>
        <v>12Go Link</v>
      </c>
      <c r="E17987" s="2" t="s">
        <v>8647</v>
      </c>
    </row>
    <row r="17988">
      <c r="A17988" s="2" t="s">
        <v>4034</v>
      </c>
      <c r="B17988" s="2" t="s">
        <v>8663</v>
      </c>
      <c r="C17988" s="2" t="s">
        <v>8786</v>
      </c>
      <c r="D17988" s="3" t="str">
        <f>HYPERLINK("https://12go.asia/en/travel/70-Nguyen-Huu-Huan/73-Duong-Phong-Nha", "12Go Link")</f>
        <v>12Go Link</v>
      </c>
      <c r="E17988" s="2" t="s">
        <v>8643</v>
      </c>
    </row>
    <row r="17989">
      <c r="A17989" s="2" t="s">
        <v>4034</v>
      </c>
      <c r="B17989" s="2" t="s">
        <v>8663</v>
      </c>
      <c r="C17989" s="2" t="s">
        <v>8787</v>
      </c>
      <c r="D17989" s="3" t="str">
        <f>HYPERLINK("https://12go.asia/en/travel/Parking-Lot-Tran-Vy/Nam-Anh-Hotel", "12Go Link")</f>
        <v>12Go Link</v>
      </c>
      <c r="E17989" s="2" t="s">
        <v>8647</v>
      </c>
    </row>
    <row r="17990">
      <c r="A17990" s="2" t="s">
        <v>4034</v>
      </c>
      <c r="B17990" s="2" t="s">
        <v>8708</v>
      </c>
      <c r="C17990" s="2" t="s">
        <v>8788</v>
      </c>
      <c r="D17990" s="3" t="str">
        <f t="shared" ref="D17990:D17992" si="4641">HYPERLINK("https://12go.asia/en/travel/206-Co-Linh/Halong-International-Cruise-Port", "12Go Link")</f>
        <v>12Go Link</v>
      </c>
      <c r="E17990" s="2" t="s">
        <v>8680</v>
      </c>
    </row>
    <row r="17991">
      <c r="A17991" s="2" t="s">
        <v>4034</v>
      </c>
      <c r="B17991" s="2" t="s">
        <v>8708</v>
      </c>
      <c r="C17991" s="2" t="s">
        <v>8788</v>
      </c>
      <c r="D17991" s="3" t="str">
        <f t="shared" si="4641"/>
        <v>12Go Link</v>
      </c>
      <c r="E17991" s="2" t="s">
        <v>8728</v>
      </c>
    </row>
    <row r="17992">
      <c r="A17992" s="2" t="s">
        <v>4034</v>
      </c>
      <c r="B17992" s="2" t="s">
        <v>8708</v>
      </c>
      <c r="C17992" s="2" t="s">
        <v>8788</v>
      </c>
      <c r="D17992" s="3" t="str">
        <f t="shared" si="4641"/>
        <v>12Go Link</v>
      </c>
      <c r="E17992" s="2" t="s">
        <v>8729</v>
      </c>
    </row>
    <row r="17993">
      <c r="A17993" s="2" t="s">
        <v>4034</v>
      </c>
      <c r="B17993" s="2" t="s">
        <v>8708</v>
      </c>
      <c r="C17993" s="2" t="s">
        <v>8789</v>
      </c>
      <c r="D17993" s="3" t="str">
        <f t="shared" ref="D17993:D17995" si="4642">HYPERLINK("https://12go.asia/en/travel/Daily-Limousine-Office/Tuan-Chau-Harbour", "12Go Link")</f>
        <v>12Go Link</v>
      </c>
      <c r="E17993" s="2" t="s">
        <v>8680</v>
      </c>
    </row>
    <row r="17994">
      <c r="A17994" s="2" t="s">
        <v>4034</v>
      </c>
      <c r="B17994" s="2" t="s">
        <v>8708</v>
      </c>
      <c r="C17994" s="2" t="s">
        <v>8789</v>
      </c>
      <c r="D17994" s="3" t="str">
        <f t="shared" si="4642"/>
        <v>12Go Link</v>
      </c>
      <c r="E17994" s="2" t="s">
        <v>8728</v>
      </c>
    </row>
    <row r="17995">
      <c r="A17995" s="2" t="s">
        <v>4034</v>
      </c>
      <c r="B17995" s="2" t="s">
        <v>8708</v>
      </c>
      <c r="C17995" s="2" t="s">
        <v>8789</v>
      </c>
      <c r="D17995" s="3" t="str">
        <f t="shared" si="4642"/>
        <v>12Go Link</v>
      </c>
      <c r="E17995" s="2" t="s">
        <v>8729</v>
      </c>
    </row>
    <row r="17996">
      <c r="A17996" s="2" t="s">
        <v>4034</v>
      </c>
      <c r="B17996" s="2" t="s">
        <v>8708</v>
      </c>
      <c r="C17996" s="2" t="s">
        <v>8790</v>
      </c>
      <c r="D17996" s="3" t="str">
        <f>HYPERLINK("https://12go.asia/en/travel/Daily-Limousine-Office/Tuan-Chau-International-Port", "12Go Link")</f>
        <v>12Go Link</v>
      </c>
      <c r="E17996" s="2" t="s">
        <v>8726</v>
      </c>
    </row>
    <row r="17997">
      <c r="A17997" s="2" t="s">
        <v>4034</v>
      </c>
      <c r="B17997" s="2" t="s">
        <v>8708</v>
      </c>
      <c r="C17997" s="2" t="s">
        <v>8791</v>
      </c>
      <c r="D17997" s="3" t="str">
        <f t="shared" ref="D17997:D17999" si="4643">HYPERLINK("https://12go.asia/en/travel/Hanoi-Old-Quarter-Transfer/Highlands-Coffee-Muong-Thanh", "12Go Link")</f>
        <v>12Go Link</v>
      </c>
      <c r="E17997" s="2" t="s">
        <v>8680</v>
      </c>
    </row>
    <row r="17998">
      <c r="A17998" s="2" t="s">
        <v>4034</v>
      </c>
      <c r="B17998" s="2" t="s">
        <v>8708</v>
      </c>
      <c r="C17998" s="2" t="s">
        <v>8791</v>
      </c>
      <c r="D17998" s="3" t="str">
        <f t="shared" si="4643"/>
        <v>12Go Link</v>
      </c>
      <c r="E17998" s="2" t="s">
        <v>8728</v>
      </c>
    </row>
    <row r="17999">
      <c r="A17999" s="2" t="s">
        <v>4034</v>
      </c>
      <c r="B17999" s="2" t="s">
        <v>8708</v>
      </c>
      <c r="C17999" s="2" t="s">
        <v>8791</v>
      </c>
      <c r="D17999" s="3" t="str">
        <f t="shared" si="4643"/>
        <v>12Go Link</v>
      </c>
      <c r="E17999" s="2" t="s">
        <v>8729</v>
      </c>
    </row>
    <row r="18000">
      <c r="A18000" s="2" t="s">
        <v>4034</v>
      </c>
      <c r="B18000" s="2" t="s">
        <v>8708</v>
      </c>
      <c r="C18000" s="2" t="s">
        <v>8792</v>
      </c>
      <c r="D18000" s="3" t="str">
        <f>HYPERLINK("https://12go.asia/en/travel/Hanoi-Opera-House/Halong-International-Cruise-Port", "12Go Link")</f>
        <v>12Go Link</v>
      </c>
      <c r="E18000" s="2" t="s">
        <v>8726</v>
      </c>
    </row>
    <row r="18001">
      <c r="A18001" s="2" t="s">
        <v>4034</v>
      </c>
      <c r="B18001" s="2" t="s">
        <v>8708</v>
      </c>
      <c r="C18001" s="2" t="s">
        <v>8793</v>
      </c>
      <c r="D18001" s="3" t="str">
        <f t="shared" ref="D18001:D18003" si="4644">HYPERLINK("https://12go.asia/en/travel/Hanoi-Opera-House/Tuan-Chau-International-Port", "12Go Link")</f>
        <v>12Go Link</v>
      </c>
      <c r="E18001" s="2" t="s">
        <v>8680</v>
      </c>
    </row>
    <row r="18002">
      <c r="A18002" s="2" t="s">
        <v>4034</v>
      </c>
      <c r="B18002" s="2" t="s">
        <v>8708</v>
      </c>
      <c r="C18002" s="2" t="s">
        <v>8793</v>
      </c>
      <c r="D18002" s="3" t="str">
        <f t="shared" si="4644"/>
        <v>12Go Link</v>
      </c>
      <c r="E18002" s="2" t="s">
        <v>8728</v>
      </c>
    </row>
    <row r="18003">
      <c r="A18003" s="2" t="s">
        <v>4034</v>
      </c>
      <c r="B18003" s="2" t="s">
        <v>8708</v>
      </c>
      <c r="C18003" s="2" t="s">
        <v>8793</v>
      </c>
      <c r="D18003" s="3" t="str">
        <f t="shared" si="4644"/>
        <v>12Go Link</v>
      </c>
      <c r="E18003" s="2" t="s">
        <v>8729</v>
      </c>
    </row>
    <row r="18004">
      <c r="A18004" s="2" t="s">
        <v>4034</v>
      </c>
      <c r="B18004" s="2" t="s">
        <v>4037</v>
      </c>
      <c r="C18004" s="2" t="s">
        <v>8794</v>
      </c>
      <c r="D18004" s="3" t="str">
        <f t="shared" ref="D18004:D18005" si="4645">HYPERLINK("https://12go.asia/en/travel/70-Nguyen-Huu-Huan/100A-Dien-Bien-Phu", "12Go Link")</f>
        <v>12Go Link</v>
      </c>
      <c r="E18004" s="2" t="s">
        <v>8643</v>
      </c>
    </row>
    <row r="18005">
      <c r="A18005" s="2" t="s">
        <v>4034</v>
      </c>
      <c r="B18005" s="2" t="s">
        <v>4037</v>
      </c>
      <c r="C18005" s="2" t="s">
        <v>8794</v>
      </c>
      <c r="D18005" s="3" t="str">
        <f t="shared" si="4645"/>
        <v>12Go Link</v>
      </c>
      <c r="E18005" s="2" t="s">
        <v>8678</v>
      </c>
    </row>
    <row r="18006">
      <c r="A18006" s="2" t="s">
        <v>4034</v>
      </c>
      <c r="B18006" s="2" t="s">
        <v>8666</v>
      </c>
      <c r="C18006" s="2" t="s">
        <v>8795</v>
      </c>
      <c r="D18006" s="3" t="str">
        <f t="shared" ref="D18006:D18007" si="4646">HYPERLINK("https://12go.asia/en/travel/Daily-Limousine-Office/The-Long-Restaurant", "12Go Link")</f>
        <v>12Go Link</v>
      </c>
      <c r="E18006" s="2" t="s">
        <v>8728</v>
      </c>
    </row>
    <row r="18007">
      <c r="A18007" s="2" t="s">
        <v>4034</v>
      </c>
      <c r="B18007" s="2" t="s">
        <v>8666</v>
      </c>
      <c r="C18007" s="2" t="s">
        <v>8795</v>
      </c>
      <c r="D18007" s="3" t="str">
        <f t="shared" si="4646"/>
        <v>12Go Link</v>
      </c>
      <c r="E18007" s="2" t="s">
        <v>8729</v>
      </c>
    </row>
    <row r="18008">
      <c r="A18008" s="2" t="s">
        <v>4034</v>
      </c>
      <c r="B18008" s="2" t="s">
        <v>8690</v>
      </c>
      <c r="C18008" s="2" t="s">
        <v>8796</v>
      </c>
      <c r="D18008" s="3" t="str">
        <f>HYPERLINK("https://12go.asia/en/travel/40-Bat-Dan/OH-Pu-Luong-Homestay", "12Go Link")</f>
        <v>12Go Link</v>
      </c>
      <c r="E18008" s="2" t="s">
        <v>8735</v>
      </c>
    </row>
    <row r="18009">
      <c r="A18009" s="2" t="s">
        <v>4034</v>
      </c>
      <c r="B18009" s="2" t="s">
        <v>8690</v>
      </c>
      <c r="C18009" s="2" t="s">
        <v>8797</v>
      </c>
      <c r="D18009" s="3" t="str">
        <f>HYPERLINK("https://12go.asia/en/travel/Big-C-Thang-Long/OH-Pu-Luong-Homestay", "12Go Link")</f>
        <v>12Go Link</v>
      </c>
      <c r="E18009" s="2" t="s">
        <v>8735</v>
      </c>
    </row>
    <row r="18010">
      <c r="A18010" s="2" t="s">
        <v>8611</v>
      </c>
      <c r="B18010" s="2" t="s">
        <v>8608</v>
      </c>
      <c r="C18010" s="2" t="s">
        <v>8798</v>
      </c>
      <c r="D18010" s="3" t="str">
        <f>HYPERLINK("https://12go.asia/en/travel/121-Co-Giang/Phan-Thiet-South-Bus-Station", "12Go Link")</f>
        <v>12Go Link</v>
      </c>
      <c r="E18010" s="2" t="s">
        <v>8618</v>
      </c>
    </row>
    <row r="18011">
      <c r="A18011" s="2" t="s">
        <v>8611</v>
      </c>
      <c r="B18011" s="2" t="s">
        <v>8608</v>
      </c>
      <c r="C18011" s="2" t="s">
        <v>8799</v>
      </c>
      <c r="D18011" s="3" t="str">
        <f>HYPERLINK("https://12go.asia/en/travel/579-Vo-Chi-Cong/Phan-Thiet-South-Bus-Station", "12Go Link")</f>
        <v>12Go Link</v>
      </c>
      <c r="E18011" s="2" t="s">
        <v>8618</v>
      </c>
    </row>
    <row r="18012">
      <c r="A18012" s="2" t="s">
        <v>8611</v>
      </c>
      <c r="B18012" s="2" t="s">
        <v>8608</v>
      </c>
      <c r="C18012" s="2" t="s">
        <v>8800</v>
      </c>
      <c r="D18012" s="3" t="str">
        <f>HYPERLINK("https://12go.asia/en/travel/Mien-Dong-Moi/Phan-Thiet-South-Bus-Station", "12Go Link")</f>
        <v>12Go Link</v>
      </c>
      <c r="E18012" s="2" t="s">
        <v>8618</v>
      </c>
    </row>
    <row r="18013">
      <c r="A18013" s="2" t="s">
        <v>8611</v>
      </c>
      <c r="B18013" s="2" t="s">
        <v>8626</v>
      </c>
      <c r="C18013" s="2" t="s">
        <v>8801</v>
      </c>
      <c r="D18013" s="3" t="str">
        <f>HYPERLINK("https://12go.asia/en/travel/258-Le-Hong-Phong/Da-Lat-ThanhBuoi", "12Go Link")</f>
        <v>12Go Link</v>
      </c>
      <c r="E18013" s="2" t="s">
        <v>8636</v>
      </c>
    </row>
    <row r="18014">
      <c r="A18014" s="2" t="s">
        <v>8611</v>
      </c>
      <c r="B18014" s="2" t="s">
        <v>8626</v>
      </c>
      <c r="C18014" s="2" t="s">
        <v>8802</v>
      </c>
      <c r="D18014" s="3" t="str">
        <f t="shared" ref="D18014:D18015" si="4647">HYPERLINK("https://12go.asia/en/travel/266-Le-Hong-Phong/Da-Lat-ThanhBuoi", "12Go Link")</f>
        <v>12Go Link</v>
      </c>
      <c r="E18014" s="2" t="s">
        <v>8638</v>
      </c>
    </row>
    <row r="18015">
      <c r="A18015" s="2" t="s">
        <v>8611</v>
      </c>
      <c r="B18015" s="2" t="s">
        <v>8626</v>
      </c>
      <c r="C18015" s="2" t="s">
        <v>8802</v>
      </c>
      <c r="D18015" s="3" t="str">
        <f t="shared" si="4647"/>
        <v>12Go Link</v>
      </c>
      <c r="E18015" s="2" t="s">
        <v>8636</v>
      </c>
    </row>
    <row r="18016">
      <c r="A18016" s="2" t="s">
        <v>8611</v>
      </c>
      <c r="B18016" s="2" t="s">
        <v>8626</v>
      </c>
      <c r="C18016" s="2" t="s">
        <v>8803</v>
      </c>
      <c r="D18016" s="3" t="str">
        <f t="shared" ref="D18016:D18017" si="4648">HYPERLINK("https://12go.asia/en/travel/630-Dien-Bien-Phu/Da-Lat-ThanhBuoi", "12Go Link")</f>
        <v>12Go Link</v>
      </c>
      <c r="E18016" s="2" t="s">
        <v>8638</v>
      </c>
    </row>
    <row r="18017">
      <c r="A18017" s="2" t="s">
        <v>8611</v>
      </c>
      <c r="B18017" s="2" t="s">
        <v>8626</v>
      </c>
      <c r="C18017" s="2" t="s">
        <v>8803</v>
      </c>
      <c r="D18017" s="3" t="str">
        <f t="shared" si="4648"/>
        <v>12Go Link</v>
      </c>
      <c r="E18017" s="2" t="s">
        <v>8636</v>
      </c>
    </row>
    <row r="18018">
      <c r="A18018" s="2" t="s">
        <v>8611</v>
      </c>
      <c r="B18018" s="2" t="s">
        <v>8804</v>
      </c>
      <c r="C18018" s="2" t="s">
        <v>8805</v>
      </c>
      <c r="D18018" s="3" t="str">
        <f>HYPERLINK("https://12go.asia/en/travel/121-Co-Giang/Phan-Thiet-Mui-Ne-Bus-Station", "12Go Link")</f>
        <v>12Go Link</v>
      </c>
      <c r="E18018" s="2" t="s">
        <v>8618</v>
      </c>
    </row>
    <row r="18019">
      <c r="A18019" s="2" t="s">
        <v>8611</v>
      </c>
      <c r="B18019" s="2" t="s">
        <v>8804</v>
      </c>
      <c r="C18019" s="2" t="s">
        <v>8806</v>
      </c>
      <c r="D18019" s="3" t="str">
        <f>HYPERLINK("https://12go.asia/en/travel/229-Pham-Ngu-Lao/356-Huynh-Thuc-Khang", "12Go Link")</f>
        <v>12Go Link</v>
      </c>
      <c r="E18019" s="2" t="s">
        <v>8807</v>
      </c>
    </row>
    <row r="18020">
      <c r="A18020" s="2" t="s">
        <v>8611</v>
      </c>
      <c r="B18020" s="2" t="s">
        <v>8804</v>
      </c>
      <c r="C18020" s="2" t="s">
        <v>8808</v>
      </c>
      <c r="D18020" s="3" t="str">
        <f>HYPERLINK("https://12go.asia/en/travel/229-Pham-Ngu-Lao/371-Huynh-Thuc-Khang-Mui-Ne", "12Go Link")</f>
        <v>12Go Link</v>
      </c>
      <c r="E18020" s="2" t="s">
        <v>8807</v>
      </c>
    </row>
    <row r="18021">
      <c r="A18021" s="2" t="s">
        <v>8611</v>
      </c>
      <c r="B18021" s="2" t="s">
        <v>8804</v>
      </c>
      <c r="C18021" s="2" t="s">
        <v>8809</v>
      </c>
      <c r="D18021" s="3" t="str">
        <f>HYPERLINK("https://12go.asia/en/travel/579-Vo-Chi-Cong/Phan-Thiet-Mui-Ne-Bus-Station", "12Go Link")</f>
        <v>12Go Link</v>
      </c>
      <c r="E18021" s="2" t="s">
        <v>8618</v>
      </c>
    </row>
    <row r="18022">
      <c r="A18022" s="2" t="s">
        <v>8611</v>
      </c>
      <c r="B18022" s="2" t="s">
        <v>8804</v>
      </c>
      <c r="C18022" s="2" t="s">
        <v>8810</v>
      </c>
      <c r="D18022" s="3" t="str">
        <f>HYPERLINK("https://12go.asia/en/travel/Mien-Dong-Moi/Phan-Thiet-Mui-Ne-Bus-Station", "12Go Link")</f>
        <v>12Go Link</v>
      </c>
      <c r="E18022" s="2" t="s">
        <v>8618</v>
      </c>
    </row>
    <row r="18023">
      <c r="A18023" s="2" t="s">
        <v>8611</v>
      </c>
      <c r="B18023" s="2" t="s">
        <v>8656</v>
      </c>
      <c r="C18023" s="2" t="s">
        <v>8811</v>
      </c>
      <c r="D18023" s="3" t="str">
        <f>HYPERLINK("https://12go.asia/en/travel/Ho-Chi-Minh-City/Nha-Trang", "12Go Link")</f>
        <v>12Go Link</v>
      </c>
      <c r="E18023" s="2" t="s">
        <v>8645</v>
      </c>
    </row>
    <row r="18024">
      <c r="A18024" s="2" t="s">
        <v>8611</v>
      </c>
      <c r="B18024" s="2" t="s">
        <v>8812</v>
      </c>
      <c r="C18024" s="2" t="s">
        <v>8813</v>
      </c>
      <c r="D18024" s="3" t="str">
        <f t="shared" ref="D18024:D18025" si="4649">HYPERLINK("https://12go.asia/en/travel/34-Tay-Lan/Quy-Nhon", "12Go Link")</f>
        <v>12Go Link</v>
      </c>
      <c r="E18024" s="2" t="s">
        <v>8636</v>
      </c>
    </row>
    <row r="18025">
      <c r="A18025" s="2" t="s">
        <v>8611</v>
      </c>
      <c r="B18025" s="2" t="s">
        <v>8812</v>
      </c>
      <c r="C18025" s="2" t="s">
        <v>8813</v>
      </c>
      <c r="D18025" s="3" t="str">
        <f t="shared" si="4649"/>
        <v>12Go Link</v>
      </c>
      <c r="E18025" s="2" t="s">
        <v>8814</v>
      </c>
    </row>
    <row r="18026">
      <c r="A18026" s="2" t="s">
        <v>8611</v>
      </c>
      <c r="B18026" s="2" t="s">
        <v>8812</v>
      </c>
      <c r="C18026" s="2" t="s">
        <v>8815</v>
      </c>
      <c r="D18026" s="3" t="str">
        <f>HYPERLINK("https://12go.asia/en/travel/An-Suong-Bus-Station/GO-Quy-Nhon", "12Go Link")</f>
        <v>12Go Link</v>
      </c>
      <c r="E18026" s="2" t="s">
        <v>8816</v>
      </c>
    </row>
    <row r="18027">
      <c r="A18027" s="2" t="s">
        <v>8611</v>
      </c>
      <c r="B18027" s="2" t="s">
        <v>8812</v>
      </c>
      <c r="C18027" s="2" t="s">
        <v>8817</v>
      </c>
      <c r="D18027" s="3" t="str">
        <f t="shared" ref="D18027:D18028" si="4650">HYPERLINK("https://12go.asia/en/travel/Ben-xe-Mien-Dong-Cu/Quy-Nhon", "12Go Link")</f>
        <v>12Go Link</v>
      </c>
      <c r="E18027" s="2" t="s">
        <v>8818</v>
      </c>
    </row>
    <row r="18028">
      <c r="A18028" s="2" t="s">
        <v>8611</v>
      </c>
      <c r="B18028" s="2" t="s">
        <v>8812</v>
      </c>
      <c r="C18028" s="2" t="s">
        <v>8817</v>
      </c>
      <c r="D18028" s="3" t="str">
        <f t="shared" si="4650"/>
        <v>12Go Link</v>
      </c>
      <c r="E18028" s="2" t="s">
        <v>8814</v>
      </c>
    </row>
    <row r="18029">
      <c r="A18029" s="2" t="s">
        <v>8611</v>
      </c>
      <c r="B18029" s="2" t="s">
        <v>8812</v>
      </c>
      <c r="C18029" s="2" t="s">
        <v>8819</v>
      </c>
      <c r="D18029" s="3" t="str">
        <f t="shared" ref="D18029:D18030" si="4651">HYPERLINK("https://12go.asia/en/travel/Mien-Dong-Moi/Quy-Nhon", "12Go Link")</f>
        <v>12Go Link</v>
      </c>
      <c r="E18029" s="2" t="s">
        <v>8818</v>
      </c>
    </row>
    <row r="18030">
      <c r="A18030" s="2" t="s">
        <v>8611</v>
      </c>
      <c r="B18030" s="2" t="s">
        <v>8812</v>
      </c>
      <c r="C18030" s="2" t="s">
        <v>8819</v>
      </c>
      <c r="D18030" s="3" t="str">
        <f t="shared" si="4651"/>
        <v>12Go Link</v>
      </c>
      <c r="E18030" s="2" t="s">
        <v>8814</v>
      </c>
    </row>
    <row r="18031">
      <c r="A18031" s="2" t="s">
        <v>8611</v>
      </c>
      <c r="B18031" s="2" t="s">
        <v>8812</v>
      </c>
      <c r="C18031" s="2" t="s">
        <v>8820</v>
      </c>
      <c r="D18031" s="3" t="str">
        <f>HYPERLINK("https://12go.asia/en/travel/Mien-Tay-Bus-Station/GO-Quy-Nhon", "12Go Link")</f>
        <v>12Go Link</v>
      </c>
      <c r="E18031" s="2" t="s">
        <v>8816</v>
      </c>
    </row>
    <row r="18032">
      <c r="A18032" s="2" t="s">
        <v>8681</v>
      </c>
      <c r="B18032" s="2" t="s">
        <v>4110</v>
      </c>
      <c r="C18032" s="2" t="s">
        <v>8821</v>
      </c>
      <c r="D18032" s="3" t="str">
        <f>HYPERLINK("https://12go.asia/en/travel/Mac-Thanh-Honstay/90-Hoang-Thi-Loan", "12Go Link")</f>
        <v>12Go Link</v>
      </c>
      <c r="E18032" s="2" t="s">
        <v>8673</v>
      </c>
    </row>
    <row r="18033">
      <c r="A18033" s="2" t="s">
        <v>8681</v>
      </c>
      <c r="B18033" s="2" t="s">
        <v>8674</v>
      </c>
      <c r="C18033" s="2" t="s">
        <v>8822</v>
      </c>
      <c r="D18033" s="3" t="str">
        <f>HYPERLINK("https://12go.asia/en/travel/Mac-Thanh-Honstay/122-Ha-Huy-Tap", "12Go Link")</f>
        <v>12Go Link</v>
      </c>
      <c r="E18033" s="2" t="s">
        <v>8673</v>
      </c>
    </row>
    <row r="18034">
      <c r="A18034" s="2" t="s">
        <v>8681</v>
      </c>
      <c r="B18034" s="2" t="s">
        <v>8621</v>
      </c>
      <c r="C18034" s="2" t="s">
        <v>8823</v>
      </c>
      <c r="D18034" s="3" t="str">
        <f>HYPERLINK("https://12go.asia/en/travel/Mac-Thanh-Honstay/Pool-Side-Villa", "12Go Link")</f>
        <v>12Go Link</v>
      </c>
      <c r="E18034" s="2" t="s">
        <v>8673</v>
      </c>
    </row>
    <row r="18035">
      <c r="A18035" s="2" t="s">
        <v>8681</v>
      </c>
      <c r="B18035" s="2" t="s">
        <v>8623</v>
      </c>
      <c r="C18035" s="2" t="s">
        <v>8824</v>
      </c>
      <c r="D18035" s="3" t="str">
        <f>HYPERLINK("https://12go.asia/en/travel/Mac-Thanh-Honstay/26-Nguyen-Hue", "12Go Link")</f>
        <v>12Go Link</v>
      </c>
      <c r="E18035" s="2" t="s">
        <v>8673</v>
      </c>
    </row>
    <row r="18036">
      <c r="A18036" s="2" t="s">
        <v>8681</v>
      </c>
      <c r="B18036" s="2" t="s">
        <v>8663</v>
      </c>
      <c r="C18036" s="2" t="s">
        <v>8825</v>
      </c>
      <c r="D18036" s="3" t="str">
        <f>HYPERLINK("https://12go.asia/en/travel/Mac-Thanh-Honstay/Phong-Nha-Midtown-Hotel", "12Go Link")</f>
        <v>12Go Link</v>
      </c>
      <c r="E18036" s="2" t="s">
        <v>8673</v>
      </c>
    </row>
    <row r="18037">
      <c r="A18037" s="2" t="s">
        <v>8681</v>
      </c>
      <c r="B18037" s="2" t="s">
        <v>8666</v>
      </c>
      <c r="C18037" s="2" t="s">
        <v>8826</v>
      </c>
      <c r="D18037" s="3" t="str">
        <f>HYPERLINK("https://12go.asia/en/travel/Mac-Thanh-Honstay/Tam-Coc-Sunshine-Hostel", "12Go Link")</f>
        <v>12Go Link</v>
      </c>
      <c r="E18037" s="2" t="s">
        <v>8827</v>
      </c>
    </row>
    <row r="18038">
      <c r="A18038" s="2" t="s">
        <v>8621</v>
      </c>
      <c r="B18038" s="2" t="s">
        <v>4110</v>
      </c>
      <c r="C18038" s="2" t="s">
        <v>8828</v>
      </c>
      <c r="D18038" s="3" t="str">
        <f t="shared" ref="D18038:D18039" si="4652">HYPERLINK("https://12go.asia/en/travel/Hoi-An-Office/Da-Nang-City", "12Go Link")</f>
        <v>12Go Link</v>
      </c>
      <c r="E18038" s="2" t="s">
        <v>8649</v>
      </c>
    </row>
    <row r="18039">
      <c r="A18039" s="2" t="s">
        <v>8621</v>
      </c>
      <c r="B18039" s="2" t="s">
        <v>4110</v>
      </c>
      <c r="C18039" s="2" t="s">
        <v>8828</v>
      </c>
      <c r="D18039" s="3" t="str">
        <f t="shared" si="4652"/>
        <v>12Go Link</v>
      </c>
      <c r="E18039" s="2" t="s">
        <v>8650</v>
      </c>
    </row>
    <row r="18040">
      <c r="A18040" s="2" t="s">
        <v>8621</v>
      </c>
      <c r="B18040" s="2" t="s">
        <v>4034</v>
      </c>
      <c r="C18040" s="2" t="s">
        <v>8829</v>
      </c>
      <c r="D18040" s="3" t="str">
        <f>HYPERLINK("https://12go.asia/en/travel/107-Ton-Duc-Thang/70-Nguyen-Huu-Huan", "12Go Link")</f>
        <v>12Go Link</v>
      </c>
      <c r="E18040" s="2" t="s">
        <v>8643</v>
      </c>
    </row>
    <row r="18041">
      <c r="A18041" s="2" t="s">
        <v>8621</v>
      </c>
      <c r="B18041" s="2" t="s">
        <v>4034</v>
      </c>
      <c r="C18041" s="2" t="s">
        <v>8830</v>
      </c>
      <c r="D18041" s="3" t="str">
        <f>HYPERLINK("https://12go.asia/en/travel/23-Nguyen-Tat-Thanh/Parking-Lot-Tran-Vy", "12Go Link")</f>
        <v>12Go Link</v>
      </c>
      <c r="E18041" s="2" t="s">
        <v>8647</v>
      </c>
    </row>
    <row r="18042">
      <c r="A18042" s="2" t="s">
        <v>8621</v>
      </c>
      <c r="B18042" s="2" t="s">
        <v>8653</v>
      </c>
      <c r="C18042" s="2" t="s">
        <v>8831</v>
      </c>
      <c r="D18042" s="3" t="str">
        <f>HYPERLINK("https://12go.asia/en/travel/Hoi-An-Hanh-Cafe/4-Hoang-Dieu", "12Go Link")</f>
        <v>12Go Link</v>
      </c>
      <c r="E18042" s="2" t="s">
        <v>8655</v>
      </c>
    </row>
    <row r="18043">
      <c r="A18043" s="2" t="s">
        <v>8621</v>
      </c>
      <c r="B18043" s="2" t="s">
        <v>8658</v>
      </c>
      <c r="C18043" s="2" t="s">
        <v>8832</v>
      </c>
      <c r="D18043" s="3" t="str">
        <f>HYPERLINK("https://12go.asia/en/travel/23-Nguyen-Tat-Thanh/Mr-Khanh-Travel-Agency-Ninh-Binh", "12Go Link")</f>
        <v>12Go Link</v>
      </c>
      <c r="E18043" s="2" t="s">
        <v>8647</v>
      </c>
    </row>
    <row r="18044">
      <c r="A18044" s="2" t="s">
        <v>8621</v>
      </c>
      <c r="B18044" s="2" t="s">
        <v>8658</v>
      </c>
      <c r="C18044" s="2" t="s">
        <v>8833</v>
      </c>
      <c r="D18044" s="3" t="str">
        <f>HYPERLINK("https://12go.asia/en/travel/23-Nguyen-Tat-Thanh/Tam-Coc-NinhBinh", "12Go Link")</f>
        <v>12Go Link</v>
      </c>
      <c r="E18044" s="2" t="s">
        <v>8647</v>
      </c>
    </row>
    <row r="18045">
      <c r="A18045" s="2" t="s">
        <v>8621</v>
      </c>
      <c r="B18045" s="2" t="s">
        <v>8663</v>
      </c>
      <c r="C18045" s="2" t="s">
        <v>8834</v>
      </c>
      <c r="D18045" s="3" t="str">
        <f>HYPERLINK("https://12go.asia/en/travel/23-Nguyen-Tat-Thanh/Nam-Anh-Hotel", "12Go Link")</f>
        <v>12Go Link</v>
      </c>
      <c r="E18045" s="2" t="s">
        <v>8647</v>
      </c>
    </row>
    <row r="18046">
      <c r="A18046" s="2" t="s">
        <v>8621</v>
      </c>
      <c r="B18046" s="2" t="s">
        <v>4037</v>
      </c>
      <c r="C18046" s="2" t="s">
        <v>8835</v>
      </c>
      <c r="D18046" s="3" t="str">
        <f>HYPERLINK("https://12go.asia/en/travel/107-Ton-Duc-Thang/100A-Dien-Bien-Phu", "12Go Link")</f>
        <v>12Go Link</v>
      </c>
      <c r="E18046" s="2" t="s">
        <v>8643</v>
      </c>
    </row>
    <row r="18047">
      <c r="A18047" s="2" t="s">
        <v>8621</v>
      </c>
      <c r="B18047" s="2" t="s">
        <v>8666</v>
      </c>
      <c r="C18047" s="2" t="s">
        <v>8836</v>
      </c>
      <c r="D18047" s="3" t="str">
        <f>HYPERLINK("https://12go.asia/en/travel/107-Ton-Duc-Thang/Tam-Coc-Bus-Station", "12Go Link")</f>
        <v>12Go Link</v>
      </c>
      <c r="E18047" s="2" t="s">
        <v>8643</v>
      </c>
    </row>
    <row r="18048">
      <c r="A18048" s="2" t="s">
        <v>8623</v>
      </c>
      <c r="B18048" s="2" t="s">
        <v>4034</v>
      </c>
      <c r="C18048" s="2" t="s">
        <v>8837</v>
      </c>
      <c r="D18048" s="3" t="str">
        <f>HYPERLINK("https://12go.asia/en/travel/26-Nguyen-Hue/70-Nguyen-Huu-Huan", "12Go Link")</f>
        <v>12Go Link</v>
      </c>
      <c r="E18048" s="2" t="s">
        <v>8643</v>
      </c>
    </row>
    <row r="18049">
      <c r="A18049" s="2" t="s">
        <v>8623</v>
      </c>
      <c r="B18049" s="2" t="s">
        <v>4034</v>
      </c>
      <c r="C18049" s="2" t="s">
        <v>8838</v>
      </c>
      <c r="D18049" s="3" t="str">
        <f>HYPERLINK("https://12go.asia/en/travel/3-Doi-Cung/Parking-Lot-Tran-Vy", "12Go Link")</f>
        <v>12Go Link</v>
      </c>
      <c r="E18049" s="2" t="s">
        <v>8647</v>
      </c>
    </row>
    <row r="18050">
      <c r="A18050" s="2" t="s">
        <v>8623</v>
      </c>
      <c r="B18050" s="2" t="s">
        <v>4034</v>
      </c>
      <c r="C18050" s="2" t="s">
        <v>8839</v>
      </c>
      <c r="D18050" s="3" t="str">
        <f>HYPERLINK("https://12go.asia/en/travel/Hue/Hanoi", "12Go Link")</f>
        <v>12Go Link</v>
      </c>
      <c r="E18050" s="2" t="s">
        <v>8645</v>
      </c>
    </row>
    <row r="18051">
      <c r="A18051" s="2" t="s">
        <v>8623</v>
      </c>
      <c r="B18051" s="2" t="s">
        <v>4034</v>
      </c>
      <c r="C18051" s="2" t="s">
        <v>8840</v>
      </c>
      <c r="D18051" s="3" t="str">
        <f>HYPERLINK("https://12go.asia/en/travel/Toa-Kham-Marina/Parking-Lot-Tran-Vy", "12Go Link")</f>
        <v>12Go Link</v>
      </c>
      <c r="E18051" s="2" t="s">
        <v>8647</v>
      </c>
    </row>
    <row r="18052">
      <c r="A18052" s="2" t="s">
        <v>8623</v>
      </c>
      <c r="B18052" s="2" t="s">
        <v>8653</v>
      </c>
      <c r="C18052" s="2" t="s">
        <v>8841</v>
      </c>
      <c r="D18052" s="3" t="str">
        <f>HYPERLINK("https://12go.asia/en/travel/28-Chu-Van-An/4-Hoang-Dieu", "12Go Link")</f>
        <v>12Go Link</v>
      </c>
      <c r="E18052" s="2" t="s">
        <v>8655</v>
      </c>
    </row>
    <row r="18053">
      <c r="A18053" s="2" t="s">
        <v>8623</v>
      </c>
      <c r="B18053" s="2" t="s">
        <v>8658</v>
      </c>
      <c r="C18053" s="2" t="s">
        <v>8842</v>
      </c>
      <c r="D18053" s="3" t="str">
        <f>HYPERLINK("https://12go.asia/en/travel/3-Doi-Cung/Mr-Khanh-Travel-Agency-Ninh-Binh", "12Go Link")</f>
        <v>12Go Link</v>
      </c>
      <c r="E18053" s="2" t="s">
        <v>8647</v>
      </c>
    </row>
    <row r="18054">
      <c r="A18054" s="2" t="s">
        <v>8623</v>
      </c>
      <c r="B18054" s="2" t="s">
        <v>8658</v>
      </c>
      <c r="C18054" s="2" t="s">
        <v>8843</v>
      </c>
      <c r="D18054" s="3" t="str">
        <f>HYPERLINK("https://12go.asia/en/travel/3-Doi-Cung/Tam-Coc-NinhBinh", "12Go Link")</f>
        <v>12Go Link</v>
      </c>
      <c r="E18054" s="2" t="s">
        <v>8647</v>
      </c>
    </row>
    <row r="18055">
      <c r="A18055" s="2" t="s">
        <v>8623</v>
      </c>
      <c r="B18055" s="2" t="s">
        <v>8658</v>
      </c>
      <c r="C18055" s="2" t="s">
        <v>8844</v>
      </c>
      <c r="D18055" s="3" t="str">
        <f>HYPERLINK("https://12go.asia/en/travel/Toa-Kham-Marina/Mr-Khanh-Travel-Agency-Ninh-Binh", "12Go Link")</f>
        <v>12Go Link</v>
      </c>
      <c r="E18055" s="2" t="s">
        <v>8647</v>
      </c>
    </row>
    <row r="18056">
      <c r="A18056" s="2" t="s">
        <v>8623</v>
      </c>
      <c r="B18056" s="2" t="s">
        <v>8658</v>
      </c>
      <c r="C18056" s="2" t="s">
        <v>8845</v>
      </c>
      <c r="D18056" s="3" t="str">
        <f>HYPERLINK("https://12go.asia/en/travel/Toa-Kham-Marina/Tam-Coc-NinhBinh", "12Go Link")</f>
        <v>12Go Link</v>
      </c>
      <c r="E18056" s="2" t="s">
        <v>8647</v>
      </c>
    </row>
    <row r="18057">
      <c r="A18057" s="2" t="s">
        <v>8623</v>
      </c>
      <c r="B18057" s="2" t="s">
        <v>8663</v>
      </c>
      <c r="C18057" s="2" t="s">
        <v>8846</v>
      </c>
      <c r="D18057" s="3" t="str">
        <f>HYPERLINK("https://12go.asia/en/travel/2-Lam-Hoang-Vy-Da/Thien-Phu-Hostel", "12Go Link")</f>
        <v>12Go Link</v>
      </c>
      <c r="E18057" s="2" t="s">
        <v>8847</v>
      </c>
    </row>
    <row r="18058">
      <c r="A18058" s="2" t="s">
        <v>8623</v>
      </c>
      <c r="B18058" s="2" t="s">
        <v>8663</v>
      </c>
      <c r="C18058" s="2" t="s">
        <v>8848</v>
      </c>
      <c r="D18058" s="3" t="str">
        <f>HYPERLINK("https://12go.asia/en/travel/3-Doi-Cung/Nam-Anh-Hotel", "12Go Link")</f>
        <v>12Go Link</v>
      </c>
      <c r="E18058" s="2" t="s">
        <v>8647</v>
      </c>
    </row>
    <row r="18059">
      <c r="A18059" s="2" t="s">
        <v>8623</v>
      </c>
      <c r="B18059" s="2" t="s">
        <v>8663</v>
      </c>
      <c r="C18059" s="2" t="s">
        <v>8849</v>
      </c>
      <c r="D18059" s="3" t="str">
        <f>HYPERLINK("https://12go.asia/en/travel/7-Doi-Cung-Hue/Central-Backpackers-Hostel-Phong-Nha", "12Go Link")</f>
        <v>12Go Link</v>
      </c>
      <c r="E18059" s="2" t="s">
        <v>8662</v>
      </c>
    </row>
    <row r="18060">
      <c r="A18060" s="2" t="s">
        <v>8623</v>
      </c>
      <c r="B18060" s="2" t="s">
        <v>8663</v>
      </c>
      <c r="C18060" s="2" t="s">
        <v>8850</v>
      </c>
      <c r="D18060" s="3" t="str">
        <f>HYPERLINK("https://12go.asia/en/travel/Toa-Kham-Marina/Nam-Anh-Hotel", "12Go Link")</f>
        <v>12Go Link</v>
      </c>
      <c r="E18060" s="2" t="s">
        <v>8647</v>
      </c>
    </row>
    <row r="18061">
      <c r="A18061" s="2" t="s">
        <v>8623</v>
      </c>
      <c r="B18061" s="2" t="s">
        <v>4037</v>
      </c>
      <c r="C18061" s="2" t="s">
        <v>8851</v>
      </c>
      <c r="D18061" s="3" t="str">
        <f>HYPERLINK("https://12go.asia/en/travel/26-Nguyen-Hue/100A-Dien-Bien-Phu", "12Go Link")</f>
        <v>12Go Link</v>
      </c>
      <c r="E18061" s="2" t="s">
        <v>8643</v>
      </c>
    </row>
    <row r="18062">
      <c r="A18062" s="2" t="s">
        <v>8623</v>
      </c>
      <c r="B18062" s="2" t="s">
        <v>8666</v>
      </c>
      <c r="C18062" s="2" t="s">
        <v>8852</v>
      </c>
      <c r="D18062" s="3" t="str">
        <f>HYPERLINK("https://12go.asia/en/travel/26-Nguyen-Hue/Tam-Coc-Bus-Station", "12Go Link")</f>
        <v>12Go Link</v>
      </c>
      <c r="E18062" s="2" t="s">
        <v>8643</v>
      </c>
    </row>
    <row r="18063">
      <c r="A18063" s="2" t="s">
        <v>8653</v>
      </c>
      <c r="B18063" s="2" t="s">
        <v>4110</v>
      </c>
      <c r="C18063" s="2" t="s">
        <v>8853</v>
      </c>
      <c r="D18063" s="3" t="str">
        <f>HYPERLINK("https://12go.asia/en/travel/4-Hoang-Dieu/Da-Nang-Hanh-Cafe-Office", "12Go Link")</f>
        <v>12Go Link</v>
      </c>
      <c r="E18063" s="2" t="s">
        <v>8854</v>
      </c>
    </row>
    <row r="18064">
      <c r="A18064" s="2" t="s">
        <v>8653</v>
      </c>
      <c r="B18064" s="2" t="s">
        <v>8621</v>
      </c>
      <c r="C18064" s="2" t="s">
        <v>8855</v>
      </c>
      <c r="D18064" s="3" t="str">
        <f>HYPERLINK("https://12go.asia/en/travel/4-Hoang-Dieu/Hoi-An-Hanh-Cafe", "12Go Link")</f>
        <v>12Go Link</v>
      </c>
      <c r="E18064" s="2" t="s">
        <v>8854</v>
      </c>
    </row>
    <row r="18065">
      <c r="A18065" s="2" t="s">
        <v>8653</v>
      </c>
      <c r="B18065" s="2" t="s">
        <v>8623</v>
      </c>
      <c r="C18065" s="2" t="s">
        <v>8856</v>
      </c>
      <c r="D18065" s="3" t="str">
        <f>HYPERLINK("https://12go.asia/en/travel/4-Hoang-Dieu/28-Chu-Van-An", "12Go Link")</f>
        <v>12Go Link</v>
      </c>
      <c r="E18065" s="2" t="s">
        <v>8854</v>
      </c>
    </row>
    <row r="18066">
      <c r="A18066" s="2" t="s">
        <v>8653</v>
      </c>
      <c r="B18066" s="2" t="s">
        <v>8656</v>
      </c>
      <c r="C18066" s="2" t="s">
        <v>8857</v>
      </c>
      <c r="D18066" s="3" t="str">
        <f>HYPERLINK("https://12go.asia/en/travel/4-Hoang-Dieu/106-Phong-Chau", "12Go Link")</f>
        <v>12Go Link</v>
      </c>
      <c r="E18066" s="2" t="s">
        <v>8613</v>
      </c>
    </row>
    <row r="18067">
      <c r="A18067" s="2" t="s">
        <v>8653</v>
      </c>
      <c r="B18067" s="2" t="s">
        <v>8656</v>
      </c>
      <c r="C18067" s="2" t="s">
        <v>8858</v>
      </c>
      <c r="D18067" s="3" t="str">
        <f>HYPERLINK("https://12go.asia/en/travel/4-Hoang-Dieu/53-Le-Thanh-Phuong", "12Go Link")</f>
        <v>12Go Link</v>
      </c>
      <c r="E18067" s="2" t="s">
        <v>8613</v>
      </c>
    </row>
    <row r="18068">
      <c r="A18068" s="2" t="s">
        <v>8653</v>
      </c>
      <c r="B18068" s="2" t="s">
        <v>8656</v>
      </c>
      <c r="C18068" s="2" t="s">
        <v>8859</v>
      </c>
      <c r="D18068" s="3" t="str">
        <f>HYPERLINK("https://12go.asia/en/travel/4-Hoang-Dieu/Panorama-Nha-Trang-Hotel", "12Go Link")</f>
        <v>12Go Link</v>
      </c>
      <c r="E18068" s="2" t="s">
        <v>8613</v>
      </c>
    </row>
    <row r="18069">
      <c r="A18069" s="2" t="s">
        <v>8770</v>
      </c>
      <c r="B18069" s="2" t="s">
        <v>4034</v>
      </c>
      <c r="C18069" s="2" t="s">
        <v>8860</v>
      </c>
      <c r="D18069" s="3" t="str">
        <f>HYPERLINK("https://12go.asia/en/travel/63-Phan-Dinh-Phung/70-Nguyen-Huu-Huan", "12Go Link")</f>
        <v>12Go Link</v>
      </c>
      <c r="E18069" s="2" t="s">
        <v>8643</v>
      </c>
    </row>
    <row r="18070">
      <c r="A18070" s="2" t="s">
        <v>8770</v>
      </c>
      <c r="B18070" s="2" t="s">
        <v>4034</v>
      </c>
      <c r="C18070" s="2" t="s">
        <v>8861</v>
      </c>
      <c r="D18070" s="3" t="str">
        <f>HYPERLINK("https://12go.asia/en/travel/Sapa-Lao-Cai/Hanoi", "12Go Link")</f>
        <v>12Go Link</v>
      </c>
      <c r="E18070" s="2" t="s">
        <v>8645</v>
      </c>
    </row>
    <row r="18071">
      <c r="A18071" s="2" t="s">
        <v>8770</v>
      </c>
      <c r="B18071" s="2" t="s">
        <v>4037</v>
      </c>
      <c r="C18071" s="2" t="s">
        <v>8862</v>
      </c>
      <c r="D18071" s="3" t="str">
        <f>HYPERLINK("https://12go.asia/en/travel/Lao-Cai-Railway-Station/100A-Dien-Bien-Phu", "12Go Link")</f>
        <v>12Go Link</v>
      </c>
      <c r="E18071" s="2" t="s">
        <v>8863</v>
      </c>
    </row>
    <row r="18072">
      <c r="A18072" s="2" t="s">
        <v>8864</v>
      </c>
      <c r="B18072" s="2" t="s">
        <v>8690</v>
      </c>
      <c r="C18072" s="2" t="s">
        <v>8865</v>
      </c>
      <c r="D18072" s="3" t="str">
        <f>HYPERLINK("https://12go.asia/en/travel/Mai-Chau-4-Seasons/Pu-Luong-Cuisine-Garden-Homestay", "12Go Link")</f>
        <v>12Go Link</v>
      </c>
      <c r="E18072" s="2" t="s">
        <v>8866</v>
      </c>
    </row>
    <row r="18073">
      <c r="A18073" s="2" t="s">
        <v>8864</v>
      </c>
      <c r="B18073" s="2" t="s">
        <v>8690</v>
      </c>
      <c r="C18073" s="2" t="s">
        <v>8867</v>
      </c>
      <c r="D18073" s="3" t="str">
        <f>HYPERLINK("https://12go.asia/en/travel/Wooden-Homestay/Pu-Luong-Cuisine-Garden-Homestay", "12Go Link")</f>
        <v>12Go Link</v>
      </c>
      <c r="E18073" s="2" t="s">
        <v>8866</v>
      </c>
    </row>
    <row r="18074">
      <c r="A18074" s="2" t="s">
        <v>8804</v>
      </c>
      <c r="B18074" s="2" t="s">
        <v>8611</v>
      </c>
      <c r="C18074" s="2" t="s">
        <v>8868</v>
      </c>
      <c r="D18074" s="3" t="str">
        <f>HYPERLINK("https://12go.asia/en/travel/356-Huynh-Thuc-Khang/229-Pham-Ngu-Lao", "12Go Link")</f>
        <v>12Go Link</v>
      </c>
      <c r="E18074" s="2" t="s">
        <v>8807</v>
      </c>
    </row>
    <row r="18075">
      <c r="A18075" s="2" t="s">
        <v>8804</v>
      </c>
      <c r="B18075" s="2" t="s">
        <v>8611</v>
      </c>
      <c r="C18075" s="2" t="s">
        <v>8869</v>
      </c>
      <c r="D18075" s="3" t="str">
        <f>HYPERLINK("https://12go.asia/en/travel/371-Huynh-Thuc-Khang-Mui-Ne/229-Pham-Ngu-Lao", "12Go Link")</f>
        <v>12Go Link</v>
      </c>
      <c r="E18075" s="2" t="s">
        <v>8807</v>
      </c>
    </row>
    <row r="18076">
      <c r="A18076" s="2" t="s">
        <v>8804</v>
      </c>
      <c r="B18076" s="2" t="s">
        <v>8611</v>
      </c>
      <c r="C18076" s="2" t="s">
        <v>8870</v>
      </c>
      <c r="D18076" s="3" t="str">
        <f>HYPERLINK("https://12go.asia/en/travel/Phan-Thiet-Mui-Ne-Bus-Station/121-Co-Giang", "12Go Link")</f>
        <v>12Go Link</v>
      </c>
      <c r="E18076" s="2" t="s">
        <v>8618</v>
      </c>
    </row>
    <row r="18077">
      <c r="A18077" s="2" t="s">
        <v>8804</v>
      </c>
      <c r="B18077" s="2" t="s">
        <v>8611</v>
      </c>
      <c r="C18077" s="2" t="s">
        <v>8871</v>
      </c>
      <c r="D18077" s="3" t="str">
        <f>HYPERLINK("https://12go.asia/en/travel/Phan-Thiet-Mui-Ne-Bus-Station/579-Vo-Chi-Cong", "12Go Link")</f>
        <v>12Go Link</v>
      </c>
      <c r="E18077" s="2" t="s">
        <v>8618</v>
      </c>
    </row>
    <row r="18078">
      <c r="A18078" s="2" t="s">
        <v>8804</v>
      </c>
      <c r="B18078" s="2" t="s">
        <v>8611</v>
      </c>
      <c r="C18078" s="2" t="s">
        <v>8872</v>
      </c>
      <c r="D18078" s="3" t="str">
        <f>HYPERLINK("https://12go.asia/en/travel/Phan-Thiet-Mui-Ne-Bus-Station/Mien-Dong-Moi", "12Go Link")</f>
        <v>12Go Link</v>
      </c>
      <c r="E18078" s="2" t="s">
        <v>8618</v>
      </c>
    </row>
    <row r="18079">
      <c r="A18079" s="2" t="s">
        <v>8656</v>
      </c>
      <c r="B18079" s="2" t="s">
        <v>4110</v>
      </c>
      <c r="C18079" s="2" t="s">
        <v>8873</v>
      </c>
      <c r="D18079" s="3" t="str">
        <f>HYPERLINK("https://12go.asia/en/travel/Nha-Trang/Da-Nang", "12Go Link")</f>
        <v>12Go Link</v>
      </c>
      <c r="E18079" s="2" t="s">
        <v>8645</v>
      </c>
    </row>
    <row r="18080">
      <c r="A18080" s="2" t="s">
        <v>8656</v>
      </c>
      <c r="B18080" s="2" t="s">
        <v>8611</v>
      </c>
      <c r="C18080" s="2" t="s">
        <v>8874</v>
      </c>
      <c r="D18080" s="3" t="str">
        <f>HYPERLINK("https://12go.asia/en/travel/Nha-Trang/Ho-Chi-Minh-City", "12Go Link")</f>
        <v>12Go Link</v>
      </c>
      <c r="E18080" s="2" t="s">
        <v>8645</v>
      </c>
    </row>
    <row r="18081">
      <c r="A18081" s="2" t="s">
        <v>8656</v>
      </c>
      <c r="B18081" s="2" t="s">
        <v>8653</v>
      </c>
      <c r="C18081" s="2" t="s">
        <v>8875</v>
      </c>
      <c r="D18081" s="3" t="str">
        <f>HYPERLINK("https://12go.asia/en/travel/106-Phong-Chau/4-Hoang-Dieu", "12Go Link")</f>
        <v>12Go Link</v>
      </c>
      <c r="E18081" s="2" t="s">
        <v>8613</v>
      </c>
    </row>
    <row r="18082">
      <c r="A18082" s="2" t="s">
        <v>8656</v>
      </c>
      <c r="B18082" s="2" t="s">
        <v>8653</v>
      </c>
      <c r="C18082" s="2" t="s">
        <v>8876</v>
      </c>
      <c r="D18082" s="3" t="str">
        <f>HYPERLINK("https://12go.asia/en/travel/53-Le-Thanh-Phuong/4-Hoang-Dieu", "12Go Link")</f>
        <v>12Go Link</v>
      </c>
      <c r="E18082" s="2" t="s">
        <v>8613</v>
      </c>
    </row>
    <row r="18083">
      <c r="A18083" s="2" t="s">
        <v>8656</v>
      </c>
      <c r="B18083" s="2" t="s">
        <v>8690</v>
      </c>
      <c r="C18083" s="2" t="s">
        <v>8877</v>
      </c>
      <c r="D18083" s="3" t="str">
        <f>HYPERLINK("https://12go.asia/en/travel/ninh-hoa/thanh-hoa", "12Go Link")</f>
        <v>12Go Link</v>
      </c>
      <c r="E18083" s="2" t="s">
        <v>226</v>
      </c>
    </row>
    <row r="18084">
      <c r="A18084" s="2" t="s">
        <v>8658</v>
      </c>
      <c r="B18084" s="2" t="s">
        <v>4046</v>
      </c>
      <c r="C18084" s="2" t="s">
        <v>8878</v>
      </c>
      <c r="D18084" s="3" t="str">
        <f>HYPERLINK("https://12go.asia/en/travel/Go-Asia-Restaurant/Ing-Ing-Mountain-View", "12Go Link")</f>
        <v>12Go Link</v>
      </c>
      <c r="E18084" s="2" t="s">
        <v>4039</v>
      </c>
    </row>
    <row r="18085">
      <c r="A18085" s="2" t="s">
        <v>8658</v>
      </c>
      <c r="B18085" s="2" t="s">
        <v>4110</v>
      </c>
      <c r="C18085" s="2" t="s">
        <v>8879</v>
      </c>
      <c r="D18085" s="3" t="str">
        <f>HYPERLINK("https://12go.asia/en/travel/Mr-Khanh-Travel-Agency-Ninh-Binh/Danava-Travel-16-Road-32", "12Go Link")</f>
        <v>12Go Link</v>
      </c>
      <c r="E18085" s="2" t="s">
        <v>8647</v>
      </c>
    </row>
    <row r="18086">
      <c r="A18086" s="2" t="s">
        <v>8658</v>
      </c>
      <c r="B18086" s="2" t="s">
        <v>4110</v>
      </c>
      <c r="C18086" s="2" t="s">
        <v>8880</v>
      </c>
      <c r="D18086" s="3" t="str">
        <f>HYPERLINK("https://12go.asia/en/travel/Tam-Coc-NinhBinh/Danava-Travel-16-Road-32", "12Go Link")</f>
        <v>12Go Link</v>
      </c>
      <c r="E18086" s="2" t="s">
        <v>8647</v>
      </c>
    </row>
    <row r="18087">
      <c r="A18087" s="2" t="s">
        <v>8658</v>
      </c>
      <c r="B18087" s="2" t="s">
        <v>8674</v>
      </c>
      <c r="C18087" s="2" t="s">
        <v>8881</v>
      </c>
      <c r="D18087" s="3" t="str">
        <f>HYPERLINK("https://12go.asia/en/travel/Ninh-Binh/Dong-Hoi", "12Go Link")</f>
        <v>12Go Link</v>
      </c>
      <c r="E18087" s="2" t="s">
        <v>8645</v>
      </c>
    </row>
    <row r="18088">
      <c r="A18088" s="2" t="s">
        <v>8658</v>
      </c>
      <c r="B18088" s="2" t="s">
        <v>4034</v>
      </c>
      <c r="C18088" s="2" t="s">
        <v>8882</v>
      </c>
      <c r="D18088" s="3" t="str">
        <f t="shared" ref="D18088:D18089" si="4653">HYPERLINK("https://12go.asia/en/travel/Hang-Mua-Green-Retreat/Daily-Limousine-Office", "12Go Link")</f>
        <v>12Go Link</v>
      </c>
      <c r="E18088" s="2" t="s">
        <v>8728</v>
      </c>
    </row>
    <row r="18089">
      <c r="A18089" s="2" t="s">
        <v>8658</v>
      </c>
      <c r="B18089" s="2" t="s">
        <v>4034</v>
      </c>
      <c r="C18089" s="2" t="s">
        <v>8882</v>
      </c>
      <c r="D18089" s="3" t="str">
        <f t="shared" si="4653"/>
        <v>12Go Link</v>
      </c>
      <c r="E18089" s="2" t="s">
        <v>8729</v>
      </c>
    </row>
    <row r="18090">
      <c r="A18090" s="2" t="s">
        <v>8658</v>
      </c>
      <c r="B18090" s="2" t="s">
        <v>4034</v>
      </c>
      <c r="C18090" s="2" t="s">
        <v>8883</v>
      </c>
      <c r="D18090" s="3" t="str">
        <f t="shared" ref="D18090:D18091" si="4654">HYPERLINK("https://12go.asia/en/travel/Ninh-Binh-Railway-Station/Ha-Noi-Railway-Station", "12Go Link")</f>
        <v>12Go Link</v>
      </c>
      <c r="E18090" s="2" t="s">
        <v>8728</v>
      </c>
    </row>
    <row r="18091">
      <c r="A18091" s="2" t="s">
        <v>8658</v>
      </c>
      <c r="B18091" s="2" t="s">
        <v>4034</v>
      </c>
      <c r="C18091" s="2" t="s">
        <v>8883</v>
      </c>
      <c r="D18091" s="3" t="str">
        <f t="shared" si="4654"/>
        <v>12Go Link</v>
      </c>
      <c r="E18091" s="2" t="s">
        <v>8729</v>
      </c>
    </row>
    <row r="18092">
      <c r="A18092" s="2" t="s">
        <v>8658</v>
      </c>
      <c r="B18092" s="2" t="s">
        <v>4034</v>
      </c>
      <c r="C18092" s="2" t="s">
        <v>8884</v>
      </c>
      <c r="D18092" s="3" t="str">
        <f>HYPERLINK("https://12go.asia/en/travel/Tam-Coc-Boat-Station/64-Tran-Nhat-Duat", "12Go Link")</f>
        <v>12Go Link</v>
      </c>
      <c r="E18092" s="2" t="s">
        <v>8780</v>
      </c>
    </row>
    <row r="18093">
      <c r="A18093" s="2" t="s">
        <v>8658</v>
      </c>
      <c r="B18093" s="2" t="s">
        <v>4034</v>
      </c>
      <c r="C18093" s="2" t="s">
        <v>8885</v>
      </c>
      <c r="D18093" s="3" t="str">
        <f t="shared" ref="D18093:D18094" si="4655">HYPERLINK("https://12go.asia/en/travel/Tam-Coc-Boat-Station/Daily-Limousine-Office", "12Go Link")</f>
        <v>12Go Link</v>
      </c>
      <c r="E18093" s="2" t="s">
        <v>8728</v>
      </c>
    </row>
    <row r="18094">
      <c r="A18094" s="2" t="s">
        <v>8658</v>
      </c>
      <c r="B18094" s="2" t="s">
        <v>4034</v>
      </c>
      <c r="C18094" s="2" t="s">
        <v>8885</v>
      </c>
      <c r="D18094" s="3" t="str">
        <f t="shared" si="4655"/>
        <v>12Go Link</v>
      </c>
      <c r="E18094" s="2" t="s">
        <v>8729</v>
      </c>
    </row>
    <row r="18095">
      <c r="A18095" s="2" t="s">
        <v>8658</v>
      </c>
      <c r="B18095" s="2" t="s">
        <v>4034</v>
      </c>
      <c r="C18095" s="2" t="s">
        <v>8886</v>
      </c>
      <c r="D18095" s="3" t="str">
        <f t="shared" ref="D18095:D18096" si="4656">HYPERLINK("https://12go.asia/en/travel/Trang-An-Boat-Station/3-Tran-Phu", "12Go Link")</f>
        <v>12Go Link</v>
      </c>
      <c r="E18095" s="2" t="s">
        <v>8728</v>
      </c>
    </row>
    <row r="18096">
      <c r="A18096" s="2" t="s">
        <v>8658</v>
      </c>
      <c r="B18096" s="2" t="s">
        <v>4034</v>
      </c>
      <c r="C18096" s="2" t="s">
        <v>8886</v>
      </c>
      <c r="D18096" s="3" t="str">
        <f t="shared" si="4656"/>
        <v>12Go Link</v>
      </c>
      <c r="E18096" s="2" t="s">
        <v>8729</v>
      </c>
    </row>
    <row r="18097">
      <c r="A18097" s="2" t="s">
        <v>8658</v>
      </c>
      <c r="B18097" s="2" t="s">
        <v>8621</v>
      </c>
      <c r="C18097" s="2" t="s">
        <v>8887</v>
      </c>
      <c r="D18097" s="3" t="str">
        <f>HYPERLINK("https://12go.asia/en/travel/Mr-Khanh-Travel-Agency-Ninh-Binh/23-Nguyen-Tat-Thanh", "12Go Link")</f>
        <v>12Go Link</v>
      </c>
      <c r="E18097" s="2" t="s">
        <v>8647</v>
      </c>
    </row>
    <row r="18098">
      <c r="A18098" s="2" t="s">
        <v>8658</v>
      </c>
      <c r="B18098" s="2" t="s">
        <v>8621</v>
      </c>
      <c r="C18098" s="2" t="s">
        <v>8888</v>
      </c>
      <c r="D18098" s="3" t="str">
        <f>HYPERLINK("https://12go.asia/en/travel/Tam-Coc-NinhBinh/23-Nguyen-Tat-Thanh", "12Go Link")</f>
        <v>12Go Link</v>
      </c>
      <c r="E18098" s="2" t="s">
        <v>8647</v>
      </c>
    </row>
    <row r="18099">
      <c r="A18099" s="2" t="s">
        <v>8658</v>
      </c>
      <c r="B18099" s="2" t="s">
        <v>8623</v>
      </c>
      <c r="C18099" s="2" t="s">
        <v>8889</v>
      </c>
      <c r="D18099" s="3" t="str">
        <f>HYPERLINK("https://12go.asia/en/travel/Mr-Khanh-Travel-Agency-Ninh-Binh/3-Doi-Cung", "12Go Link")</f>
        <v>12Go Link</v>
      </c>
      <c r="E18099" s="2" t="s">
        <v>8647</v>
      </c>
    </row>
    <row r="18100">
      <c r="A18100" s="2" t="s">
        <v>8658</v>
      </c>
      <c r="B18100" s="2" t="s">
        <v>8623</v>
      </c>
      <c r="C18100" s="2" t="s">
        <v>8890</v>
      </c>
      <c r="D18100" s="3" t="str">
        <f>HYPERLINK("https://12go.asia/en/travel/Mr-Khanh-Travel-Agency-Ninh-Binh/Toa-Kham-Marina", "12Go Link")</f>
        <v>12Go Link</v>
      </c>
      <c r="E18100" s="2" t="s">
        <v>8647</v>
      </c>
    </row>
    <row r="18101">
      <c r="A18101" s="2" t="s">
        <v>8658</v>
      </c>
      <c r="B18101" s="2" t="s">
        <v>8623</v>
      </c>
      <c r="C18101" s="2" t="s">
        <v>8891</v>
      </c>
      <c r="D18101" s="3" t="str">
        <f>HYPERLINK("https://12go.asia/en/travel/Tam-Coc-NinhBinh/3-Doi-Cung", "12Go Link")</f>
        <v>12Go Link</v>
      </c>
      <c r="E18101" s="2" t="s">
        <v>8647</v>
      </c>
    </row>
    <row r="18102">
      <c r="A18102" s="2" t="s">
        <v>8658</v>
      </c>
      <c r="B18102" s="2" t="s">
        <v>8623</v>
      </c>
      <c r="C18102" s="2" t="s">
        <v>8892</v>
      </c>
      <c r="D18102" s="3" t="str">
        <f>HYPERLINK("https://12go.asia/en/travel/Tam-Coc-NinhBinh/Toa-Kham-Marina", "12Go Link")</f>
        <v>12Go Link</v>
      </c>
      <c r="E18102" s="2" t="s">
        <v>8647</v>
      </c>
    </row>
    <row r="18103">
      <c r="A18103" s="2" t="s">
        <v>8658</v>
      </c>
      <c r="B18103" s="2" t="s">
        <v>8893</v>
      </c>
      <c r="C18103" s="2" t="s">
        <v>8894</v>
      </c>
      <c r="D18103" s="3" t="str">
        <f>HYPERLINK("https://12go.asia/en/travel/Tam-Coc-Boat-Station/Hanoi-Airport", "12Go Link")</f>
        <v>12Go Link</v>
      </c>
      <c r="E18103" s="2" t="s">
        <v>8780</v>
      </c>
    </row>
    <row r="18104">
      <c r="A18104" s="2" t="s">
        <v>8658</v>
      </c>
      <c r="B18104" s="2" t="s">
        <v>8663</v>
      </c>
      <c r="C18104" s="2" t="s">
        <v>8895</v>
      </c>
      <c r="D18104" s="3" t="str">
        <f>HYPERLINK("https://12go.asia/en/travel/Mr-Khanh-Travel-Agency-Ninh-Binh/Nam-Anh-Hotel", "12Go Link")</f>
        <v>12Go Link</v>
      </c>
      <c r="E18104" s="2" t="s">
        <v>8647</v>
      </c>
    </row>
    <row r="18105">
      <c r="A18105" s="2" t="s">
        <v>8658</v>
      </c>
      <c r="B18105" s="2" t="s">
        <v>8663</v>
      </c>
      <c r="C18105" s="2" t="s">
        <v>8896</v>
      </c>
      <c r="D18105" s="3" t="str">
        <f>HYPERLINK("https://12go.asia/en/travel/Tam-Coc-NinhBinh/Nam-Anh-Hotel", "12Go Link")</f>
        <v>12Go Link</v>
      </c>
      <c r="E18105" s="2" t="s">
        <v>8647</v>
      </c>
    </row>
    <row r="18106">
      <c r="A18106" s="2" t="s">
        <v>8893</v>
      </c>
      <c r="B18106" s="2" t="s">
        <v>4034</v>
      </c>
      <c r="C18106" s="2" t="s">
        <v>8897</v>
      </c>
      <c r="D18106" s="3" t="str">
        <f t="shared" ref="D18106:D18107" si="4657">HYPERLINK("https://12go.asia/en/travel/Hanoi-Airport/Ha-Noi-City", "12Go Link")</f>
        <v>12Go Link</v>
      </c>
      <c r="E18106" s="2" t="s">
        <v>8649</v>
      </c>
    </row>
    <row r="18107">
      <c r="A18107" s="2" t="s">
        <v>8893</v>
      </c>
      <c r="B18107" s="2" t="s">
        <v>4034</v>
      </c>
      <c r="C18107" s="2" t="s">
        <v>8897</v>
      </c>
      <c r="D18107" s="3" t="str">
        <f t="shared" si="4657"/>
        <v>12Go Link</v>
      </c>
      <c r="E18107" s="2" t="s">
        <v>8650</v>
      </c>
    </row>
    <row r="18108">
      <c r="A18108" s="2" t="s">
        <v>8893</v>
      </c>
      <c r="B18108" s="2" t="s">
        <v>8658</v>
      </c>
      <c r="C18108" s="2" t="s">
        <v>8898</v>
      </c>
      <c r="D18108" s="3" t="str">
        <f>HYPERLINK("https://12go.asia/en/travel/Hanoi-Airport/Tam-Coc-Boat-Station", "12Go Link")</f>
        <v>12Go Link</v>
      </c>
      <c r="E18108" s="2" t="s">
        <v>8780</v>
      </c>
    </row>
    <row r="18109">
      <c r="A18109" s="2" t="s">
        <v>8893</v>
      </c>
      <c r="B18109" s="2" t="s">
        <v>4037</v>
      </c>
      <c r="C18109" s="2" t="s">
        <v>8899</v>
      </c>
      <c r="D18109" s="3" t="str">
        <f t="shared" ref="D18109:D18110" si="4658">HYPERLINK("https://12go.asia/en/travel/Hanoi-Airport/100A-Dien-Bien-Phu", "12Go Link")</f>
        <v>12Go Link</v>
      </c>
      <c r="E18109" s="2" t="s">
        <v>8643</v>
      </c>
    </row>
    <row r="18110">
      <c r="A18110" s="2" t="s">
        <v>8893</v>
      </c>
      <c r="B18110" s="2" t="s">
        <v>4037</v>
      </c>
      <c r="C18110" s="2" t="s">
        <v>8899</v>
      </c>
      <c r="D18110" s="3" t="str">
        <f t="shared" si="4658"/>
        <v>12Go Link</v>
      </c>
      <c r="E18110" s="2" t="s">
        <v>8678</v>
      </c>
    </row>
    <row r="18111">
      <c r="A18111" s="2" t="s">
        <v>8663</v>
      </c>
      <c r="B18111" s="2" t="s">
        <v>4110</v>
      </c>
      <c r="C18111" s="2" t="s">
        <v>8900</v>
      </c>
      <c r="D18111" s="3" t="str">
        <f>HYPERLINK("https://12go.asia/en/travel/Nam-Anh-Hotel/Danava-Travel-16-Road-32", "12Go Link")</f>
        <v>12Go Link</v>
      </c>
      <c r="E18111" s="2" t="s">
        <v>8647</v>
      </c>
    </row>
    <row r="18112">
      <c r="A18112" s="2" t="s">
        <v>8663</v>
      </c>
      <c r="B18112" s="2" t="s">
        <v>4034</v>
      </c>
      <c r="C18112" s="2" t="s">
        <v>8901</v>
      </c>
      <c r="D18112" s="3" t="str">
        <f>HYPERLINK("https://12go.asia/en/travel/73-Duong-Phong-Nha/70-Nguyen-Huu-Huan", "12Go Link")</f>
        <v>12Go Link</v>
      </c>
      <c r="E18112" s="2" t="s">
        <v>8643</v>
      </c>
    </row>
    <row r="18113">
      <c r="A18113" s="2" t="s">
        <v>8663</v>
      </c>
      <c r="B18113" s="2" t="s">
        <v>4034</v>
      </c>
      <c r="C18113" s="2" t="s">
        <v>8902</v>
      </c>
      <c r="D18113" s="3" t="str">
        <f>HYPERLINK("https://12go.asia/en/travel/Nam-Anh-Hotel/Parking-Lot-Tran-Vy", "12Go Link")</f>
        <v>12Go Link</v>
      </c>
      <c r="E18113" s="2" t="s">
        <v>8647</v>
      </c>
    </row>
    <row r="18114">
      <c r="A18114" s="2" t="s">
        <v>8663</v>
      </c>
      <c r="B18114" s="2" t="s">
        <v>8621</v>
      </c>
      <c r="C18114" s="2" t="s">
        <v>8903</v>
      </c>
      <c r="D18114" s="3" t="str">
        <f>HYPERLINK("https://12go.asia/en/travel/Nam-Anh-Hotel/23-Nguyen-Tat-Thanh", "12Go Link")</f>
        <v>12Go Link</v>
      </c>
      <c r="E18114" s="2" t="s">
        <v>8647</v>
      </c>
    </row>
    <row r="18115">
      <c r="A18115" s="2" t="s">
        <v>8663</v>
      </c>
      <c r="B18115" s="2" t="s">
        <v>8623</v>
      </c>
      <c r="C18115" s="2" t="s">
        <v>8904</v>
      </c>
      <c r="D18115" s="3" t="str">
        <f>HYPERLINK("https://12go.asia/en/travel/Central-Backpackers-Hostel-Phong-Nha/7-Doi-Cung-Hue", "12Go Link")</f>
        <v>12Go Link</v>
      </c>
      <c r="E18115" s="2" t="s">
        <v>8662</v>
      </c>
    </row>
    <row r="18116">
      <c r="A18116" s="2" t="s">
        <v>8663</v>
      </c>
      <c r="B18116" s="2" t="s">
        <v>8623</v>
      </c>
      <c r="C18116" s="2" t="s">
        <v>8905</v>
      </c>
      <c r="D18116" s="3" t="str">
        <f>HYPERLINK("https://12go.asia/en/travel/Nam-Anh-Hotel/3-Doi-Cung", "12Go Link")</f>
        <v>12Go Link</v>
      </c>
      <c r="E18116" s="2" t="s">
        <v>8647</v>
      </c>
    </row>
    <row r="18117">
      <c r="A18117" s="2" t="s">
        <v>8663</v>
      </c>
      <c r="B18117" s="2" t="s">
        <v>8623</v>
      </c>
      <c r="C18117" s="2" t="s">
        <v>8906</v>
      </c>
      <c r="D18117" s="3" t="str">
        <f>HYPERLINK("https://12go.asia/en/travel/Nam-Anh-Hotel/Toa-Kham-Marina", "12Go Link")</f>
        <v>12Go Link</v>
      </c>
      <c r="E18117" s="2" t="s">
        <v>8647</v>
      </c>
    </row>
    <row r="18118">
      <c r="A18118" s="2" t="s">
        <v>8663</v>
      </c>
      <c r="B18118" s="2" t="s">
        <v>8658</v>
      </c>
      <c r="C18118" s="2" t="s">
        <v>8907</v>
      </c>
      <c r="D18118" s="3" t="str">
        <f>HYPERLINK("https://12go.asia/en/travel/Nam-Anh-Hotel/Mr-Khanh-Travel-Agency-Ninh-Binh", "12Go Link")</f>
        <v>12Go Link</v>
      </c>
      <c r="E18118" s="2" t="s">
        <v>8647</v>
      </c>
    </row>
    <row r="18119">
      <c r="A18119" s="2" t="s">
        <v>8663</v>
      </c>
      <c r="B18119" s="2" t="s">
        <v>8658</v>
      </c>
      <c r="C18119" s="2" t="s">
        <v>8908</v>
      </c>
      <c r="D18119" s="3" t="str">
        <f>HYPERLINK("https://12go.asia/en/travel/Nam-Anh-Hotel/Tam-Coc-NinhBinh", "12Go Link")</f>
        <v>12Go Link</v>
      </c>
      <c r="E18119" s="2" t="s">
        <v>8647</v>
      </c>
    </row>
    <row r="18120">
      <c r="A18120" s="2" t="s">
        <v>8663</v>
      </c>
      <c r="B18120" s="2" t="s">
        <v>4037</v>
      </c>
      <c r="C18120" s="2" t="s">
        <v>8909</v>
      </c>
      <c r="D18120" s="3" t="str">
        <f>HYPERLINK("https://12go.asia/en/travel/73-Duong-Phong-Nha/100A-Dien-Bien-Phu", "12Go Link")</f>
        <v>12Go Link</v>
      </c>
      <c r="E18120" s="2" t="s">
        <v>8643</v>
      </c>
    </row>
    <row r="18121">
      <c r="A18121" s="2" t="s">
        <v>8663</v>
      </c>
      <c r="B18121" s="2" t="s">
        <v>8666</v>
      </c>
      <c r="C18121" s="2" t="s">
        <v>8910</v>
      </c>
      <c r="D18121" s="3" t="str">
        <f>HYPERLINK("https://12go.asia/en/travel/73-Duong-Phong-Nha/Tam-Coc-Bus-Station", "12Go Link")</f>
        <v>12Go Link</v>
      </c>
      <c r="E18121" s="2" t="s">
        <v>8643</v>
      </c>
    </row>
    <row r="18122">
      <c r="A18122" s="2" t="s">
        <v>8708</v>
      </c>
      <c r="B18122" s="2" t="s">
        <v>4110</v>
      </c>
      <c r="C18122" s="2" t="s">
        <v>8911</v>
      </c>
      <c r="D18122" s="3" t="str">
        <f>HYPERLINK("https://12go.asia/en/travel/Ha-Long-Happy-Travel-Tuan-Chau/90-Hoang-Thi-Loan", "12Go Link")</f>
        <v>12Go Link</v>
      </c>
      <c r="E18122" s="2" t="s">
        <v>8912</v>
      </c>
    </row>
    <row r="18123">
      <c r="A18123" s="2" t="s">
        <v>8708</v>
      </c>
      <c r="B18123" s="2" t="s">
        <v>8674</v>
      </c>
      <c r="C18123" s="2" t="s">
        <v>8913</v>
      </c>
      <c r="D18123" s="3" t="str">
        <f>HYPERLINK("https://12go.asia/en/travel/Ha-Long-Happy-Travel-Tuan-Chau/122-Ha-Huy-Tap", "12Go Link")</f>
        <v>12Go Link</v>
      </c>
      <c r="E18123" s="2" t="s">
        <v>8912</v>
      </c>
    </row>
    <row r="18124">
      <c r="A18124" s="2" t="s">
        <v>8708</v>
      </c>
      <c r="B18124" s="2" t="s">
        <v>8630</v>
      </c>
      <c r="C18124" s="2" t="s">
        <v>8914</v>
      </c>
      <c r="D18124" s="3" t="str">
        <f t="shared" ref="D18124:D18125" si="4659">HYPERLINK("https://12go.asia/en/travel/Toyota-Quang-Ninh/To-1-Cau-Me", "12Go Link")</f>
        <v>12Go Link</v>
      </c>
      <c r="E18124" s="2" t="s">
        <v>8643</v>
      </c>
    </row>
    <row r="18125">
      <c r="A18125" s="2" t="s">
        <v>8708</v>
      </c>
      <c r="B18125" s="2" t="s">
        <v>8630</v>
      </c>
      <c r="C18125" s="2" t="s">
        <v>8914</v>
      </c>
      <c r="D18125" s="3" t="str">
        <f t="shared" si="4659"/>
        <v>12Go Link</v>
      </c>
      <c r="E18125" s="2" t="s">
        <v>8647</v>
      </c>
    </row>
    <row r="18126">
      <c r="A18126" s="2" t="s">
        <v>8708</v>
      </c>
      <c r="B18126" s="2" t="s">
        <v>4034</v>
      </c>
      <c r="C18126" s="2" t="s">
        <v>8915</v>
      </c>
      <c r="D18126" s="3" t="str">
        <f t="shared" ref="D18126:D18128" si="4660">HYPERLINK("https://12go.asia/en/travel/Halong-International-Cruise-Port/206-Co-Linh", "12Go Link")</f>
        <v>12Go Link</v>
      </c>
      <c r="E18126" s="2" t="s">
        <v>8680</v>
      </c>
    </row>
    <row r="18127">
      <c r="A18127" s="2" t="s">
        <v>8708</v>
      </c>
      <c r="B18127" s="2" t="s">
        <v>4034</v>
      </c>
      <c r="C18127" s="2" t="s">
        <v>8915</v>
      </c>
      <c r="D18127" s="3" t="str">
        <f t="shared" si="4660"/>
        <v>12Go Link</v>
      </c>
      <c r="E18127" s="2" t="s">
        <v>8728</v>
      </c>
    </row>
    <row r="18128">
      <c r="A18128" s="2" t="s">
        <v>8708</v>
      </c>
      <c r="B18128" s="2" t="s">
        <v>4034</v>
      </c>
      <c r="C18128" s="2" t="s">
        <v>8915</v>
      </c>
      <c r="D18128" s="3" t="str">
        <f t="shared" si="4660"/>
        <v>12Go Link</v>
      </c>
      <c r="E18128" s="2" t="s">
        <v>8729</v>
      </c>
    </row>
    <row r="18129">
      <c r="A18129" s="2" t="s">
        <v>8708</v>
      </c>
      <c r="B18129" s="2" t="s">
        <v>4034</v>
      </c>
      <c r="C18129" s="2" t="s">
        <v>8916</v>
      </c>
      <c r="D18129" s="3" t="str">
        <f>HYPERLINK("https://12go.asia/en/travel/Halong-International-Cruise-Port/Hanoi-Opera-House", "12Go Link")</f>
        <v>12Go Link</v>
      </c>
      <c r="E18129" s="2" t="s">
        <v>8726</v>
      </c>
    </row>
    <row r="18130">
      <c r="A18130" s="2" t="s">
        <v>8708</v>
      </c>
      <c r="B18130" s="2" t="s">
        <v>4034</v>
      </c>
      <c r="C18130" s="2" t="s">
        <v>8917</v>
      </c>
      <c r="D18130" s="3" t="str">
        <f t="shared" ref="D18130:D18132" si="4661">HYPERLINK("https://12go.asia/en/travel/Highlands-Coffee-Muong-Thanh/Hanoi-Old-Quarter-Transfer", "12Go Link")</f>
        <v>12Go Link</v>
      </c>
      <c r="E18130" s="2" t="s">
        <v>8680</v>
      </c>
    </row>
    <row r="18131">
      <c r="A18131" s="2" t="s">
        <v>8708</v>
      </c>
      <c r="B18131" s="2" t="s">
        <v>4034</v>
      </c>
      <c r="C18131" s="2" t="s">
        <v>8917</v>
      </c>
      <c r="D18131" s="3" t="str">
        <f t="shared" si="4661"/>
        <v>12Go Link</v>
      </c>
      <c r="E18131" s="2" t="s">
        <v>8728</v>
      </c>
    </row>
    <row r="18132">
      <c r="A18132" s="2" t="s">
        <v>8708</v>
      </c>
      <c r="B18132" s="2" t="s">
        <v>4034</v>
      </c>
      <c r="C18132" s="2" t="s">
        <v>8917</v>
      </c>
      <c r="D18132" s="3" t="str">
        <f t="shared" si="4661"/>
        <v>12Go Link</v>
      </c>
      <c r="E18132" s="2" t="s">
        <v>8729</v>
      </c>
    </row>
    <row r="18133">
      <c r="A18133" s="2" t="s">
        <v>8708</v>
      </c>
      <c r="B18133" s="2" t="s">
        <v>4034</v>
      </c>
      <c r="C18133" s="2" t="s">
        <v>8918</v>
      </c>
      <c r="D18133" s="3" t="str">
        <f t="shared" ref="D18133:D18135" si="4662">HYPERLINK("https://12go.asia/en/travel/Tuan-Chau-Harbour/Daily-Limousine-Office", "12Go Link")</f>
        <v>12Go Link</v>
      </c>
      <c r="E18133" s="2" t="s">
        <v>8680</v>
      </c>
    </row>
    <row r="18134">
      <c r="A18134" s="2" t="s">
        <v>8708</v>
      </c>
      <c r="B18134" s="2" t="s">
        <v>4034</v>
      </c>
      <c r="C18134" s="2" t="s">
        <v>8918</v>
      </c>
      <c r="D18134" s="3" t="str">
        <f t="shared" si="4662"/>
        <v>12Go Link</v>
      </c>
      <c r="E18134" s="2" t="s">
        <v>8728</v>
      </c>
    </row>
    <row r="18135">
      <c r="A18135" s="2" t="s">
        <v>8708</v>
      </c>
      <c r="B18135" s="2" t="s">
        <v>4034</v>
      </c>
      <c r="C18135" s="2" t="s">
        <v>8918</v>
      </c>
      <c r="D18135" s="3" t="str">
        <f t="shared" si="4662"/>
        <v>12Go Link</v>
      </c>
      <c r="E18135" s="2" t="s">
        <v>8729</v>
      </c>
    </row>
    <row r="18136">
      <c r="A18136" s="2" t="s">
        <v>8708</v>
      </c>
      <c r="B18136" s="2" t="s">
        <v>4034</v>
      </c>
      <c r="C18136" s="2" t="s">
        <v>8919</v>
      </c>
      <c r="D18136" s="3" t="str">
        <f>HYPERLINK("https://12go.asia/en/travel/Tuan-Chau-International-Port/Daily-Limousine-Office", "12Go Link")</f>
        <v>12Go Link</v>
      </c>
      <c r="E18136" s="2" t="s">
        <v>8726</v>
      </c>
    </row>
    <row r="18137">
      <c r="A18137" s="2" t="s">
        <v>8708</v>
      </c>
      <c r="B18137" s="2" t="s">
        <v>4034</v>
      </c>
      <c r="C18137" s="2" t="s">
        <v>8920</v>
      </c>
      <c r="D18137" s="3" t="str">
        <f t="shared" ref="D18137:D18139" si="4663">HYPERLINK("https://12go.asia/en/travel/Tuan-Chau-International-Port/Hanoi-Opera-House", "12Go Link")</f>
        <v>12Go Link</v>
      </c>
      <c r="E18137" s="2" t="s">
        <v>8680</v>
      </c>
    </row>
    <row r="18138">
      <c r="A18138" s="2" t="s">
        <v>8708</v>
      </c>
      <c r="B18138" s="2" t="s">
        <v>4034</v>
      </c>
      <c r="C18138" s="2" t="s">
        <v>8920</v>
      </c>
      <c r="D18138" s="3" t="str">
        <f t="shared" si="4663"/>
        <v>12Go Link</v>
      </c>
      <c r="E18138" s="2" t="s">
        <v>8728</v>
      </c>
    </row>
    <row r="18139">
      <c r="A18139" s="2" t="s">
        <v>8708</v>
      </c>
      <c r="B18139" s="2" t="s">
        <v>4034</v>
      </c>
      <c r="C18139" s="2" t="s">
        <v>8920</v>
      </c>
      <c r="D18139" s="3" t="str">
        <f t="shared" si="4663"/>
        <v>12Go Link</v>
      </c>
      <c r="E18139" s="2" t="s">
        <v>8729</v>
      </c>
    </row>
    <row r="18140">
      <c r="A18140" s="2" t="s">
        <v>8708</v>
      </c>
      <c r="B18140" s="2" t="s">
        <v>8681</v>
      </c>
      <c r="C18140" s="2" t="s">
        <v>8921</v>
      </c>
      <c r="D18140" s="3" t="str">
        <f>HYPERLINK("https://12go.asia/en/travel/Ha-Long-Happy-Travel-Tuan-Chau/Little-Mai-Chau-Homestay", "12Go Link")</f>
        <v>12Go Link</v>
      </c>
      <c r="E18140" s="2" t="s">
        <v>8922</v>
      </c>
    </row>
    <row r="18141">
      <c r="A18141" s="2" t="s">
        <v>8708</v>
      </c>
      <c r="B18141" s="2" t="s">
        <v>8621</v>
      </c>
      <c r="C18141" s="2" t="s">
        <v>8923</v>
      </c>
      <c r="D18141" s="3" t="str">
        <f>HYPERLINK("https://12go.asia/en/travel/Ha-Long-Happy-Travel-Tuan-Chau/Pool-Side-Villa", "12Go Link")</f>
        <v>12Go Link</v>
      </c>
      <c r="E18141" s="2" t="s">
        <v>8912</v>
      </c>
    </row>
    <row r="18142">
      <c r="A18142" s="2" t="s">
        <v>8708</v>
      </c>
      <c r="B18142" s="2" t="s">
        <v>8623</v>
      </c>
      <c r="C18142" s="2" t="s">
        <v>8924</v>
      </c>
      <c r="D18142" s="3" t="str">
        <f>HYPERLINK("https://12go.asia/en/travel/Ha-Long-Happy-Travel-Tuan-Chau/26-Nguyen-Hue", "12Go Link")</f>
        <v>12Go Link</v>
      </c>
      <c r="E18142" s="2" t="s">
        <v>8912</v>
      </c>
    </row>
    <row r="18143">
      <c r="A18143" s="2" t="s">
        <v>8708</v>
      </c>
      <c r="B18143" s="2" t="s">
        <v>8663</v>
      </c>
      <c r="C18143" s="2" t="s">
        <v>8925</v>
      </c>
      <c r="D18143" s="3" t="str">
        <f>HYPERLINK("https://12go.asia/en/travel/Ha-Long-Happy-Travel-Tuan-Chau/Phong-Nha-Midtown-Hotel", "12Go Link")</f>
        <v>12Go Link</v>
      </c>
      <c r="E18143" s="2" t="s">
        <v>8912</v>
      </c>
    </row>
    <row r="18144">
      <c r="A18144" s="2" t="s">
        <v>8708</v>
      </c>
      <c r="B18144" s="2" t="s">
        <v>4037</v>
      </c>
      <c r="C18144" s="2" t="s">
        <v>8926</v>
      </c>
      <c r="D18144" s="3" t="str">
        <f t="shared" ref="D18144:D18145" si="4664">HYPERLINK("https://12go.asia/en/travel/Toyota-Quang-Ninh/100A-Dien-Bien-Phu", "12Go Link")</f>
        <v>12Go Link</v>
      </c>
      <c r="E18144" s="2" t="s">
        <v>8643</v>
      </c>
    </row>
    <row r="18145">
      <c r="A18145" s="2" t="s">
        <v>8708</v>
      </c>
      <c r="B18145" s="2" t="s">
        <v>4037</v>
      </c>
      <c r="C18145" s="2" t="s">
        <v>8926</v>
      </c>
      <c r="D18145" s="3" t="str">
        <f t="shared" si="4664"/>
        <v>12Go Link</v>
      </c>
      <c r="E18145" s="2" t="s">
        <v>8678</v>
      </c>
    </row>
    <row r="18146">
      <c r="A18146" s="2" t="s">
        <v>8708</v>
      </c>
      <c r="B18146" s="2" t="s">
        <v>8666</v>
      </c>
      <c r="C18146" s="2" t="s">
        <v>8927</v>
      </c>
      <c r="D18146" s="3" t="str">
        <f t="shared" ref="D18146:D18147" si="4665">HYPERLINK("https://12go.asia/en/travel/Aqua-Of-The-Seas-Cruise/Tam-Coc-Sunshine-Hostel", "12Go Link")</f>
        <v>12Go Link</v>
      </c>
      <c r="E18146" s="2" t="s">
        <v>8683</v>
      </c>
    </row>
    <row r="18147">
      <c r="A18147" s="2" t="s">
        <v>8708</v>
      </c>
      <c r="B18147" s="2" t="s">
        <v>8666</v>
      </c>
      <c r="C18147" s="2" t="s">
        <v>8927</v>
      </c>
      <c r="D18147" s="3" t="str">
        <f t="shared" si="4665"/>
        <v>12Go Link</v>
      </c>
      <c r="E18147" s="2" t="s">
        <v>8680</v>
      </c>
    </row>
    <row r="18148">
      <c r="A18148" s="2" t="s">
        <v>8708</v>
      </c>
      <c r="B18148" s="2" t="s">
        <v>8690</v>
      </c>
      <c r="C18148" s="2" t="s">
        <v>8928</v>
      </c>
      <c r="D18148" s="3" t="str">
        <f>HYPERLINK("https://12go.asia/en/travel/Ha-Long-Happy-Travel-Tuan-Chau/OH-Pu-Luong-Homestay", "12Go Link")</f>
        <v>12Go Link</v>
      </c>
      <c r="E18148" s="2" t="s">
        <v>8922</v>
      </c>
    </row>
    <row r="18149">
      <c r="A18149" s="2" t="s">
        <v>8812</v>
      </c>
      <c r="B18149" s="2" t="s">
        <v>8929</v>
      </c>
      <c r="C18149" s="2" t="s">
        <v>8930</v>
      </c>
      <c r="D18149" s="3" t="str">
        <f t="shared" ref="D18149:D18150" si="4666">HYPERLINK("https://12go.asia/en/travel/Quy-Nhon/Linh-Xuan-intersection", "12Go Link")</f>
        <v>12Go Link</v>
      </c>
      <c r="E18149" s="2" t="s">
        <v>8818</v>
      </c>
    </row>
    <row r="18150">
      <c r="A18150" s="2" t="s">
        <v>8812</v>
      </c>
      <c r="B18150" s="2" t="s">
        <v>8929</v>
      </c>
      <c r="C18150" s="2" t="s">
        <v>8930</v>
      </c>
      <c r="D18150" s="3" t="str">
        <f t="shared" si="4666"/>
        <v>12Go Link</v>
      </c>
      <c r="E18150" s="2" t="s">
        <v>8814</v>
      </c>
    </row>
    <row r="18151">
      <c r="A18151" s="2" t="s">
        <v>8812</v>
      </c>
      <c r="B18151" s="2" t="s">
        <v>8931</v>
      </c>
      <c r="C18151" s="2" t="s">
        <v>8932</v>
      </c>
      <c r="D18151" s="3" t="str">
        <f t="shared" ref="D18151:D18152" si="4667">HYPERLINK("https://12go.asia/en/travel/Quy-Nhon/Song-Than-Overpass", "12Go Link")</f>
        <v>12Go Link</v>
      </c>
      <c r="E18151" s="2" t="s">
        <v>8818</v>
      </c>
    </row>
    <row r="18152">
      <c r="A18152" s="2" t="s">
        <v>8812</v>
      </c>
      <c r="B18152" s="2" t="s">
        <v>8931</v>
      </c>
      <c r="C18152" s="2" t="s">
        <v>8932</v>
      </c>
      <c r="D18152" s="3" t="str">
        <f t="shared" si="4667"/>
        <v>12Go Link</v>
      </c>
      <c r="E18152" s="2" t="s">
        <v>8814</v>
      </c>
    </row>
    <row r="18153">
      <c r="A18153" s="2" t="s">
        <v>8812</v>
      </c>
      <c r="B18153" s="2" t="s">
        <v>8611</v>
      </c>
      <c r="C18153" s="2" t="s">
        <v>8933</v>
      </c>
      <c r="D18153" s="3" t="str">
        <f>HYPERLINK("https://12go.asia/en/travel/GO-Quy-Nhon/An-Suong-Bus-Station", "12Go Link")</f>
        <v>12Go Link</v>
      </c>
      <c r="E18153" s="2" t="s">
        <v>8934</v>
      </c>
    </row>
    <row r="18154">
      <c r="A18154" s="2" t="s">
        <v>8812</v>
      </c>
      <c r="B18154" s="2" t="s">
        <v>8611</v>
      </c>
      <c r="C18154" s="2" t="s">
        <v>8935</v>
      </c>
      <c r="D18154" s="3" t="str">
        <f>HYPERLINK("https://12go.asia/en/travel/GO-Quy-Nhon/An-Suong-Office", "12Go Link")</f>
        <v>12Go Link</v>
      </c>
      <c r="E18154" s="2" t="s">
        <v>8934</v>
      </c>
    </row>
    <row r="18155">
      <c r="A18155" s="2" t="s">
        <v>8812</v>
      </c>
      <c r="B18155" s="2" t="s">
        <v>8611</v>
      </c>
      <c r="C18155" s="2" t="s">
        <v>8936</v>
      </c>
      <c r="D18155" s="3" t="str">
        <f>HYPERLINK("https://12go.asia/en/travel/GO-Quy-Nhon/Mien-Tay-Bus-Station", "12Go Link")</f>
        <v>12Go Link</v>
      </c>
      <c r="E18155" s="2" t="s">
        <v>8934</v>
      </c>
    </row>
    <row r="18156">
      <c r="A18156" s="2" t="s">
        <v>8812</v>
      </c>
      <c r="B18156" s="2" t="s">
        <v>8611</v>
      </c>
      <c r="C18156" s="2" t="s">
        <v>8937</v>
      </c>
      <c r="D18156" s="3" t="str">
        <f t="shared" ref="D18156:D18157" si="4668">HYPERLINK("https://12go.asia/en/travel/Quy-Nhon/34-Tay-Lan", "12Go Link")</f>
        <v>12Go Link</v>
      </c>
      <c r="E18156" s="2" t="s">
        <v>8636</v>
      </c>
    </row>
    <row r="18157">
      <c r="A18157" s="2" t="s">
        <v>8812</v>
      </c>
      <c r="B18157" s="2" t="s">
        <v>8611</v>
      </c>
      <c r="C18157" s="2" t="s">
        <v>8937</v>
      </c>
      <c r="D18157" s="3" t="str">
        <f t="shared" si="4668"/>
        <v>12Go Link</v>
      </c>
      <c r="E18157" s="2" t="s">
        <v>8814</v>
      </c>
    </row>
    <row r="18158">
      <c r="A18158" s="2" t="s">
        <v>8812</v>
      </c>
      <c r="B18158" s="2" t="s">
        <v>8611</v>
      </c>
      <c r="C18158" s="2" t="s">
        <v>8938</v>
      </c>
      <c r="D18158" s="3" t="str">
        <f t="shared" ref="D18158:D18159" si="4669">HYPERLINK("https://12go.asia/en/travel/Quy-Nhon/Ben-xe-Mien-Dong-Cu", "12Go Link")</f>
        <v>12Go Link</v>
      </c>
      <c r="E18158" s="2" t="s">
        <v>8818</v>
      </c>
    </row>
    <row r="18159">
      <c r="A18159" s="2" t="s">
        <v>8812</v>
      </c>
      <c r="B18159" s="2" t="s">
        <v>8611</v>
      </c>
      <c r="C18159" s="2" t="s">
        <v>8938</v>
      </c>
      <c r="D18159" s="3" t="str">
        <f t="shared" si="4669"/>
        <v>12Go Link</v>
      </c>
      <c r="E18159" s="2" t="s">
        <v>8814</v>
      </c>
    </row>
    <row r="18160">
      <c r="A18160" s="2" t="s">
        <v>8812</v>
      </c>
      <c r="B18160" s="2" t="s">
        <v>8611</v>
      </c>
      <c r="C18160" s="2" t="s">
        <v>8939</v>
      </c>
      <c r="D18160" s="3" t="str">
        <f t="shared" ref="D18160:D18161" si="4670">HYPERLINK("https://12go.asia/en/travel/Quy-Nhon/Binh-Phuoc-intersection", "12Go Link")</f>
        <v>12Go Link</v>
      </c>
      <c r="E18160" s="2" t="s">
        <v>8818</v>
      </c>
    </row>
    <row r="18161">
      <c r="A18161" s="2" t="s">
        <v>8812</v>
      </c>
      <c r="B18161" s="2" t="s">
        <v>8611</v>
      </c>
      <c r="C18161" s="2" t="s">
        <v>8939</v>
      </c>
      <c r="D18161" s="3" t="str">
        <f t="shared" si="4670"/>
        <v>12Go Link</v>
      </c>
      <c r="E18161" s="2" t="s">
        <v>8814</v>
      </c>
    </row>
    <row r="18162">
      <c r="A18162" s="2" t="s">
        <v>8812</v>
      </c>
      <c r="B18162" s="2" t="s">
        <v>8611</v>
      </c>
      <c r="C18162" s="2" t="s">
        <v>8940</v>
      </c>
      <c r="D18162" s="3" t="str">
        <f t="shared" ref="D18162:D18163" si="4671">HYPERLINK("https://12go.asia/en/travel/Quy-Nhon/Mien-Dong-Moi", "12Go Link")</f>
        <v>12Go Link</v>
      </c>
      <c r="E18162" s="2" t="s">
        <v>8818</v>
      </c>
    </row>
    <row r="18163">
      <c r="A18163" s="2" t="s">
        <v>8812</v>
      </c>
      <c r="B18163" s="2" t="s">
        <v>8611</v>
      </c>
      <c r="C18163" s="2" t="s">
        <v>8940</v>
      </c>
      <c r="D18163" s="3" t="str">
        <f t="shared" si="4671"/>
        <v>12Go Link</v>
      </c>
      <c r="E18163" s="2" t="s">
        <v>8814</v>
      </c>
    </row>
    <row r="18164">
      <c r="A18164" s="2" t="s">
        <v>4037</v>
      </c>
      <c r="B18164" s="2" t="s">
        <v>4020</v>
      </c>
      <c r="C18164" s="2" t="s">
        <v>8941</v>
      </c>
      <c r="D18164" s="3" t="str">
        <f>HYPERLINK("https://12go.asia/en/travel/100A-Dien-Bien-Phu/Luang-Prabang-Railway-Station", "12Go Link")</f>
        <v>12Go Link</v>
      </c>
      <c r="E18164" s="2" t="s">
        <v>8942</v>
      </c>
    </row>
    <row r="18165">
      <c r="A18165" s="2" t="s">
        <v>4037</v>
      </c>
      <c r="B18165" s="2" t="s">
        <v>4046</v>
      </c>
      <c r="C18165" s="2" t="s">
        <v>8943</v>
      </c>
      <c r="D18165" s="3" t="str">
        <f>HYPERLINK("https://12go.asia/en/travel/Sapa-Garden-Bungalow/Ing-Ing-Mountain-View", "12Go Link")</f>
        <v>12Go Link</v>
      </c>
      <c r="E18165" s="2" t="s">
        <v>4039</v>
      </c>
    </row>
    <row r="18166">
      <c r="A18166" s="2" t="s">
        <v>4037</v>
      </c>
      <c r="B18166" s="2" t="s">
        <v>4028</v>
      </c>
      <c r="C18166" s="2" t="s">
        <v>8944</v>
      </c>
      <c r="D18166" s="3" t="str">
        <f>HYPERLINK("https://12go.asia/en/travel/100A-Dien-Bien-Phu/Lao-Viet-Restaurant", "12Go Link")</f>
        <v>12Go Link</v>
      </c>
      <c r="E18166" s="2" t="s">
        <v>8632</v>
      </c>
    </row>
    <row r="18167">
      <c r="A18167" s="2" t="s">
        <v>4037</v>
      </c>
      <c r="B18167" s="2" t="s">
        <v>4030</v>
      </c>
      <c r="C18167" s="2" t="s">
        <v>8945</v>
      </c>
      <c r="D18167" s="3" t="str">
        <f>HYPERLINK("https://12go.asia/en/travel/100A-Dien-Bien-Phu/Muang-Khua", "12Go Link")</f>
        <v>12Go Link</v>
      </c>
      <c r="E18167" s="2" t="s">
        <v>8632</v>
      </c>
    </row>
    <row r="18168">
      <c r="A18168" s="2" t="s">
        <v>4037</v>
      </c>
      <c r="B18168" s="2" t="s">
        <v>4050</v>
      </c>
      <c r="C18168" s="2" t="s">
        <v>8946</v>
      </c>
      <c r="D18168" s="3" t="str">
        <f>HYPERLINK("https://12go.asia/en/travel/100A-Dien-Bien-Phu/Vang-Vieng-Railway-Station", "12Go Link")</f>
        <v>12Go Link</v>
      </c>
      <c r="E18168" s="2" t="s">
        <v>8942</v>
      </c>
    </row>
    <row r="18169">
      <c r="A18169" s="2" t="s">
        <v>4037</v>
      </c>
      <c r="B18169" s="2" t="s">
        <v>4054</v>
      </c>
      <c r="C18169" s="2" t="s">
        <v>8947</v>
      </c>
      <c r="D18169" s="3" t="str">
        <f>HYPERLINK("https://12go.asia/en/travel/100A-Dien-Bien-Phu/Vientiane-Railway-Station", "12Go Link")</f>
        <v>12Go Link</v>
      </c>
      <c r="E18169" s="2" t="s">
        <v>8942</v>
      </c>
    </row>
    <row r="18170">
      <c r="A18170" s="2" t="s">
        <v>4037</v>
      </c>
      <c r="B18170" s="2" t="s">
        <v>4110</v>
      </c>
      <c r="C18170" s="2" t="s">
        <v>8948</v>
      </c>
      <c r="D18170" s="3" t="str">
        <f>HYPERLINK("https://12go.asia/en/travel/100A-Dien-Bien-Phu/97-Vo-Van-Kiet", "12Go Link")</f>
        <v>12Go Link</v>
      </c>
      <c r="E18170" s="2" t="s">
        <v>8643</v>
      </c>
    </row>
    <row r="18171">
      <c r="A18171" s="2" t="s">
        <v>4037</v>
      </c>
      <c r="B18171" s="2" t="s">
        <v>8668</v>
      </c>
      <c r="C18171" s="2" t="s">
        <v>8949</v>
      </c>
      <c r="D18171" s="3" t="str">
        <f>HYPERLINK("https://12go.asia/en/travel/100A-Dien-Bien-Phu/Gia-Cat-Long-Hotel", "12Go Link")</f>
        <v>12Go Link</v>
      </c>
      <c r="E18171" s="2" t="s">
        <v>8647</v>
      </c>
    </row>
    <row r="18172">
      <c r="A18172" s="2" t="s">
        <v>4037</v>
      </c>
      <c r="B18172" s="2" t="s">
        <v>4032</v>
      </c>
      <c r="C18172" s="2" t="s">
        <v>8950</v>
      </c>
      <c r="D18172" s="3" t="str">
        <f>HYPERLINK("https://12go.asia/en/travel/100A-Dien-Bien-Phu/A-Thia-Homestay-Villa", "12Go Link")</f>
        <v>12Go Link</v>
      </c>
      <c r="E18172" s="2" t="s">
        <v>8678</v>
      </c>
    </row>
    <row r="18173">
      <c r="A18173" s="2" t="s">
        <v>4037</v>
      </c>
      <c r="B18173" s="2" t="s">
        <v>8630</v>
      </c>
      <c r="C18173" s="2" t="s">
        <v>8951</v>
      </c>
      <c r="D18173" s="3" t="str">
        <f t="shared" ref="D18173:D18174" si="4672">HYPERLINK("https://12go.asia/en/travel/100A-Dien-Bien-Phu/To-1-Cau-Me", "12Go Link")</f>
        <v>12Go Link</v>
      </c>
      <c r="E18173" s="2" t="s">
        <v>8707</v>
      </c>
    </row>
    <row r="18174">
      <c r="A18174" s="2" t="s">
        <v>4037</v>
      </c>
      <c r="B18174" s="2" t="s">
        <v>8630</v>
      </c>
      <c r="C18174" s="2" t="s">
        <v>8951</v>
      </c>
      <c r="D18174" s="3" t="str">
        <f t="shared" si="4672"/>
        <v>12Go Link</v>
      </c>
      <c r="E18174" s="2" t="s">
        <v>8713</v>
      </c>
    </row>
    <row r="18175">
      <c r="A18175" s="2" t="s">
        <v>4037</v>
      </c>
      <c r="B18175" s="2" t="s">
        <v>8630</v>
      </c>
      <c r="C18175" s="2" t="s">
        <v>8952</v>
      </c>
      <c r="D18175" s="3" t="str">
        <f>HYPERLINK("https://12go.asia/en/travel/599-Dien-Bien-Phu/32-Nguyen-Trai-Street", "12Go Link")</f>
        <v>12Go Link</v>
      </c>
      <c r="E18175" s="2" t="s">
        <v>8711</v>
      </c>
    </row>
    <row r="18176">
      <c r="A18176" s="2" t="s">
        <v>4037</v>
      </c>
      <c r="B18176" s="2" t="s">
        <v>8724</v>
      </c>
      <c r="C18176" s="2" t="s">
        <v>8953</v>
      </c>
      <c r="D18176" s="3" t="str">
        <f t="shared" ref="D18176:D18177" si="4673">HYPERLINK("https://12go.asia/en/travel/100A-Dien-Bien-Phu/Vinh-Niem-Bus-Station", "12Go Link")</f>
        <v>12Go Link</v>
      </c>
      <c r="E18176" s="2" t="s">
        <v>8643</v>
      </c>
    </row>
    <row r="18177">
      <c r="A18177" s="2" t="s">
        <v>4037</v>
      </c>
      <c r="B18177" s="2" t="s">
        <v>8724</v>
      </c>
      <c r="C18177" s="2" t="s">
        <v>8953</v>
      </c>
      <c r="D18177" s="3" t="str">
        <f t="shared" si="4673"/>
        <v>12Go Link</v>
      </c>
      <c r="E18177" s="2" t="s">
        <v>8647</v>
      </c>
    </row>
    <row r="18178">
      <c r="A18178" s="2" t="s">
        <v>4037</v>
      </c>
      <c r="B18178" s="2" t="s">
        <v>4034</v>
      </c>
      <c r="C18178" s="2" t="s">
        <v>8954</v>
      </c>
      <c r="D18178" s="3" t="str">
        <f t="shared" ref="D18178:D18179" si="4674">HYPERLINK("https://12go.asia/en/travel/100A-Dien-Bien-Phu/70-Nguyen-Huu-Huan", "12Go Link")</f>
        <v>12Go Link</v>
      </c>
      <c r="E18178" s="2" t="s">
        <v>8643</v>
      </c>
    </row>
    <row r="18179">
      <c r="A18179" s="2" t="s">
        <v>4037</v>
      </c>
      <c r="B18179" s="2" t="s">
        <v>4034</v>
      </c>
      <c r="C18179" s="2" t="s">
        <v>8954</v>
      </c>
      <c r="D18179" s="3" t="str">
        <f t="shared" si="4674"/>
        <v>12Go Link</v>
      </c>
      <c r="E18179" s="2" t="s">
        <v>8678</v>
      </c>
    </row>
    <row r="18180">
      <c r="A18180" s="2" t="s">
        <v>4037</v>
      </c>
      <c r="B18180" s="2" t="s">
        <v>8621</v>
      </c>
      <c r="C18180" s="2" t="s">
        <v>8955</v>
      </c>
      <c r="D18180" s="3" t="str">
        <f>HYPERLINK("https://12go.asia/en/travel/100A-Dien-Bien-Phu/107-Ton-Duc-Thang", "12Go Link")</f>
        <v>12Go Link</v>
      </c>
      <c r="E18180" s="2" t="s">
        <v>8643</v>
      </c>
    </row>
    <row r="18181">
      <c r="A18181" s="2" t="s">
        <v>4037</v>
      </c>
      <c r="B18181" s="2" t="s">
        <v>8623</v>
      </c>
      <c r="C18181" s="2" t="s">
        <v>8956</v>
      </c>
      <c r="D18181" s="3" t="str">
        <f>HYPERLINK("https://12go.asia/en/travel/100A-Dien-Bien-Phu/26-Nguyen-Hue", "12Go Link")</f>
        <v>12Go Link</v>
      </c>
      <c r="E18181" s="2" t="s">
        <v>8643</v>
      </c>
    </row>
    <row r="18182">
      <c r="A18182" s="2" t="s">
        <v>4037</v>
      </c>
      <c r="B18182" s="2" t="s">
        <v>8770</v>
      </c>
      <c r="C18182" s="2" t="s">
        <v>8957</v>
      </c>
      <c r="D18182" s="3" t="str">
        <f>HYPERLINK("https://12go.asia/en/travel/100A-Dien-Bien-Phu/Lao-Cai-Railway-Station", "12Go Link")</f>
        <v>12Go Link</v>
      </c>
      <c r="E18182" s="2" t="s">
        <v>8863</v>
      </c>
    </row>
    <row r="18183">
      <c r="A18183" s="2" t="s">
        <v>4037</v>
      </c>
      <c r="B18183" s="2" t="s">
        <v>8958</v>
      </c>
      <c r="C18183" s="2" t="s">
        <v>8959</v>
      </c>
      <c r="D18183" s="3" t="str">
        <f>HYPERLINK("https://12go.asia/en/travel/100A-Dien-Bien-Phu/Mu-Cang-Chai", "12Go Link")</f>
        <v>12Go Link</v>
      </c>
      <c r="E18183" s="2" t="s">
        <v>8633</v>
      </c>
    </row>
    <row r="18184">
      <c r="A18184" s="2" t="s">
        <v>4037</v>
      </c>
      <c r="B18184" s="2" t="s">
        <v>8893</v>
      </c>
      <c r="C18184" s="2" t="s">
        <v>8960</v>
      </c>
      <c r="D18184" s="3" t="str">
        <f>HYPERLINK("https://12go.asia/en/travel/100A-Dien-Bien-Phu/Hanoi-Airport", "12Go Link")</f>
        <v>12Go Link</v>
      </c>
      <c r="E18184" s="2" t="s">
        <v>8678</v>
      </c>
    </row>
    <row r="18185">
      <c r="A18185" s="2" t="s">
        <v>4037</v>
      </c>
      <c r="B18185" s="2" t="s">
        <v>8663</v>
      </c>
      <c r="C18185" s="2" t="s">
        <v>8961</v>
      </c>
      <c r="D18185" s="3" t="str">
        <f>HYPERLINK("https://12go.asia/en/travel/100A-Dien-Bien-Phu/73-Duong-Phong-Nha", "12Go Link")</f>
        <v>12Go Link</v>
      </c>
      <c r="E18185" s="2" t="s">
        <v>8643</v>
      </c>
    </row>
    <row r="18186">
      <c r="A18186" s="2" t="s">
        <v>4037</v>
      </c>
      <c r="B18186" s="2" t="s">
        <v>8708</v>
      </c>
      <c r="C18186" s="2" t="s">
        <v>8962</v>
      </c>
      <c r="D18186" s="3" t="str">
        <f t="shared" ref="D18186:D18187" si="4675">HYPERLINK("https://12go.asia/en/travel/100A-Dien-Bien-Phu/Toyota-Quang-Ninh", "12Go Link")</f>
        <v>12Go Link</v>
      </c>
      <c r="E18186" s="2" t="s">
        <v>8643</v>
      </c>
    </row>
    <row r="18187">
      <c r="A18187" s="2" t="s">
        <v>4037</v>
      </c>
      <c r="B18187" s="2" t="s">
        <v>8708</v>
      </c>
      <c r="C18187" s="2" t="s">
        <v>8962</v>
      </c>
      <c r="D18187" s="3" t="str">
        <f t="shared" si="4675"/>
        <v>12Go Link</v>
      </c>
      <c r="E18187" s="2" t="s">
        <v>8678</v>
      </c>
    </row>
    <row r="18188">
      <c r="A18188" s="2" t="s">
        <v>4037</v>
      </c>
      <c r="B18188" s="2" t="s">
        <v>8666</v>
      </c>
      <c r="C18188" s="2" t="s">
        <v>8963</v>
      </c>
      <c r="D18188" s="3" t="str">
        <f t="shared" ref="D18188:D18189" si="4676">HYPERLINK("https://12go.asia/en/travel/100A-Dien-Bien-Phu/Tam-Coc-Bus-Station", "12Go Link")</f>
        <v>12Go Link</v>
      </c>
      <c r="E18188" s="2" t="s">
        <v>8643</v>
      </c>
    </row>
    <row r="18189">
      <c r="A18189" s="2" t="s">
        <v>4037</v>
      </c>
      <c r="B18189" s="2" t="s">
        <v>8666</v>
      </c>
      <c r="C18189" s="2" t="s">
        <v>8963</v>
      </c>
      <c r="D18189" s="3" t="str">
        <f t="shared" si="4676"/>
        <v>12Go Link</v>
      </c>
      <c r="E18189" s="2" t="s">
        <v>8647</v>
      </c>
    </row>
    <row r="18190">
      <c r="A18190" s="2" t="s">
        <v>8666</v>
      </c>
      <c r="B18190" s="2" t="s">
        <v>4110</v>
      </c>
      <c r="C18190" s="2" t="s">
        <v>8964</v>
      </c>
      <c r="D18190" s="3" t="str">
        <f>HYPERLINK("https://12go.asia/en/travel/Tam-Coc-Bus-Station/97-Vo-Van-Kiet", "12Go Link")</f>
        <v>12Go Link</v>
      </c>
      <c r="E18190" s="2" t="s">
        <v>8643</v>
      </c>
    </row>
    <row r="18191">
      <c r="A18191" s="2" t="s">
        <v>8666</v>
      </c>
      <c r="B18191" s="2" t="s">
        <v>8668</v>
      </c>
      <c r="C18191" s="2" t="s">
        <v>8965</v>
      </c>
      <c r="D18191" s="3" t="str">
        <f>HYPERLINK("https://12go.asia/en/travel/Tam-Coc-Sunshine-Hostel/178-Nui-Ngoc", "12Go Link")</f>
        <v>12Go Link</v>
      </c>
      <c r="E18191" s="2" t="s">
        <v>8683</v>
      </c>
    </row>
    <row r="18192">
      <c r="A18192" s="2" t="s">
        <v>8666</v>
      </c>
      <c r="B18192" s="2" t="s">
        <v>8630</v>
      </c>
      <c r="C18192" s="2" t="s">
        <v>8966</v>
      </c>
      <c r="D18192" s="3" t="str">
        <f t="shared" ref="D18192:D18193" si="4677">HYPERLINK("https://12go.asia/en/travel/Tam-Coc-Bus-Station/To-1-Cau-Me", "12Go Link")</f>
        <v>12Go Link</v>
      </c>
      <c r="E18192" s="2" t="s">
        <v>8643</v>
      </c>
    </row>
    <row r="18193">
      <c r="A18193" s="2" t="s">
        <v>8666</v>
      </c>
      <c r="B18193" s="2" t="s">
        <v>8630</v>
      </c>
      <c r="C18193" s="2" t="s">
        <v>8966</v>
      </c>
      <c r="D18193" s="3" t="str">
        <f t="shared" si="4677"/>
        <v>12Go Link</v>
      </c>
      <c r="E18193" s="2" t="s">
        <v>8647</v>
      </c>
    </row>
    <row r="18194">
      <c r="A18194" s="2" t="s">
        <v>8666</v>
      </c>
      <c r="B18194" s="2" t="s">
        <v>4034</v>
      </c>
      <c r="C18194" s="2" t="s">
        <v>8967</v>
      </c>
      <c r="D18194" s="3" t="str">
        <f t="shared" ref="D18194:D18195" si="4678">HYPERLINK("https://12go.asia/en/travel/The-Long-Restaurant/Daily-Limousine-Office", "12Go Link")</f>
        <v>12Go Link</v>
      </c>
      <c r="E18194" s="2" t="s">
        <v>8728</v>
      </c>
    </row>
    <row r="18195">
      <c r="A18195" s="2" t="s">
        <v>8666</v>
      </c>
      <c r="B18195" s="2" t="s">
        <v>4034</v>
      </c>
      <c r="C18195" s="2" t="s">
        <v>8967</v>
      </c>
      <c r="D18195" s="3" t="str">
        <f t="shared" si="4678"/>
        <v>12Go Link</v>
      </c>
      <c r="E18195" s="2" t="s">
        <v>8729</v>
      </c>
    </row>
    <row r="18196">
      <c r="A18196" s="2" t="s">
        <v>8666</v>
      </c>
      <c r="B18196" s="2" t="s">
        <v>8681</v>
      </c>
      <c r="C18196" s="2" t="s">
        <v>8968</v>
      </c>
      <c r="D18196" s="3" t="str">
        <f>HYPERLINK("https://12go.asia/en/travel/Tam-Coc-Sunshine-Hostel/Little-Mai-Chau-Homestay", "12Go Link")</f>
        <v>12Go Link</v>
      </c>
      <c r="E18196" s="2" t="s">
        <v>8827</v>
      </c>
    </row>
    <row r="18197">
      <c r="A18197" s="2" t="s">
        <v>8666</v>
      </c>
      <c r="B18197" s="2" t="s">
        <v>8621</v>
      </c>
      <c r="C18197" s="2" t="s">
        <v>8969</v>
      </c>
      <c r="D18197" s="3" t="str">
        <f>HYPERLINK("https://12go.asia/en/travel/Tam-Coc-Bus-Station/107-Ton-Duc-Thang", "12Go Link")</f>
        <v>12Go Link</v>
      </c>
      <c r="E18197" s="2" t="s">
        <v>8643</v>
      </c>
    </row>
    <row r="18198">
      <c r="A18198" s="2" t="s">
        <v>8666</v>
      </c>
      <c r="B18198" s="2" t="s">
        <v>8623</v>
      </c>
      <c r="C18198" s="2" t="s">
        <v>8970</v>
      </c>
      <c r="D18198" s="3" t="str">
        <f>HYPERLINK("https://12go.asia/en/travel/Tam-Coc-Bus-Station/26-Nguyen-Hue", "12Go Link")</f>
        <v>12Go Link</v>
      </c>
      <c r="E18198" s="2" t="s">
        <v>8643</v>
      </c>
    </row>
    <row r="18199">
      <c r="A18199" s="2" t="s">
        <v>8666</v>
      </c>
      <c r="B18199" s="2" t="s">
        <v>8893</v>
      </c>
      <c r="C18199" s="2" t="s">
        <v>8971</v>
      </c>
      <c r="D18199" s="3" t="str">
        <f>HYPERLINK("https://12go.asia/en/travel/Lapis-Tam-Coc-Restaurant/Hanoi-Airport", "12Go Link")</f>
        <v>12Go Link</v>
      </c>
      <c r="E18199" s="2" t="s">
        <v>8711</v>
      </c>
    </row>
    <row r="18200">
      <c r="A18200" s="2" t="s">
        <v>8666</v>
      </c>
      <c r="B18200" s="2" t="s">
        <v>8663</v>
      </c>
      <c r="C18200" s="2" t="s">
        <v>8972</v>
      </c>
      <c r="D18200" s="3" t="str">
        <f>HYPERLINK("https://12go.asia/en/travel/Tam-Coc-Bus-Station/73-Duong-Phong-Nha", "12Go Link")</f>
        <v>12Go Link</v>
      </c>
      <c r="E18200" s="2" t="s">
        <v>8643</v>
      </c>
    </row>
    <row r="18201">
      <c r="A18201" s="2" t="s">
        <v>8666</v>
      </c>
      <c r="B18201" s="2" t="s">
        <v>8708</v>
      </c>
      <c r="C18201" s="2" t="s">
        <v>8973</v>
      </c>
      <c r="D18201" s="3" t="str">
        <f t="shared" ref="D18201:D18202" si="4679">HYPERLINK("https://12go.asia/en/travel/Tam-Coc-Sunshine-Hostel/Aqua-Of-The-Seas-Cruise", "12Go Link")</f>
        <v>12Go Link</v>
      </c>
      <c r="E18201" s="2" t="s">
        <v>8683</v>
      </c>
    </row>
    <row r="18202">
      <c r="A18202" s="2" t="s">
        <v>8666</v>
      </c>
      <c r="B18202" s="2" t="s">
        <v>8708</v>
      </c>
      <c r="C18202" s="2" t="s">
        <v>8973</v>
      </c>
      <c r="D18202" s="3" t="str">
        <f t="shared" si="4679"/>
        <v>12Go Link</v>
      </c>
      <c r="E18202" s="2" t="s">
        <v>8680</v>
      </c>
    </row>
    <row r="18203">
      <c r="A18203" s="2" t="s">
        <v>8666</v>
      </c>
      <c r="B18203" s="2" t="s">
        <v>4037</v>
      </c>
      <c r="C18203" s="2" t="s">
        <v>8974</v>
      </c>
      <c r="D18203" s="3" t="str">
        <f t="shared" ref="D18203:D18204" si="4680">HYPERLINK("https://12go.asia/en/travel/Tam-Coc-Bus-Station/100A-Dien-Bien-Phu", "12Go Link")</f>
        <v>12Go Link</v>
      </c>
      <c r="E18203" s="2" t="s">
        <v>8643</v>
      </c>
    </row>
    <row r="18204">
      <c r="A18204" s="2" t="s">
        <v>8666</v>
      </c>
      <c r="B18204" s="2" t="s">
        <v>4037</v>
      </c>
      <c r="C18204" s="2" t="s">
        <v>8974</v>
      </c>
      <c r="D18204" s="3" t="str">
        <f t="shared" si="4680"/>
        <v>12Go Link</v>
      </c>
      <c r="E18204" s="2" t="s">
        <v>8647</v>
      </c>
    </row>
    <row r="18205">
      <c r="A18205" s="2" t="s">
        <v>8666</v>
      </c>
      <c r="B18205" s="2" t="s">
        <v>8690</v>
      </c>
      <c r="C18205" s="2" t="s">
        <v>8975</v>
      </c>
      <c r="D18205" s="3" t="str">
        <f t="shared" ref="D18205:D18206" si="4681">HYPERLINK("https://12go.asia/en/travel/Tam-Coc-Sunshine-Hostel/OH-Pu-Luong-Homestay", "12Go Link")</f>
        <v>12Go Link</v>
      </c>
      <c r="E18205" s="2" t="s">
        <v>8683</v>
      </c>
    </row>
    <row r="18206">
      <c r="A18206" s="2" t="s">
        <v>8666</v>
      </c>
      <c r="B18206" s="2" t="s">
        <v>8690</v>
      </c>
      <c r="C18206" s="2" t="s">
        <v>8975</v>
      </c>
      <c r="D18206" s="3" t="str">
        <f t="shared" si="4681"/>
        <v>12Go Link</v>
      </c>
      <c r="E18206" s="2" t="s">
        <v>8976</v>
      </c>
    </row>
    <row r="18207">
      <c r="A18207" s="2" t="s">
        <v>8690</v>
      </c>
      <c r="B18207" s="2" t="s">
        <v>4110</v>
      </c>
      <c r="C18207" s="2" t="s">
        <v>8977</v>
      </c>
      <c r="D18207" s="3" t="str">
        <f>HYPERLINK("https://12go.asia/en/travel/OH-Pu-Luong-Homestay/90-Hoang-Thi-Loan", "12Go Link")</f>
        <v>12Go Link</v>
      </c>
      <c r="E18207" s="2" t="s">
        <v>8912</v>
      </c>
    </row>
    <row r="18208">
      <c r="A18208" s="2" t="s">
        <v>8690</v>
      </c>
      <c r="B18208" s="2" t="s">
        <v>8674</v>
      </c>
      <c r="C18208" s="2" t="s">
        <v>8978</v>
      </c>
      <c r="D18208" s="3" t="str">
        <f>HYPERLINK("https://12go.asia/en/travel/OH-Pu-Luong-Homestay/122-Ha-Huy-Tap", "12Go Link")</f>
        <v>12Go Link</v>
      </c>
      <c r="E18208" s="2" t="s">
        <v>8912</v>
      </c>
    </row>
    <row r="18209">
      <c r="A18209" s="2" t="s">
        <v>8690</v>
      </c>
      <c r="B18209" s="2" t="s">
        <v>8724</v>
      </c>
      <c r="C18209" s="2" t="s">
        <v>8979</v>
      </c>
      <c r="D18209" s="3" t="str">
        <f>HYPERLINK("https://12go.asia/en/travel/OH-Pu-Luong-Homestay/186-April-1st-Cat-Ba", "12Go Link")</f>
        <v>12Go Link</v>
      </c>
      <c r="E18209" s="2" t="s">
        <v>8735</v>
      </c>
    </row>
    <row r="18210">
      <c r="A18210" s="2" t="s">
        <v>8690</v>
      </c>
      <c r="B18210" s="2" t="s">
        <v>4034</v>
      </c>
      <c r="C18210" s="2" t="s">
        <v>8980</v>
      </c>
      <c r="D18210" s="3" t="str">
        <f>HYPERLINK("https://12go.asia/en/travel/OH-Pu-Luong-Homestay/40-Bat-Dan", "12Go Link")</f>
        <v>12Go Link</v>
      </c>
      <c r="E18210" s="2" t="s">
        <v>8735</v>
      </c>
    </row>
    <row r="18211">
      <c r="A18211" s="2" t="s">
        <v>8690</v>
      </c>
      <c r="B18211" s="2" t="s">
        <v>4034</v>
      </c>
      <c r="C18211" s="2" t="s">
        <v>8981</v>
      </c>
      <c r="D18211" s="3" t="str">
        <f>HYPERLINK("https://12go.asia/en/travel/OH-Pu-Luong-Homestay/Big-C-Thang-Long", "12Go Link")</f>
        <v>12Go Link</v>
      </c>
      <c r="E18211" s="2" t="s">
        <v>8735</v>
      </c>
    </row>
    <row r="18212">
      <c r="A18212" s="2" t="s">
        <v>8690</v>
      </c>
      <c r="B18212" s="2" t="s">
        <v>8621</v>
      </c>
      <c r="C18212" s="2" t="s">
        <v>8982</v>
      </c>
      <c r="D18212" s="3" t="str">
        <f>HYPERLINK("https://12go.asia/en/travel/OH-Pu-Luong-Homestay/Pool-Side-Villa", "12Go Link")</f>
        <v>12Go Link</v>
      </c>
      <c r="E18212" s="2" t="s">
        <v>8912</v>
      </c>
    </row>
    <row r="18213">
      <c r="A18213" s="2" t="s">
        <v>8690</v>
      </c>
      <c r="B18213" s="2" t="s">
        <v>8623</v>
      </c>
      <c r="C18213" s="2" t="s">
        <v>8983</v>
      </c>
      <c r="D18213" s="3" t="str">
        <f>HYPERLINK("https://12go.asia/en/travel/OH-Pu-Luong-Homestay/26-Nguyen-Hue", "12Go Link")</f>
        <v>12Go Link</v>
      </c>
      <c r="E18213" s="2" t="s">
        <v>8912</v>
      </c>
    </row>
    <row r="18214">
      <c r="A18214" s="2" t="s">
        <v>8690</v>
      </c>
      <c r="B18214" s="2" t="s">
        <v>8864</v>
      </c>
      <c r="C18214" s="2" t="s">
        <v>8984</v>
      </c>
      <c r="D18214" s="3" t="str">
        <f>HYPERLINK("https://12go.asia/en/travel/Pu-Luong-Cuisine-Garden-Homestay/Mai-Chau-4-Seasons", "12Go Link")</f>
        <v>12Go Link</v>
      </c>
      <c r="E18214" s="2" t="s">
        <v>8866</v>
      </c>
    </row>
    <row r="18215">
      <c r="A18215" s="2" t="s">
        <v>8690</v>
      </c>
      <c r="B18215" s="2" t="s">
        <v>8864</v>
      </c>
      <c r="C18215" s="2" t="s">
        <v>8985</v>
      </c>
      <c r="D18215" s="3" t="str">
        <f>HYPERLINK("https://12go.asia/en/travel/Pu-Luong-Cuisine-Garden-Homestay/Wooden-Homestay", "12Go Link")</f>
        <v>12Go Link</v>
      </c>
      <c r="E18215" s="2" t="s">
        <v>8866</v>
      </c>
    </row>
    <row r="18216">
      <c r="A18216" s="2" t="s">
        <v>8690</v>
      </c>
      <c r="B18216" s="2" t="s">
        <v>8663</v>
      </c>
      <c r="C18216" s="2" t="s">
        <v>8986</v>
      </c>
      <c r="D18216" s="3" t="str">
        <f>HYPERLINK("https://12go.asia/en/travel/OH-Pu-Luong-Homestay/Phong-Nha-Midtown-Hotel", "12Go Link")</f>
        <v>12Go Link</v>
      </c>
      <c r="E18216" s="2" t="s">
        <v>8912</v>
      </c>
    </row>
    <row r="18217">
      <c r="A18217" s="2" t="s">
        <v>8690</v>
      </c>
      <c r="B18217" s="2" t="s">
        <v>8666</v>
      </c>
      <c r="C18217" s="2" t="s">
        <v>8987</v>
      </c>
      <c r="D18217" s="3" t="str">
        <f>HYPERLINK("https://12go.asia/en/travel/OH-Pu-Luong-Homestay/Tam-Coc-Sunshine-Hostel", "12Go Link")</f>
        <v>12Go Link</v>
      </c>
      <c r="E18217" s="2" t="s">
        <v>8683</v>
      </c>
    </row>
    <row r="18218">
      <c r="A18218" s="4"/>
      <c r="B18218" s="4"/>
      <c r="C18218" s="4"/>
      <c r="D18218" s="4"/>
      <c r="E18218" s="4"/>
    </row>
    <row r="18219">
      <c r="A18219" s="4"/>
      <c r="B18219" s="4"/>
      <c r="C18219" s="4"/>
      <c r="D18219" s="4"/>
      <c r="E18219" s="4"/>
    </row>
    <row r="18220">
      <c r="A18220" s="4"/>
      <c r="B18220" s="4"/>
      <c r="C18220" s="4"/>
      <c r="D18220" s="4"/>
      <c r="E18220" s="4"/>
    </row>
    <row r="18221">
      <c r="A18221" s="4"/>
      <c r="B18221" s="4"/>
      <c r="C18221" s="4"/>
      <c r="D18221" s="4"/>
      <c r="E18221" s="4"/>
    </row>
    <row r="18222">
      <c r="A18222" s="4"/>
      <c r="B18222" s="4"/>
      <c r="C18222" s="4"/>
      <c r="D18222" s="4"/>
      <c r="E18222" s="4"/>
    </row>
    <row r="18223">
      <c r="A18223" s="4"/>
      <c r="B18223" s="4"/>
      <c r="C18223" s="4"/>
      <c r="D18223" s="4"/>
      <c r="E18223" s="4"/>
    </row>
    <row r="18224">
      <c r="A18224" s="4"/>
      <c r="B18224" s="4"/>
      <c r="C18224" s="4"/>
      <c r="D18224" s="4"/>
      <c r="E18224" s="4"/>
    </row>
    <row r="18225">
      <c r="A18225" s="4"/>
      <c r="B18225" s="4"/>
      <c r="C18225" s="4"/>
      <c r="D18225" s="4"/>
      <c r="E18225" s="4"/>
    </row>
    <row r="18226">
      <c r="A18226" s="4"/>
      <c r="B18226" s="4"/>
      <c r="C18226" s="4"/>
      <c r="D18226" s="4"/>
      <c r="E18226" s="4"/>
    </row>
    <row r="18227">
      <c r="A18227" s="4"/>
      <c r="B18227" s="4"/>
      <c r="C18227" s="4"/>
      <c r="D18227" s="4"/>
      <c r="E18227" s="4"/>
    </row>
    <row r="18228">
      <c r="A18228" s="4"/>
      <c r="B18228" s="4"/>
      <c r="C18228" s="4"/>
      <c r="D18228" s="4"/>
      <c r="E18228" s="4"/>
    </row>
    <row r="18229">
      <c r="A18229" s="4"/>
      <c r="B18229" s="4"/>
      <c r="C18229" s="4"/>
      <c r="D18229" s="4"/>
      <c r="E18229" s="4"/>
    </row>
    <row r="18230">
      <c r="A18230" s="4"/>
      <c r="B18230" s="4"/>
      <c r="C18230" s="4"/>
      <c r="D18230" s="4"/>
      <c r="E18230" s="4"/>
    </row>
    <row r="18231">
      <c r="A18231" s="4"/>
      <c r="B18231" s="4"/>
      <c r="C18231" s="4"/>
      <c r="D18231" s="4"/>
      <c r="E18231" s="4"/>
    </row>
    <row r="18232">
      <c r="A18232" s="4"/>
      <c r="B18232" s="4"/>
      <c r="C18232" s="4"/>
      <c r="D18232" s="4"/>
      <c r="E18232" s="4"/>
    </row>
    <row r="18233">
      <c r="A18233" s="4"/>
      <c r="B18233" s="4"/>
      <c r="C18233" s="4"/>
      <c r="D18233" s="4"/>
      <c r="E18233" s="4"/>
    </row>
    <row r="18234">
      <c r="A18234" s="4"/>
      <c r="B18234" s="4"/>
      <c r="C18234" s="4"/>
      <c r="D18234" s="4"/>
      <c r="E18234" s="4"/>
    </row>
    <row r="18235">
      <c r="A18235" s="4"/>
      <c r="B18235" s="4"/>
      <c r="C18235" s="4"/>
      <c r="D18235" s="4"/>
      <c r="E18235" s="4"/>
    </row>
    <row r="18236">
      <c r="A18236" s="4"/>
      <c r="B18236" s="4"/>
      <c r="C18236" s="4"/>
      <c r="D18236" s="4"/>
      <c r="E18236" s="4"/>
    </row>
    <row r="18237">
      <c r="A18237" s="4"/>
      <c r="B18237" s="4"/>
      <c r="C18237" s="4"/>
      <c r="D18237" s="4"/>
      <c r="E18237" s="4"/>
    </row>
    <row r="18238">
      <c r="A18238" s="4"/>
      <c r="B18238" s="4"/>
      <c r="C18238" s="4"/>
      <c r="D18238" s="4"/>
      <c r="E18238" s="4"/>
    </row>
    <row r="18239">
      <c r="A18239" s="4"/>
      <c r="B18239" s="4"/>
      <c r="C18239" s="4"/>
      <c r="D18239" s="4"/>
      <c r="E18239" s="4"/>
    </row>
    <row r="18240">
      <c r="A18240" s="4"/>
      <c r="B18240" s="4"/>
      <c r="C18240" s="4"/>
      <c r="D18240" s="4"/>
      <c r="E18240" s="4"/>
    </row>
    <row r="18241">
      <c r="A18241" s="4"/>
      <c r="B18241" s="4"/>
      <c r="C18241" s="4"/>
      <c r="D18241" s="4"/>
      <c r="E18241" s="4"/>
    </row>
    <row r="18242">
      <c r="A18242" s="4"/>
      <c r="B18242" s="4"/>
      <c r="C18242" s="4"/>
      <c r="D18242" s="4"/>
      <c r="E18242" s="4"/>
    </row>
    <row r="18243">
      <c r="A18243" s="4"/>
      <c r="B18243" s="4"/>
      <c r="C18243" s="4"/>
      <c r="D18243" s="4"/>
      <c r="E18243" s="4"/>
    </row>
    <row r="18244">
      <c r="A18244" s="4"/>
      <c r="B18244" s="4"/>
      <c r="C18244" s="4"/>
      <c r="D18244" s="4"/>
      <c r="E18244" s="4"/>
    </row>
    <row r="18245">
      <c r="A18245" s="4"/>
      <c r="B18245" s="4"/>
      <c r="C18245" s="4"/>
      <c r="D18245" s="4"/>
      <c r="E18245" s="4"/>
    </row>
    <row r="18246">
      <c r="A18246" s="4"/>
      <c r="B18246" s="4"/>
      <c r="C18246" s="4"/>
      <c r="D18246" s="4"/>
      <c r="E18246" s="4"/>
    </row>
    <row r="18247">
      <c r="A18247" s="4"/>
      <c r="B18247" s="4"/>
      <c r="C18247" s="4"/>
      <c r="D18247" s="4"/>
      <c r="E18247" s="4"/>
    </row>
    <row r="18248">
      <c r="A18248" s="4"/>
      <c r="B18248" s="4"/>
      <c r="C18248" s="4"/>
      <c r="D18248" s="4"/>
      <c r="E18248" s="4"/>
    </row>
    <row r="18249">
      <c r="A18249" s="4"/>
      <c r="B18249" s="4"/>
      <c r="C18249" s="4"/>
      <c r="D18249" s="4"/>
      <c r="E18249" s="4"/>
    </row>
    <row r="18250">
      <c r="A18250" s="4"/>
      <c r="B18250" s="4"/>
      <c r="C18250" s="4"/>
      <c r="D18250" s="4"/>
      <c r="E18250" s="4"/>
    </row>
    <row r="18251">
      <c r="A18251" s="4"/>
      <c r="B18251" s="4"/>
      <c r="C18251" s="4"/>
      <c r="D18251" s="4"/>
      <c r="E18251" s="4"/>
    </row>
    <row r="18252">
      <c r="A18252" s="4"/>
      <c r="B18252" s="4"/>
      <c r="C18252" s="4"/>
      <c r="D18252" s="4"/>
      <c r="E18252" s="4"/>
    </row>
    <row r="18253">
      <c r="A18253" s="4"/>
      <c r="B18253" s="4"/>
      <c r="C18253" s="4"/>
      <c r="D18253" s="4"/>
      <c r="E18253" s="4"/>
    </row>
    <row r="18254">
      <c r="A18254" s="4"/>
      <c r="B18254" s="4"/>
      <c r="C18254" s="4"/>
      <c r="D18254" s="4"/>
      <c r="E18254" s="4"/>
    </row>
    <row r="18255">
      <c r="A18255" s="4"/>
      <c r="B18255" s="4"/>
      <c r="C18255" s="4"/>
      <c r="D18255" s="4"/>
      <c r="E18255" s="4"/>
    </row>
    <row r="18256">
      <c r="A18256" s="4"/>
      <c r="B18256" s="4"/>
      <c r="C18256" s="4"/>
      <c r="D18256" s="4"/>
      <c r="E18256" s="4"/>
    </row>
    <row r="18257">
      <c r="A18257" s="4"/>
      <c r="B18257" s="4"/>
      <c r="C18257" s="4"/>
      <c r="D18257" s="4"/>
      <c r="E18257" s="4"/>
    </row>
    <row r="18258">
      <c r="A18258" s="4"/>
      <c r="B18258" s="4"/>
      <c r="C18258" s="4"/>
      <c r="D18258" s="4"/>
      <c r="E18258" s="4"/>
    </row>
    <row r="18259">
      <c r="A18259" s="4"/>
      <c r="B18259" s="4"/>
      <c r="C18259" s="4"/>
      <c r="D18259" s="4"/>
      <c r="E18259" s="4"/>
    </row>
    <row r="18260">
      <c r="A18260" s="4"/>
      <c r="B18260" s="4"/>
      <c r="C18260" s="4"/>
      <c r="D18260" s="4"/>
      <c r="E18260" s="4"/>
    </row>
    <row r="18261">
      <c r="A18261" s="4"/>
      <c r="B18261" s="4"/>
      <c r="C18261" s="4"/>
      <c r="D18261" s="4"/>
      <c r="E18261" s="4"/>
    </row>
    <row r="18262">
      <c r="A18262" s="4"/>
      <c r="B18262" s="4"/>
      <c r="C18262" s="4"/>
      <c r="D18262" s="4"/>
      <c r="E18262" s="4"/>
    </row>
    <row r="18263">
      <c r="A18263" s="4"/>
      <c r="B18263" s="4"/>
      <c r="C18263" s="4"/>
      <c r="D18263" s="4"/>
      <c r="E18263" s="4"/>
    </row>
    <row r="18264">
      <c r="A18264" s="4"/>
      <c r="B18264" s="4"/>
      <c r="C18264" s="4"/>
      <c r="D18264" s="4"/>
      <c r="E18264" s="4"/>
    </row>
    <row r="18265">
      <c r="A18265" s="4"/>
      <c r="B18265" s="4"/>
      <c r="C18265" s="4"/>
      <c r="D18265" s="4"/>
      <c r="E18265" s="4"/>
    </row>
    <row r="18266">
      <c r="A18266" s="4"/>
      <c r="B18266" s="4"/>
      <c r="C18266" s="4"/>
      <c r="D18266" s="4"/>
      <c r="E18266" s="4"/>
    </row>
    <row r="18267">
      <c r="A18267" s="4"/>
      <c r="B18267" s="4"/>
      <c r="C18267" s="4"/>
      <c r="D18267" s="4"/>
      <c r="E18267" s="4"/>
    </row>
    <row r="18268">
      <c r="A18268" s="4"/>
      <c r="B18268" s="4"/>
      <c r="C18268" s="4"/>
      <c r="D18268" s="4"/>
      <c r="E18268" s="4"/>
    </row>
    <row r="18269">
      <c r="A18269" s="4"/>
      <c r="B18269" s="4"/>
      <c r="C18269" s="4"/>
      <c r="D18269" s="4"/>
      <c r="E18269" s="4"/>
    </row>
    <row r="18270">
      <c r="A18270" s="4"/>
      <c r="B18270" s="4"/>
      <c r="C18270" s="4"/>
      <c r="D18270" s="4"/>
      <c r="E18270" s="4"/>
    </row>
    <row r="18271">
      <c r="A18271" s="4"/>
      <c r="B18271" s="4"/>
      <c r="C18271" s="4"/>
      <c r="D18271" s="4"/>
      <c r="E18271" s="4"/>
    </row>
    <row r="18272">
      <c r="A18272" s="4"/>
      <c r="B18272" s="4"/>
      <c r="C18272" s="4"/>
      <c r="D18272" s="4"/>
      <c r="E18272" s="4"/>
    </row>
    <row r="18273">
      <c r="A18273" s="4"/>
      <c r="B18273" s="4"/>
      <c r="C18273" s="4"/>
      <c r="D18273" s="4"/>
      <c r="E18273" s="4"/>
    </row>
    <row r="18274">
      <c r="A18274" s="4"/>
      <c r="B18274" s="4"/>
      <c r="C18274" s="4"/>
      <c r="D18274" s="4"/>
      <c r="E18274" s="4"/>
    </row>
    <row r="18275">
      <c r="A18275" s="4"/>
      <c r="B18275" s="4"/>
      <c r="C18275" s="4"/>
      <c r="D18275" s="4"/>
      <c r="E18275" s="4"/>
    </row>
    <row r="18276">
      <c r="A18276" s="4"/>
      <c r="B18276" s="4"/>
      <c r="C18276" s="4"/>
      <c r="D18276" s="4"/>
      <c r="E18276" s="4"/>
    </row>
    <row r="18277">
      <c r="A18277" s="4"/>
      <c r="B18277" s="4"/>
      <c r="C18277" s="4"/>
      <c r="D18277" s="4"/>
      <c r="E18277" s="4"/>
    </row>
    <row r="18278">
      <c r="A18278" s="4"/>
      <c r="B18278" s="4"/>
      <c r="C18278" s="4"/>
      <c r="D18278" s="4"/>
      <c r="E18278" s="4"/>
    </row>
    <row r="18279">
      <c r="A18279" s="4"/>
      <c r="B18279" s="4"/>
      <c r="C18279" s="4"/>
      <c r="D18279" s="4"/>
      <c r="E18279" s="4"/>
    </row>
    <row r="18280">
      <c r="A18280" s="4"/>
      <c r="B18280" s="4"/>
      <c r="C18280" s="4"/>
      <c r="D18280" s="4"/>
      <c r="E18280" s="4"/>
    </row>
    <row r="18281">
      <c r="A18281" s="4"/>
      <c r="B18281" s="4"/>
      <c r="C18281" s="4"/>
      <c r="D18281" s="4"/>
      <c r="E18281" s="4"/>
    </row>
    <row r="18282">
      <c r="A18282" s="4"/>
      <c r="B18282" s="4"/>
      <c r="C18282" s="4"/>
      <c r="D18282" s="4"/>
      <c r="E18282" s="4"/>
    </row>
    <row r="18283">
      <c r="A18283" s="4"/>
      <c r="B18283" s="4"/>
      <c r="C18283" s="4"/>
      <c r="D18283" s="4"/>
      <c r="E18283" s="4"/>
    </row>
    <row r="18284">
      <c r="A18284" s="4"/>
      <c r="B18284" s="4"/>
      <c r="C18284" s="4"/>
      <c r="D18284" s="4"/>
      <c r="E18284" s="4"/>
    </row>
    <row r="18285">
      <c r="A18285" s="4"/>
      <c r="B18285" s="4"/>
      <c r="C18285" s="4"/>
      <c r="D18285" s="4"/>
      <c r="E18285" s="4"/>
    </row>
    <row r="18286">
      <c r="A18286" s="4"/>
      <c r="B18286" s="4"/>
      <c r="C18286" s="4"/>
      <c r="D18286" s="4"/>
      <c r="E18286" s="4"/>
    </row>
    <row r="18287">
      <c r="A18287" s="4"/>
      <c r="B18287" s="4"/>
      <c r="C18287" s="4"/>
      <c r="D18287" s="4"/>
      <c r="E18287" s="4"/>
    </row>
    <row r="18288">
      <c r="A18288" s="4"/>
      <c r="B18288" s="4"/>
      <c r="C18288" s="4"/>
      <c r="D18288" s="4"/>
      <c r="E18288" s="4"/>
    </row>
    <row r="18289">
      <c r="A18289" s="4"/>
      <c r="B18289" s="4"/>
      <c r="C18289" s="4"/>
      <c r="D18289" s="4"/>
      <c r="E18289" s="4"/>
    </row>
    <row r="18290">
      <c r="A18290" s="4"/>
      <c r="B18290" s="4"/>
      <c r="C18290" s="4"/>
      <c r="D18290" s="4"/>
      <c r="E18290" s="4"/>
    </row>
    <row r="18291">
      <c r="A18291" s="4"/>
      <c r="B18291" s="4"/>
      <c r="C18291" s="4"/>
      <c r="D18291" s="4"/>
      <c r="E18291" s="4"/>
    </row>
    <row r="18292">
      <c r="A18292" s="4"/>
      <c r="B18292" s="4"/>
      <c r="C18292" s="4"/>
      <c r="D18292" s="4"/>
      <c r="E18292" s="4"/>
    </row>
    <row r="18293">
      <c r="A18293" s="4"/>
      <c r="B18293" s="4"/>
      <c r="C18293" s="4"/>
      <c r="D18293" s="4"/>
      <c r="E18293" s="4"/>
    </row>
    <row r="18294">
      <c r="A18294" s="4"/>
      <c r="B18294" s="4"/>
      <c r="C18294" s="4"/>
      <c r="D18294" s="4"/>
      <c r="E18294" s="4"/>
    </row>
    <row r="18295">
      <c r="A18295" s="4"/>
      <c r="B18295" s="4"/>
      <c r="C18295" s="4"/>
      <c r="D18295" s="4"/>
      <c r="E18295" s="4"/>
    </row>
    <row r="18296">
      <c r="A18296" s="4"/>
      <c r="B18296" s="4"/>
      <c r="C18296" s="4"/>
      <c r="D18296" s="4"/>
      <c r="E18296" s="4"/>
    </row>
    <row r="18297">
      <c r="A18297" s="4"/>
      <c r="B18297" s="4"/>
      <c r="C18297" s="4"/>
      <c r="D18297" s="4"/>
      <c r="E18297" s="4"/>
    </row>
    <row r="18298">
      <c r="A18298" s="4"/>
      <c r="B18298" s="4"/>
      <c r="C18298" s="4"/>
      <c r="D18298" s="4"/>
      <c r="E18298" s="4"/>
    </row>
    <row r="18299">
      <c r="A18299" s="4"/>
      <c r="B18299" s="4"/>
      <c r="C18299" s="4"/>
      <c r="D18299" s="4"/>
      <c r="E18299" s="4"/>
    </row>
    <row r="18300">
      <c r="A18300" s="4"/>
      <c r="B18300" s="4"/>
      <c r="C18300" s="4"/>
      <c r="D18300" s="4"/>
      <c r="E18300" s="4"/>
    </row>
    <row r="18301">
      <c r="A18301" s="4"/>
      <c r="B18301" s="4"/>
      <c r="C18301" s="4"/>
      <c r="D18301" s="4"/>
      <c r="E18301" s="4"/>
    </row>
    <row r="18302">
      <c r="A18302" s="4"/>
      <c r="B18302" s="4"/>
      <c r="C18302" s="4"/>
      <c r="D18302" s="4"/>
      <c r="E18302" s="4"/>
    </row>
    <row r="18303">
      <c r="A18303" s="4"/>
      <c r="B18303" s="4"/>
      <c r="C18303" s="4"/>
      <c r="D18303" s="4"/>
      <c r="E18303" s="4"/>
    </row>
    <row r="18304">
      <c r="A18304" s="4"/>
      <c r="B18304" s="4"/>
      <c r="C18304" s="4"/>
      <c r="D18304" s="4"/>
      <c r="E18304" s="4"/>
    </row>
    <row r="18305">
      <c r="A18305" s="4"/>
      <c r="B18305" s="4"/>
      <c r="C18305" s="4"/>
      <c r="D18305" s="4"/>
      <c r="E18305" s="4"/>
    </row>
    <row r="18306">
      <c r="A18306" s="4"/>
      <c r="B18306" s="4"/>
      <c r="C18306" s="4"/>
      <c r="D18306" s="4"/>
      <c r="E18306" s="4"/>
    </row>
    <row r="18307">
      <c r="A18307" s="4"/>
      <c r="B18307" s="4"/>
      <c r="C18307" s="4"/>
      <c r="D18307" s="4"/>
      <c r="E18307" s="4"/>
    </row>
    <row r="18308">
      <c r="A18308" s="4"/>
      <c r="B18308" s="4"/>
      <c r="C18308" s="4"/>
      <c r="D18308" s="4"/>
      <c r="E18308" s="4"/>
    </row>
    <row r="18309">
      <c r="A18309" s="4"/>
      <c r="B18309" s="4"/>
      <c r="C18309" s="4"/>
      <c r="D18309" s="4"/>
      <c r="E18309" s="4"/>
    </row>
    <row r="18310">
      <c r="A18310" s="4"/>
      <c r="B18310" s="4"/>
      <c r="C18310" s="4"/>
      <c r="D18310" s="4"/>
      <c r="E18310" s="4"/>
    </row>
    <row r="18311">
      <c r="A18311" s="4"/>
      <c r="B18311" s="4"/>
      <c r="C18311" s="4"/>
      <c r="D18311" s="4"/>
      <c r="E18311" s="4"/>
    </row>
    <row r="18312">
      <c r="A18312" s="4"/>
      <c r="B18312" s="4"/>
      <c r="C18312" s="4"/>
      <c r="D18312" s="4"/>
      <c r="E18312" s="4"/>
    </row>
    <row r="18313">
      <c r="A18313" s="4"/>
      <c r="B18313" s="4"/>
      <c r="C18313" s="4"/>
      <c r="D18313" s="4"/>
      <c r="E18313" s="4"/>
    </row>
    <row r="18314">
      <c r="A18314" s="4"/>
      <c r="B18314" s="4"/>
      <c r="C18314" s="4"/>
      <c r="D18314" s="4"/>
      <c r="E18314" s="4"/>
    </row>
    <row r="18315">
      <c r="A18315" s="4"/>
      <c r="B18315" s="4"/>
      <c r="C18315" s="4"/>
      <c r="D18315" s="4"/>
      <c r="E18315" s="4"/>
    </row>
    <row r="18316">
      <c r="A18316" s="4"/>
      <c r="B18316" s="4"/>
      <c r="C18316" s="4"/>
      <c r="D18316" s="4"/>
      <c r="E18316" s="4"/>
    </row>
    <row r="18317">
      <c r="A18317" s="4"/>
      <c r="B18317" s="4"/>
      <c r="C18317" s="4"/>
      <c r="D18317" s="4"/>
      <c r="E18317" s="4"/>
    </row>
    <row r="18318">
      <c r="A18318" s="4"/>
      <c r="B18318" s="4"/>
      <c r="C18318" s="4"/>
      <c r="D18318" s="4"/>
      <c r="E18318" s="4"/>
    </row>
    <row r="18319">
      <c r="A18319" s="4"/>
      <c r="B18319" s="4"/>
      <c r="C18319" s="4"/>
      <c r="D18319" s="4"/>
      <c r="E18319" s="4"/>
    </row>
    <row r="18320">
      <c r="A18320" s="4"/>
      <c r="B18320" s="4"/>
      <c r="C18320" s="4"/>
      <c r="D18320" s="4"/>
      <c r="E18320" s="4"/>
    </row>
    <row r="18321">
      <c r="A18321" s="4"/>
      <c r="B18321" s="4"/>
      <c r="C18321" s="4"/>
      <c r="D18321" s="4"/>
      <c r="E18321" s="4"/>
    </row>
    <row r="18322">
      <c r="A18322" s="4"/>
      <c r="B18322" s="4"/>
      <c r="C18322" s="4"/>
      <c r="D18322" s="4"/>
      <c r="E18322" s="4"/>
    </row>
    <row r="18323">
      <c r="A18323" s="4"/>
      <c r="B18323" s="4"/>
      <c r="C18323" s="4"/>
      <c r="D18323" s="4"/>
      <c r="E18323" s="4"/>
    </row>
    <row r="18324">
      <c r="A18324" s="4"/>
      <c r="B18324" s="4"/>
      <c r="C18324" s="4"/>
      <c r="D18324" s="4"/>
      <c r="E18324" s="4"/>
    </row>
    <row r="18325">
      <c r="A18325" s="4"/>
      <c r="B18325" s="4"/>
      <c r="C18325" s="4"/>
      <c r="D18325" s="4"/>
      <c r="E18325" s="4"/>
    </row>
    <row r="18326">
      <c r="A18326" s="4"/>
      <c r="B18326" s="4"/>
      <c r="C18326" s="4"/>
      <c r="D18326" s="4"/>
      <c r="E18326" s="4"/>
    </row>
    <row r="18327">
      <c r="A18327" s="4"/>
      <c r="B18327" s="4"/>
      <c r="C18327" s="4"/>
      <c r="D18327" s="4"/>
      <c r="E18327" s="4"/>
    </row>
    <row r="18328">
      <c r="A18328" s="4"/>
      <c r="B18328" s="4"/>
      <c r="C18328" s="4"/>
      <c r="D18328" s="4"/>
      <c r="E18328" s="4"/>
    </row>
    <row r="18329">
      <c r="A18329" s="4"/>
      <c r="B18329" s="4"/>
      <c r="C18329" s="4"/>
      <c r="D18329" s="4"/>
      <c r="E18329" s="4"/>
    </row>
    <row r="18330">
      <c r="A18330" s="4"/>
      <c r="B18330" s="4"/>
      <c r="C18330" s="4"/>
      <c r="D18330" s="4"/>
      <c r="E18330" s="4"/>
    </row>
    <row r="18331">
      <c r="A18331" s="4"/>
      <c r="B18331" s="4"/>
      <c r="C18331" s="4"/>
      <c r="D18331" s="4"/>
      <c r="E18331" s="4"/>
    </row>
    <row r="18332">
      <c r="A18332" s="4"/>
      <c r="B18332" s="4"/>
      <c r="C18332" s="4"/>
      <c r="D18332" s="4"/>
      <c r="E18332" s="4"/>
    </row>
    <row r="18333">
      <c r="A18333" s="4"/>
      <c r="B18333" s="4"/>
      <c r="C18333" s="4"/>
      <c r="D18333" s="4"/>
      <c r="E18333" s="4"/>
    </row>
    <row r="18334">
      <c r="A18334" s="4"/>
      <c r="B18334" s="4"/>
      <c r="C18334" s="4"/>
      <c r="D18334" s="4"/>
      <c r="E18334" s="4"/>
    </row>
    <row r="18335">
      <c r="A18335" s="4"/>
      <c r="B18335" s="4"/>
      <c r="C18335" s="4"/>
      <c r="D18335" s="4"/>
      <c r="E18335" s="4"/>
    </row>
    <row r="18336">
      <c r="A18336" s="4"/>
      <c r="B18336" s="4"/>
      <c r="C18336" s="4"/>
      <c r="D18336" s="4"/>
      <c r="E18336" s="4"/>
    </row>
    <row r="18337">
      <c r="A18337" s="4"/>
      <c r="B18337" s="4"/>
      <c r="C18337" s="4"/>
      <c r="D18337" s="4"/>
      <c r="E18337" s="4"/>
    </row>
    <row r="18338">
      <c r="A18338" s="4"/>
      <c r="B18338" s="4"/>
      <c r="C18338" s="4"/>
      <c r="D18338" s="4"/>
      <c r="E18338" s="4"/>
    </row>
    <row r="18339">
      <c r="A18339" s="4"/>
      <c r="B18339" s="4"/>
      <c r="C18339" s="4"/>
      <c r="D18339" s="4"/>
      <c r="E18339" s="4"/>
    </row>
    <row r="18340">
      <c r="A18340" s="4"/>
      <c r="B18340" s="4"/>
      <c r="C18340" s="4"/>
      <c r="D18340" s="4"/>
      <c r="E18340" s="4"/>
    </row>
    <row r="18341">
      <c r="A18341" s="4"/>
      <c r="B18341" s="4"/>
      <c r="C18341" s="4"/>
      <c r="D18341" s="4"/>
      <c r="E18341" s="4"/>
    </row>
    <row r="18342">
      <c r="A18342" s="4"/>
      <c r="B18342" s="4"/>
      <c r="C18342" s="4"/>
      <c r="D18342" s="4"/>
      <c r="E18342" s="4"/>
    </row>
    <row r="18343">
      <c r="A18343" s="4"/>
      <c r="B18343" s="4"/>
      <c r="C18343" s="4"/>
      <c r="D18343" s="4"/>
      <c r="E18343" s="4"/>
    </row>
    <row r="18344">
      <c r="A18344" s="4"/>
      <c r="B18344" s="4"/>
      <c r="C18344" s="4"/>
      <c r="D18344" s="4"/>
      <c r="E18344" s="4"/>
    </row>
    <row r="18345">
      <c r="A18345" s="4"/>
      <c r="B18345" s="4"/>
      <c r="C18345" s="4"/>
      <c r="D18345" s="4"/>
      <c r="E18345" s="4"/>
    </row>
    <row r="18346">
      <c r="A18346" s="4"/>
      <c r="B18346" s="4"/>
      <c r="C18346" s="4"/>
      <c r="D18346" s="4"/>
      <c r="E18346" s="4"/>
    </row>
    <row r="18347">
      <c r="A18347" s="4"/>
      <c r="B18347" s="4"/>
      <c r="C18347" s="4"/>
      <c r="D18347" s="4"/>
      <c r="E18347" s="4"/>
    </row>
    <row r="18348">
      <c r="A18348" s="4"/>
      <c r="B18348" s="4"/>
      <c r="C18348" s="4"/>
      <c r="D18348" s="4"/>
      <c r="E18348" s="4"/>
    </row>
    <row r="18349">
      <c r="A18349" s="4"/>
      <c r="B18349" s="4"/>
      <c r="C18349" s="4"/>
      <c r="D18349" s="4"/>
      <c r="E18349" s="4"/>
    </row>
    <row r="18350">
      <c r="A18350" s="4"/>
      <c r="B18350" s="4"/>
      <c r="C18350" s="4"/>
      <c r="D18350" s="4"/>
      <c r="E18350" s="4"/>
    </row>
    <row r="18351">
      <c r="A18351" s="4"/>
      <c r="B18351" s="4"/>
      <c r="C18351" s="4"/>
      <c r="D18351" s="4"/>
      <c r="E18351" s="4"/>
    </row>
    <row r="18352">
      <c r="A18352" s="4"/>
      <c r="B18352" s="4"/>
      <c r="C18352" s="4"/>
      <c r="D18352" s="4"/>
      <c r="E18352" s="4"/>
    </row>
    <row r="18353">
      <c r="A18353" s="4"/>
      <c r="B18353" s="4"/>
      <c r="C18353" s="4"/>
      <c r="D18353" s="4"/>
      <c r="E18353" s="4"/>
    </row>
    <row r="18354">
      <c r="A18354" s="4"/>
      <c r="B18354" s="4"/>
      <c r="C18354" s="4"/>
      <c r="D18354" s="4"/>
      <c r="E18354" s="4"/>
    </row>
    <row r="18355">
      <c r="A18355" s="4"/>
      <c r="B18355" s="4"/>
      <c r="C18355" s="4"/>
      <c r="D18355" s="4"/>
      <c r="E18355" s="4"/>
    </row>
    <row r="18356">
      <c r="A18356" s="4"/>
      <c r="B18356" s="4"/>
      <c r="C18356" s="4"/>
      <c r="D18356" s="4"/>
      <c r="E18356" s="4"/>
    </row>
    <row r="18357">
      <c r="A18357" s="4"/>
      <c r="B18357" s="4"/>
      <c r="C18357" s="4"/>
      <c r="D18357" s="4"/>
      <c r="E18357" s="4"/>
    </row>
    <row r="18358">
      <c r="A18358" s="4"/>
      <c r="B18358" s="4"/>
      <c r="C18358" s="4"/>
      <c r="D18358" s="4"/>
      <c r="E18358" s="4"/>
    </row>
    <row r="18359">
      <c r="A18359" s="4"/>
      <c r="B18359" s="4"/>
      <c r="C18359" s="4"/>
      <c r="D18359" s="4"/>
      <c r="E18359" s="4"/>
    </row>
    <row r="18360">
      <c r="A18360" s="4"/>
      <c r="B18360" s="4"/>
      <c r="C18360" s="4"/>
      <c r="D18360" s="4"/>
      <c r="E18360" s="4"/>
    </row>
    <row r="18361">
      <c r="A18361" s="4"/>
      <c r="B18361" s="4"/>
      <c r="C18361" s="4"/>
      <c r="D18361" s="4"/>
      <c r="E18361" s="4"/>
    </row>
    <row r="18362">
      <c r="A18362" s="4"/>
      <c r="B18362" s="4"/>
      <c r="C18362" s="4"/>
      <c r="D18362" s="4"/>
      <c r="E18362" s="4"/>
    </row>
    <row r="18363">
      <c r="A18363" s="4"/>
      <c r="B18363" s="4"/>
      <c r="C18363" s="4"/>
      <c r="D18363" s="4"/>
      <c r="E18363" s="4"/>
    </row>
    <row r="18364">
      <c r="A18364" s="4"/>
      <c r="B18364" s="4"/>
      <c r="C18364" s="4"/>
      <c r="D18364" s="4"/>
      <c r="E18364" s="4"/>
    </row>
    <row r="18365">
      <c r="A18365" s="4"/>
      <c r="B18365" s="4"/>
      <c r="C18365" s="4"/>
      <c r="D18365" s="4"/>
      <c r="E18365" s="4"/>
    </row>
    <row r="18366">
      <c r="A18366" s="4"/>
      <c r="B18366" s="4"/>
      <c r="C18366" s="4"/>
      <c r="D18366" s="4"/>
      <c r="E18366" s="4"/>
    </row>
    <row r="18367">
      <c r="A18367" s="4"/>
      <c r="B18367" s="4"/>
      <c r="C18367" s="4"/>
      <c r="D18367" s="4"/>
      <c r="E18367" s="4"/>
    </row>
    <row r="18368">
      <c r="A18368" s="4"/>
      <c r="B18368" s="4"/>
      <c r="C18368" s="4"/>
      <c r="D18368" s="4"/>
      <c r="E18368" s="4"/>
    </row>
    <row r="18369">
      <c r="A18369" s="4"/>
      <c r="B18369" s="4"/>
      <c r="C18369" s="4"/>
      <c r="D18369" s="4"/>
      <c r="E18369" s="4"/>
    </row>
    <row r="18370">
      <c r="A18370" s="4"/>
      <c r="B18370" s="4"/>
      <c r="C18370" s="4"/>
      <c r="D18370" s="4"/>
      <c r="E18370" s="4"/>
    </row>
    <row r="18371">
      <c r="A18371" s="4"/>
      <c r="B18371" s="4"/>
      <c r="C18371" s="4"/>
      <c r="D18371" s="4"/>
      <c r="E18371" s="4"/>
    </row>
    <row r="18372">
      <c r="A18372" s="4"/>
      <c r="B18372" s="4"/>
      <c r="C18372" s="4"/>
      <c r="D18372" s="4"/>
      <c r="E18372" s="4"/>
    </row>
    <row r="18373">
      <c r="A18373" s="4"/>
      <c r="B18373" s="4"/>
      <c r="C18373" s="4"/>
      <c r="D18373" s="4"/>
      <c r="E18373" s="4"/>
    </row>
    <row r="18374">
      <c r="A18374" s="4"/>
      <c r="B18374" s="4"/>
      <c r="C18374" s="4"/>
      <c r="D18374" s="4"/>
      <c r="E18374" s="4"/>
    </row>
    <row r="18375">
      <c r="A18375" s="4"/>
      <c r="B18375" s="4"/>
      <c r="C18375" s="4"/>
      <c r="D18375" s="4"/>
      <c r="E18375" s="4"/>
    </row>
    <row r="18376">
      <c r="A18376" s="4"/>
      <c r="B18376" s="4"/>
      <c r="C18376" s="4"/>
      <c r="D18376" s="4"/>
      <c r="E18376" s="4"/>
    </row>
    <row r="18377">
      <c r="A18377" s="4"/>
      <c r="B18377" s="4"/>
      <c r="C18377" s="4"/>
      <c r="D18377" s="4"/>
      <c r="E18377" s="4"/>
    </row>
    <row r="18378">
      <c r="A18378" s="4"/>
      <c r="B18378" s="4"/>
      <c r="C18378" s="4"/>
      <c r="D18378" s="4"/>
      <c r="E18378" s="4"/>
    </row>
    <row r="18379">
      <c r="A18379" s="4"/>
      <c r="B18379" s="4"/>
      <c r="C18379" s="4"/>
      <c r="D18379" s="4"/>
      <c r="E18379" s="4"/>
    </row>
    <row r="18380">
      <c r="A18380" s="4"/>
      <c r="B18380" s="4"/>
      <c r="C18380" s="4"/>
      <c r="D18380" s="4"/>
      <c r="E18380" s="4"/>
    </row>
    <row r="18381">
      <c r="A18381" s="4"/>
      <c r="B18381" s="4"/>
      <c r="C18381" s="4"/>
      <c r="D18381" s="4"/>
      <c r="E18381" s="4"/>
    </row>
    <row r="18382">
      <c r="A18382" s="4"/>
      <c r="B18382" s="4"/>
      <c r="C18382" s="4"/>
      <c r="D18382" s="4"/>
      <c r="E18382" s="4"/>
    </row>
    <row r="18383">
      <c r="A18383" s="4"/>
      <c r="B18383" s="4"/>
      <c r="C18383" s="4"/>
      <c r="D18383" s="4"/>
      <c r="E18383" s="4"/>
    </row>
    <row r="18384">
      <c r="A18384" s="4"/>
      <c r="B18384" s="4"/>
      <c r="C18384" s="4"/>
      <c r="D18384" s="4"/>
      <c r="E18384" s="4"/>
    </row>
    <row r="18385">
      <c r="A18385" s="4"/>
      <c r="B18385" s="4"/>
      <c r="C18385" s="4"/>
      <c r="D18385" s="4"/>
      <c r="E18385" s="4"/>
    </row>
    <row r="18386">
      <c r="A18386" s="4"/>
      <c r="B18386" s="4"/>
      <c r="C18386" s="4"/>
      <c r="D18386" s="4"/>
      <c r="E18386" s="4"/>
    </row>
    <row r="18387">
      <c r="A18387" s="4"/>
      <c r="B18387" s="4"/>
      <c r="C18387" s="4"/>
      <c r="D18387" s="4"/>
      <c r="E18387" s="4"/>
    </row>
    <row r="18388">
      <c r="A18388" s="4"/>
      <c r="B18388" s="4"/>
      <c r="C18388" s="4"/>
      <c r="D18388" s="4"/>
      <c r="E18388" s="4"/>
    </row>
    <row r="18389">
      <c r="A18389" s="4"/>
      <c r="B18389" s="4"/>
      <c r="C18389" s="4"/>
      <c r="D18389" s="4"/>
      <c r="E18389" s="4"/>
    </row>
    <row r="18390">
      <c r="A18390" s="4"/>
      <c r="B18390" s="4"/>
      <c r="C18390" s="4"/>
      <c r="D18390" s="4"/>
      <c r="E18390" s="4"/>
    </row>
    <row r="18391">
      <c r="A18391" s="4"/>
      <c r="B18391" s="4"/>
      <c r="C18391" s="4"/>
      <c r="D18391" s="4"/>
      <c r="E18391" s="4"/>
    </row>
    <row r="18392">
      <c r="A18392" s="4"/>
      <c r="B18392" s="4"/>
      <c r="C18392" s="4"/>
      <c r="D18392" s="4"/>
      <c r="E18392" s="4"/>
    </row>
    <row r="18393">
      <c r="A18393" s="4"/>
      <c r="B18393" s="4"/>
      <c r="C18393" s="4"/>
      <c r="D18393" s="4"/>
      <c r="E18393" s="4"/>
    </row>
    <row r="18394">
      <c r="A18394" s="4"/>
      <c r="B18394" s="4"/>
      <c r="C18394" s="4"/>
      <c r="D18394" s="4"/>
      <c r="E18394" s="4"/>
    </row>
    <row r="18395">
      <c r="A18395" s="4"/>
      <c r="B18395" s="4"/>
      <c r="C18395" s="4"/>
      <c r="D18395" s="4"/>
      <c r="E18395" s="4"/>
    </row>
    <row r="18396">
      <c r="A18396" s="4"/>
      <c r="B18396" s="4"/>
      <c r="C18396" s="4"/>
      <c r="D18396" s="4"/>
      <c r="E18396" s="4"/>
    </row>
    <row r="18397">
      <c r="A18397" s="4"/>
      <c r="B18397" s="4"/>
      <c r="C18397" s="4"/>
      <c r="D18397" s="4"/>
      <c r="E18397" s="4"/>
    </row>
    <row r="18398">
      <c r="A18398" s="4"/>
      <c r="B18398" s="4"/>
      <c r="C18398" s="4"/>
      <c r="D18398" s="4"/>
      <c r="E18398" s="4"/>
    </row>
    <row r="18399">
      <c r="A18399" s="4"/>
      <c r="B18399" s="4"/>
      <c r="C18399" s="4"/>
      <c r="D18399" s="4"/>
      <c r="E18399" s="4"/>
    </row>
    <row r="18400">
      <c r="A18400" s="4"/>
      <c r="B18400" s="4"/>
      <c r="C18400" s="4"/>
      <c r="D18400" s="4"/>
      <c r="E18400" s="4"/>
    </row>
    <row r="18401">
      <c r="A18401" s="4"/>
      <c r="B18401" s="4"/>
      <c r="C18401" s="4"/>
      <c r="D18401" s="4"/>
      <c r="E18401" s="4"/>
    </row>
    <row r="18402">
      <c r="A18402" s="4"/>
      <c r="B18402" s="4"/>
      <c r="C18402" s="4"/>
      <c r="D18402" s="4"/>
      <c r="E18402" s="4"/>
    </row>
    <row r="18403">
      <c r="A18403" s="4"/>
      <c r="B18403" s="4"/>
      <c r="C18403" s="4"/>
      <c r="D18403" s="4"/>
      <c r="E18403" s="4"/>
    </row>
    <row r="18404">
      <c r="A18404" s="4"/>
      <c r="B18404" s="4"/>
      <c r="C18404" s="4"/>
      <c r="D18404" s="4"/>
      <c r="E18404" s="4"/>
    </row>
    <row r="18405">
      <c r="A18405" s="4"/>
      <c r="B18405" s="4"/>
      <c r="C18405" s="4"/>
      <c r="D18405" s="4"/>
      <c r="E18405" s="4"/>
    </row>
    <row r="18406">
      <c r="A18406" s="4"/>
      <c r="B18406" s="4"/>
      <c r="C18406" s="4"/>
      <c r="D18406" s="4"/>
      <c r="E18406" s="4"/>
    </row>
    <row r="18407">
      <c r="A18407" s="4"/>
      <c r="B18407" s="4"/>
      <c r="C18407" s="4"/>
      <c r="D18407" s="4"/>
      <c r="E18407" s="4"/>
    </row>
    <row r="18408">
      <c r="A18408" s="4"/>
      <c r="B18408" s="4"/>
      <c r="C18408" s="4"/>
      <c r="D18408" s="4"/>
      <c r="E18408" s="4"/>
    </row>
    <row r="18409">
      <c r="A18409" s="4"/>
      <c r="B18409" s="4"/>
      <c r="C18409" s="4"/>
      <c r="D18409" s="4"/>
      <c r="E18409" s="4"/>
    </row>
    <row r="18410">
      <c r="A18410" s="4"/>
      <c r="B18410" s="4"/>
      <c r="C18410" s="4"/>
      <c r="D18410" s="4"/>
      <c r="E18410" s="4"/>
    </row>
    <row r="18411">
      <c r="A18411" s="4"/>
      <c r="B18411" s="4"/>
      <c r="C18411" s="4"/>
      <c r="D18411" s="4"/>
      <c r="E18411" s="4"/>
    </row>
    <row r="18412">
      <c r="A18412" s="4"/>
      <c r="B18412" s="4"/>
      <c r="C18412" s="4"/>
      <c r="D18412" s="4"/>
      <c r="E18412" s="4"/>
    </row>
    <row r="18413">
      <c r="A18413" s="4"/>
      <c r="B18413" s="4"/>
      <c r="C18413" s="4"/>
      <c r="D18413" s="4"/>
      <c r="E18413" s="4"/>
    </row>
    <row r="18414">
      <c r="A18414" s="4"/>
      <c r="B18414" s="4"/>
      <c r="C18414" s="4"/>
      <c r="D18414" s="4"/>
      <c r="E18414" s="4"/>
    </row>
    <row r="18415">
      <c r="A18415" s="4"/>
      <c r="B18415" s="4"/>
      <c r="C18415" s="4"/>
      <c r="D18415" s="4"/>
      <c r="E18415" s="4"/>
    </row>
    <row r="18416">
      <c r="A18416" s="4"/>
      <c r="B18416" s="4"/>
      <c r="C18416" s="4"/>
      <c r="D18416" s="4"/>
      <c r="E18416" s="4"/>
    </row>
    <row r="18417">
      <c r="A18417" s="4"/>
      <c r="B18417" s="4"/>
      <c r="C18417" s="4"/>
      <c r="D18417" s="4"/>
      <c r="E18417" s="4"/>
    </row>
    <row r="18418">
      <c r="A18418" s="4"/>
      <c r="B18418" s="4"/>
      <c r="C18418" s="4"/>
      <c r="D18418" s="4"/>
      <c r="E18418" s="4"/>
    </row>
    <row r="18419">
      <c r="A18419" s="4"/>
      <c r="B18419" s="4"/>
      <c r="C18419" s="4"/>
      <c r="D18419" s="4"/>
      <c r="E18419" s="4"/>
    </row>
    <row r="18420">
      <c r="A18420" s="4"/>
      <c r="B18420" s="4"/>
      <c r="C18420" s="4"/>
      <c r="D18420" s="4"/>
      <c r="E18420" s="4"/>
    </row>
    <row r="18421">
      <c r="A18421" s="4"/>
      <c r="B18421" s="4"/>
      <c r="C18421" s="4"/>
      <c r="D18421" s="4"/>
      <c r="E18421" s="4"/>
    </row>
    <row r="18422">
      <c r="A18422" s="4"/>
      <c r="B18422" s="4"/>
      <c r="C18422" s="4"/>
      <c r="D18422" s="4"/>
      <c r="E18422" s="4"/>
    </row>
    <row r="18423">
      <c r="A18423" s="4"/>
      <c r="B18423" s="4"/>
      <c r="C18423" s="4"/>
      <c r="D18423" s="4"/>
      <c r="E18423" s="4"/>
    </row>
    <row r="18424">
      <c r="A18424" s="4"/>
      <c r="B18424" s="4"/>
      <c r="C18424" s="4"/>
      <c r="D18424" s="4"/>
      <c r="E18424" s="4"/>
    </row>
    <row r="18425">
      <c r="A18425" s="4"/>
      <c r="B18425" s="4"/>
      <c r="C18425" s="4"/>
      <c r="D18425" s="4"/>
      <c r="E18425" s="4"/>
    </row>
    <row r="18426">
      <c r="A18426" s="4"/>
      <c r="B18426" s="4"/>
      <c r="C18426" s="4"/>
      <c r="D18426" s="4"/>
      <c r="E18426" s="4"/>
    </row>
    <row r="18427">
      <c r="A18427" s="4"/>
      <c r="B18427" s="4"/>
      <c r="C18427" s="4"/>
      <c r="D18427" s="4"/>
      <c r="E18427" s="4"/>
    </row>
    <row r="18428">
      <c r="A18428" s="4"/>
      <c r="B18428" s="4"/>
      <c r="C18428" s="4"/>
      <c r="D18428" s="4"/>
      <c r="E18428" s="4"/>
    </row>
    <row r="18429">
      <c r="A18429" s="4"/>
      <c r="B18429" s="4"/>
      <c r="C18429" s="4"/>
      <c r="D18429" s="4"/>
      <c r="E18429" s="4"/>
    </row>
    <row r="18430">
      <c r="A18430" s="4"/>
      <c r="B18430" s="4"/>
      <c r="C18430" s="4"/>
      <c r="D18430" s="4"/>
      <c r="E18430" s="4"/>
    </row>
    <row r="18431">
      <c r="A18431" s="4"/>
      <c r="B18431" s="4"/>
      <c r="C18431" s="4"/>
      <c r="D18431" s="4"/>
      <c r="E18431" s="4"/>
    </row>
    <row r="18432">
      <c r="A18432" s="4"/>
      <c r="B18432" s="4"/>
      <c r="C18432" s="4"/>
      <c r="D18432" s="4"/>
      <c r="E18432" s="4"/>
    </row>
    <row r="18433">
      <c r="A18433" s="4"/>
      <c r="B18433" s="4"/>
      <c r="C18433" s="4"/>
      <c r="D18433" s="4"/>
      <c r="E18433" s="4"/>
    </row>
    <row r="18434">
      <c r="A18434" s="4"/>
      <c r="B18434" s="4"/>
      <c r="C18434" s="4"/>
      <c r="D18434" s="4"/>
      <c r="E18434" s="4"/>
    </row>
    <row r="18435">
      <c r="A18435" s="4"/>
      <c r="B18435" s="4"/>
      <c r="C18435" s="4"/>
      <c r="D18435" s="4"/>
      <c r="E18435" s="4"/>
    </row>
    <row r="18436">
      <c r="A18436" s="4"/>
      <c r="B18436" s="4"/>
      <c r="C18436" s="4"/>
      <c r="D18436" s="4"/>
      <c r="E18436" s="4"/>
    </row>
    <row r="18437">
      <c r="A18437" s="4"/>
      <c r="B18437" s="4"/>
      <c r="C18437" s="4"/>
      <c r="D18437" s="4"/>
      <c r="E18437" s="4"/>
    </row>
    <row r="18438">
      <c r="A18438" s="4"/>
      <c r="B18438" s="4"/>
      <c r="C18438" s="4"/>
      <c r="D18438" s="4"/>
      <c r="E18438" s="4"/>
    </row>
    <row r="18439">
      <c r="A18439" s="4"/>
      <c r="B18439" s="4"/>
      <c r="C18439" s="4"/>
      <c r="D18439" s="4"/>
      <c r="E18439" s="4"/>
    </row>
    <row r="18440">
      <c r="A18440" s="4"/>
      <c r="B18440" s="4"/>
      <c r="C18440" s="4"/>
      <c r="D18440" s="4"/>
      <c r="E18440" s="4"/>
    </row>
    <row r="18441">
      <c r="A18441" s="4"/>
      <c r="B18441" s="4"/>
      <c r="C18441" s="4"/>
      <c r="D18441" s="4"/>
      <c r="E18441" s="4"/>
    </row>
    <row r="18442">
      <c r="A18442" s="4"/>
      <c r="B18442" s="4"/>
      <c r="C18442" s="4"/>
      <c r="D18442" s="4"/>
      <c r="E18442" s="4"/>
    </row>
    <row r="18443">
      <c r="A18443" s="4"/>
      <c r="B18443" s="4"/>
      <c r="C18443" s="4"/>
      <c r="D18443" s="4"/>
      <c r="E18443" s="4"/>
    </row>
    <row r="18444">
      <c r="A18444" s="4"/>
      <c r="B18444" s="4"/>
      <c r="C18444" s="4"/>
      <c r="D18444" s="4"/>
      <c r="E18444" s="4"/>
    </row>
    <row r="18445">
      <c r="A18445" s="4"/>
      <c r="B18445" s="4"/>
      <c r="C18445" s="4"/>
      <c r="D18445" s="4"/>
      <c r="E18445" s="4"/>
    </row>
    <row r="18446">
      <c r="A18446" s="4"/>
      <c r="B18446" s="4"/>
      <c r="C18446" s="4"/>
      <c r="D18446" s="4"/>
      <c r="E18446" s="4"/>
    </row>
    <row r="18447">
      <c r="A18447" s="4"/>
      <c r="B18447" s="4"/>
      <c r="C18447" s="4"/>
      <c r="D18447" s="4"/>
      <c r="E18447" s="4"/>
    </row>
    <row r="18448">
      <c r="A18448" s="4"/>
      <c r="B18448" s="4"/>
      <c r="C18448" s="4"/>
      <c r="D18448" s="4"/>
      <c r="E18448" s="4"/>
    </row>
    <row r="18449">
      <c r="A18449" s="4"/>
      <c r="B18449" s="4"/>
      <c r="C18449" s="4"/>
      <c r="D18449" s="4"/>
      <c r="E18449" s="4"/>
    </row>
    <row r="18450">
      <c r="A18450" s="4"/>
      <c r="B18450" s="4"/>
      <c r="C18450" s="4"/>
      <c r="D18450" s="4"/>
      <c r="E18450" s="4"/>
    </row>
    <row r="18451">
      <c r="A18451" s="4"/>
      <c r="B18451" s="4"/>
      <c r="C18451" s="4"/>
      <c r="D18451" s="4"/>
      <c r="E18451" s="4"/>
    </row>
    <row r="18452">
      <c r="A18452" s="4"/>
      <c r="B18452" s="4"/>
      <c r="C18452" s="4"/>
      <c r="D18452" s="4"/>
      <c r="E18452" s="4"/>
    </row>
    <row r="18453">
      <c r="A18453" s="4"/>
      <c r="B18453" s="4"/>
      <c r="C18453" s="4"/>
      <c r="D18453" s="4"/>
      <c r="E18453" s="4"/>
    </row>
    <row r="18454">
      <c r="A18454" s="4"/>
      <c r="B18454" s="4"/>
      <c r="C18454" s="4"/>
      <c r="D18454" s="4"/>
      <c r="E18454" s="4"/>
    </row>
    <row r="18455">
      <c r="A18455" s="4"/>
      <c r="B18455" s="4"/>
      <c r="C18455" s="4"/>
      <c r="D18455" s="4"/>
      <c r="E18455" s="4"/>
    </row>
    <row r="18456">
      <c r="A18456" s="4"/>
      <c r="B18456" s="4"/>
      <c r="C18456" s="4"/>
      <c r="D18456" s="4"/>
      <c r="E18456" s="4"/>
    </row>
    <row r="18457">
      <c r="A18457" s="4"/>
      <c r="B18457" s="4"/>
      <c r="C18457" s="4"/>
      <c r="D18457" s="4"/>
      <c r="E18457" s="4"/>
    </row>
    <row r="18458">
      <c r="A18458" s="4"/>
      <c r="B18458" s="4"/>
      <c r="C18458" s="4"/>
      <c r="D18458" s="4"/>
      <c r="E18458" s="4"/>
    </row>
    <row r="18459">
      <c r="A18459" s="4"/>
      <c r="B18459" s="4"/>
      <c r="C18459" s="4"/>
      <c r="D18459" s="4"/>
      <c r="E18459" s="4"/>
    </row>
    <row r="18460">
      <c r="A18460" s="4"/>
      <c r="B18460" s="4"/>
      <c r="C18460" s="4"/>
      <c r="D18460" s="4"/>
      <c r="E18460" s="4"/>
    </row>
    <row r="18461">
      <c r="A18461" s="4"/>
      <c r="B18461" s="4"/>
      <c r="C18461" s="4"/>
      <c r="D18461" s="4"/>
      <c r="E18461" s="4"/>
    </row>
    <row r="18462">
      <c r="A18462" s="4"/>
      <c r="B18462" s="4"/>
      <c r="C18462" s="4"/>
      <c r="D18462" s="4"/>
      <c r="E18462" s="4"/>
    </row>
    <row r="18463">
      <c r="A18463" s="4"/>
      <c r="B18463" s="4"/>
      <c r="C18463" s="4"/>
      <c r="D18463" s="4"/>
      <c r="E18463" s="4"/>
    </row>
    <row r="18464">
      <c r="A18464" s="4"/>
      <c r="B18464" s="4"/>
      <c r="C18464" s="4"/>
      <c r="D18464" s="4"/>
      <c r="E18464" s="4"/>
    </row>
    <row r="18465">
      <c r="A18465" s="4"/>
      <c r="B18465" s="4"/>
      <c r="C18465" s="4"/>
      <c r="D18465" s="4"/>
      <c r="E18465" s="4"/>
    </row>
    <row r="18466">
      <c r="A18466" s="4"/>
      <c r="B18466" s="4"/>
      <c r="C18466" s="4"/>
      <c r="D18466" s="4"/>
      <c r="E18466" s="4"/>
    </row>
    <row r="18467">
      <c r="A18467" s="4"/>
      <c r="B18467" s="4"/>
      <c r="C18467" s="4"/>
      <c r="D18467" s="4"/>
      <c r="E18467" s="4"/>
    </row>
    <row r="18468">
      <c r="A18468" s="4"/>
      <c r="B18468" s="4"/>
      <c r="C18468" s="4"/>
      <c r="D18468" s="4"/>
      <c r="E18468" s="4"/>
    </row>
    <row r="18469">
      <c r="A18469" s="4"/>
      <c r="B18469" s="4"/>
      <c r="C18469" s="4"/>
      <c r="D18469" s="4"/>
      <c r="E18469" s="4"/>
    </row>
    <row r="18470">
      <c r="A18470" s="4"/>
      <c r="B18470" s="4"/>
      <c r="C18470" s="4"/>
      <c r="D18470" s="4"/>
      <c r="E18470" s="4"/>
    </row>
    <row r="18471">
      <c r="A18471" s="4"/>
      <c r="B18471" s="4"/>
      <c r="C18471" s="4"/>
      <c r="D18471" s="4"/>
      <c r="E18471" s="4"/>
    </row>
    <row r="18472">
      <c r="A18472" s="4"/>
      <c r="B18472" s="4"/>
      <c r="C18472" s="4"/>
      <c r="D18472" s="4"/>
      <c r="E18472" s="4"/>
    </row>
    <row r="18473">
      <c r="A18473" s="4"/>
      <c r="B18473" s="4"/>
      <c r="C18473" s="4"/>
      <c r="D18473" s="4"/>
      <c r="E18473" s="4"/>
    </row>
    <row r="18474">
      <c r="A18474" s="4"/>
      <c r="B18474" s="4"/>
      <c r="C18474" s="4"/>
      <c r="D18474" s="4"/>
      <c r="E18474" s="4"/>
    </row>
    <row r="18475">
      <c r="A18475" s="4"/>
      <c r="B18475" s="4"/>
      <c r="C18475" s="4"/>
      <c r="D18475" s="4"/>
      <c r="E18475" s="4"/>
    </row>
    <row r="18476">
      <c r="A18476" s="4"/>
      <c r="B18476" s="4"/>
      <c r="C18476" s="4"/>
      <c r="D18476" s="4"/>
      <c r="E18476" s="4"/>
    </row>
    <row r="18477">
      <c r="A18477" s="4"/>
      <c r="B18477" s="4"/>
      <c r="C18477" s="4"/>
      <c r="D18477" s="4"/>
      <c r="E18477" s="4"/>
    </row>
    <row r="18478">
      <c r="A18478" s="4"/>
      <c r="B18478" s="4"/>
      <c r="C18478" s="4"/>
      <c r="D18478" s="4"/>
      <c r="E18478" s="4"/>
    </row>
    <row r="18479">
      <c r="A18479" s="4"/>
      <c r="B18479" s="4"/>
      <c r="C18479" s="4"/>
      <c r="D18479" s="4"/>
      <c r="E18479" s="4"/>
    </row>
    <row r="18480">
      <c r="A18480" s="4"/>
      <c r="B18480" s="4"/>
      <c r="C18480" s="4"/>
      <c r="D18480" s="4"/>
      <c r="E18480" s="4"/>
    </row>
    <row r="18481">
      <c r="A18481" s="4"/>
      <c r="B18481" s="4"/>
      <c r="C18481" s="4"/>
      <c r="D18481" s="4"/>
      <c r="E18481" s="4"/>
    </row>
    <row r="18482">
      <c r="A18482" s="4"/>
      <c r="B18482" s="4"/>
      <c r="C18482" s="4"/>
      <c r="D18482" s="4"/>
      <c r="E18482" s="4"/>
    </row>
    <row r="18483">
      <c r="A18483" s="4"/>
      <c r="B18483" s="4"/>
      <c r="C18483" s="4"/>
      <c r="D18483" s="4"/>
      <c r="E18483" s="4"/>
    </row>
    <row r="18484">
      <c r="A18484" s="4"/>
      <c r="B18484" s="4"/>
      <c r="C18484" s="4"/>
      <c r="D18484" s="4"/>
      <c r="E18484" s="4"/>
    </row>
    <row r="18485">
      <c r="A18485" s="4"/>
      <c r="B18485" s="4"/>
      <c r="C18485" s="4"/>
      <c r="D18485" s="4"/>
      <c r="E18485" s="4"/>
    </row>
    <row r="18486">
      <c r="A18486" s="4"/>
      <c r="B18486" s="4"/>
      <c r="C18486" s="4"/>
      <c r="D18486" s="4"/>
      <c r="E18486" s="4"/>
    </row>
    <row r="18487">
      <c r="A18487" s="4"/>
      <c r="B18487" s="4"/>
      <c r="C18487" s="4"/>
      <c r="D18487" s="4"/>
      <c r="E18487" s="4"/>
    </row>
    <row r="18488">
      <c r="A18488" s="4"/>
      <c r="B18488" s="4"/>
      <c r="C18488" s="4"/>
      <c r="D18488" s="4"/>
      <c r="E18488" s="4"/>
    </row>
    <row r="18489">
      <c r="A18489" s="4"/>
      <c r="B18489" s="4"/>
      <c r="C18489" s="4"/>
      <c r="D18489" s="4"/>
      <c r="E18489" s="4"/>
    </row>
    <row r="18490">
      <c r="A18490" s="4"/>
      <c r="B18490" s="4"/>
      <c r="C18490" s="4"/>
      <c r="D18490" s="4"/>
      <c r="E18490" s="4"/>
    </row>
    <row r="18491">
      <c r="A18491" s="4"/>
      <c r="B18491" s="4"/>
      <c r="C18491" s="4"/>
      <c r="D18491" s="4"/>
      <c r="E18491" s="4"/>
    </row>
    <row r="18492">
      <c r="A18492" s="4"/>
      <c r="B18492" s="4"/>
      <c r="C18492" s="4"/>
      <c r="D18492" s="4"/>
      <c r="E18492" s="4"/>
    </row>
    <row r="18493">
      <c r="A18493" s="4"/>
      <c r="B18493" s="4"/>
      <c r="C18493" s="4"/>
      <c r="D18493" s="4"/>
      <c r="E18493" s="4"/>
    </row>
    <row r="18494">
      <c r="A18494" s="4"/>
      <c r="B18494" s="4"/>
      <c r="C18494" s="4"/>
      <c r="D18494" s="4"/>
      <c r="E18494" s="4"/>
    </row>
    <row r="18495">
      <c r="A18495" s="4"/>
      <c r="B18495" s="4"/>
      <c r="C18495" s="4"/>
      <c r="D18495" s="4"/>
      <c r="E18495" s="4"/>
    </row>
    <row r="18496">
      <c r="A18496" s="4"/>
      <c r="B18496" s="4"/>
      <c r="C18496" s="4"/>
      <c r="D18496" s="4"/>
      <c r="E18496" s="4"/>
    </row>
    <row r="18497">
      <c r="A18497" s="4"/>
      <c r="B18497" s="4"/>
      <c r="C18497" s="4"/>
      <c r="D18497" s="4"/>
      <c r="E18497" s="4"/>
    </row>
    <row r="18498">
      <c r="A18498" s="4"/>
      <c r="B18498" s="4"/>
      <c r="C18498" s="4"/>
      <c r="D18498" s="4"/>
      <c r="E18498" s="4"/>
    </row>
    <row r="18499">
      <c r="A18499" s="4"/>
      <c r="B18499" s="4"/>
      <c r="C18499" s="4"/>
      <c r="D18499" s="4"/>
      <c r="E18499" s="4"/>
    </row>
    <row r="18500">
      <c r="A18500" s="4"/>
      <c r="B18500" s="4"/>
      <c r="C18500" s="4"/>
      <c r="D18500" s="4"/>
      <c r="E18500" s="4"/>
    </row>
    <row r="18501">
      <c r="A18501" s="4"/>
      <c r="B18501" s="4"/>
      <c r="C18501" s="4"/>
      <c r="D18501" s="4"/>
      <c r="E18501" s="4"/>
    </row>
    <row r="18502">
      <c r="A18502" s="4"/>
      <c r="B18502" s="4"/>
      <c r="C18502" s="4"/>
      <c r="D18502" s="4"/>
      <c r="E18502" s="4"/>
    </row>
    <row r="18503">
      <c r="A18503" s="4"/>
      <c r="B18503" s="4"/>
      <c r="C18503" s="4"/>
      <c r="D18503" s="4"/>
      <c r="E18503" s="4"/>
    </row>
    <row r="18504">
      <c r="A18504" s="4"/>
      <c r="B18504" s="4"/>
      <c r="C18504" s="4"/>
      <c r="D18504" s="4"/>
      <c r="E18504" s="4"/>
    </row>
    <row r="18505">
      <c r="A18505" s="4"/>
      <c r="B18505" s="4"/>
      <c r="C18505" s="4"/>
      <c r="D18505" s="4"/>
      <c r="E18505" s="4"/>
    </row>
    <row r="18506">
      <c r="A18506" s="4"/>
      <c r="B18506" s="4"/>
      <c r="C18506" s="4"/>
      <c r="D18506" s="4"/>
      <c r="E18506" s="4"/>
    </row>
    <row r="18507">
      <c r="A18507" s="4"/>
      <c r="B18507" s="4"/>
      <c r="C18507" s="4"/>
      <c r="D18507" s="4"/>
      <c r="E18507" s="4"/>
    </row>
    <row r="18508">
      <c r="A18508" s="4"/>
      <c r="B18508" s="4"/>
      <c r="C18508" s="4"/>
      <c r="D18508" s="4"/>
      <c r="E18508" s="4"/>
    </row>
    <row r="18509">
      <c r="A18509" s="4"/>
      <c r="B18509" s="4"/>
      <c r="C18509" s="4"/>
      <c r="D18509" s="4"/>
      <c r="E18509" s="4"/>
    </row>
    <row r="18510">
      <c r="A18510" s="4"/>
      <c r="B18510" s="4"/>
      <c r="C18510" s="4"/>
      <c r="D18510" s="4"/>
      <c r="E18510" s="4"/>
    </row>
    <row r="18511">
      <c r="A18511" s="4"/>
      <c r="B18511" s="4"/>
      <c r="C18511" s="4"/>
      <c r="D18511" s="4"/>
      <c r="E18511" s="4"/>
    </row>
    <row r="18512">
      <c r="A18512" s="4"/>
      <c r="B18512" s="4"/>
      <c r="C18512" s="4"/>
      <c r="D18512" s="4"/>
      <c r="E18512" s="4"/>
    </row>
    <row r="18513">
      <c r="A18513" s="4"/>
      <c r="B18513" s="4"/>
      <c r="C18513" s="4"/>
      <c r="D18513" s="4"/>
      <c r="E18513" s="4"/>
    </row>
    <row r="18514">
      <c r="A18514" s="4"/>
      <c r="B18514" s="4"/>
      <c r="C18514" s="4"/>
      <c r="D18514" s="4"/>
      <c r="E18514" s="4"/>
    </row>
    <row r="18515">
      <c r="A18515" s="4"/>
      <c r="B18515" s="4"/>
      <c r="C18515" s="4"/>
      <c r="D18515" s="4"/>
      <c r="E18515" s="4"/>
    </row>
    <row r="18516">
      <c r="A18516" s="4"/>
      <c r="B18516" s="4"/>
      <c r="C18516" s="4"/>
      <c r="D18516" s="4"/>
      <c r="E18516" s="4"/>
    </row>
    <row r="18517">
      <c r="A18517" s="4"/>
      <c r="B18517" s="4"/>
      <c r="C18517" s="4"/>
      <c r="D18517" s="4"/>
      <c r="E18517" s="4"/>
    </row>
    <row r="18518">
      <c r="A18518" s="4"/>
      <c r="B18518" s="4"/>
      <c r="C18518" s="4"/>
      <c r="D18518" s="4"/>
      <c r="E18518" s="4"/>
    </row>
    <row r="18519">
      <c r="A18519" s="4"/>
      <c r="B18519" s="4"/>
      <c r="C18519" s="4"/>
      <c r="D18519" s="4"/>
      <c r="E18519" s="4"/>
    </row>
    <row r="18520">
      <c r="A18520" s="4"/>
      <c r="B18520" s="4"/>
      <c r="C18520" s="4"/>
      <c r="D18520" s="4"/>
      <c r="E18520" s="4"/>
    </row>
    <row r="18521">
      <c r="A18521" s="4"/>
      <c r="B18521" s="4"/>
      <c r="C18521" s="4"/>
      <c r="D18521" s="4"/>
      <c r="E18521" s="4"/>
    </row>
    <row r="18522">
      <c r="A18522" s="4"/>
      <c r="B18522" s="4"/>
      <c r="C18522" s="4"/>
      <c r="D18522" s="4"/>
      <c r="E18522" s="4"/>
    </row>
    <row r="18523">
      <c r="A18523" s="4"/>
      <c r="B18523" s="4"/>
      <c r="C18523" s="4"/>
      <c r="D18523" s="4"/>
      <c r="E18523" s="4"/>
    </row>
    <row r="18524">
      <c r="A18524" s="4"/>
      <c r="B18524" s="4"/>
      <c r="C18524" s="4"/>
      <c r="D18524" s="4"/>
      <c r="E18524" s="4"/>
    </row>
    <row r="18525">
      <c r="A18525" s="4"/>
      <c r="B18525" s="4"/>
      <c r="C18525" s="4"/>
      <c r="D18525" s="4"/>
      <c r="E18525" s="4"/>
    </row>
    <row r="18526">
      <c r="A18526" s="4"/>
      <c r="B18526" s="4"/>
      <c r="C18526" s="4"/>
      <c r="D18526" s="4"/>
      <c r="E18526" s="4"/>
    </row>
    <row r="18527">
      <c r="A18527" s="4"/>
      <c r="B18527" s="4"/>
      <c r="C18527" s="4"/>
      <c r="D18527" s="4"/>
      <c r="E18527" s="4"/>
    </row>
    <row r="18528">
      <c r="A18528" s="4"/>
      <c r="B18528" s="4"/>
      <c r="C18528" s="4"/>
      <c r="D18528" s="4"/>
      <c r="E18528" s="4"/>
    </row>
    <row r="18529">
      <c r="A18529" s="4"/>
      <c r="B18529" s="4"/>
      <c r="C18529" s="4"/>
      <c r="D18529" s="4"/>
      <c r="E18529" s="4"/>
    </row>
    <row r="18530">
      <c r="A18530" s="4"/>
      <c r="B18530" s="4"/>
      <c r="C18530" s="4"/>
      <c r="D18530" s="4"/>
      <c r="E18530" s="4"/>
    </row>
    <row r="18531">
      <c r="A18531" s="4"/>
      <c r="B18531" s="4"/>
      <c r="C18531" s="4"/>
      <c r="D18531" s="4"/>
      <c r="E18531" s="4"/>
    </row>
    <row r="18532">
      <c r="A18532" s="4"/>
      <c r="B18532" s="4"/>
      <c r="C18532" s="4"/>
      <c r="D18532" s="4"/>
      <c r="E18532" s="4"/>
    </row>
    <row r="18533">
      <c r="A18533" s="4"/>
      <c r="B18533" s="4"/>
      <c r="C18533" s="4"/>
      <c r="D18533" s="4"/>
      <c r="E18533" s="4"/>
    </row>
    <row r="18534">
      <c r="A18534" s="4"/>
      <c r="B18534" s="4"/>
      <c r="C18534" s="4"/>
      <c r="D18534" s="4"/>
      <c r="E18534" s="4"/>
    </row>
    <row r="18535">
      <c r="A18535" s="4"/>
      <c r="B18535" s="4"/>
      <c r="C18535" s="4"/>
      <c r="D18535" s="4"/>
      <c r="E18535" s="4"/>
    </row>
    <row r="18536">
      <c r="A18536" s="4"/>
      <c r="B18536" s="4"/>
      <c r="C18536" s="4"/>
      <c r="D18536" s="4"/>
      <c r="E18536" s="4"/>
    </row>
    <row r="18537">
      <c r="A18537" s="4"/>
      <c r="B18537" s="4"/>
      <c r="C18537" s="4"/>
      <c r="D18537" s="4"/>
      <c r="E18537" s="4"/>
    </row>
    <row r="18538">
      <c r="A18538" s="4"/>
      <c r="B18538" s="4"/>
      <c r="C18538" s="4"/>
      <c r="D18538" s="4"/>
      <c r="E18538" s="4"/>
    </row>
    <row r="18539">
      <c r="A18539" s="4"/>
      <c r="B18539" s="4"/>
      <c r="C18539" s="4"/>
      <c r="D18539" s="4"/>
      <c r="E18539" s="4"/>
    </row>
    <row r="18540">
      <c r="A18540" s="4"/>
      <c r="B18540" s="4"/>
      <c r="C18540" s="4"/>
      <c r="D18540" s="4"/>
      <c r="E18540" s="4"/>
    </row>
    <row r="18541">
      <c r="A18541" s="4"/>
      <c r="B18541" s="4"/>
      <c r="C18541" s="4"/>
      <c r="D18541" s="4"/>
      <c r="E18541" s="4"/>
    </row>
    <row r="18542">
      <c r="A18542" s="4"/>
      <c r="B18542" s="4"/>
      <c r="C18542" s="4"/>
      <c r="D18542" s="4"/>
      <c r="E18542" s="4"/>
    </row>
    <row r="18543">
      <c r="A18543" s="4"/>
      <c r="B18543" s="4"/>
      <c r="C18543" s="4"/>
      <c r="D18543" s="4"/>
      <c r="E18543" s="4"/>
    </row>
    <row r="18544">
      <c r="A18544" s="4"/>
      <c r="B18544" s="4"/>
      <c r="C18544" s="4"/>
      <c r="D18544" s="4"/>
      <c r="E18544" s="4"/>
    </row>
    <row r="18545">
      <c r="A18545" s="4"/>
      <c r="B18545" s="4"/>
      <c r="C18545" s="4"/>
      <c r="D18545" s="4"/>
      <c r="E18545" s="4"/>
    </row>
    <row r="18546">
      <c r="A18546" s="4"/>
      <c r="B18546" s="4"/>
      <c r="C18546" s="4"/>
      <c r="D18546" s="4"/>
      <c r="E18546" s="4"/>
    </row>
    <row r="18547">
      <c r="A18547" s="4"/>
      <c r="B18547" s="4"/>
      <c r="C18547" s="4"/>
      <c r="D18547" s="4"/>
      <c r="E18547" s="4"/>
    </row>
    <row r="18548">
      <c r="A18548" s="4"/>
      <c r="B18548" s="4"/>
      <c r="C18548" s="4"/>
      <c r="D18548" s="4"/>
      <c r="E18548" s="4"/>
    </row>
    <row r="18549">
      <c r="A18549" s="4"/>
      <c r="B18549" s="4"/>
      <c r="C18549" s="4"/>
      <c r="D18549" s="4"/>
      <c r="E18549" s="4"/>
    </row>
    <row r="18550">
      <c r="A18550" s="4"/>
      <c r="B18550" s="4"/>
      <c r="C18550" s="4"/>
      <c r="D18550" s="4"/>
      <c r="E18550" s="4"/>
    </row>
    <row r="18551">
      <c r="A18551" s="4"/>
      <c r="B18551" s="4"/>
      <c r="C18551" s="4"/>
      <c r="D18551" s="4"/>
      <c r="E18551" s="4"/>
    </row>
    <row r="18552">
      <c r="A18552" s="4"/>
      <c r="B18552" s="4"/>
      <c r="C18552" s="4"/>
      <c r="D18552" s="4"/>
      <c r="E18552" s="4"/>
    </row>
    <row r="18553">
      <c r="A18553" s="4"/>
      <c r="B18553" s="4"/>
      <c r="C18553" s="4"/>
      <c r="D18553" s="4"/>
      <c r="E18553" s="4"/>
    </row>
    <row r="18554">
      <c r="A18554" s="4"/>
      <c r="B18554" s="4"/>
      <c r="C18554" s="4"/>
      <c r="D18554" s="4"/>
      <c r="E18554" s="4"/>
    </row>
    <row r="18555">
      <c r="A18555" s="4"/>
      <c r="B18555" s="4"/>
      <c r="C18555" s="4"/>
      <c r="D18555" s="4"/>
      <c r="E18555" s="4"/>
    </row>
    <row r="18556">
      <c r="A18556" s="4"/>
      <c r="B18556" s="4"/>
      <c r="C18556" s="4"/>
      <c r="D18556" s="4"/>
      <c r="E18556" s="4"/>
    </row>
    <row r="18557">
      <c r="A18557" s="4"/>
      <c r="B18557" s="4"/>
      <c r="C18557" s="4"/>
      <c r="D18557" s="4"/>
      <c r="E18557" s="4"/>
    </row>
    <row r="18558">
      <c r="A18558" s="4"/>
      <c r="B18558" s="4"/>
      <c r="C18558" s="4"/>
      <c r="D18558" s="4"/>
      <c r="E18558" s="4"/>
    </row>
    <row r="18559">
      <c r="A18559" s="4"/>
      <c r="B18559" s="4"/>
      <c r="C18559" s="4"/>
      <c r="D18559" s="4"/>
      <c r="E18559" s="4"/>
    </row>
    <row r="18560">
      <c r="A18560" s="4"/>
      <c r="B18560" s="4"/>
      <c r="C18560" s="4"/>
      <c r="D18560" s="4"/>
      <c r="E18560" s="4"/>
    </row>
    <row r="18561">
      <c r="A18561" s="4"/>
      <c r="B18561" s="4"/>
      <c r="C18561" s="4"/>
      <c r="D18561" s="4"/>
      <c r="E18561" s="4"/>
    </row>
    <row r="18562">
      <c r="A18562" s="4"/>
      <c r="B18562" s="4"/>
      <c r="C18562" s="4"/>
      <c r="D18562" s="4"/>
      <c r="E18562" s="4"/>
    </row>
    <row r="18563">
      <c r="A18563" s="4"/>
      <c r="B18563" s="4"/>
      <c r="C18563" s="4"/>
      <c r="D18563" s="4"/>
      <c r="E18563" s="4"/>
    </row>
    <row r="18564">
      <c r="A18564" s="4"/>
      <c r="B18564" s="4"/>
      <c r="C18564" s="4"/>
      <c r="D18564" s="4"/>
      <c r="E18564" s="4"/>
    </row>
    <row r="18565">
      <c r="A18565" s="4"/>
      <c r="B18565" s="4"/>
      <c r="C18565" s="4"/>
      <c r="D18565" s="4"/>
      <c r="E18565" s="4"/>
    </row>
    <row r="18566">
      <c r="A18566" s="4"/>
      <c r="B18566" s="4"/>
      <c r="C18566" s="4"/>
      <c r="D18566" s="4"/>
      <c r="E18566" s="4"/>
    </row>
    <row r="18567">
      <c r="A18567" s="4"/>
      <c r="B18567" s="4"/>
      <c r="C18567" s="4"/>
      <c r="D18567" s="4"/>
      <c r="E18567" s="4"/>
    </row>
    <row r="18568">
      <c r="A18568" s="4"/>
      <c r="B18568" s="4"/>
      <c r="C18568" s="4"/>
      <c r="D18568" s="4"/>
      <c r="E18568" s="4"/>
    </row>
    <row r="18569">
      <c r="A18569" s="4"/>
      <c r="B18569" s="4"/>
      <c r="C18569" s="4"/>
      <c r="D18569" s="4"/>
      <c r="E18569" s="4"/>
    </row>
    <row r="18570">
      <c r="A18570" s="4"/>
      <c r="B18570" s="4"/>
      <c r="C18570" s="4"/>
      <c r="D18570" s="4"/>
      <c r="E18570" s="4"/>
    </row>
    <row r="18571">
      <c r="A18571" s="4"/>
      <c r="B18571" s="4"/>
      <c r="C18571" s="4"/>
      <c r="D18571" s="4"/>
      <c r="E18571" s="4"/>
    </row>
    <row r="18572">
      <c r="A18572" s="4"/>
      <c r="B18572" s="4"/>
      <c r="C18572" s="4"/>
      <c r="D18572" s="4"/>
      <c r="E18572" s="4"/>
    </row>
    <row r="18573">
      <c r="A18573" s="4"/>
      <c r="B18573" s="4"/>
      <c r="C18573" s="4"/>
      <c r="D18573" s="4"/>
      <c r="E18573" s="4"/>
    </row>
    <row r="18574">
      <c r="A18574" s="4"/>
      <c r="B18574" s="4"/>
      <c r="C18574" s="4"/>
      <c r="D18574" s="4"/>
      <c r="E18574" s="4"/>
    </row>
    <row r="18575">
      <c r="A18575" s="4"/>
      <c r="B18575" s="4"/>
      <c r="C18575" s="4"/>
      <c r="D18575" s="4"/>
      <c r="E18575" s="4"/>
    </row>
    <row r="18576">
      <c r="A18576" s="4"/>
      <c r="B18576" s="4"/>
      <c r="C18576" s="4"/>
      <c r="D18576" s="4"/>
      <c r="E18576" s="4"/>
    </row>
    <row r="18577">
      <c r="A18577" s="4"/>
      <c r="B18577" s="4"/>
      <c r="C18577" s="4"/>
      <c r="D18577" s="4"/>
      <c r="E18577" s="4"/>
    </row>
    <row r="18578">
      <c r="A18578" s="4"/>
      <c r="B18578" s="4"/>
      <c r="C18578" s="4"/>
      <c r="D18578" s="4"/>
      <c r="E18578" s="4"/>
    </row>
    <row r="18579">
      <c r="A18579" s="4"/>
      <c r="B18579" s="4"/>
      <c r="C18579" s="4"/>
      <c r="D18579" s="4"/>
      <c r="E18579" s="4"/>
    </row>
    <row r="18580">
      <c r="A18580" s="4"/>
      <c r="B18580" s="4"/>
      <c r="C18580" s="4"/>
      <c r="D18580" s="4"/>
      <c r="E18580" s="4"/>
    </row>
    <row r="18581">
      <c r="A18581" s="4"/>
      <c r="B18581" s="4"/>
      <c r="C18581" s="4"/>
      <c r="D18581" s="4"/>
      <c r="E18581" s="4"/>
    </row>
    <row r="18582">
      <c r="A18582" s="4"/>
      <c r="B18582" s="4"/>
      <c r="C18582" s="4"/>
      <c r="D18582" s="4"/>
      <c r="E18582" s="4"/>
    </row>
    <row r="18583">
      <c r="A18583" s="4"/>
      <c r="B18583" s="4"/>
      <c r="C18583" s="4"/>
      <c r="D18583" s="4"/>
      <c r="E18583" s="4"/>
    </row>
    <row r="18584">
      <c r="A18584" s="4"/>
      <c r="B18584" s="4"/>
      <c r="C18584" s="4"/>
      <c r="D18584" s="4"/>
      <c r="E18584" s="4"/>
    </row>
    <row r="18585">
      <c r="A18585" s="4"/>
      <c r="B18585" s="4"/>
      <c r="C18585" s="4"/>
      <c r="D18585" s="4"/>
      <c r="E18585" s="4"/>
    </row>
    <row r="18586">
      <c r="A18586" s="4"/>
      <c r="B18586" s="4"/>
      <c r="C18586" s="4"/>
      <c r="D18586" s="4"/>
      <c r="E18586" s="4"/>
    </row>
    <row r="18587">
      <c r="A18587" s="4"/>
      <c r="B18587" s="4"/>
      <c r="C18587" s="4"/>
      <c r="D18587" s="4"/>
      <c r="E18587" s="4"/>
    </row>
    <row r="18588">
      <c r="A18588" s="4"/>
      <c r="B18588" s="4"/>
      <c r="C18588" s="4"/>
      <c r="D18588" s="4"/>
      <c r="E18588" s="4"/>
    </row>
    <row r="18589">
      <c r="A18589" s="4"/>
      <c r="B18589" s="4"/>
      <c r="C18589" s="4"/>
      <c r="D18589" s="4"/>
      <c r="E18589" s="4"/>
    </row>
    <row r="18590">
      <c r="A18590" s="4"/>
      <c r="B18590" s="4"/>
      <c r="C18590" s="4"/>
      <c r="D18590" s="4"/>
      <c r="E18590" s="4"/>
    </row>
    <row r="18591">
      <c r="A18591" s="4"/>
      <c r="B18591" s="4"/>
      <c r="C18591" s="4"/>
      <c r="D18591" s="4"/>
      <c r="E18591" s="4"/>
    </row>
    <row r="18592">
      <c r="A18592" s="4"/>
      <c r="B18592" s="4"/>
      <c r="C18592" s="4"/>
      <c r="D18592" s="4"/>
      <c r="E18592" s="4"/>
    </row>
    <row r="18593">
      <c r="A18593" s="4"/>
      <c r="B18593" s="4"/>
      <c r="C18593" s="4"/>
      <c r="D18593" s="4"/>
      <c r="E18593" s="4"/>
    </row>
    <row r="18594">
      <c r="A18594" s="4"/>
      <c r="B18594" s="4"/>
      <c r="C18594" s="4"/>
      <c r="D18594" s="4"/>
      <c r="E18594" s="4"/>
    </row>
    <row r="18595">
      <c r="A18595" s="4"/>
      <c r="B18595" s="4"/>
      <c r="C18595" s="4"/>
      <c r="D18595" s="4"/>
      <c r="E18595" s="4"/>
    </row>
    <row r="18596">
      <c r="A18596" s="4"/>
      <c r="B18596" s="4"/>
      <c r="C18596" s="4"/>
      <c r="D18596" s="4"/>
      <c r="E18596" s="4"/>
    </row>
    <row r="18597">
      <c r="A18597" s="4"/>
      <c r="B18597" s="4"/>
      <c r="C18597" s="4"/>
      <c r="D18597" s="4"/>
      <c r="E18597" s="4"/>
    </row>
    <row r="18598">
      <c r="A18598" s="4"/>
      <c r="B18598" s="4"/>
      <c r="C18598" s="4"/>
      <c r="D18598" s="4"/>
      <c r="E18598" s="4"/>
    </row>
    <row r="18599">
      <c r="A18599" s="4"/>
      <c r="B18599" s="4"/>
      <c r="C18599" s="4"/>
      <c r="D18599" s="4"/>
      <c r="E18599" s="4"/>
    </row>
    <row r="18600">
      <c r="A18600" s="4"/>
      <c r="B18600" s="4"/>
      <c r="C18600" s="4"/>
      <c r="D18600" s="4"/>
      <c r="E18600" s="4"/>
    </row>
    <row r="18601">
      <c r="A18601" s="4"/>
      <c r="B18601" s="4"/>
      <c r="C18601" s="4"/>
      <c r="D18601" s="4"/>
      <c r="E18601" s="4"/>
    </row>
    <row r="18602">
      <c r="A18602" s="4"/>
      <c r="B18602" s="4"/>
      <c r="C18602" s="4"/>
      <c r="D18602" s="4"/>
      <c r="E18602" s="4"/>
    </row>
    <row r="18603">
      <c r="A18603" s="4"/>
      <c r="B18603" s="4"/>
      <c r="C18603" s="4"/>
      <c r="D18603" s="4"/>
      <c r="E18603" s="4"/>
    </row>
    <row r="18604">
      <c r="A18604" s="4"/>
      <c r="B18604" s="4"/>
      <c r="C18604" s="4"/>
      <c r="D18604" s="4"/>
      <c r="E18604" s="4"/>
    </row>
    <row r="18605">
      <c r="A18605" s="4"/>
      <c r="B18605" s="4"/>
      <c r="C18605" s="4"/>
      <c r="D18605" s="4"/>
      <c r="E18605" s="4"/>
    </row>
    <row r="18606">
      <c r="A18606" s="4"/>
      <c r="B18606" s="4"/>
      <c r="C18606" s="4"/>
      <c r="D18606" s="4"/>
      <c r="E18606" s="4"/>
    </row>
    <row r="18607">
      <c r="A18607" s="4"/>
      <c r="B18607" s="4"/>
      <c r="C18607" s="4"/>
      <c r="D18607" s="4"/>
      <c r="E18607" s="4"/>
    </row>
    <row r="18608">
      <c r="A18608" s="4"/>
      <c r="B18608" s="4"/>
      <c r="C18608" s="4"/>
      <c r="D18608" s="4"/>
      <c r="E18608" s="4"/>
    </row>
    <row r="18609">
      <c r="A18609" s="4"/>
      <c r="B18609" s="4"/>
      <c r="C18609" s="4"/>
      <c r="D18609" s="4"/>
      <c r="E18609" s="4"/>
    </row>
    <row r="18610">
      <c r="A18610" s="4"/>
      <c r="B18610" s="4"/>
      <c r="C18610" s="4"/>
      <c r="D18610" s="4"/>
      <c r="E18610" s="4"/>
    </row>
    <row r="18611">
      <c r="A18611" s="4"/>
      <c r="B18611" s="4"/>
      <c r="C18611" s="4"/>
      <c r="D18611" s="4"/>
      <c r="E18611" s="4"/>
    </row>
    <row r="18612">
      <c r="A18612" s="4"/>
      <c r="B18612" s="4"/>
      <c r="C18612" s="4"/>
      <c r="D18612" s="4"/>
      <c r="E18612" s="4"/>
    </row>
    <row r="18613">
      <c r="A18613" s="4"/>
      <c r="B18613" s="4"/>
      <c r="C18613" s="4"/>
      <c r="D18613" s="4"/>
      <c r="E18613" s="4"/>
    </row>
    <row r="18614">
      <c r="A18614" s="4"/>
      <c r="B18614" s="4"/>
      <c r="C18614" s="4"/>
      <c r="D18614" s="4"/>
      <c r="E18614" s="4"/>
    </row>
    <row r="18615">
      <c r="A18615" s="4"/>
      <c r="B18615" s="4"/>
      <c r="C18615" s="4"/>
      <c r="D18615" s="4"/>
      <c r="E18615" s="4"/>
    </row>
    <row r="18616">
      <c r="A18616" s="4"/>
      <c r="B18616" s="4"/>
      <c r="C18616" s="4"/>
      <c r="D18616" s="4"/>
      <c r="E18616" s="4"/>
    </row>
    <row r="18617">
      <c r="A18617" s="4"/>
      <c r="B18617" s="4"/>
      <c r="C18617" s="4"/>
      <c r="D18617" s="4"/>
      <c r="E18617" s="4"/>
    </row>
    <row r="18618">
      <c r="A18618" s="4"/>
      <c r="B18618" s="4"/>
      <c r="C18618" s="4"/>
      <c r="D18618" s="4"/>
      <c r="E18618" s="4"/>
    </row>
    <row r="18619">
      <c r="A18619" s="4"/>
      <c r="B18619" s="4"/>
      <c r="C18619" s="4"/>
      <c r="D18619" s="4"/>
      <c r="E18619" s="4"/>
    </row>
    <row r="18620">
      <c r="A18620" s="4"/>
      <c r="B18620" s="4"/>
      <c r="C18620" s="4"/>
      <c r="D18620" s="4"/>
      <c r="E18620" s="4"/>
    </row>
    <row r="18621">
      <c r="A18621" s="4"/>
      <c r="B18621" s="4"/>
      <c r="C18621" s="4"/>
      <c r="D18621" s="4"/>
      <c r="E18621" s="4"/>
    </row>
    <row r="18622">
      <c r="A18622" s="4"/>
      <c r="B18622" s="4"/>
      <c r="C18622" s="4"/>
      <c r="D18622" s="4"/>
      <c r="E18622" s="4"/>
    </row>
    <row r="18623">
      <c r="A18623" s="4"/>
      <c r="B18623" s="4"/>
      <c r="C18623" s="4"/>
      <c r="D18623" s="4"/>
      <c r="E18623" s="4"/>
    </row>
    <row r="18624">
      <c r="A18624" s="4"/>
      <c r="B18624" s="4"/>
      <c r="C18624" s="4"/>
      <c r="D18624" s="4"/>
      <c r="E18624" s="4"/>
    </row>
    <row r="18625">
      <c r="A18625" s="4"/>
      <c r="B18625" s="4"/>
      <c r="C18625" s="4"/>
      <c r="D18625" s="4"/>
      <c r="E18625" s="4"/>
    </row>
    <row r="18626">
      <c r="A18626" s="4"/>
      <c r="B18626" s="4"/>
      <c r="C18626" s="4"/>
      <c r="D18626" s="4"/>
      <c r="E18626" s="4"/>
    </row>
    <row r="18627">
      <c r="A18627" s="4"/>
      <c r="B18627" s="4"/>
      <c r="C18627" s="4"/>
      <c r="D18627" s="4"/>
      <c r="E18627" s="4"/>
    </row>
    <row r="18628">
      <c r="A18628" s="4"/>
      <c r="B18628" s="4"/>
      <c r="C18628" s="4"/>
      <c r="D18628" s="4"/>
      <c r="E18628" s="4"/>
    </row>
    <row r="18629">
      <c r="A18629" s="4"/>
      <c r="B18629" s="4"/>
      <c r="C18629" s="4"/>
      <c r="D18629" s="4"/>
      <c r="E18629" s="4"/>
    </row>
    <row r="18630">
      <c r="A18630" s="4"/>
      <c r="B18630" s="4"/>
      <c r="C18630" s="4"/>
      <c r="D18630" s="4"/>
      <c r="E18630" s="4"/>
    </row>
    <row r="18631">
      <c r="A18631" s="4"/>
      <c r="B18631" s="4"/>
      <c r="C18631" s="4"/>
      <c r="D18631" s="4"/>
      <c r="E18631" s="4"/>
    </row>
    <row r="18632">
      <c r="A18632" s="4"/>
      <c r="B18632" s="4"/>
      <c r="C18632" s="4"/>
      <c r="D18632" s="4"/>
      <c r="E18632" s="4"/>
    </row>
    <row r="18633">
      <c r="A18633" s="4"/>
      <c r="B18633" s="4"/>
      <c r="C18633" s="4"/>
      <c r="D18633" s="4"/>
      <c r="E18633" s="4"/>
    </row>
    <row r="18634">
      <c r="A18634" s="4"/>
      <c r="B18634" s="4"/>
      <c r="C18634" s="4"/>
      <c r="D18634" s="4"/>
      <c r="E18634" s="4"/>
    </row>
    <row r="18635">
      <c r="A18635" s="4"/>
      <c r="B18635" s="4"/>
      <c r="C18635" s="4"/>
      <c r="D18635" s="4"/>
      <c r="E18635" s="4"/>
    </row>
    <row r="18636">
      <c r="A18636" s="4"/>
      <c r="B18636" s="4"/>
      <c r="C18636" s="4"/>
      <c r="D18636" s="4"/>
      <c r="E18636" s="4"/>
    </row>
    <row r="18637">
      <c r="A18637" s="4"/>
      <c r="B18637" s="4"/>
      <c r="C18637" s="4"/>
      <c r="D18637" s="4"/>
      <c r="E18637" s="4"/>
    </row>
    <row r="18638">
      <c r="A18638" s="4"/>
      <c r="B18638" s="4"/>
      <c r="C18638" s="4"/>
      <c r="D18638" s="4"/>
      <c r="E18638" s="4"/>
    </row>
    <row r="18639">
      <c r="A18639" s="4"/>
      <c r="B18639" s="4"/>
      <c r="C18639" s="4"/>
      <c r="D18639" s="4"/>
      <c r="E18639" s="4"/>
    </row>
    <row r="18640">
      <c r="A18640" s="4"/>
      <c r="B18640" s="4"/>
      <c r="C18640" s="4"/>
      <c r="D18640" s="4"/>
      <c r="E18640" s="4"/>
    </row>
    <row r="18641">
      <c r="A18641" s="4"/>
      <c r="B18641" s="4"/>
      <c r="C18641" s="4"/>
      <c r="D18641" s="4"/>
      <c r="E18641" s="4"/>
    </row>
    <row r="18642">
      <c r="A18642" s="4"/>
      <c r="B18642" s="4"/>
      <c r="C18642" s="4"/>
      <c r="D18642" s="4"/>
      <c r="E18642" s="4"/>
    </row>
    <row r="18643">
      <c r="A18643" s="4"/>
      <c r="B18643" s="4"/>
      <c r="C18643" s="4"/>
      <c r="D18643" s="4"/>
      <c r="E18643" s="4"/>
    </row>
    <row r="18644">
      <c r="A18644" s="4"/>
      <c r="B18644" s="4"/>
      <c r="C18644" s="4"/>
      <c r="D18644" s="4"/>
      <c r="E18644" s="4"/>
    </row>
    <row r="18645">
      <c r="A18645" s="4"/>
      <c r="B18645" s="4"/>
      <c r="C18645" s="4"/>
      <c r="D18645" s="4"/>
      <c r="E18645" s="4"/>
    </row>
    <row r="18646">
      <c r="A18646" s="4"/>
      <c r="B18646" s="4"/>
      <c r="C18646" s="4"/>
      <c r="D18646" s="4"/>
      <c r="E18646" s="4"/>
    </row>
    <row r="18647">
      <c r="A18647" s="4"/>
      <c r="B18647" s="4"/>
      <c r="C18647" s="4"/>
      <c r="D18647" s="4"/>
      <c r="E18647" s="4"/>
    </row>
    <row r="18648">
      <c r="A18648" s="4"/>
      <c r="B18648" s="4"/>
      <c r="C18648" s="4"/>
      <c r="D18648" s="4"/>
      <c r="E18648" s="4"/>
    </row>
    <row r="18649">
      <c r="A18649" s="4"/>
      <c r="B18649" s="4"/>
      <c r="C18649" s="4"/>
      <c r="D18649" s="4"/>
      <c r="E18649" s="4"/>
    </row>
    <row r="18650">
      <c r="A18650" s="4"/>
      <c r="B18650" s="4"/>
      <c r="C18650" s="4"/>
      <c r="D18650" s="4"/>
      <c r="E18650" s="4"/>
    </row>
    <row r="18651">
      <c r="A18651" s="4"/>
      <c r="B18651" s="4"/>
      <c r="C18651" s="4"/>
      <c r="D18651" s="4"/>
      <c r="E18651" s="4"/>
    </row>
    <row r="18652">
      <c r="A18652" s="4"/>
      <c r="B18652" s="4"/>
      <c r="C18652" s="4"/>
      <c r="D18652" s="4"/>
      <c r="E18652" s="4"/>
    </row>
    <row r="18653">
      <c r="A18653" s="4"/>
      <c r="B18653" s="4"/>
      <c r="C18653" s="4"/>
      <c r="D18653" s="4"/>
      <c r="E18653" s="4"/>
    </row>
    <row r="18654">
      <c r="A18654" s="4"/>
      <c r="B18654" s="4"/>
      <c r="C18654" s="4"/>
      <c r="D18654" s="4"/>
      <c r="E18654" s="4"/>
    </row>
    <row r="18655">
      <c r="A18655" s="4"/>
      <c r="B18655" s="4"/>
      <c r="C18655" s="4"/>
      <c r="D18655" s="4"/>
      <c r="E18655" s="4"/>
    </row>
    <row r="18656">
      <c r="A18656" s="4"/>
      <c r="B18656" s="4"/>
      <c r="C18656" s="4"/>
      <c r="D18656" s="4"/>
      <c r="E18656" s="4"/>
    </row>
    <row r="18657">
      <c r="A18657" s="4"/>
      <c r="B18657" s="4"/>
      <c r="C18657" s="4"/>
      <c r="D18657" s="4"/>
      <c r="E18657" s="4"/>
    </row>
    <row r="18658">
      <c r="A18658" s="4"/>
      <c r="B18658" s="4"/>
      <c r="C18658" s="4"/>
      <c r="D18658" s="4"/>
      <c r="E18658" s="4"/>
    </row>
    <row r="18659">
      <c r="A18659" s="4"/>
      <c r="B18659" s="4"/>
      <c r="C18659" s="4"/>
      <c r="D18659" s="4"/>
      <c r="E18659" s="4"/>
    </row>
    <row r="18660">
      <c r="A18660" s="4"/>
      <c r="B18660" s="4"/>
      <c r="C18660" s="4"/>
      <c r="D18660" s="4"/>
      <c r="E18660" s="4"/>
    </row>
    <row r="18661">
      <c r="A18661" s="4"/>
      <c r="B18661" s="4"/>
      <c r="C18661" s="4"/>
      <c r="D18661" s="4"/>
      <c r="E18661" s="4"/>
    </row>
    <row r="18662">
      <c r="A18662" s="4"/>
      <c r="B18662" s="4"/>
      <c r="C18662" s="4"/>
      <c r="D18662" s="4"/>
      <c r="E18662" s="4"/>
    </row>
    <row r="18663">
      <c r="A18663" s="4"/>
      <c r="B18663" s="4"/>
      <c r="C18663" s="4"/>
      <c r="D18663" s="4"/>
      <c r="E18663" s="4"/>
    </row>
    <row r="18664">
      <c r="A18664" s="4"/>
      <c r="B18664" s="4"/>
      <c r="C18664" s="4"/>
      <c r="D18664" s="4"/>
      <c r="E18664" s="4"/>
    </row>
    <row r="18665">
      <c r="A18665" s="4"/>
      <c r="B18665" s="4"/>
      <c r="C18665" s="4"/>
      <c r="D18665" s="4"/>
      <c r="E18665" s="4"/>
    </row>
    <row r="18666">
      <c r="A18666" s="4"/>
      <c r="B18666" s="4"/>
      <c r="C18666" s="4"/>
      <c r="D18666" s="4"/>
      <c r="E18666" s="4"/>
    </row>
    <row r="18667">
      <c r="A18667" s="4"/>
      <c r="B18667" s="4"/>
      <c r="C18667" s="4"/>
      <c r="D18667" s="4"/>
      <c r="E18667" s="4"/>
    </row>
    <row r="18668">
      <c r="A18668" s="4"/>
      <c r="B18668" s="4"/>
      <c r="C18668" s="4"/>
      <c r="D18668" s="4"/>
      <c r="E18668" s="4"/>
    </row>
    <row r="18669">
      <c r="A18669" s="4"/>
      <c r="B18669" s="4"/>
      <c r="C18669" s="4"/>
      <c r="D18669" s="4"/>
      <c r="E18669" s="4"/>
    </row>
    <row r="18670">
      <c r="A18670" s="4"/>
      <c r="B18670" s="4"/>
      <c r="C18670" s="4"/>
      <c r="D18670" s="4"/>
      <c r="E18670" s="4"/>
    </row>
    <row r="18671">
      <c r="A18671" s="4"/>
      <c r="B18671" s="4"/>
      <c r="C18671" s="4"/>
      <c r="D18671" s="4"/>
      <c r="E18671" s="4"/>
    </row>
    <row r="18672">
      <c r="A18672" s="4"/>
      <c r="B18672" s="4"/>
      <c r="C18672" s="4"/>
      <c r="D18672" s="4"/>
      <c r="E18672" s="4"/>
    </row>
    <row r="18673">
      <c r="A18673" s="4"/>
      <c r="B18673" s="4"/>
      <c r="C18673" s="4"/>
      <c r="D18673" s="4"/>
      <c r="E18673" s="4"/>
    </row>
    <row r="18674">
      <c r="A18674" s="4"/>
      <c r="B18674" s="4"/>
      <c r="C18674" s="4"/>
      <c r="D18674" s="4"/>
      <c r="E18674" s="4"/>
    </row>
    <row r="18675">
      <c r="A18675" s="4"/>
      <c r="B18675" s="4"/>
      <c r="C18675" s="4"/>
      <c r="D18675" s="4"/>
      <c r="E18675" s="4"/>
    </row>
    <row r="18676">
      <c r="A18676" s="4"/>
      <c r="B18676" s="4"/>
      <c r="C18676" s="4"/>
      <c r="D18676" s="4"/>
      <c r="E18676" s="4"/>
    </row>
    <row r="18677">
      <c r="A18677" s="4"/>
      <c r="B18677" s="4"/>
      <c r="C18677" s="4"/>
      <c r="D18677" s="4"/>
      <c r="E18677" s="4"/>
    </row>
    <row r="18678">
      <c r="A18678" s="4"/>
      <c r="B18678" s="4"/>
      <c r="C18678" s="4"/>
      <c r="D18678" s="4"/>
      <c r="E18678" s="4"/>
    </row>
    <row r="18679">
      <c r="A18679" s="4"/>
      <c r="B18679" s="4"/>
      <c r="C18679" s="4"/>
      <c r="D18679" s="4"/>
      <c r="E18679" s="4"/>
    </row>
    <row r="18680">
      <c r="A18680" s="4"/>
      <c r="B18680" s="4"/>
      <c r="C18680" s="4"/>
      <c r="D18680" s="4"/>
      <c r="E18680" s="4"/>
    </row>
    <row r="18681">
      <c r="A18681" s="4"/>
      <c r="B18681" s="4"/>
      <c r="C18681" s="4"/>
      <c r="D18681" s="4"/>
      <c r="E18681" s="4"/>
    </row>
    <row r="18682">
      <c r="A18682" s="4"/>
      <c r="B18682" s="4"/>
      <c r="C18682" s="4"/>
      <c r="D18682" s="4"/>
      <c r="E18682" s="4"/>
    </row>
    <row r="18683">
      <c r="A18683" s="4"/>
      <c r="B18683" s="4"/>
      <c r="C18683" s="4"/>
      <c r="D18683" s="4"/>
      <c r="E18683" s="4"/>
    </row>
    <row r="18684">
      <c r="A18684" s="4"/>
      <c r="B18684" s="4"/>
      <c r="C18684" s="4"/>
      <c r="D18684" s="4"/>
      <c r="E18684" s="4"/>
    </row>
    <row r="18685">
      <c r="A18685" s="4"/>
      <c r="B18685" s="4"/>
      <c r="C18685" s="4"/>
      <c r="D18685" s="4"/>
      <c r="E18685" s="4"/>
    </row>
    <row r="18686">
      <c r="A18686" s="4"/>
      <c r="B18686" s="4"/>
      <c r="C18686" s="4"/>
      <c r="D18686" s="4"/>
      <c r="E18686" s="4"/>
    </row>
    <row r="18687">
      <c r="A18687" s="4"/>
      <c r="B18687" s="4"/>
      <c r="C18687" s="4"/>
      <c r="D18687" s="4"/>
      <c r="E18687" s="4"/>
    </row>
    <row r="18688">
      <c r="A18688" s="4"/>
      <c r="B18688" s="4"/>
      <c r="C18688" s="4"/>
      <c r="D18688" s="4"/>
      <c r="E18688" s="4"/>
    </row>
    <row r="18689">
      <c r="A18689" s="4"/>
      <c r="B18689" s="4"/>
      <c r="C18689" s="4"/>
      <c r="D18689" s="4"/>
      <c r="E18689" s="4"/>
    </row>
    <row r="18690">
      <c r="A18690" s="4"/>
      <c r="B18690" s="4"/>
      <c r="C18690" s="4"/>
      <c r="D18690" s="4"/>
      <c r="E18690" s="4"/>
    </row>
    <row r="18691">
      <c r="A18691" s="4"/>
      <c r="B18691" s="4"/>
      <c r="C18691" s="4"/>
      <c r="D18691" s="4"/>
      <c r="E18691" s="4"/>
    </row>
    <row r="18692">
      <c r="A18692" s="4"/>
      <c r="B18692" s="4"/>
      <c r="C18692" s="4"/>
      <c r="D18692" s="4"/>
      <c r="E18692" s="4"/>
    </row>
    <row r="18693">
      <c r="A18693" s="4"/>
      <c r="B18693" s="4"/>
      <c r="C18693" s="4"/>
      <c r="D18693" s="4"/>
      <c r="E18693" s="4"/>
    </row>
    <row r="18694">
      <c r="A18694" s="4"/>
      <c r="B18694" s="4"/>
      <c r="C18694" s="4"/>
      <c r="D18694" s="4"/>
      <c r="E18694" s="4"/>
    </row>
    <row r="18695">
      <c r="A18695" s="4"/>
      <c r="B18695" s="4"/>
      <c r="C18695" s="4"/>
      <c r="D18695" s="4"/>
      <c r="E18695" s="4"/>
    </row>
    <row r="18696">
      <c r="A18696" s="4"/>
      <c r="B18696" s="4"/>
      <c r="C18696" s="4"/>
      <c r="D18696" s="4"/>
      <c r="E18696" s="4"/>
    </row>
    <row r="18697">
      <c r="A18697" s="4"/>
      <c r="B18697" s="4"/>
      <c r="C18697" s="4"/>
      <c r="D18697" s="4"/>
      <c r="E18697" s="4"/>
    </row>
    <row r="18698">
      <c r="A18698" s="4"/>
      <c r="B18698" s="4"/>
      <c r="C18698" s="4"/>
      <c r="D18698" s="4"/>
      <c r="E18698" s="4"/>
    </row>
    <row r="18699">
      <c r="A18699" s="4"/>
      <c r="B18699" s="4"/>
      <c r="C18699" s="4"/>
      <c r="D18699" s="4"/>
      <c r="E18699" s="4"/>
    </row>
    <row r="18700">
      <c r="A18700" s="4"/>
      <c r="B18700" s="4"/>
      <c r="C18700" s="4"/>
      <c r="D18700" s="4"/>
      <c r="E18700" s="4"/>
    </row>
    <row r="18701">
      <c r="A18701" s="4"/>
      <c r="B18701" s="4"/>
      <c r="C18701" s="4"/>
      <c r="D18701" s="4"/>
      <c r="E18701" s="4"/>
    </row>
    <row r="18702">
      <c r="A18702" s="4"/>
      <c r="B18702" s="4"/>
      <c r="C18702" s="4"/>
      <c r="D18702" s="4"/>
      <c r="E18702" s="4"/>
    </row>
    <row r="18703">
      <c r="A18703" s="4"/>
      <c r="B18703" s="4"/>
      <c r="C18703" s="4"/>
      <c r="D18703" s="4"/>
      <c r="E18703" s="4"/>
    </row>
    <row r="18704">
      <c r="A18704" s="4"/>
      <c r="B18704" s="4"/>
      <c r="C18704" s="4"/>
      <c r="D18704" s="4"/>
      <c r="E18704" s="4"/>
    </row>
    <row r="18705">
      <c r="A18705" s="4"/>
      <c r="B18705" s="4"/>
      <c r="C18705" s="4"/>
      <c r="D18705" s="4"/>
      <c r="E18705" s="4"/>
    </row>
    <row r="18706">
      <c r="A18706" s="4"/>
      <c r="B18706" s="4"/>
      <c r="C18706" s="4"/>
      <c r="D18706" s="4"/>
      <c r="E18706" s="4"/>
    </row>
    <row r="18707">
      <c r="A18707" s="4"/>
      <c r="B18707" s="4"/>
      <c r="C18707" s="4"/>
      <c r="D18707" s="4"/>
      <c r="E18707" s="4"/>
    </row>
    <row r="18708">
      <c r="A18708" s="4"/>
      <c r="B18708" s="4"/>
      <c r="C18708" s="4"/>
      <c r="D18708" s="4"/>
      <c r="E18708" s="4"/>
    </row>
    <row r="18709">
      <c r="A18709" s="4"/>
      <c r="B18709" s="4"/>
      <c r="C18709" s="4"/>
      <c r="D18709" s="4"/>
      <c r="E18709" s="4"/>
    </row>
    <row r="18710">
      <c r="A18710" s="4"/>
      <c r="B18710" s="4"/>
      <c r="C18710" s="4"/>
      <c r="D18710" s="4"/>
      <c r="E18710" s="4"/>
    </row>
    <row r="18711">
      <c r="A18711" s="4"/>
      <c r="B18711" s="4"/>
      <c r="C18711" s="4"/>
      <c r="D18711" s="4"/>
      <c r="E18711" s="4"/>
    </row>
    <row r="18712">
      <c r="A18712" s="4"/>
      <c r="B18712" s="4"/>
      <c r="C18712" s="4"/>
      <c r="D18712" s="4"/>
      <c r="E18712" s="4"/>
    </row>
    <row r="18713">
      <c r="A18713" s="4"/>
      <c r="B18713" s="4"/>
      <c r="C18713" s="4"/>
      <c r="D18713" s="4"/>
      <c r="E18713" s="4"/>
    </row>
    <row r="18714">
      <c r="A18714" s="4"/>
      <c r="B18714" s="4"/>
      <c r="C18714" s="4"/>
      <c r="D18714" s="4"/>
      <c r="E18714" s="4"/>
    </row>
    <row r="18715">
      <c r="A18715" s="4"/>
      <c r="B18715" s="4"/>
      <c r="C18715" s="4"/>
      <c r="D18715" s="4"/>
      <c r="E18715" s="4"/>
    </row>
    <row r="18716">
      <c r="A18716" s="4"/>
      <c r="B18716" s="4"/>
      <c r="C18716" s="4"/>
      <c r="D18716" s="4"/>
      <c r="E18716" s="4"/>
    </row>
    <row r="18717">
      <c r="A18717" s="4"/>
      <c r="B18717" s="4"/>
      <c r="C18717" s="4"/>
      <c r="D18717" s="4"/>
      <c r="E18717" s="4"/>
    </row>
    <row r="18718">
      <c r="A18718" s="4"/>
      <c r="B18718" s="4"/>
      <c r="C18718" s="4"/>
      <c r="D18718" s="4"/>
      <c r="E18718" s="4"/>
    </row>
    <row r="18719">
      <c r="A18719" s="4"/>
      <c r="B18719" s="4"/>
      <c r="C18719" s="4"/>
      <c r="D18719" s="4"/>
      <c r="E18719" s="4"/>
    </row>
    <row r="18720">
      <c r="A18720" s="4"/>
      <c r="B18720" s="4"/>
      <c r="C18720" s="4"/>
      <c r="D18720" s="4"/>
      <c r="E18720" s="4"/>
    </row>
    <row r="18721">
      <c r="A18721" s="4"/>
      <c r="B18721" s="4"/>
      <c r="C18721" s="4"/>
      <c r="D18721" s="4"/>
      <c r="E18721" s="4"/>
    </row>
    <row r="18722">
      <c r="A18722" s="4"/>
      <c r="B18722" s="4"/>
      <c r="C18722" s="4"/>
      <c r="D18722" s="4"/>
      <c r="E18722" s="4"/>
    </row>
    <row r="18723">
      <c r="A18723" s="4"/>
      <c r="B18723" s="4"/>
      <c r="C18723" s="4"/>
      <c r="D18723" s="4"/>
      <c r="E18723" s="4"/>
    </row>
    <row r="18724">
      <c r="A18724" s="4"/>
      <c r="B18724" s="4"/>
      <c r="C18724" s="4"/>
      <c r="D18724" s="4"/>
      <c r="E18724" s="4"/>
    </row>
    <row r="18725">
      <c r="A18725" s="4"/>
      <c r="B18725" s="4"/>
      <c r="C18725" s="4"/>
      <c r="D18725" s="4"/>
      <c r="E18725" s="4"/>
    </row>
    <row r="18726">
      <c r="A18726" s="4"/>
      <c r="B18726" s="4"/>
      <c r="C18726" s="4"/>
      <c r="D18726" s="4"/>
      <c r="E18726" s="4"/>
    </row>
    <row r="18727">
      <c r="A18727" s="4"/>
      <c r="B18727" s="4"/>
      <c r="C18727" s="4"/>
      <c r="D18727" s="4"/>
      <c r="E18727" s="4"/>
    </row>
    <row r="18728">
      <c r="A18728" s="4"/>
      <c r="B18728" s="4"/>
      <c r="C18728" s="4"/>
      <c r="D18728" s="4"/>
      <c r="E18728" s="4"/>
    </row>
    <row r="18729">
      <c r="A18729" s="4"/>
      <c r="B18729" s="4"/>
      <c r="C18729" s="4"/>
      <c r="D18729" s="4"/>
      <c r="E18729" s="4"/>
    </row>
    <row r="18730">
      <c r="A18730" s="4"/>
      <c r="B18730" s="4"/>
      <c r="C18730" s="4"/>
      <c r="D18730" s="4"/>
      <c r="E18730" s="4"/>
    </row>
    <row r="18731">
      <c r="A18731" s="4"/>
      <c r="B18731" s="4"/>
      <c r="C18731" s="4"/>
      <c r="D18731" s="4"/>
      <c r="E18731" s="4"/>
    </row>
    <row r="18732">
      <c r="A18732" s="4"/>
      <c r="B18732" s="4"/>
      <c r="C18732" s="4"/>
      <c r="D18732" s="4"/>
      <c r="E18732" s="4"/>
    </row>
    <row r="18733">
      <c r="A18733" s="4"/>
      <c r="B18733" s="4"/>
      <c r="C18733" s="4"/>
      <c r="D18733" s="4"/>
      <c r="E18733" s="4"/>
    </row>
    <row r="18734">
      <c r="A18734" s="4"/>
      <c r="B18734" s="4"/>
      <c r="C18734" s="4"/>
      <c r="D18734" s="4"/>
      <c r="E18734" s="4"/>
    </row>
    <row r="18735">
      <c r="A18735" s="4"/>
      <c r="B18735" s="4"/>
      <c r="C18735" s="4"/>
      <c r="D18735" s="4"/>
      <c r="E18735" s="4"/>
    </row>
    <row r="18736">
      <c r="A18736" s="4"/>
      <c r="B18736" s="4"/>
      <c r="C18736" s="4"/>
      <c r="D18736" s="4"/>
      <c r="E18736" s="4"/>
    </row>
    <row r="18737">
      <c r="A18737" s="4"/>
      <c r="B18737" s="4"/>
      <c r="C18737" s="4"/>
      <c r="D18737" s="4"/>
      <c r="E18737" s="4"/>
    </row>
    <row r="18738">
      <c r="A18738" s="4"/>
      <c r="B18738" s="4"/>
      <c r="C18738" s="4"/>
      <c r="D18738" s="4"/>
      <c r="E18738" s="4"/>
    </row>
    <row r="18739">
      <c r="A18739" s="4"/>
      <c r="B18739" s="4"/>
      <c r="C18739" s="4"/>
      <c r="D18739" s="4"/>
      <c r="E18739" s="4"/>
    </row>
    <row r="18740">
      <c r="A18740" s="4"/>
      <c r="B18740" s="4"/>
      <c r="C18740" s="4"/>
      <c r="D18740" s="4"/>
      <c r="E18740" s="4"/>
    </row>
    <row r="18741">
      <c r="A18741" s="4"/>
      <c r="B18741" s="4"/>
      <c r="C18741" s="4"/>
      <c r="D18741" s="4"/>
      <c r="E18741" s="4"/>
    </row>
    <row r="18742">
      <c r="A18742" s="4"/>
      <c r="B18742" s="4"/>
      <c r="C18742" s="4"/>
      <c r="D18742" s="4"/>
      <c r="E18742" s="4"/>
    </row>
    <row r="18743">
      <c r="A18743" s="4"/>
      <c r="B18743" s="4"/>
      <c r="C18743" s="4"/>
      <c r="D18743" s="4"/>
      <c r="E18743" s="4"/>
    </row>
    <row r="18744">
      <c r="A18744" s="4"/>
      <c r="B18744" s="4"/>
      <c r="C18744" s="4"/>
      <c r="D18744" s="4"/>
      <c r="E18744" s="4"/>
    </row>
    <row r="18745">
      <c r="A18745" s="4"/>
      <c r="B18745" s="4"/>
      <c r="C18745" s="4"/>
      <c r="D18745" s="4"/>
      <c r="E18745" s="4"/>
    </row>
    <row r="18746">
      <c r="A18746" s="4"/>
      <c r="B18746" s="4"/>
      <c r="C18746" s="4"/>
      <c r="D18746" s="4"/>
      <c r="E18746" s="4"/>
    </row>
    <row r="18747">
      <c r="A18747" s="4"/>
      <c r="B18747" s="4"/>
      <c r="C18747" s="4"/>
      <c r="D18747" s="4"/>
      <c r="E18747" s="4"/>
    </row>
    <row r="18748">
      <c r="A18748" s="4"/>
      <c r="B18748" s="4"/>
      <c r="C18748" s="4"/>
      <c r="D18748" s="4"/>
      <c r="E18748" s="4"/>
    </row>
    <row r="18749">
      <c r="A18749" s="4"/>
      <c r="B18749" s="4"/>
      <c r="C18749" s="4"/>
      <c r="D18749" s="4"/>
      <c r="E18749" s="4"/>
    </row>
    <row r="18750">
      <c r="A18750" s="4"/>
      <c r="B18750" s="4"/>
      <c r="C18750" s="4"/>
      <c r="D18750" s="4"/>
      <c r="E18750" s="4"/>
    </row>
    <row r="18751">
      <c r="A18751" s="4"/>
      <c r="B18751" s="4"/>
      <c r="C18751" s="4"/>
      <c r="D18751" s="4"/>
      <c r="E18751" s="4"/>
    </row>
    <row r="18752">
      <c r="A18752" s="4"/>
      <c r="B18752" s="4"/>
      <c r="C18752" s="4"/>
      <c r="D18752" s="4"/>
      <c r="E18752" s="4"/>
    </row>
    <row r="18753">
      <c r="A18753" s="4"/>
      <c r="B18753" s="4"/>
      <c r="C18753" s="4"/>
      <c r="D18753" s="4"/>
      <c r="E18753" s="4"/>
    </row>
    <row r="18754">
      <c r="A18754" s="4"/>
      <c r="B18754" s="4"/>
      <c r="C18754" s="4"/>
      <c r="D18754" s="4"/>
      <c r="E18754" s="4"/>
    </row>
    <row r="18755">
      <c r="A18755" s="4"/>
      <c r="B18755" s="4"/>
      <c r="C18755" s="4"/>
      <c r="D18755" s="4"/>
      <c r="E18755" s="4"/>
    </row>
    <row r="18756">
      <c r="A18756" s="4"/>
      <c r="B18756" s="4"/>
      <c r="C18756" s="4"/>
      <c r="D18756" s="4"/>
      <c r="E18756" s="4"/>
    </row>
    <row r="18757">
      <c r="A18757" s="4"/>
      <c r="B18757" s="4"/>
      <c r="C18757" s="4"/>
      <c r="D18757" s="4"/>
      <c r="E18757" s="4"/>
    </row>
    <row r="18758">
      <c r="A18758" s="4"/>
      <c r="B18758" s="4"/>
      <c r="C18758" s="4"/>
      <c r="D18758" s="4"/>
      <c r="E18758" s="4"/>
    </row>
    <row r="18759">
      <c r="A18759" s="4"/>
      <c r="B18759" s="4"/>
      <c r="C18759" s="4"/>
      <c r="D18759" s="4"/>
      <c r="E18759" s="4"/>
    </row>
    <row r="18760">
      <c r="A18760" s="4"/>
      <c r="B18760" s="4"/>
      <c r="C18760" s="4"/>
      <c r="D18760" s="4"/>
      <c r="E18760" s="4"/>
    </row>
    <row r="18761">
      <c r="A18761" s="4"/>
      <c r="B18761" s="4"/>
      <c r="C18761" s="4"/>
      <c r="D18761" s="4"/>
      <c r="E18761" s="4"/>
    </row>
    <row r="18762">
      <c r="A18762" s="4"/>
      <c r="B18762" s="4"/>
      <c r="C18762" s="4"/>
      <c r="D18762" s="4"/>
      <c r="E18762" s="4"/>
    </row>
    <row r="18763">
      <c r="A18763" s="4"/>
      <c r="B18763" s="4"/>
      <c r="C18763" s="4"/>
      <c r="D18763" s="4"/>
      <c r="E18763" s="4"/>
    </row>
    <row r="18764">
      <c r="A18764" s="4"/>
      <c r="B18764" s="4"/>
      <c r="C18764" s="4"/>
      <c r="D18764" s="4"/>
      <c r="E18764" s="4"/>
    </row>
    <row r="18765">
      <c r="A18765" s="4"/>
      <c r="B18765" s="4"/>
      <c r="C18765" s="4"/>
      <c r="D18765" s="4"/>
      <c r="E18765" s="4"/>
    </row>
    <row r="18766">
      <c r="A18766" s="4"/>
      <c r="B18766" s="4"/>
      <c r="C18766" s="4"/>
      <c r="D18766" s="4"/>
      <c r="E18766" s="4"/>
    </row>
    <row r="18767">
      <c r="A18767" s="4"/>
      <c r="B18767" s="4"/>
      <c r="C18767" s="4"/>
      <c r="D18767" s="4"/>
      <c r="E18767" s="4"/>
    </row>
    <row r="18768">
      <c r="A18768" s="4"/>
      <c r="B18768" s="4"/>
      <c r="C18768" s="4"/>
      <c r="D18768" s="4"/>
      <c r="E18768" s="4"/>
    </row>
    <row r="18769">
      <c r="A18769" s="4"/>
      <c r="B18769" s="4"/>
      <c r="C18769" s="4"/>
      <c r="D18769" s="4"/>
      <c r="E18769" s="4"/>
    </row>
    <row r="18770">
      <c r="A18770" s="4"/>
      <c r="B18770" s="4"/>
      <c r="C18770" s="4"/>
      <c r="D18770" s="4"/>
      <c r="E18770" s="4"/>
    </row>
    <row r="18771">
      <c r="A18771" s="4"/>
      <c r="B18771" s="4"/>
      <c r="C18771" s="4"/>
      <c r="D18771" s="4"/>
      <c r="E18771" s="4"/>
    </row>
    <row r="18772">
      <c r="A18772" s="4"/>
      <c r="B18772" s="4"/>
      <c r="C18772" s="4"/>
      <c r="D18772" s="4"/>
      <c r="E18772" s="4"/>
    </row>
    <row r="18773">
      <c r="A18773" s="4"/>
      <c r="B18773" s="4"/>
      <c r="C18773" s="4"/>
      <c r="D18773" s="4"/>
      <c r="E18773" s="4"/>
    </row>
    <row r="18774">
      <c r="A18774" s="4"/>
      <c r="B18774" s="4"/>
      <c r="C18774" s="4"/>
      <c r="D18774" s="4"/>
      <c r="E18774" s="4"/>
    </row>
    <row r="18775">
      <c r="A18775" s="4"/>
      <c r="B18775" s="4"/>
      <c r="C18775" s="4"/>
      <c r="D18775" s="4"/>
      <c r="E18775" s="4"/>
    </row>
    <row r="18776">
      <c r="A18776" s="4"/>
      <c r="B18776" s="4"/>
      <c r="C18776" s="4"/>
      <c r="D18776" s="4"/>
      <c r="E18776" s="4"/>
    </row>
    <row r="18777">
      <c r="A18777" s="4"/>
      <c r="B18777" s="4"/>
      <c r="C18777" s="4"/>
      <c r="D18777" s="4"/>
      <c r="E18777" s="4"/>
    </row>
    <row r="18778">
      <c r="A18778" s="4"/>
      <c r="B18778" s="4"/>
      <c r="C18778" s="4"/>
      <c r="D18778" s="4"/>
      <c r="E18778" s="4"/>
    </row>
    <row r="18779">
      <c r="A18779" s="4"/>
      <c r="B18779" s="4"/>
      <c r="C18779" s="4"/>
      <c r="D18779" s="4"/>
      <c r="E18779" s="4"/>
    </row>
    <row r="18780">
      <c r="A18780" s="4"/>
      <c r="B18780" s="4"/>
      <c r="C18780" s="4"/>
      <c r="D18780" s="4"/>
      <c r="E18780" s="4"/>
    </row>
    <row r="18781">
      <c r="A18781" s="4"/>
      <c r="B18781" s="4"/>
      <c r="C18781" s="4"/>
      <c r="D18781" s="4"/>
      <c r="E18781" s="4"/>
    </row>
    <row r="18782">
      <c r="A18782" s="4"/>
      <c r="B18782" s="4"/>
      <c r="C18782" s="4"/>
      <c r="D18782" s="4"/>
      <c r="E18782" s="4"/>
    </row>
    <row r="18783">
      <c r="A18783" s="4"/>
      <c r="B18783" s="4"/>
      <c r="C18783" s="4"/>
      <c r="D18783" s="4"/>
      <c r="E18783" s="4"/>
    </row>
    <row r="18784">
      <c r="A18784" s="4"/>
      <c r="B18784" s="4"/>
      <c r="C18784" s="4"/>
      <c r="D18784" s="4"/>
      <c r="E18784" s="4"/>
    </row>
    <row r="18785">
      <c r="A18785" s="4"/>
      <c r="B18785" s="4"/>
      <c r="C18785" s="4"/>
      <c r="D18785" s="4"/>
      <c r="E18785" s="4"/>
    </row>
    <row r="18786">
      <c r="A18786" s="4"/>
      <c r="B18786" s="4"/>
      <c r="C18786" s="4"/>
      <c r="D18786" s="4"/>
      <c r="E18786" s="4"/>
    </row>
    <row r="18787">
      <c r="A18787" s="4"/>
      <c r="B18787" s="4"/>
      <c r="C18787" s="4"/>
      <c r="D18787" s="4"/>
      <c r="E18787" s="4"/>
    </row>
    <row r="18788">
      <c r="A18788" s="4"/>
      <c r="B18788" s="4"/>
      <c r="C18788" s="4"/>
      <c r="D18788" s="4"/>
      <c r="E18788" s="4"/>
    </row>
    <row r="18789">
      <c r="A18789" s="4"/>
      <c r="B18789" s="4"/>
      <c r="C18789" s="4"/>
      <c r="D18789" s="4"/>
      <c r="E18789" s="4"/>
    </row>
    <row r="18790">
      <c r="A18790" s="4"/>
      <c r="B18790" s="4"/>
      <c r="C18790" s="4"/>
      <c r="D18790" s="4"/>
      <c r="E18790" s="4"/>
    </row>
    <row r="18791">
      <c r="A18791" s="4"/>
      <c r="B18791" s="4"/>
      <c r="C18791" s="4"/>
      <c r="D18791" s="4"/>
      <c r="E18791" s="4"/>
    </row>
    <row r="18792">
      <c r="A18792" s="4"/>
      <c r="B18792" s="4"/>
      <c r="C18792" s="4"/>
      <c r="D18792" s="4"/>
      <c r="E18792" s="4"/>
    </row>
    <row r="18793">
      <c r="A18793" s="4"/>
      <c r="B18793" s="4"/>
      <c r="C18793" s="4"/>
      <c r="D18793" s="4"/>
      <c r="E18793" s="4"/>
    </row>
    <row r="18794">
      <c r="A18794" s="4"/>
      <c r="B18794" s="4"/>
      <c r="C18794" s="4"/>
      <c r="D18794" s="4"/>
      <c r="E18794" s="4"/>
    </row>
    <row r="18795">
      <c r="A18795" s="4"/>
      <c r="B18795" s="4"/>
      <c r="C18795" s="4"/>
      <c r="D18795" s="4"/>
      <c r="E18795" s="4"/>
    </row>
    <row r="18796">
      <c r="A18796" s="4"/>
      <c r="B18796" s="4"/>
      <c r="C18796" s="4"/>
      <c r="D18796" s="4"/>
      <c r="E18796" s="4"/>
    </row>
    <row r="18797">
      <c r="A18797" s="4"/>
      <c r="B18797" s="4"/>
      <c r="C18797" s="4"/>
      <c r="D18797" s="4"/>
      <c r="E18797" s="4"/>
    </row>
    <row r="18798">
      <c r="A18798" s="4"/>
      <c r="B18798" s="4"/>
      <c r="C18798" s="4"/>
      <c r="D18798" s="4"/>
      <c r="E18798" s="4"/>
    </row>
    <row r="18799">
      <c r="A18799" s="4"/>
      <c r="B18799" s="4"/>
      <c r="C18799" s="4"/>
      <c r="D18799" s="4"/>
      <c r="E18799" s="4"/>
    </row>
    <row r="18800">
      <c r="A18800" s="4"/>
      <c r="B18800" s="4"/>
      <c r="C18800" s="4"/>
      <c r="D18800" s="4"/>
      <c r="E18800" s="4"/>
    </row>
    <row r="18801">
      <c r="A18801" s="4"/>
      <c r="B18801" s="4"/>
      <c r="C18801" s="4"/>
      <c r="D18801" s="4"/>
      <c r="E18801" s="4"/>
    </row>
    <row r="18802">
      <c r="A18802" s="4"/>
      <c r="B18802" s="4"/>
      <c r="C18802" s="4"/>
      <c r="D18802" s="4"/>
      <c r="E18802" s="4"/>
    </row>
    <row r="18803">
      <c r="A18803" s="4"/>
      <c r="B18803" s="4"/>
      <c r="C18803" s="4"/>
      <c r="D18803" s="4"/>
      <c r="E18803" s="4"/>
    </row>
    <row r="18804">
      <c r="A18804" s="4"/>
      <c r="B18804" s="4"/>
      <c r="C18804" s="4"/>
      <c r="D18804" s="4"/>
      <c r="E18804" s="4"/>
    </row>
    <row r="18805">
      <c r="A18805" s="4"/>
      <c r="B18805" s="4"/>
      <c r="C18805" s="4"/>
      <c r="D18805" s="4"/>
      <c r="E18805" s="4"/>
    </row>
    <row r="18806">
      <c r="A18806" s="4"/>
      <c r="B18806" s="4"/>
      <c r="C18806" s="4"/>
      <c r="D18806" s="4"/>
      <c r="E18806" s="4"/>
    </row>
    <row r="18807">
      <c r="A18807" s="4"/>
      <c r="B18807" s="4"/>
      <c r="C18807" s="4"/>
      <c r="D18807" s="4"/>
      <c r="E18807" s="4"/>
    </row>
    <row r="18808">
      <c r="A18808" s="4"/>
      <c r="B18808" s="4"/>
      <c r="C18808" s="4"/>
      <c r="D18808" s="4"/>
      <c r="E18808" s="4"/>
    </row>
    <row r="18809">
      <c r="A18809" s="4"/>
      <c r="B18809" s="4"/>
      <c r="C18809" s="4"/>
      <c r="D18809" s="4"/>
      <c r="E18809" s="4"/>
    </row>
    <row r="18810">
      <c r="A18810" s="4"/>
      <c r="B18810" s="4"/>
      <c r="C18810" s="4"/>
      <c r="D18810" s="4"/>
      <c r="E18810" s="4"/>
    </row>
    <row r="18811">
      <c r="A18811" s="4"/>
      <c r="B18811" s="4"/>
      <c r="C18811" s="4"/>
      <c r="D18811" s="4"/>
      <c r="E18811" s="4"/>
    </row>
    <row r="18812">
      <c r="A18812" s="4"/>
      <c r="B18812" s="4"/>
      <c r="C18812" s="4"/>
      <c r="D18812" s="4"/>
      <c r="E18812" s="4"/>
    </row>
    <row r="18813">
      <c r="A18813" s="4"/>
      <c r="B18813" s="4"/>
      <c r="C18813" s="4"/>
      <c r="D18813" s="4"/>
      <c r="E18813" s="4"/>
    </row>
    <row r="18814">
      <c r="A18814" s="4"/>
      <c r="B18814" s="4"/>
      <c r="C18814" s="4"/>
      <c r="D18814" s="4"/>
      <c r="E18814" s="4"/>
    </row>
    <row r="18815">
      <c r="A18815" s="4"/>
      <c r="B18815" s="4"/>
      <c r="C18815" s="4"/>
      <c r="D18815" s="4"/>
      <c r="E18815" s="4"/>
    </row>
    <row r="18816">
      <c r="A18816" s="4"/>
      <c r="B18816" s="4"/>
      <c r="C18816" s="4"/>
      <c r="D18816" s="4"/>
      <c r="E18816" s="4"/>
    </row>
    <row r="18817">
      <c r="A18817" s="4"/>
      <c r="B18817" s="4"/>
      <c r="C18817" s="4"/>
      <c r="D18817" s="4"/>
      <c r="E18817" s="4"/>
    </row>
    <row r="18818">
      <c r="A18818" s="4"/>
      <c r="B18818" s="4"/>
      <c r="C18818" s="4"/>
      <c r="D18818" s="4"/>
      <c r="E18818" s="4"/>
    </row>
    <row r="18819">
      <c r="A18819" s="4"/>
      <c r="B18819" s="4"/>
      <c r="C18819" s="4"/>
      <c r="D18819" s="4"/>
      <c r="E18819" s="4"/>
    </row>
    <row r="18820">
      <c r="A18820" s="4"/>
      <c r="B18820" s="4"/>
      <c r="C18820" s="4"/>
      <c r="D18820" s="4"/>
      <c r="E18820" s="4"/>
    </row>
    <row r="18821">
      <c r="A18821" s="4"/>
      <c r="B18821" s="4"/>
      <c r="C18821" s="4"/>
      <c r="D18821" s="4"/>
      <c r="E18821" s="4"/>
    </row>
    <row r="18822">
      <c r="A18822" s="4"/>
      <c r="B18822" s="4"/>
      <c r="C18822" s="4"/>
      <c r="D18822" s="4"/>
      <c r="E18822" s="4"/>
    </row>
    <row r="18823">
      <c r="A18823" s="4"/>
      <c r="B18823" s="4"/>
      <c r="C18823" s="4"/>
      <c r="D18823" s="4"/>
      <c r="E18823" s="4"/>
    </row>
    <row r="18824">
      <c r="A18824" s="4"/>
      <c r="B18824" s="4"/>
      <c r="C18824" s="4"/>
      <c r="D18824" s="4"/>
      <c r="E18824" s="4"/>
    </row>
    <row r="18825">
      <c r="A18825" s="4"/>
      <c r="B18825" s="4"/>
      <c r="C18825" s="4"/>
      <c r="D18825" s="4"/>
      <c r="E18825" s="4"/>
    </row>
    <row r="18826">
      <c r="A18826" s="4"/>
      <c r="B18826" s="4"/>
      <c r="C18826" s="4"/>
      <c r="D18826" s="4"/>
      <c r="E18826" s="4"/>
    </row>
    <row r="18827">
      <c r="A18827" s="4"/>
      <c r="B18827" s="4"/>
      <c r="C18827" s="4"/>
      <c r="D18827" s="4"/>
      <c r="E18827" s="4"/>
    </row>
    <row r="18828">
      <c r="A18828" s="4"/>
      <c r="B18828" s="4"/>
      <c r="C18828" s="4"/>
      <c r="D18828" s="4"/>
      <c r="E18828" s="4"/>
    </row>
    <row r="18829">
      <c r="A18829" s="4"/>
      <c r="B18829" s="4"/>
      <c r="C18829" s="4"/>
      <c r="D18829" s="4"/>
      <c r="E18829" s="4"/>
    </row>
    <row r="18830">
      <c r="A18830" s="4"/>
      <c r="B18830" s="4"/>
      <c r="C18830" s="4"/>
      <c r="D18830" s="4"/>
      <c r="E18830" s="4"/>
    </row>
    <row r="18831">
      <c r="A18831" s="4"/>
      <c r="B18831" s="4"/>
      <c r="C18831" s="4"/>
      <c r="D18831" s="4"/>
      <c r="E18831" s="4"/>
    </row>
    <row r="18832">
      <c r="A18832" s="4"/>
      <c r="B18832" s="4"/>
      <c r="C18832" s="4"/>
      <c r="D18832" s="4"/>
      <c r="E18832" s="4"/>
    </row>
    <row r="18833">
      <c r="A18833" s="4"/>
      <c r="B18833" s="4"/>
      <c r="C18833" s="4"/>
      <c r="D18833" s="4"/>
      <c r="E18833" s="4"/>
    </row>
    <row r="18834">
      <c r="A18834" s="4"/>
      <c r="B18834" s="4"/>
      <c r="C18834" s="4"/>
      <c r="D18834" s="4"/>
      <c r="E18834" s="4"/>
    </row>
    <row r="18835">
      <c r="A18835" s="4"/>
      <c r="B18835" s="4"/>
      <c r="C18835" s="4"/>
      <c r="D18835" s="4"/>
      <c r="E18835" s="4"/>
    </row>
    <row r="18836">
      <c r="A18836" s="4"/>
      <c r="B18836" s="4"/>
      <c r="C18836" s="4"/>
      <c r="D18836" s="4"/>
      <c r="E18836" s="4"/>
    </row>
    <row r="18837">
      <c r="A18837" s="4"/>
      <c r="B18837" s="4"/>
      <c r="C18837" s="4"/>
      <c r="D18837" s="4"/>
      <c r="E18837" s="4"/>
    </row>
    <row r="18838">
      <c r="A18838" s="4"/>
      <c r="B18838" s="4"/>
      <c r="C18838" s="4"/>
      <c r="D18838" s="4"/>
      <c r="E18838" s="4"/>
    </row>
    <row r="18839">
      <c r="A18839" s="4"/>
      <c r="B18839" s="4"/>
      <c r="C18839" s="4"/>
      <c r="D18839" s="4"/>
      <c r="E18839" s="4"/>
    </row>
    <row r="18840">
      <c r="A18840" s="4"/>
      <c r="B18840" s="4"/>
      <c r="C18840" s="4"/>
      <c r="D18840" s="4"/>
      <c r="E18840" s="4"/>
    </row>
    <row r="18841">
      <c r="A18841" s="4"/>
      <c r="B18841" s="4"/>
      <c r="C18841" s="4"/>
      <c r="D18841" s="4"/>
      <c r="E18841" s="4"/>
    </row>
    <row r="18842">
      <c r="A18842" s="4"/>
      <c r="B18842" s="4"/>
      <c r="C18842" s="4"/>
      <c r="D18842" s="4"/>
      <c r="E18842" s="4"/>
    </row>
    <row r="18843">
      <c r="A18843" s="4"/>
      <c r="B18843" s="4"/>
      <c r="C18843" s="4"/>
      <c r="D18843" s="4"/>
      <c r="E18843" s="4"/>
    </row>
    <row r="18844">
      <c r="A18844" s="4"/>
      <c r="B18844" s="4"/>
      <c r="C18844" s="4"/>
      <c r="D18844" s="4"/>
      <c r="E18844" s="4"/>
    </row>
    <row r="18845">
      <c r="A18845" s="4"/>
      <c r="B18845" s="4"/>
      <c r="C18845" s="4"/>
      <c r="D18845" s="4"/>
      <c r="E18845" s="4"/>
    </row>
    <row r="18846">
      <c r="A18846" s="4"/>
      <c r="B18846" s="4"/>
      <c r="C18846" s="4"/>
      <c r="D18846" s="4"/>
      <c r="E18846" s="4"/>
    </row>
    <row r="18847">
      <c r="A18847" s="4"/>
      <c r="B18847" s="4"/>
      <c r="C18847" s="4"/>
      <c r="D18847" s="4"/>
      <c r="E18847" s="4"/>
    </row>
    <row r="18848">
      <c r="A18848" s="4"/>
      <c r="B18848" s="4"/>
      <c r="C18848" s="4"/>
      <c r="D18848" s="4"/>
      <c r="E18848" s="4"/>
    </row>
    <row r="18849">
      <c r="A18849" s="4"/>
      <c r="B18849" s="4"/>
      <c r="C18849" s="4"/>
      <c r="D18849" s="4"/>
      <c r="E18849" s="4"/>
    </row>
    <row r="18850">
      <c r="A18850" s="4"/>
      <c r="B18850" s="4"/>
      <c r="C18850" s="4"/>
      <c r="D18850" s="4"/>
      <c r="E18850" s="4"/>
    </row>
    <row r="18851">
      <c r="A18851" s="4"/>
      <c r="B18851" s="4"/>
      <c r="C18851" s="4"/>
      <c r="D18851" s="4"/>
      <c r="E18851" s="4"/>
    </row>
    <row r="18852">
      <c r="A18852" s="4"/>
      <c r="B18852" s="4"/>
      <c r="C18852" s="4"/>
      <c r="D18852" s="4"/>
      <c r="E18852" s="4"/>
    </row>
    <row r="18853">
      <c r="A18853" s="4"/>
      <c r="B18853" s="4"/>
      <c r="C18853" s="4"/>
      <c r="D18853" s="4"/>
      <c r="E18853" s="4"/>
    </row>
    <row r="18854">
      <c r="A18854" s="4"/>
      <c r="B18854" s="4"/>
      <c r="C18854" s="4"/>
      <c r="D18854" s="4"/>
      <c r="E18854" s="4"/>
    </row>
    <row r="18855">
      <c r="A18855" s="4"/>
      <c r="B18855" s="4"/>
      <c r="C18855" s="4"/>
      <c r="D18855" s="4"/>
      <c r="E18855" s="4"/>
    </row>
    <row r="18856">
      <c r="A18856" s="4"/>
      <c r="B18856" s="4"/>
      <c r="C18856" s="4"/>
      <c r="D18856" s="4"/>
      <c r="E18856" s="4"/>
    </row>
    <row r="18857">
      <c r="A18857" s="4"/>
      <c r="B18857" s="4"/>
      <c r="C18857" s="4"/>
      <c r="D18857" s="4"/>
      <c r="E18857" s="4"/>
    </row>
    <row r="18858">
      <c r="A18858" s="4"/>
      <c r="B18858" s="4"/>
      <c r="C18858" s="4"/>
      <c r="D18858" s="4"/>
      <c r="E18858" s="4"/>
    </row>
    <row r="18859">
      <c r="A18859" s="4"/>
      <c r="B18859" s="4"/>
      <c r="C18859" s="4"/>
      <c r="D18859" s="4"/>
      <c r="E18859" s="4"/>
    </row>
    <row r="18860">
      <c r="A18860" s="4"/>
      <c r="B18860" s="4"/>
      <c r="C18860" s="4"/>
      <c r="D18860" s="4"/>
      <c r="E18860" s="4"/>
    </row>
    <row r="18861">
      <c r="A18861" s="4"/>
      <c r="B18861" s="4"/>
      <c r="C18861" s="4"/>
      <c r="D18861" s="4"/>
      <c r="E18861" s="4"/>
    </row>
    <row r="18862">
      <c r="A18862" s="4"/>
      <c r="B18862" s="4"/>
      <c r="C18862" s="4"/>
      <c r="D18862" s="4"/>
      <c r="E18862" s="4"/>
    </row>
    <row r="18863">
      <c r="A18863" s="4"/>
      <c r="B18863" s="4"/>
      <c r="C18863" s="4"/>
      <c r="D18863" s="4"/>
      <c r="E18863" s="4"/>
    </row>
    <row r="18864">
      <c r="A18864" s="4"/>
      <c r="B18864" s="4"/>
      <c r="C18864" s="4"/>
      <c r="D18864" s="4"/>
      <c r="E18864" s="4"/>
    </row>
    <row r="18865">
      <c r="A18865" s="4"/>
      <c r="B18865" s="4"/>
      <c r="C18865" s="4"/>
      <c r="D18865" s="4"/>
      <c r="E18865" s="4"/>
    </row>
    <row r="18866">
      <c r="A18866" s="4"/>
      <c r="B18866" s="4"/>
      <c r="C18866" s="4"/>
      <c r="D18866" s="4"/>
      <c r="E18866" s="4"/>
    </row>
    <row r="18867">
      <c r="A18867" s="4"/>
      <c r="B18867" s="4"/>
      <c r="C18867" s="4"/>
      <c r="D18867" s="4"/>
      <c r="E18867" s="4"/>
    </row>
    <row r="18868">
      <c r="A18868" s="4"/>
      <c r="B18868" s="4"/>
      <c r="C18868" s="4"/>
      <c r="D18868" s="4"/>
      <c r="E18868" s="4"/>
    </row>
    <row r="18869">
      <c r="A18869" s="4"/>
      <c r="B18869" s="4"/>
      <c r="C18869" s="4"/>
      <c r="D18869" s="4"/>
      <c r="E18869" s="4"/>
    </row>
    <row r="18870">
      <c r="A18870" s="4"/>
      <c r="B18870" s="4"/>
      <c r="C18870" s="4"/>
      <c r="D18870" s="4"/>
      <c r="E18870" s="4"/>
    </row>
    <row r="18871">
      <c r="A18871" s="4"/>
      <c r="B18871" s="4"/>
      <c r="C18871" s="4"/>
      <c r="D18871" s="4"/>
      <c r="E18871" s="4"/>
    </row>
    <row r="18872">
      <c r="A18872" s="4"/>
      <c r="B18872" s="4"/>
      <c r="C18872" s="4"/>
      <c r="D18872" s="4"/>
      <c r="E18872" s="4"/>
    </row>
    <row r="18873">
      <c r="A18873" s="4"/>
      <c r="B18873" s="4"/>
      <c r="C18873" s="4"/>
      <c r="D18873" s="4"/>
      <c r="E18873" s="4"/>
    </row>
    <row r="18874">
      <c r="A18874" s="4"/>
      <c r="B18874" s="4"/>
      <c r="C18874" s="4"/>
      <c r="D18874" s="4"/>
      <c r="E18874" s="4"/>
    </row>
    <row r="18875">
      <c r="A18875" s="4"/>
      <c r="B18875" s="4"/>
      <c r="C18875" s="4"/>
      <c r="D18875" s="4"/>
      <c r="E18875" s="4"/>
    </row>
    <row r="18876">
      <c r="A18876" s="4"/>
      <c r="B18876" s="4"/>
      <c r="C18876" s="4"/>
      <c r="D18876" s="4"/>
      <c r="E18876" s="4"/>
    </row>
    <row r="18877">
      <c r="A18877" s="4"/>
      <c r="B18877" s="4"/>
      <c r="C18877" s="4"/>
      <c r="D18877" s="4"/>
      <c r="E18877" s="4"/>
    </row>
    <row r="18878">
      <c r="A18878" s="4"/>
      <c r="B18878" s="4"/>
      <c r="C18878" s="4"/>
      <c r="D18878" s="4"/>
      <c r="E18878" s="4"/>
    </row>
    <row r="18879">
      <c r="A18879" s="4"/>
      <c r="B18879" s="4"/>
      <c r="C18879" s="4"/>
      <c r="D18879" s="4"/>
      <c r="E18879" s="4"/>
    </row>
    <row r="18880">
      <c r="A18880" s="4"/>
      <c r="B18880" s="4"/>
      <c r="C18880" s="4"/>
      <c r="D18880" s="4"/>
      <c r="E18880" s="4"/>
    </row>
    <row r="18881">
      <c r="A18881" s="4"/>
      <c r="B18881" s="4"/>
      <c r="C18881" s="4"/>
      <c r="D18881" s="4"/>
      <c r="E18881" s="4"/>
    </row>
    <row r="18882">
      <c r="A18882" s="4"/>
      <c r="B18882" s="4"/>
      <c r="C18882" s="4"/>
      <c r="D18882" s="4"/>
      <c r="E18882" s="4"/>
    </row>
    <row r="18883">
      <c r="A18883" s="4"/>
      <c r="B18883" s="4"/>
      <c r="C18883" s="4"/>
      <c r="D18883" s="4"/>
      <c r="E18883" s="4"/>
    </row>
    <row r="18884">
      <c r="A18884" s="4"/>
      <c r="B18884" s="4"/>
      <c r="C18884" s="4"/>
      <c r="D18884" s="4"/>
      <c r="E18884" s="4"/>
    </row>
    <row r="18885">
      <c r="A18885" s="4"/>
      <c r="B18885" s="4"/>
      <c r="C18885" s="4"/>
      <c r="D18885" s="4"/>
      <c r="E18885" s="4"/>
    </row>
    <row r="18886">
      <c r="A18886" s="4"/>
      <c r="B18886" s="4"/>
      <c r="C18886" s="4"/>
      <c r="D18886" s="4"/>
      <c r="E18886" s="4"/>
    </row>
    <row r="18887">
      <c r="A18887" s="4"/>
      <c r="B18887" s="4"/>
      <c r="C18887" s="4"/>
      <c r="D18887" s="4"/>
      <c r="E18887" s="4"/>
    </row>
    <row r="18888">
      <c r="A18888" s="4"/>
      <c r="B18888" s="4"/>
      <c r="C18888" s="4"/>
      <c r="D18888" s="4"/>
      <c r="E18888" s="4"/>
    </row>
    <row r="18889">
      <c r="A18889" s="4"/>
      <c r="B18889" s="4"/>
      <c r="C18889" s="4"/>
      <c r="D18889" s="4"/>
      <c r="E18889" s="4"/>
    </row>
    <row r="18890">
      <c r="A18890" s="4"/>
      <c r="B18890" s="4"/>
      <c r="C18890" s="4"/>
      <c r="D18890" s="4"/>
      <c r="E18890" s="4"/>
    </row>
    <row r="18891">
      <c r="A18891" s="4"/>
      <c r="B18891" s="4"/>
      <c r="C18891" s="4"/>
      <c r="D18891" s="4"/>
      <c r="E18891" s="4"/>
    </row>
    <row r="18892">
      <c r="A18892" s="4"/>
      <c r="B18892" s="4"/>
      <c r="C18892" s="4"/>
      <c r="D18892" s="4"/>
      <c r="E18892" s="4"/>
    </row>
    <row r="18893">
      <c r="A18893" s="4"/>
      <c r="B18893" s="4"/>
      <c r="C18893" s="4"/>
      <c r="D18893" s="4"/>
      <c r="E18893" s="4"/>
    </row>
    <row r="18894">
      <c r="A18894" s="4"/>
      <c r="B18894" s="4"/>
      <c r="C18894" s="4"/>
      <c r="D18894" s="4"/>
      <c r="E18894" s="4"/>
    </row>
    <row r="18895">
      <c r="A18895" s="4"/>
      <c r="B18895" s="4"/>
      <c r="C18895" s="4"/>
      <c r="D18895" s="4"/>
      <c r="E18895" s="4"/>
    </row>
    <row r="18896">
      <c r="A18896" s="4"/>
      <c r="B18896" s="4"/>
      <c r="C18896" s="4"/>
      <c r="D18896" s="4"/>
      <c r="E18896" s="4"/>
    </row>
    <row r="18897">
      <c r="A18897" s="4"/>
      <c r="B18897" s="4"/>
      <c r="C18897" s="4"/>
      <c r="D18897" s="4"/>
      <c r="E18897" s="4"/>
    </row>
    <row r="18898">
      <c r="A18898" s="4"/>
      <c r="B18898" s="4"/>
      <c r="C18898" s="4"/>
      <c r="D18898" s="4"/>
      <c r="E18898" s="4"/>
    </row>
    <row r="18899">
      <c r="A18899" s="4"/>
      <c r="B18899" s="4"/>
      <c r="C18899" s="4"/>
      <c r="D18899" s="4"/>
      <c r="E18899" s="4"/>
    </row>
    <row r="18900">
      <c r="A18900" s="4"/>
      <c r="B18900" s="4"/>
      <c r="C18900" s="4"/>
      <c r="D18900" s="4"/>
      <c r="E18900" s="4"/>
    </row>
    <row r="18901">
      <c r="A18901" s="4"/>
      <c r="B18901" s="4"/>
      <c r="C18901" s="4"/>
      <c r="D18901" s="4"/>
      <c r="E18901" s="4"/>
    </row>
    <row r="18902">
      <c r="A18902" s="4"/>
      <c r="B18902" s="4"/>
      <c r="C18902" s="4"/>
      <c r="D18902" s="4"/>
      <c r="E18902" s="4"/>
    </row>
    <row r="18903">
      <c r="A18903" s="4"/>
      <c r="B18903" s="4"/>
      <c r="C18903" s="4"/>
      <c r="D18903" s="4"/>
      <c r="E18903" s="4"/>
    </row>
    <row r="18904">
      <c r="A18904" s="4"/>
      <c r="B18904" s="4"/>
      <c r="C18904" s="4"/>
      <c r="D18904" s="4"/>
      <c r="E18904" s="4"/>
    </row>
    <row r="18905">
      <c r="A18905" s="4"/>
      <c r="B18905" s="4"/>
      <c r="C18905" s="4"/>
      <c r="D18905" s="4"/>
      <c r="E18905" s="4"/>
    </row>
    <row r="18906">
      <c r="A18906" s="4"/>
      <c r="B18906" s="4"/>
      <c r="C18906" s="4"/>
      <c r="D18906" s="4"/>
      <c r="E18906" s="4"/>
    </row>
    <row r="18907">
      <c r="A18907" s="4"/>
      <c r="B18907" s="4"/>
      <c r="C18907" s="4"/>
      <c r="D18907" s="4"/>
      <c r="E18907" s="4"/>
    </row>
    <row r="18908">
      <c r="A18908" s="4"/>
      <c r="B18908" s="4"/>
      <c r="C18908" s="4"/>
      <c r="D18908" s="4"/>
      <c r="E18908" s="4"/>
    </row>
    <row r="18909">
      <c r="A18909" s="4"/>
      <c r="B18909" s="4"/>
      <c r="C18909" s="4"/>
      <c r="D18909" s="4"/>
      <c r="E18909" s="4"/>
    </row>
    <row r="18910">
      <c r="A18910" s="4"/>
      <c r="B18910" s="4"/>
      <c r="C18910" s="4"/>
      <c r="D18910" s="4"/>
      <c r="E18910" s="4"/>
    </row>
    <row r="18911">
      <c r="A18911" s="4"/>
      <c r="B18911" s="4"/>
      <c r="C18911" s="4"/>
      <c r="D18911" s="4"/>
      <c r="E18911" s="4"/>
    </row>
    <row r="18912">
      <c r="A18912" s="4"/>
      <c r="B18912" s="4"/>
      <c r="C18912" s="4"/>
      <c r="D18912" s="4"/>
      <c r="E18912" s="4"/>
    </row>
    <row r="18913">
      <c r="A18913" s="4"/>
      <c r="B18913" s="4"/>
      <c r="C18913" s="4"/>
      <c r="D18913" s="4"/>
      <c r="E18913" s="4"/>
    </row>
    <row r="18914">
      <c r="A18914" s="4"/>
      <c r="B18914" s="4"/>
      <c r="C18914" s="4"/>
      <c r="D18914" s="4"/>
      <c r="E18914" s="4"/>
    </row>
    <row r="18915">
      <c r="A18915" s="4"/>
      <c r="B18915" s="4"/>
      <c r="C18915" s="4"/>
      <c r="D18915" s="4"/>
      <c r="E18915" s="4"/>
    </row>
    <row r="18916">
      <c r="A18916" s="4"/>
      <c r="B18916" s="4"/>
      <c r="C18916" s="4"/>
      <c r="D18916" s="4"/>
      <c r="E18916" s="4"/>
    </row>
    <row r="18917">
      <c r="A18917" s="4"/>
      <c r="B18917" s="4"/>
      <c r="C18917" s="4"/>
      <c r="D18917" s="4"/>
      <c r="E18917" s="4"/>
    </row>
    <row r="18918">
      <c r="A18918" s="4"/>
      <c r="B18918" s="4"/>
      <c r="C18918" s="4"/>
      <c r="D18918" s="4"/>
      <c r="E18918" s="4"/>
    </row>
    <row r="18919">
      <c r="A18919" s="4"/>
      <c r="B18919" s="4"/>
      <c r="C18919" s="4"/>
      <c r="D18919" s="4"/>
      <c r="E18919" s="4"/>
    </row>
    <row r="18920">
      <c r="A18920" s="4"/>
      <c r="B18920" s="4"/>
      <c r="C18920" s="4"/>
      <c r="D18920" s="4"/>
      <c r="E18920" s="4"/>
    </row>
    <row r="18921">
      <c r="A18921" s="4"/>
      <c r="B18921" s="4"/>
      <c r="C18921" s="4"/>
      <c r="D18921" s="4"/>
      <c r="E18921" s="4"/>
    </row>
    <row r="18922">
      <c r="A18922" s="4"/>
      <c r="B18922" s="4"/>
      <c r="C18922" s="4"/>
      <c r="D18922" s="4"/>
      <c r="E18922" s="4"/>
    </row>
    <row r="18923">
      <c r="A18923" s="4"/>
      <c r="B18923" s="4"/>
      <c r="C18923" s="4"/>
      <c r="D18923" s="4"/>
      <c r="E18923" s="4"/>
    </row>
    <row r="18924">
      <c r="A18924" s="4"/>
      <c r="B18924" s="4"/>
      <c r="C18924" s="4"/>
      <c r="D18924" s="4"/>
      <c r="E18924" s="4"/>
    </row>
    <row r="18925">
      <c r="A18925" s="4"/>
      <c r="B18925" s="4"/>
      <c r="C18925" s="4"/>
      <c r="D18925" s="4"/>
      <c r="E18925" s="4"/>
    </row>
    <row r="18926">
      <c r="A18926" s="4"/>
      <c r="B18926" s="4"/>
      <c r="C18926" s="4"/>
      <c r="D18926" s="4"/>
      <c r="E18926" s="4"/>
    </row>
    <row r="18927">
      <c r="A18927" s="4"/>
      <c r="B18927" s="4"/>
      <c r="C18927" s="4"/>
      <c r="D18927" s="4"/>
      <c r="E18927" s="4"/>
    </row>
    <row r="18928">
      <c r="A18928" s="4"/>
      <c r="B18928" s="4"/>
      <c r="C18928" s="4"/>
      <c r="D18928" s="4"/>
      <c r="E18928" s="4"/>
    </row>
    <row r="18929">
      <c r="A18929" s="4"/>
      <c r="B18929" s="4"/>
      <c r="C18929" s="4"/>
      <c r="D18929" s="4"/>
      <c r="E18929" s="4"/>
    </row>
    <row r="18930">
      <c r="A18930" s="4"/>
      <c r="B18930" s="4"/>
      <c r="C18930" s="4"/>
      <c r="D18930" s="4"/>
      <c r="E18930" s="4"/>
    </row>
    <row r="18931">
      <c r="A18931" s="4"/>
      <c r="B18931" s="4"/>
      <c r="C18931" s="4"/>
      <c r="D18931" s="4"/>
      <c r="E18931" s="4"/>
    </row>
    <row r="18932">
      <c r="A18932" s="4"/>
      <c r="B18932" s="4"/>
      <c r="C18932" s="4"/>
      <c r="D18932" s="4"/>
      <c r="E18932" s="4"/>
    </row>
    <row r="18933">
      <c r="A18933" s="4"/>
      <c r="B18933" s="4"/>
      <c r="C18933" s="4"/>
      <c r="D18933" s="4"/>
      <c r="E18933" s="4"/>
    </row>
    <row r="18934">
      <c r="A18934" s="4"/>
      <c r="B18934" s="4"/>
      <c r="C18934" s="4"/>
      <c r="D18934" s="4"/>
      <c r="E18934" s="4"/>
    </row>
    <row r="18935">
      <c r="A18935" s="4"/>
      <c r="B18935" s="4"/>
      <c r="C18935" s="4"/>
      <c r="D18935" s="4"/>
      <c r="E18935" s="4"/>
    </row>
    <row r="18936">
      <c r="A18936" s="4"/>
      <c r="B18936" s="4"/>
      <c r="C18936" s="4"/>
      <c r="D18936" s="4"/>
      <c r="E18936" s="4"/>
    </row>
    <row r="18937">
      <c r="A18937" s="4"/>
      <c r="B18937" s="4"/>
      <c r="C18937" s="4"/>
      <c r="D18937" s="4"/>
      <c r="E18937" s="4"/>
    </row>
    <row r="18938">
      <c r="A18938" s="4"/>
      <c r="B18938" s="4"/>
      <c r="C18938" s="4"/>
      <c r="D18938" s="4"/>
      <c r="E18938" s="4"/>
    </row>
    <row r="18939">
      <c r="A18939" s="4"/>
      <c r="B18939" s="4"/>
      <c r="C18939" s="4"/>
      <c r="D18939" s="4"/>
      <c r="E18939" s="4"/>
    </row>
    <row r="18940">
      <c r="A18940" s="4"/>
      <c r="B18940" s="4"/>
      <c r="C18940" s="4"/>
      <c r="D18940" s="4"/>
      <c r="E18940" s="4"/>
    </row>
    <row r="18941">
      <c r="A18941" s="4"/>
      <c r="B18941" s="4"/>
      <c r="C18941" s="4"/>
      <c r="D18941" s="4"/>
      <c r="E18941" s="4"/>
    </row>
    <row r="18942">
      <c r="A18942" s="4"/>
      <c r="B18942" s="4"/>
      <c r="C18942" s="4"/>
      <c r="D18942" s="4"/>
      <c r="E18942" s="4"/>
    </row>
    <row r="18943">
      <c r="A18943" s="4"/>
      <c r="B18943" s="4"/>
      <c r="C18943" s="4"/>
      <c r="D18943" s="4"/>
      <c r="E18943" s="4"/>
    </row>
    <row r="18944">
      <c r="A18944" s="4"/>
      <c r="B18944" s="4"/>
      <c r="C18944" s="4"/>
      <c r="D18944" s="4"/>
      <c r="E18944" s="4"/>
    </row>
    <row r="18945">
      <c r="A18945" s="4"/>
      <c r="B18945" s="4"/>
      <c r="C18945" s="4"/>
      <c r="D18945" s="4"/>
      <c r="E18945" s="4"/>
    </row>
    <row r="18946">
      <c r="A18946" s="4"/>
      <c r="B18946" s="4"/>
      <c r="C18946" s="4"/>
      <c r="D18946" s="4"/>
      <c r="E18946" s="4"/>
    </row>
    <row r="18947">
      <c r="A18947" s="4"/>
      <c r="B18947" s="4"/>
      <c r="C18947" s="4"/>
      <c r="D18947" s="4"/>
      <c r="E18947" s="4"/>
    </row>
    <row r="18948">
      <c r="A18948" s="4"/>
      <c r="B18948" s="4"/>
      <c r="C18948" s="4"/>
      <c r="D18948" s="4"/>
      <c r="E18948" s="4"/>
    </row>
    <row r="18949">
      <c r="A18949" s="4"/>
      <c r="B18949" s="4"/>
      <c r="C18949" s="4"/>
      <c r="D18949" s="4"/>
      <c r="E18949" s="4"/>
    </row>
    <row r="18950">
      <c r="A18950" s="4"/>
      <c r="B18950" s="4"/>
      <c r="C18950" s="4"/>
      <c r="D18950" s="4"/>
      <c r="E18950" s="4"/>
    </row>
    <row r="18951">
      <c r="A18951" s="4"/>
      <c r="B18951" s="4"/>
      <c r="C18951" s="4"/>
      <c r="D18951" s="4"/>
      <c r="E18951" s="4"/>
    </row>
    <row r="18952">
      <c r="A18952" s="4"/>
      <c r="B18952" s="4"/>
      <c r="C18952" s="4"/>
      <c r="D18952" s="4"/>
      <c r="E18952" s="4"/>
    </row>
    <row r="18953">
      <c r="A18953" s="4"/>
      <c r="B18953" s="4"/>
      <c r="C18953" s="4"/>
      <c r="D18953" s="4"/>
      <c r="E18953" s="4"/>
    </row>
    <row r="18954">
      <c r="A18954" s="4"/>
      <c r="B18954" s="4"/>
      <c r="C18954" s="4"/>
      <c r="D18954" s="4"/>
      <c r="E18954" s="4"/>
    </row>
    <row r="18955">
      <c r="A18955" s="4"/>
      <c r="B18955" s="4"/>
      <c r="C18955" s="4"/>
      <c r="D18955" s="4"/>
      <c r="E18955" s="4"/>
    </row>
    <row r="18956">
      <c r="A18956" s="4"/>
      <c r="B18956" s="4"/>
      <c r="C18956" s="4"/>
      <c r="D18956" s="4"/>
      <c r="E18956" s="4"/>
    </row>
    <row r="18957">
      <c r="A18957" s="4"/>
      <c r="B18957" s="4"/>
      <c r="C18957" s="4"/>
      <c r="D18957" s="4"/>
      <c r="E18957" s="4"/>
    </row>
    <row r="18958">
      <c r="A18958" s="4"/>
      <c r="B18958" s="4"/>
      <c r="C18958" s="4"/>
      <c r="D18958" s="4"/>
      <c r="E18958" s="4"/>
    </row>
    <row r="18959">
      <c r="A18959" s="4"/>
      <c r="B18959" s="4"/>
      <c r="C18959" s="4"/>
      <c r="D18959" s="4"/>
      <c r="E18959" s="4"/>
    </row>
    <row r="18960">
      <c r="A18960" s="4"/>
      <c r="B18960" s="4"/>
      <c r="C18960" s="4"/>
      <c r="D18960" s="4"/>
      <c r="E18960" s="4"/>
    </row>
    <row r="18961">
      <c r="A18961" s="4"/>
      <c r="B18961" s="4"/>
      <c r="C18961" s="4"/>
      <c r="D18961" s="4"/>
      <c r="E18961" s="4"/>
    </row>
    <row r="18962">
      <c r="A18962" s="4"/>
      <c r="B18962" s="4"/>
      <c r="C18962" s="4"/>
      <c r="D18962" s="4"/>
      <c r="E18962" s="4"/>
    </row>
    <row r="18963">
      <c r="A18963" s="4"/>
      <c r="B18963" s="4"/>
      <c r="C18963" s="4"/>
      <c r="D18963" s="4"/>
      <c r="E18963" s="4"/>
    </row>
    <row r="18964">
      <c r="A18964" s="4"/>
      <c r="B18964" s="4"/>
      <c r="C18964" s="4"/>
      <c r="D18964" s="4"/>
      <c r="E18964" s="4"/>
    </row>
    <row r="18965">
      <c r="A18965" s="4"/>
      <c r="B18965" s="4"/>
      <c r="C18965" s="4"/>
      <c r="D18965" s="4"/>
      <c r="E18965" s="4"/>
    </row>
    <row r="18966">
      <c r="A18966" s="4"/>
      <c r="B18966" s="4"/>
      <c r="C18966" s="4"/>
      <c r="D18966" s="4"/>
      <c r="E18966" s="4"/>
    </row>
    <row r="18967">
      <c r="A18967" s="4"/>
      <c r="B18967" s="4"/>
      <c r="C18967" s="4"/>
      <c r="D18967" s="4"/>
      <c r="E18967" s="4"/>
    </row>
    <row r="18968">
      <c r="A18968" s="4"/>
      <c r="B18968" s="4"/>
      <c r="C18968" s="4"/>
      <c r="D18968" s="4"/>
      <c r="E18968" s="4"/>
    </row>
    <row r="18969">
      <c r="A18969" s="4"/>
      <c r="B18969" s="4"/>
      <c r="C18969" s="4"/>
      <c r="D18969" s="4"/>
      <c r="E18969" s="4"/>
    </row>
    <row r="18970">
      <c r="A18970" s="4"/>
      <c r="B18970" s="4"/>
      <c r="C18970" s="4"/>
      <c r="D18970" s="4"/>
      <c r="E18970" s="4"/>
    </row>
    <row r="18971">
      <c r="A18971" s="4"/>
      <c r="B18971" s="4"/>
      <c r="C18971" s="4"/>
      <c r="D18971" s="4"/>
      <c r="E18971" s="4"/>
    </row>
    <row r="18972">
      <c r="A18972" s="4"/>
      <c r="B18972" s="4"/>
      <c r="C18972" s="4"/>
      <c r="D18972" s="4"/>
      <c r="E18972" s="4"/>
    </row>
    <row r="18973">
      <c r="A18973" s="4"/>
      <c r="B18973" s="4"/>
      <c r="C18973" s="4"/>
      <c r="D18973" s="4"/>
      <c r="E18973" s="4"/>
    </row>
    <row r="18974">
      <c r="A18974" s="4"/>
      <c r="B18974" s="4"/>
      <c r="C18974" s="4"/>
      <c r="D18974" s="4"/>
      <c r="E18974" s="4"/>
    </row>
    <row r="18975">
      <c r="A18975" s="4"/>
      <c r="B18975" s="4"/>
      <c r="C18975" s="4"/>
      <c r="D18975" s="4"/>
      <c r="E18975" s="4"/>
    </row>
    <row r="18976">
      <c r="A18976" s="4"/>
      <c r="B18976" s="4"/>
      <c r="C18976" s="4"/>
      <c r="D18976" s="4"/>
      <c r="E18976" s="4"/>
    </row>
    <row r="18977">
      <c r="A18977" s="4"/>
      <c r="B18977" s="4"/>
      <c r="C18977" s="4"/>
      <c r="D18977" s="4"/>
      <c r="E18977" s="4"/>
    </row>
    <row r="18978">
      <c r="A18978" s="4"/>
      <c r="B18978" s="4"/>
      <c r="C18978" s="4"/>
      <c r="D18978" s="4"/>
      <c r="E18978" s="4"/>
    </row>
    <row r="18979">
      <c r="A18979" s="4"/>
      <c r="B18979" s="4"/>
      <c r="C18979" s="4"/>
      <c r="D18979" s="4"/>
      <c r="E18979" s="4"/>
    </row>
    <row r="18980">
      <c r="A18980" s="4"/>
      <c r="B18980" s="4"/>
      <c r="C18980" s="4"/>
      <c r="D18980" s="4"/>
      <c r="E18980" s="4"/>
    </row>
    <row r="18981">
      <c r="A18981" s="4"/>
      <c r="B18981" s="4"/>
      <c r="C18981" s="4"/>
      <c r="D18981" s="4"/>
      <c r="E18981" s="4"/>
    </row>
    <row r="18982">
      <c r="A18982" s="4"/>
      <c r="B18982" s="4"/>
      <c r="C18982" s="4"/>
      <c r="D18982" s="4"/>
      <c r="E18982" s="4"/>
    </row>
    <row r="18983">
      <c r="A18983" s="4"/>
      <c r="B18983" s="4"/>
      <c r="C18983" s="4"/>
      <c r="D18983" s="4"/>
      <c r="E18983" s="4"/>
    </row>
    <row r="18984">
      <c r="A18984" s="4"/>
      <c r="B18984" s="4"/>
      <c r="C18984" s="4"/>
      <c r="D18984" s="4"/>
      <c r="E18984" s="4"/>
    </row>
    <row r="18985">
      <c r="A18985" s="4"/>
      <c r="B18985" s="4"/>
      <c r="C18985" s="4"/>
      <c r="D18985" s="4"/>
      <c r="E18985" s="4"/>
    </row>
    <row r="18986">
      <c r="A18986" s="4"/>
      <c r="B18986" s="4"/>
      <c r="C18986" s="4"/>
      <c r="D18986" s="4"/>
      <c r="E18986" s="4"/>
    </row>
    <row r="18987">
      <c r="A18987" s="4"/>
      <c r="B18987" s="4"/>
      <c r="C18987" s="4"/>
      <c r="D18987" s="4"/>
      <c r="E18987" s="4"/>
    </row>
    <row r="18988">
      <c r="A18988" s="4"/>
      <c r="B18988" s="4"/>
      <c r="C18988" s="4"/>
      <c r="D18988" s="4"/>
      <c r="E18988" s="4"/>
    </row>
    <row r="18989">
      <c r="A18989" s="4"/>
      <c r="B18989" s="4"/>
      <c r="C18989" s="4"/>
      <c r="D18989" s="4"/>
      <c r="E18989" s="4"/>
    </row>
    <row r="18990">
      <c r="A18990" s="4"/>
      <c r="B18990" s="4"/>
      <c r="C18990" s="4"/>
      <c r="D18990" s="4"/>
      <c r="E18990" s="4"/>
    </row>
    <row r="18991">
      <c r="A18991" s="4"/>
      <c r="B18991" s="4"/>
      <c r="C18991" s="4"/>
      <c r="D18991" s="4"/>
      <c r="E18991" s="4"/>
    </row>
    <row r="18992">
      <c r="A18992" s="4"/>
      <c r="B18992" s="4"/>
      <c r="C18992" s="4"/>
      <c r="D18992" s="4"/>
      <c r="E18992" s="4"/>
    </row>
    <row r="18993">
      <c r="A18993" s="4"/>
      <c r="B18993" s="4"/>
      <c r="C18993" s="4"/>
      <c r="D18993" s="4"/>
      <c r="E18993" s="4"/>
    </row>
    <row r="18994">
      <c r="A18994" s="4"/>
      <c r="B18994" s="4"/>
      <c r="C18994" s="4"/>
      <c r="D18994" s="4"/>
      <c r="E18994" s="4"/>
    </row>
    <row r="18995">
      <c r="A18995" s="4"/>
      <c r="B18995" s="4"/>
      <c r="C18995" s="4"/>
      <c r="D18995" s="4"/>
      <c r="E18995" s="4"/>
    </row>
    <row r="18996">
      <c r="A18996" s="4"/>
      <c r="B18996" s="4"/>
      <c r="C18996" s="4"/>
      <c r="D18996" s="4"/>
      <c r="E18996" s="4"/>
    </row>
    <row r="18997">
      <c r="A18997" s="4"/>
      <c r="B18997" s="4"/>
      <c r="C18997" s="4"/>
      <c r="D18997" s="4"/>
      <c r="E18997" s="4"/>
    </row>
    <row r="18998">
      <c r="A18998" s="4"/>
      <c r="B18998" s="4"/>
      <c r="C18998" s="4"/>
      <c r="D18998" s="4"/>
      <c r="E18998" s="4"/>
    </row>
    <row r="18999">
      <c r="A18999" s="4"/>
      <c r="B18999" s="4"/>
      <c r="C18999" s="4"/>
      <c r="D18999" s="4"/>
      <c r="E18999" s="4"/>
    </row>
    <row r="19000">
      <c r="A19000" s="4"/>
      <c r="B19000" s="4"/>
      <c r="C19000" s="4"/>
      <c r="D19000" s="4"/>
      <c r="E19000" s="4"/>
    </row>
    <row r="19001">
      <c r="A19001" s="4"/>
      <c r="B19001" s="4"/>
      <c r="C19001" s="4"/>
      <c r="D19001" s="4"/>
      <c r="E19001" s="4"/>
    </row>
    <row r="19002">
      <c r="A19002" s="4"/>
      <c r="B19002" s="4"/>
      <c r="C19002" s="4"/>
      <c r="D19002" s="4"/>
      <c r="E19002" s="4"/>
    </row>
    <row r="19003">
      <c r="A19003" s="4"/>
      <c r="B19003" s="4"/>
      <c r="C19003" s="4"/>
      <c r="D19003" s="4"/>
      <c r="E19003" s="4"/>
    </row>
    <row r="19004">
      <c r="A19004" s="4"/>
      <c r="B19004" s="4"/>
      <c r="C19004" s="4"/>
      <c r="D19004" s="4"/>
      <c r="E19004" s="4"/>
    </row>
    <row r="19005">
      <c r="A19005" s="4"/>
      <c r="B19005" s="4"/>
      <c r="C19005" s="4"/>
      <c r="D19005" s="4"/>
      <c r="E19005" s="4"/>
    </row>
    <row r="19006">
      <c r="A19006" s="4"/>
      <c r="B19006" s="4"/>
      <c r="C19006" s="4"/>
      <c r="D19006" s="4"/>
      <c r="E19006" s="4"/>
    </row>
    <row r="19007">
      <c r="A19007" s="4"/>
      <c r="B19007" s="4"/>
      <c r="C19007" s="4"/>
      <c r="D19007" s="4"/>
      <c r="E19007" s="4"/>
    </row>
    <row r="19008">
      <c r="A19008" s="4"/>
      <c r="B19008" s="4"/>
      <c r="C19008" s="4"/>
      <c r="D19008" s="4"/>
      <c r="E19008" s="4"/>
    </row>
    <row r="19009">
      <c r="A19009" s="4"/>
      <c r="B19009" s="4"/>
      <c r="C19009" s="4"/>
      <c r="D19009" s="4"/>
      <c r="E19009" s="4"/>
    </row>
    <row r="19010">
      <c r="A19010" s="4"/>
      <c r="B19010" s="4"/>
      <c r="C19010" s="4"/>
      <c r="D19010" s="4"/>
      <c r="E19010" s="4"/>
    </row>
    <row r="19011">
      <c r="A19011" s="4"/>
      <c r="B19011" s="4"/>
      <c r="C19011" s="4"/>
      <c r="D19011" s="4"/>
      <c r="E19011" s="4"/>
    </row>
    <row r="19012">
      <c r="A19012" s="4"/>
      <c r="B19012" s="4"/>
      <c r="C19012" s="4"/>
      <c r="D19012" s="4"/>
      <c r="E19012" s="4"/>
    </row>
    <row r="19013">
      <c r="A19013" s="4"/>
      <c r="B19013" s="4"/>
      <c r="C19013" s="4"/>
      <c r="D19013" s="4"/>
      <c r="E19013" s="4"/>
    </row>
    <row r="19014">
      <c r="A19014" s="4"/>
      <c r="B19014" s="4"/>
      <c r="C19014" s="4"/>
      <c r="D19014" s="4"/>
      <c r="E19014" s="4"/>
    </row>
    <row r="19015">
      <c r="A19015" s="4"/>
      <c r="B19015" s="4"/>
      <c r="C19015" s="4"/>
      <c r="D19015" s="4"/>
      <c r="E19015" s="4"/>
    </row>
    <row r="19016">
      <c r="A19016" s="4"/>
      <c r="B19016" s="4"/>
      <c r="C19016" s="4"/>
      <c r="D19016" s="4"/>
      <c r="E19016" s="4"/>
    </row>
    <row r="19017">
      <c r="A19017" s="4"/>
      <c r="B19017" s="4"/>
      <c r="C19017" s="4"/>
      <c r="D19017" s="4"/>
      <c r="E19017" s="4"/>
    </row>
    <row r="19018">
      <c r="A19018" s="4"/>
      <c r="B19018" s="4"/>
      <c r="C19018" s="4"/>
      <c r="D19018" s="4"/>
      <c r="E19018" s="4"/>
    </row>
    <row r="19019">
      <c r="A19019" s="4"/>
      <c r="B19019" s="4"/>
      <c r="C19019" s="4"/>
      <c r="D19019" s="4"/>
      <c r="E19019" s="4"/>
    </row>
    <row r="19020">
      <c r="A19020" s="4"/>
      <c r="B19020" s="4"/>
      <c r="C19020" s="4"/>
      <c r="D19020" s="4"/>
      <c r="E19020" s="4"/>
    </row>
    <row r="19021">
      <c r="A19021" s="4"/>
      <c r="B19021" s="4"/>
      <c r="C19021" s="4"/>
      <c r="D19021" s="4"/>
      <c r="E19021" s="4"/>
    </row>
    <row r="19022">
      <c r="A19022" s="4"/>
      <c r="B19022" s="4"/>
      <c r="C19022" s="4"/>
      <c r="D19022" s="4"/>
      <c r="E19022" s="4"/>
    </row>
    <row r="19023">
      <c r="A19023" s="4"/>
      <c r="B19023" s="4"/>
      <c r="C19023" s="4"/>
      <c r="D19023" s="4"/>
      <c r="E19023" s="4"/>
    </row>
    <row r="19024">
      <c r="A19024" s="4"/>
      <c r="B19024" s="4"/>
      <c r="C19024" s="4"/>
      <c r="D19024" s="4"/>
      <c r="E19024" s="4"/>
    </row>
    <row r="19025">
      <c r="A19025" s="4"/>
      <c r="B19025" s="4"/>
      <c r="C19025" s="4"/>
      <c r="D19025" s="4"/>
      <c r="E19025" s="4"/>
    </row>
    <row r="19026">
      <c r="A19026" s="4"/>
      <c r="B19026" s="4"/>
      <c r="C19026" s="4"/>
      <c r="D19026" s="4"/>
      <c r="E19026" s="4"/>
    </row>
    <row r="19027">
      <c r="A19027" s="4"/>
      <c r="B19027" s="4"/>
      <c r="C19027" s="4"/>
      <c r="D19027" s="4"/>
      <c r="E19027" s="4"/>
    </row>
    <row r="19028">
      <c r="A19028" s="4"/>
      <c r="B19028" s="4"/>
      <c r="C19028" s="4"/>
      <c r="D19028" s="4"/>
      <c r="E19028" s="4"/>
    </row>
    <row r="19029">
      <c r="A19029" s="4"/>
      <c r="B19029" s="4"/>
      <c r="C19029" s="4"/>
      <c r="D19029" s="4"/>
      <c r="E19029" s="4"/>
    </row>
    <row r="19030">
      <c r="A19030" s="4"/>
      <c r="B19030" s="4"/>
      <c r="C19030" s="4"/>
      <c r="D19030" s="4"/>
      <c r="E19030" s="4"/>
    </row>
    <row r="19031">
      <c r="A19031" s="4"/>
      <c r="B19031" s="4"/>
      <c r="C19031" s="4"/>
      <c r="D19031" s="4"/>
      <c r="E19031" s="4"/>
    </row>
    <row r="19032">
      <c r="A19032" s="4"/>
      <c r="B19032" s="4"/>
      <c r="C19032" s="4"/>
      <c r="D19032" s="4"/>
      <c r="E19032" s="4"/>
    </row>
    <row r="19033">
      <c r="A19033" s="4"/>
      <c r="B19033" s="4"/>
      <c r="C19033" s="4"/>
      <c r="D19033" s="4"/>
      <c r="E19033" s="4"/>
    </row>
    <row r="19034">
      <c r="A19034" s="4"/>
      <c r="B19034" s="4"/>
      <c r="C19034" s="4"/>
      <c r="D19034" s="4"/>
      <c r="E19034" s="4"/>
    </row>
    <row r="19035">
      <c r="A19035" s="4"/>
      <c r="B19035" s="4"/>
      <c r="C19035" s="4"/>
      <c r="D19035" s="4"/>
      <c r="E19035" s="4"/>
    </row>
    <row r="19036">
      <c r="A19036" s="4"/>
      <c r="B19036" s="4"/>
      <c r="C19036" s="4"/>
      <c r="D19036" s="4"/>
      <c r="E19036" s="4"/>
    </row>
    <row r="19037">
      <c r="A19037" s="4"/>
      <c r="B19037" s="4"/>
      <c r="C19037" s="4"/>
      <c r="D19037" s="4"/>
      <c r="E19037" s="4"/>
    </row>
    <row r="19038">
      <c r="A19038" s="4"/>
      <c r="B19038" s="4"/>
      <c r="C19038" s="4"/>
      <c r="D19038" s="4"/>
      <c r="E19038" s="4"/>
    </row>
    <row r="19039">
      <c r="A19039" s="4"/>
      <c r="B19039" s="4"/>
      <c r="C19039" s="4"/>
      <c r="D19039" s="4"/>
      <c r="E19039" s="4"/>
    </row>
    <row r="19040">
      <c r="A19040" s="4"/>
      <c r="B19040" s="4"/>
      <c r="C19040" s="4"/>
      <c r="D19040" s="4"/>
      <c r="E19040" s="4"/>
    </row>
    <row r="19041">
      <c r="A19041" s="4"/>
      <c r="B19041" s="4"/>
      <c r="C19041" s="4"/>
      <c r="D19041" s="4"/>
      <c r="E19041" s="4"/>
    </row>
    <row r="19042">
      <c r="A19042" s="4"/>
      <c r="B19042" s="4"/>
      <c r="C19042" s="4"/>
      <c r="D19042" s="4"/>
      <c r="E19042" s="4"/>
    </row>
    <row r="19043">
      <c r="A19043" s="4"/>
      <c r="B19043" s="4"/>
      <c r="C19043" s="4"/>
      <c r="D19043" s="4"/>
      <c r="E19043" s="4"/>
    </row>
    <row r="19044">
      <c r="A19044" s="4"/>
      <c r="B19044" s="4"/>
      <c r="C19044" s="4"/>
      <c r="D19044" s="4"/>
      <c r="E19044" s="4"/>
    </row>
    <row r="19045">
      <c r="A19045" s="4"/>
      <c r="B19045" s="4"/>
      <c r="C19045" s="4"/>
      <c r="D19045" s="4"/>
      <c r="E19045" s="4"/>
    </row>
    <row r="19046">
      <c r="A19046" s="4"/>
      <c r="B19046" s="4"/>
      <c r="C19046" s="4"/>
      <c r="D19046" s="4"/>
      <c r="E19046" s="4"/>
    </row>
    <row r="19047">
      <c r="A19047" s="4"/>
      <c r="B19047" s="4"/>
      <c r="C19047" s="4"/>
      <c r="D19047" s="4"/>
      <c r="E19047" s="4"/>
    </row>
    <row r="19048">
      <c r="A19048" s="4"/>
      <c r="B19048" s="4"/>
      <c r="C19048" s="4"/>
      <c r="D19048" s="4"/>
      <c r="E19048" s="4"/>
    </row>
    <row r="19049">
      <c r="A19049" s="4"/>
      <c r="B19049" s="4"/>
      <c r="C19049" s="4"/>
      <c r="D19049" s="4"/>
      <c r="E19049" s="4"/>
    </row>
    <row r="19050">
      <c r="A19050" s="4"/>
      <c r="B19050" s="4"/>
      <c r="C19050" s="4"/>
      <c r="D19050" s="4"/>
      <c r="E19050" s="4"/>
    </row>
    <row r="19051">
      <c r="A19051" s="4"/>
      <c r="B19051" s="4"/>
      <c r="C19051" s="4"/>
      <c r="D19051" s="4"/>
      <c r="E19051" s="4"/>
    </row>
    <row r="19052">
      <c r="A19052" s="4"/>
      <c r="B19052" s="4"/>
      <c r="C19052" s="4"/>
      <c r="D19052" s="4"/>
      <c r="E19052" s="4"/>
    </row>
    <row r="19053">
      <c r="A19053" s="4"/>
      <c r="B19053" s="4"/>
      <c r="C19053" s="4"/>
      <c r="D19053" s="4"/>
      <c r="E19053" s="4"/>
    </row>
    <row r="19054">
      <c r="A19054" s="4"/>
      <c r="B19054" s="4"/>
      <c r="C19054" s="4"/>
      <c r="D19054" s="4"/>
      <c r="E19054" s="4"/>
    </row>
    <row r="19055">
      <c r="A19055" s="4"/>
      <c r="B19055" s="4"/>
      <c r="C19055" s="4"/>
      <c r="D19055" s="4"/>
      <c r="E19055" s="4"/>
    </row>
    <row r="19056">
      <c r="A19056" s="4"/>
      <c r="B19056" s="4"/>
      <c r="C19056" s="4"/>
      <c r="D19056" s="4"/>
      <c r="E19056" s="4"/>
    </row>
    <row r="19057">
      <c r="A19057" s="4"/>
      <c r="B19057" s="4"/>
      <c r="C19057" s="4"/>
      <c r="D19057" s="4"/>
      <c r="E19057" s="4"/>
    </row>
    <row r="19058">
      <c r="A19058" s="4"/>
      <c r="B19058" s="4"/>
      <c r="C19058" s="4"/>
      <c r="D19058" s="4"/>
      <c r="E19058" s="4"/>
    </row>
    <row r="19059">
      <c r="A19059" s="4"/>
      <c r="B19059" s="4"/>
      <c r="C19059" s="4"/>
      <c r="D19059" s="4"/>
      <c r="E19059" s="4"/>
    </row>
    <row r="19060">
      <c r="A19060" s="4"/>
      <c r="B19060" s="4"/>
      <c r="C19060" s="4"/>
      <c r="D19060" s="4"/>
      <c r="E19060" s="4"/>
    </row>
    <row r="19061">
      <c r="A19061" s="4"/>
      <c r="B19061" s="4"/>
      <c r="C19061" s="4"/>
      <c r="D19061" s="4"/>
      <c r="E19061" s="4"/>
    </row>
    <row r="19062">
      <c r="A19062" s="4"/>
      <c r="B19062" s="4"/>
      <c r="C19062" s="4"/>
      <c r="D19062" s="4"/>
      <c r="E19062" s="4"/>
    </row>
    <row r="19063">
      <c r="A19063" s="4"/>
      <c r="B19063" s="4"/>
      <c r="C19063" s="4"/>
      <c r="D19063" s="4"/>
      <c r="E19063" s="4"/>
    </row>
    <row r="19064">
      <c r="A19064" s="4"/>
      <c r="B19064" s="4"/>
      <c r="C19064" s="4"/>
      <c r="D19064" s="4"/>
      <c r="E19064" s="4"/>
    </row>
    <row r="19065">
      <c r="A19065" s="4"/>
      <c r="B19065" s="4"/>
      <c r="C19065" s="4"/>
      <c r="D19065" s="4"/>
      <c r="E19065" s="4"/>
    </row>
    <row r="19066">
      <c r="A19066" s="4"/>
      <c r="B19066" s="4"/>
      <c r="C19066" s="4"/>
      <c r="D19066" s="4"/>
      <c r="E19066" s="4"/>
    </row>
    <row r="19067">
      <c r="A19067" s="4"/>
      <c r="B19067" s="4"/>
      <c r="C19067" s="4"/>
      <c r="D19067" s="4"/>
      <c r="E19067" s="4"/>
    </row>
    <row r="19068">
      <c r="A19068" s="4"/>
      <c r="B19068" s="4"/>
      <c r="C19068" s="4"/>
      <c r="D19068" s="4"/>
      <c r="E19068" s="4"/>
    </row>
    <row r="19069">
      <c r="A19069" s="4"/>
      <c r="B19069" s="4"/>
      <c r="C19069" s="4"/>
      <c r="D19069" s="4"/>
      <c r="E19069" s="4"/>
    </row>
    <row r="19070">
      <c r="A19070" s="4"/>
      <c r="B19070" s="4"/>
      <c r="C19070" s="4"/>
      <c r="D19070" s="4"/>
      <c r="E19070" s="4"/>
    </row>
    <row r="19071">
      <c r="A19071" s="4"/>
      <c r="B19071" s="4"/>
      <c r="C19071" s="4"/>
      <c r="D19071" s="4"/>
      <c r="E19071" s="4"/>
    </row>
    <row r="19072">
      <c r="A19072" s="4"/>
      <c r="B19072" s="4"/>
      <c r="C19072" s="4"/>
      <c r="D19072" s="4"/>
      <c r="E19072" s="4"/>
    </row>
    <row r="19073">
      <c r="A19073" s="4"/>
      <c r="B19073" s="4"/>
      <c r="C19073" s="4"/>
      <c r="D19073" s="4"/>
      <c r="E19073" s="4"/>
    </row>
    <row r="19074">
      <c r="A19074" s="4"/>
      <c r="B19074" s="4"/>
      <c r="C19074" s="4"/>
      <c r="D19074" s="4"/>
      <c r="E19074" s="4"/>
    </row>
    <row r="19075">
      <c r="A19075" s="4"/>
      <c r="B19075" s="4"/>
      <c r="C19075" s="4"/>
      <c r="D19075" s="4"/>
      <c r="E19075" s="4"/>
    </row>
    <row r="19076">
      <c r="A19076" s="4"/>
      <c r="B19076" s="4"/>
      <c r="C19076" s="4"/>
      <c r="D19076" s="4"/>
      <c r="E19076" s="4"/>
    </row>
    <row r="19077">
      <c r="A19077" s="4"/>
      <c r="B19077" s="4"/>
      <c r="C19077" s="4"/>
      <c r="D19077" s="4"/>
      <c r="E19077" s="4"/>
    </row>
    <row r="19078">
      <c r="A19078" s="4"/>
      <c r="B19078" s="4"/>
      <c r="C19078" s="4"/>
      <c r="D19078" s="4"/>
      <c r="E19078" s="4"/>
    </row>
    <row r="19079">
      <c r="A19079" s="4"/>
      <c r="B19079" s="4"/>
      <c r="C19079" s="4"/>
      <c r="D19079" s="4"/>
      <c r="E19079" s="4"/>
    </row>
    <row r="19080">
      <c r="A19080" s="4"/>
      <c r="B19080" s="4"/>
      <c r="C19080" s="4"/>
      <c r="D19080" s="4"/>
      <c r="E19080" s="4"/>
    </row>
    <row r="19081">
      <c r="A19081" s="4"/>
      <c r="B19081" s="4"/>
      <c r="C19081" s="4"/>
      <c r="D19081" s="4"/>
      <c r="E19081" s="4"/>
    </row>
    <row r="19082">
      <c r="A19082" s="4"/>
      <c r="B19082" s="4"/>
      <c r="C19082" s="4"/>
      <c r="D19082" s="4"/>
      <c r="E19082" s="4"/>
    </row>
    <row r="19083">
      <c r="A19083" s="4"/>
      <c r="B19083" s="4"/>
      <c r="C19083" s="4"/>
      <c r="D19083" s="4"/>
      <c r="E19083" s="4"/>
    </row>
    <row r="19084">
      <c r="A19084" s="4"/>
      <c r="B19084" s="4"/>
      <c r="C19084" s="4"/>
      <c r="D19084" s="4"/>
      <c r="E19084" s="4"/>
    </row>
    <row r="19085">
      <c r="A19085" s="4"/>
      <c r="B19085" s="4"/>
      <c r="C19085" s="4"/>
      <c r="D19085" s="4"/>
      <c r="E19085" s="4"/>
    </row>
    <row r="19086">
      <c r="A19086" s="4"/>
      <c r="B19086" s="4"/>
      <c r="C19086" s="4"/>
      <c r="D19086" s="4"/>
      <c r="E19086" s="4"/>
    </row>
    <row r="19087">
      <c r="A19087" s="4"/>
      <c r="B19087" s="4"/>
      <c r="C19087" s="4"/>
      <c r="D19087" s="4"/>
      <c r="E19087" s="4"/>
    </row>
    <row r="19088">
      <c r="A19088" s="4"/>
      <c r="B19088" s="4"/>
      <c r="C19088" s="4"/>
      <c r="D19088" s="4"/>
      <c r="E19088" s="4"/>
    </row>
    <row r="19089">
      <c r="A19089" s="4"/>
      <c r="B19089" s="4"/>
      <c r="C19089" s="4"/>
      <c r="D19089" s="4"/>
      <c r="E19089" s="4"/>
    </row>
    <row r="19090">
      <c r="A19090" s="4"/>
      <c r="B19090" s="4"/>
      <c r="C19090" s="4"/>
      <c r="D19090" s="4"/>
      <c r="E19090" s="4"/>
    </row>
    <row r="19091">
      <c r="A19091" s="4"/>
      <c r="B19091" s="4"/>
      <c r="C19091" s="4"/>
      <c r="D19091" s="4"/>
      <c r="E19091" s="4"/>
    </row>
    <row r="19092">
      <c r="A19092" s="4"/>
      <c r="B19092" s="4"/>
      <c r="C19092" s="4"/>
      <c r="D19092" s="4"/>
      <c r="E19092" s="4"/>
    </row>
    <row r="19093">
      <c r="A19093" s="4"/>
      <c r="B19093" s="4"/>
      <c r="C19093" s="4"/>
      <c r="D19093" s="4"/>
      <c r="E19093" s="4"/>
    </row>
    <row r="19094">
      <c r="A19094" s="4"/>
      <c r="B19094" s="4"/>
      <c r="C19094" s="4"/>
      <c r="D19094" s="4"/>
      <c r="E19094" s="4"/>
    </row>
    <row r="19095">
      <c r="A19095" s="4"/>
      <c r="B19095" s="4"/>
      <c r="C19095" s="4"/>
      <c r="D19095" s="4"/>
      <c r="E19095" s="4"/>
    </row>
    <row r="19096">
      <c r="A19096" s="4"/>
      <c r="B19096" s="4"/>
      <c r="C19096" s="4"/>
      <c r="D19096" s="4"/>
      <c r="E19096" s="4"/>
    </row>
    <row r="19097">
      <c r="A19097" s="4"/>
      <c r="B19097" s="4"/>
      <c r="C19097" s="4"/>
      <c r="D19097" s="4"/>
      <c r="E19097" s="4"/>
    </row>
    <row r="19098">
      <c r="A19098" s="4"/>
      <c r="B19098" s="4"/>
      <c r="C19098" s="4"/>
      <c r="D19098" s="4"/>
      <c r="E19098" s="4"/>
    </row>
    <row r="19099">
      <c r="A19099" s="4"/>
      <c r="B19099" s="4"/>
      <c r="C19099" s="4"/>
      <c r="D19099" s="4"/>
      <c r="E19099" s="4"/>
    </row>
    <row r="19100">
      <c r="A19100" s="4"/>
      <c r="B19100" s="4"/>
      <c r="C19100" s="4"/>
      <c r="D19100" s="4"/>
      <c r="E19100" s="4"/>
    </row>
    <row r="19101">
      <c r="A19101" s="4"/>
      <c r="B19101" s="4"/>
      <c r="C19101" s="4"/>
      <c r="D19101" s="4"/>
      <c r="E19101" s="4"/>
    </row>
    <row r="19102">
      <c r="A19102" s="4"/>
      <c r="B19102" s="4"/>
      <c r="C19102" s="4"/>
      <c r="D19102" s="4"/>
      <c r="E19102" s="4"/>
    </row>
    <row r="19103">
      <c r="A19103" s="4"/>
      <c r="B19103" s="4"/>
      <c r="C19103" s="4"/>
      <c r="D19103" s="4"/>
      <c r="E19103" s="4"/>
    </row>
    <row r="19104">
      <c r="A19104" s="4"/>
      <c r="B19104" s="4"/>
      <c r="C19104" s="4"/>
      <c r="D19104" s="4"/>
      <c r="E19104" s="4"/>
    </row>
    <row r="19105">
      <c r="A19105" s="4"/>
      <c r="B19105" s="4"/>
      <c r="C19105" s="4"/>
      <c r="D19105" s="4"/>
      <c r="E19105" s="4"/>
    </row>
    <row r="19106">
      <c r="A19106" s="4"/>
      <c r="B19106" s="4"/>
      <c r="C19106" s="4"/>
      <c r="D19106" s="4"/>
      <c r="E19106" s="4"/>
    </row>
    <row r="19107">
      <c r="A19107" s="4"/>
      <c r="B19107" s="4"/>
      <c r="C19107" s="4"/>
      <c r="D19107" s="4"/>
      <c r="E19107" s="4"/>
    </row>
    <row r="19108">
      <c r="A19108" s="4"/>
      <c r="B19108" s="4"/>
      <c r="C19108" s="4"/>
      <c r="D19108" s="4"/>
      <c r="E19108" s="4"/>
    </row>
    <row r="19109">
      <c r="A19109" s="4"/>
      <c r="B19109" s="4"/>
      <c r="C19109" s="4"/>
      <c r="D19109" s="4"/>
      <c r="E19109" s="4"/>
    </row>
    <row r="19110">
      <c r="A19110" s="4"/>
      <c r="B19110" s="4"/>
      <c r="C19110" s="4"/>
      <c r="D19110" s="4"/>
      <c r="E19110" s="4"/>
    </row>
    <row r="19111">
      <c r="A19111" s="4"/>
      <c r="B19111" s="4"/>
      <c r="C19111" s="4"/>
      <c r="D19111" s="4"/>
      <c r="E19111" s="4"/>
    </row>
    <row r="19112">
      <c r="A19112" s="4"/>
      <c r="B19112" s="4"/>
      <c r="C19112" s="4"/>
      <c r="D19112" s="4"/>
      <c r="E19112" s="4"/>
    </row>
    <row r="19113">
      <c r="A19113" s="4"/>
      <c r="B19113" s="4"/>
      <c r="C19113" s="4"/>
      <c r="D19113" s="4"/>
      <c r="E19113" s="4"/>
    </row>
    <row r="19114">
      <c r="A19114" s="4"/>
      <c r="B19114" s="4"/>
      <c r="C19114" s="4"/>
      <c r="D19114" s="4"/>
      <c r="E19114" s="4"/>
    </row>
    <row r="19115">
      <c r="A19115" s="4"/>
      <c r="B19115" s="4"/>
      <c r="C19115" s="4"/>
      <c r="D19115" s="4"/>
      <c r="E19115" s="4"/>
    </row>
    <row r="19116">
      <c r="A19116" s="4"/>
      <c r="B19116" s="4"/>
      <c r="C19116" s="4"/>
      <c r="D19116" s="4"/>
      <c r="E19116" s="4"/>
    </row>
    <row r="19117">
      <c r="A19117" s="4"/>
      <c r="B19117" s="4"/>
      <c r="C19117" s="4"/>
      <c r="D19117" s="4"/>
      <c r="E19117" s="4"/>
    </row>
    <row r="19118">
      <c r="A19118" s="4"/>
      <c r="B19118" s="4"/>
      <c r="C19118" s="4"/>
      <c r="D19118" s="4"/>
      <c r="E19118" s="4"/>
    </row>
    <row r="19119">
      <c r="A19119" s="4"/>
      <c r="B19119" s="4"/>
      <c r="C19119" s="4"/>
      <c r="D19119" s="4"/>
      <c r="E19119" s="4"/>
    </row>
    <row r="19120">
      <c r="A19120" s="4"/>
      <c r="B19120" s="4"/>
      <c r="C19120" s="4"/>
      <c r="D19120" s="4"/>
      <c r="E19120" s="4"/>
    </row>
    <row r="19121">
      <c r="A19121" s="4"/>
      <c r="B19121" s="4"/>
      <c r="C19121" s="4"/>
      <c r="D19121" s="4"/>
      <c r="E19121" s="4"/>
    </row>
    <row r="19122">
      <c r="A19122" s="4"/>
      <c r="B19122" s="4"/>
      <c r="C19122" s="4"/>
      <c r="D19122" s="4"/>
      <c r="E19122" s="4"/>
    </row>
    <row r="19123">
      <c r="A19123" s="4"/>
      <c r="B19123" s="4"/>
      <c r="C19123" s="4"/>
      <c r="D19123" s="4"/>
      <c r="E19123" s="4"/>
    </row>
    <row r="19124">
      <c r="A19124" s="4"/>
      <c r="B19124" s="4"/>
      <c r="C19124" s="4"/>
      <c r="D19124" s="4"/>
      <c r="E19124" s="4"/>
    </row>
    <row r="19125">
      <c r="A19125" s="4"/>
      <c r="B19125" s="4"/>
      <c r="C19125" s="4"/>
      <c r="D19125" s="4"/>
      <c r="E19125" s="4"/>
    </row>
    <row r="19126">
      <c r="A19126" s="4"/>
      <c r="B19126" s="4"/>
      <c r="C19126" s="4"/>
      <c r="D19126" s="4"/>
      <c r="E19126" s="4"/>
    </row>
    <row r="19127">
      <c r="A19127" s="4"/>
      <c r="B19127" s="4"/>
      <c r="C19127" s="4"/>
      <c r="D19127" s="4"/>
      <c r="E19127" s="4"/>
    </row>
    <row r="19128">
      <c r="A19128" s="4"/>
      <c r="B19128" s="4"/>
      <c r="C19128" s="4"/>
      <c r="D19128" s="4"/>
      <c r="E19128" s="4"/>
    </row>
    <row r="19129">
      <c r="A19129" s="4"/>
      <c r="B19129" s="4"/>
      <c r="C19129" s="4"/>
      <c r="D19129" s="4"/>
      <c r="E19129" s="4"/>
    </row>
    <row r="19130">
      <c r="A19130" s="4"/>
      <c r="B19130" s="4"/>
      <c r="C19130" s="4"/>
      <c r="D19130" s="4"/>
      <c r="E19130" s="4"/>
    </row>
    <row r="19131">
      <c r="A19131" s="4"/>
      <c r="B19131" s="4"/>
      <c r="C19131" s="4"/>
      <c r="D19131" s="4"/>
      <c r="E19131" s="4"/>
    </row>
    <row r="19132">
      <c r="A19132" s="4"/>
      <c r="B19132" s="4"/>
      <c r="C19132" s="4"/>
      <c r="D19132" s="4"/>
      <c r="E19132" s="4"/>
    </row>
    <row r="19133">
      <c r="A19133" s="4"/>
      <c r="B19133" s="4"/>
      <c r="C19133" s="4"/>
      <c r="D19133" s="4"/>
      <c r="E19133" s="4"/>
    </row>
    <row r="19134">
      <c r="A19134" s="4"/>
      <c r="B19134" s="4"/>
      <c r="C19134" s="4"/>
      <c r="D19134" s="4"/>
      <c r="E19134" s="4"/>
    </row>
    <row r="19135">
      <c r="A19135" s="4"/>
      <c r="B19135" s="4"/>
      <c r="C19135" s="4"/>
      <c r="D19135" s="4"/>
      <c r="E19135" s="4"/>
    </row>
    <row r="19136">
      <c r="A19136" s="4"/>
      <c r="B19136" s="4"/>
      <c r="C19136" s="4"/>
      <c r="D19136" s="4"/>
      <c r="E19136" s="4"/>
    </row>
    <row r="19137">
      <c r="A19137" s="4"/>
      <c r="B19137" s="4"/>
      <c r="C19137" s="4"/>
      <c r="D19137" s="4"/>
      <c r="E19137" s="4"/>
    </row>
    <row r="19138">
      <c r="A19138" s="4"/>
      <c r="B19138" s="4"/>
      <c r="C19138" s="4"/>
      <c r="D19138" s="4"/>
      <c r="E19138" s="4"/>
    </row>
    <row r="19139">
      <c r="A19139" s="4"/>
      <c r="B19139" s="4"/>
      <c r="C19139" s="4"/>
      <c r="D19139" s="4"/>
      <c r="E19139" s="4"/>
    </row>
    <row r="19140">
      <c r="A19140" s="4"/>
      <c r="B19140" s="4"/>
      <c r="C19140" s="4"/>
      <c r="D19140" s="4"/>
      <c r="E19140" s="4"/>
    </row>
    <row r="19141">
      <c r="A19141" s="4"/>
      <c r="B19141" s="4"/>
      <c r="C19141" s="4"/>
      <c r="D19141" s="4"/>
      <c r="E19141" s="4"/>
    </row>
    <row r="19142">
      <c r="A19142" s="4"/>
      <c r="B19142" s="4"/>
      <c r="C19142" s="4"/>
      <c r="D19142" s="4"/>
      <c r="E19142" s="4"/>
    </row>
    <row r="19143">
      <c r="A19143" s="4"/>
      <c r="B19143" s="4"/>
      <c r="C19143" s="4"/>
      <c r="D19143" s="4"/>
      <c r="E19143" s="4"/>
    </row>
    <row r="19144">
      <c r="A19144" s="4"/>
      <c r="B19144" s="4"/>
      <c r="C19144" s="4"/>
      <c r="D19144" s="4"/>
      <c r="E19144" s="4"/>
    </row>
    <row r="19145">
      <c r="A19145" s="4"/>
      <c r="B19145" s="4"/>
      <c r="C19145" s="4"/>
      <c r="D19145" s="4"/>
      <c r="E19145" s="4"/>
    </row>
    <row r="19146">
      <c r="A19146" s="4"/>
      <c r="B19146" s="4"/>
      <c r="C19146" s="4"/>
      <c r="D19146" s="4"/>
      <c r="E19146" s="4"/>
    </row>
    <row r="19147">
      <c r="A19147" s="4"/>
      <c r="B19147" s="4"/>
      <c r="C19147" s="4"/>
      <c r="D19147" s="4"/>
      <c r="E19147" s="4"/>
    </row>
    <row r="19148">
      <c r="A19148" s="4"/>
      <c r="B19148" s="4"/>
      <c r="C19148" s="4"/>
      <c r="D19148" s="4"/>
      <c r="E19148" s="4"/>
    </row>
    <row r="19149">
      <c r="A19149" s="4"/>
      <c r="B19149" s="4"/>
      <c r="C19149" s="4"/>
      <c r="D19149" s="4"/>
      <c r="E19149" s="4"/>
    </row>
    <row r="19150">
      <c r="A19150" s="4"/>
      <c r="B19150" s="4"/>
      <c r="C19150" s="4"/>
      <c r="D19150" s="4"/>
      <c r="E19150" s="4"/>
    </row>
    <row r="19151">
      <c r="A19151" s="4"/>
      <c r="B19151" s="4"/>
      <c r="C19151" s="4"/>
      <c r="D19151" s="4"/>
      <c r="E19151" s="4"/>
    </row>
    <row r="19152">
      <c r="A19152" s="4"/>
      <c r="B19152" s="4"/>
      <c r="C19152" s="4"/>
      <c r="D19152" s="4"/>
      <c r="E19152" s="4"/>
    </row>
    <row r="19153">
      <c r="A19153" s="4"/>
      <c r="B19153" s="4"/>
      <c r="C19153" s="4"/>
      <c r="D19153" s="4"/>
      <c r="E19153" s="4"/>
    </row>
    <row r="19154">
      <c r="A19154" s="4"/>
      <c r="B19154" s="4"/>
      <c r="C19154" s="4"/>
      <c r="D19154" s="4"/>
      <c r="E19154" s="4"/>
    </row>
    <row r="19155">
      <c r="A19155" s="4"/>
      <c r="B19155" s="4"/>
      <c r="C19155" s="4"/>
      <c r="D19155" s="4"/>
      <c r="E19155" s="4"/>
    </row>
    <row r="19156">
      <c r="A19156" s="4"/>
      <c r="B19156" s="4"/>
      <c r="C19156" s="4"/>
      <c r="D19156" s="4"/>
      <c r="E19156" s="4"/>
    </row>
    <row r="19157">
      <c r="A19157" s="4"/>
      <c r="B19157" s="4"/>
      <c r="C19157" s="4"/>
      <c r="D19157" s="4"/>
      <c r="E19157" s="4"/>
    </row>
    <row r="19158">
      <c r="A19158" s="4"/>
      <c r="B19158" s="4"/>
      <c r="C19158" s="4"/>
      <c r="D19158" s="4"/>
      <c r="E19158" s="4"/>
    </row>
    <row r="19159">
      <c r="A19159" s="4"/>
      <c r="B19159" s="4"/>
      <c r="C19159" s="4"/>
      <c r="D19159" s="4"/>
      <c r="E19159" s="4"/>
    </row>
    <row r="19160">
      <c r="A19160" s="4"/>
      <c r="B19160" s="4"/>
      <c r="C19160" s="4"/>
      <c r="D19160" s="4"/>
      <c r="E19160" s="4"/>
    </row>
    <row r="19161">
      <c r="A19161" s="4"/>
      <c r="B19161" s="4"/>
      <c r="C19161" s="4"/>
      <c r="D19161" s="4"/>
      <c r="E19161" s="4"/>
    </row>
    <row r="19162">
      <c r="A19162" s="4"/>
      <c r="B19162" s="4"/>
      <c r="C19162" s="4"/>
      <c r="D19162" s="4"/>
      <c r="E19162" s="4"/>
    </row>
    <row r="19163">
      <c r="A19163" s="4"/>
      <c r="B19163" s="4"/>
      <c r="C19163" s="4"/>
      <c r="D19163" s="4"/>
      <c r="E19163" s="4"/>
    </row>
    <row r="19164">
      <c r="A19164" s="4"/>
      <c r="B19164" s="4"/>
      <c r="C19164" s="4"/>
      <c r="D19164" s="4"/>
      <c r="E19164" s="4"/>
    </row>
    <row r="19165">
      <c r="A19165" s="4"/>
      <c r="B19165" s="4"/>
      <c r="C19165" s="4"/>
      <c r="D19165" s="4"/>
      <c r="E19165" s="4"/>
    </row>
    <row r="19166">
      <c r="A19166" s="4"/>
      <c r="B19166" s="4"/>
      <c r="C19166" s="4"/>
      <c r="D19166" s="4"/>
      <c r="E19166" s="4"/>
    </row>
    <row r="19167">
      <c r="A19167" s="4"/>
      <c r="B19167" s="4"/>
      <c r="C19167" s="4"/>
      <c r="D19167" s="4"/>
      <c r="E19167" s="4"/>
    </row>
    <row r="19168">
      <c r="A19168" s="4"/>
      <c r="B19168" s="4"/>
      <c r="C19168" s="4"/>
      <c r="D19168" s="4"/>
      <c r="E19168" s="4"/>
    </row>
    <row r="19169">
      <c r="A19169" s="4"/>
      <c r="B19169" s="4"/>
      <c r="C19169" s="4"/>
      <c r="D19169" s="4"/>
      <c r="E19169" s="4"/>
    </row>
    <row r="19170">
      <c r="A19170" s="4"/>
      <c r="B19170" s="4"/>
      <c r="C19170" s="4"/>
      <c r="D19170" s="4"/>
      <c r="E19170" s="4"/>
    </row>
    <row r="19171">
      <c r="A19171" s="4"/>
      <c r="B19171" s="4"/>
      <c r="C19171" s="4"/>
      <c r="D19171" s="4"/>
      <c r="E19171" s="4"/>
    </row>
    <row r="19172">
      <c r="A19172" s="4"/>
      <c r="B19172" s="4"/>
      <c r="C19172" s="4"/>
      <c r="D19172" s="4"/>
      <c r="E19172" s="4"/>
    </row>
    <row r="19173">
      <c r="A19173" s="4"/>
      <c r="B19173" s="4"/>
      <c r="C19173" s="4"/>
      <c r="D19173" s="4"/>
      <c r="E19173" s="4"/>
    </row>
    <row r="19174">
      <c r="A19174" s="4"/>
      <c r="B19174" s="4"/>
      <c r="C19174" s="4"/>
      <c r="D19174" s="4"/>
      <c r="E19174" s="4"/>
    </row>
    <row r="19175">
      <c r="A19175" s="4"/>
      <c r="B19175" s="4"/>
      <c r="C19175" s="4"/>
      <c r="D19175" s="4"/>
      <c r="E19175" s="4"/>
    </row>
    <row r="19176">
      <c r="A19176" s="4"/>
      <c r="B19176" s="4"/>
      <c r="C19176" s="4"/>
      <c r="D19176" s="4"/>
      <c r="E19176" s="4"/>
    </row>
    <row r="19177">
      <c r="A19177" s="4"/>
      <c r="B19177" s="4"/>
      <c r="C19177" s="4"/>
      <c r="D19177" s="4"/>
      <c r="E19177" s="4"/>
    </row>
    <row r="19178">
      <c r="A19178" s="4"/>
      <c r="B19178" s="4"/>
      <c r="C19178" s="4"/>
      <c r="D19178" s="4"/>
      <c r="E19178" s="4"/>
    </row>
    <row r="19179">
      <c r="A19179" s="4"/>
      <c r="B19179" s="4"/>
      <c r="C19179" s="4"/>
      <c r="D19179" s="4"/>
      <c r="E19179" s="4"/>
    </row>
    <row r="19180">
      <c r="A19180" s="4"/>
      <c r="B19180" s="4"/>
      <c r="C19180" s="4"/>
      <c r="D19180" s="4"/>
      <c r="E19180" s="4"/>
    </row>
    <row r="19181">
      <c r="A19181" s="4"/>
      <c r="B19181" s="4"/>
      <c r="C19181" s="4"/>
      <c r="D19181" s="4"/>
      <c r="E19181" s="4"/>
    </row>
    <row r="19182">
      <c r="A19182" s="4"/>
      <c r="B19182" s="4"/>
      <c r="C19182" s="4"/>
      <c r="D19182" s="4"/>
      <c r="E19182" s="4"/>
    </row>
    <row r="19183">
      <c r="A19183" s="4"/>
      <c r="B19183" s="4"/>
      <c r="C19183" s="4"/>
      <c r="D19183" s="4"/>
      <c r="E19183" s="4"/>
    </row>
    <row r="19184">
      <c r="A19184" s="4"/>
      <c r="B19184" s="4"/>
      <c r="C19184" s="4"/>
      <c r="D19184" s="4"/>
      <c r="E19184" s="4"/>
    </row>
    <row r="19185">
      <c r="A19185" s="4"/>
      <c r="B19185" s="4"/>
      <c r="C19185" s="4"/>
      <c r="D19185" s="4"/>
      <c r="E19185" s="4"/>
    </row>
    <row r="19186">
      <c r="A19186" s="4"/>
      <c r="B19186" s="4"/>
      <c r="C19186" s="4"/>
      <c r="D19186" s="4"/>
      <c r="E19186" s="4"/>
    </row>
    <row r="19187">
      <c r="A19187" s="4"/>
      <c r="B19187" s="4"/>
      <c r="C19187" s="4"/>
      <c r="D19187" s="4"/>
      <c r="E19187" s="4"/>
    </row>
    <row r="19188">
      <c r="A19188" s="4"/>
      <c r="B19188" s="4"/>
      <c r="C19188" s="4"/>
      <c r="D19188" s="4"/>
      <c r="E19188" s="4"/>
    </row>
    <row r="19189">
      <c r="A19189" s="4"/>
      <c r="B19189" s="4"/>
      <c r="C19189" s="4"/>
      <c r="D19189" s="4"/>
      <c r="E19189" s="4"/>
    </row>
    <row r="19190">
      <c r="A19190" s="4"/>
      <c r="B19190" s="4"/>
      <c r="C19190" s="4"/>
      <c r="D19190" s="4"/>
      <c r="E19190" s="4"/>
    </row>
    <row r="19191">
      <c r="A19191" s="4"/>
      <c r="B19191" s="4"/>
      <c r="C19191" s="4"/>
      <c r="D19191" s="4"/>
      <c r="E19191" s="4"/>
    </row>
    <row r="19192">
      <c r="A19192" s="4"/>
      <c r="B19192" s="4"/>
      <c r="C19192" s="4"/>
      <c r="D19192" s="4"/>
      <c r="E19192" s="4"/>
    </row>
    <row r="19193">
      <c r="A19193" s="4"/>
      <c r="B19193" s="4"/>
      <c r="C19193" s="4"/>
      <c r="D19193" s="4"/>
      <c r="E19193" s="4"/>
    </row>
    <row r="19194">
      <c r="A19194" s="4"/>
      <c r="B19194" s="4"/>
      <c r="C19194" s="4"/>
      <c r="D19194" s="4"/>
      <c r="E19194" s="4"/>
    </row>
    <row r="19195">
      <c r="A19195" s="4"/>
      <c r="B19195" s="4"/>
      <c r="C19195" s="4"/>
      <c r="D19195" s="4"/>
      <c r="E19195" s="4"/>
    </row>
    <row r="19196">
      <c r="A19196" s="4"/>
      <c r="B19196" s="4"/>
      <c r="C19196" s="4"/>
      <c r="D19196" s="4"/>
      <c r="E19196" s="4"/>
    </row>
    <row r="19197">
      <c r="A19197" s="4"/>
      <c r="B19197" s="4"/>
      <c r="C19197" s="4"/>
      <c r="D19197" s="4"/>
      <c r="E19197" s="4"/>
    </row>
    <row r="19198">
      <c r="A19198" s="4"/>
      <c r="B19198" s="4"/>
      <c r="C19198" s="4"/>
      <c r="D19198" s="4"/>
      <c r="E19198" s="4"/>
    </row>
    <row r="19199">
      <c r="A19199" s="4"/>
      <c r="B19199" s="4"/>
      <c r="C19199" s="4"/>
      <c r="D19199" s="4"/>
      <c r="E19199" s="4"/>
    </row>
    <row r="19200">
      <c r="A19200" s="4"/>
      <c r="B19200" s="4"/>
      <c r="C19200" s="4"/>
      <c r="D19200" s="4"/>
      <c r="E19200" s="4"/>
    </row>
    <row r="19201">
      <c r="A19201" s="4"/>
      <c r="B19201" s="4"/>
      <c r="C19201" s="4"/>
      <c r="D19201" s="4"/>
      <c r="E19201" s="4"/>
    </row>
    <row r="19202">
      <c r="A19202" s="4"/>
      <c r="B19202" s="4"/>
      <c r="C19202" s="4"/>
      <c r="D19202" s="4"/>
      <c r="E19202" s="4"/>
    </row>
    <row r="19203">
      <c r="A19203" s="4"/>
      <c r="B19203" s="4"/>
      <c r="C19203" s="4"/>
      <c r="D19203" s="4"/>
      <c r="E19203" s="4"/>
    </row>
    <row r="19204">
      <c r="A19204" s="4"/>
      <c r="B19204" s="4"/>
      <c r="C19204" s="4"/>
      <c r="D19204" s="4"/>
      <c r="E19204" s="4"/>
    </row>
    <row r="19205">
      <c r="A19205" s="4"/>
      <c r="B19205" s="4"/>
      <c r="C19205" s="4"/>
      <c r="D19205" s="4"/>
      <c r="E19205" s="4"/>
    </row>
    <row r="19206">
      <c r="A19206" s="4"/>
      <c r="B19206" s="4"/>
      <c r="C19206" s="4"/>
      <c r="D19206" s="4"/>
      <c r="E19206" s="4"/>
    </row>
    <row r="19207">
      <c r="A19207" s="4"/>
      <c r="B19207" s="4"/>
      <c r="C19207" s="4"/>
      <c r="D19207" s="4"/>
      <c r="E19207" s="4"/>
    </row>
    <row r="19208">
      <c r="A19208" s="4"/>
      <c r="B19208" s="4"/>
      <c r="C19208" s="4"/>
      <c r="D19208" s="4"/>
      <c r="E19208" s="4"/>
    </row>
    <row r="19209">
      <c r="A19209" s="4"/>
      <c r="B19209" s="4"/>
      <c r="C19209" s="4"/>
      <c r="D19209" s="4"/>
      <c r="E19209" s="4"/>
    </row>
    <row r="19210">
      <c r="A19210" s="4"/>
      <c r="B19210" s="4"/>
      <c r="C19210" s="4"/>
      <c r="D19210" s="4"/>
      <c r="E19210" s="4"/>
    </row>
    <row r="19211">
      <c r="A19211" s="4"/>
      <c r="B19211" s="4"/>
      <c r="C19211" s="4"/>
      <c r="D19211" s="4"/>
      <c r="E19211" s="4"/>
    </row>
    <row r="19212">
      <c r="A19212" s="4"/>
      <c r="B19212" s="4"/>
      <c r="C19212" s="4"/>
      <c r="D19212" s="4"/>
      <c r="E19212" s="4"/>
    </row>
    <row r="19213">
      <c r="A19213" s="4"/>
      <c r="B19213" s="4"/>
      <c r="C19213" s="4"/>
      <c r="D19213" s="4"/>
      <c r="E19213" s="4"/>
    </row>
    <row r="19214">
      <c r="A19214" s="4"/>
      <c r="B19214" s="4"/>
      <c r="C19214" s="4"/>
      <c r="D19214" s="4"/>
      <c r="E19214" s="4"/>
    </row>
    <row r="19215">
      <c r="A19215" s="4"/>
      <c r="B19215" s="4"/>
      <c r="C19215" s="4"/>
      <c r="D19215" s="4"/>
      <c r="E19215" s="4"/>
    </row>
    <row r="19216">
      <c r="A19216" s="4"/>
      <c r="B19216" s="4"/>
      <c r="C19216" s="4"/>
      <c r="D19216" s="4"/>
      <c r="E19216" s="4"/>
    </row>
  </sheetData>
  <drawing r:id="rId1"/>
</worksheet>
</file>